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tables/table1.xml" ContentType="application/vnd.openxmlformats-officedocument.spreadsheetml.table+xml"/>
  <Override PartName="/xl/pivotTables/pivotTable7.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ctrlProps/ctrlProp1.xml" ContentType="application/vnd.ms-excel.controlproperti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xml"/>
  <Override PartName="/xl/slicers/slicer6.xml" ContentType="application/vnd.ms-excel.slicer+xml"/>
  <Override PartName="/xl/drawings/drawing8.xml" ContentType="application/vnd.openxmlformats-officedocument.drawing+xml"/>
  <Override PartName="/xl/slicers/slicer7.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https://d.docs.live.net/e9a0046138c13eb0/Desktop/"/>
    </mc:Choice>
  </mc:AlternateContent>
  <xr:revisionPtr revIDLastSave="5" documentId="13_ncr:1_{0ACFDC52-CDEB-412C-8133-01ABD50D2440}" xr6:coauthVersionLast="47" xr6:coauthVersionMax="47" xr10:uidLastSave="{C7231C4A-F84E-49F3-AA59-8511FDFB4ACE}"/>
  <bookViews>
    <workbookView xWindow="-108" yWindow="-108" windowWidth="23256" windowHeight="12456" firstSheet="13" activeTab="19" xr2:uid="{DAFC1BCA-4E20-426C-A123-DDD9F6FAAD63}"/>
  </bookViews>
  <sheets>
    <sheet name="Data" sheetId="1" r:id="rId1"/>
    <sheet name="Part A" sheetId="2" r:id="rId2"/>
    <sheet name="Standardised Dimension Table" sheetId="6" r:id="rId3"/>
    <sheet name="Analysis" sheetId="7" r:id="rId4"/>
    <sheet name="Pivot Cohort Analysis" sheetId="10" r:id="rId5"/>
    <sheet name="ABC Data" sheetId="11" r:id="rId6"/>
    <sheet name="Pivot ABC Data" sheetId="13" r:id="rId7"/>
    <sheet name="Salesperson Productivity" sheetId="14" r:id="rId8"/>
    <sheet name="Sales person Pivot" sheetId="15" r:id="rId9"/>
    <sheet name="Channel Mix Data" sheetId="16" r:id="rId10"/>
    <sheet name="Channel Mix Pivot" sheetId="19" r:id="rId11"/>
    <sheet name="Cannibalization" sheetId="20" r:id="rId12"/>
    <sheet name="Service Level Data" sheetId="21" r:id="rId13"/>
    <sheet name="Service Level Pivot" sheetId="22" r:id="rId14"/>
    <sheet name="Price Compliance Data" sheetId="23" r:id="rId15"/>
    <sheet name="Price Compliance Pivot" sheetId="25" r:id="rId16"/>
    <sheet name="What IF" sheetId="26" r:id="rId17"/>
    <sheet name="Insights" sheetId="28" r:id="rId18"/>
    <sheet name="Slicers" sheetId="30" r:id="rId19"/>
    <sheet name="Dashboard" sheetId="27" r:id="rId20"/>
  </sheets>
  <definedNames>
    <definedName name="Slicer_Channel">#N/A</definedName>
    <definedName name="Slicer_Country">#N/A</definedName>
    <definedName name="Slicer_DiscountPct">#N/A</definedName>
    <definedName name="Slicer_Gross_Profit">#N/A</definedName>
    <definedName name="Slicer_Gross_Revenue">#N/A</definedName>
    <definedName name="Slicer_Leadtime_days">#N/A</definedName>
    <definedName name="Slicer_Month">#N/A</definedName>
    <definedName name="Slicer_OrderID">#N/A</definedName>
    <definedName name="Slicer_ProductCategory">#N/A</definedName>
    <definedName name="Slicer_Region">#N/A</definedName>
    <definedName name="Slicer_Salesperson">#N/A</definedName>
    <definedName name="Slicer_SKU">#N/A</definedName>
  </definedNames>
  <calcPr calcId="191029"/>
  <pivotCaches>
    <pivotCache cacheId="0" r:id="rId21"/>
    <pivotCache cacheId="1" r:id="rId22"/>
    <pivotCache cacheId="2" r:id="rId23"/>
    <pivotCache cacheId="3" r:id="rId24"/>
    <pivotCache cacheId="4" r:id="rId25"/>
    <pivotCache cacheId="5" r:id="rId26"/>
    <pivotCache cacheId="6" r:id="rId27"/>
  </pivotCaches>
  <extLst>
    <ext xmlns:x14="http://schemas.microsoft.com/office/spreadsheetml/2009/9/main" uri="{BBE1A952-AA13-448e-AADC-164F8A28A991}">
      <x14:slicerCaches>
        <x14:slicerCache r:id="rId28"/>
        <x14:slicerCache r:id="rId29"/>
        <x14:slicerCache r:id="rId30"/>
        <x14:slicerCache r:id="rId31"/>
        <x14:slicerCache r:id="rId32"/>
        <x14:slicerCache r:id="rId33"/>
        <x14:slicerCache r:id="rId34"/>
        <x14:slicerCache r:id="rId35"/>
        <x14:slicerCache r:id="rId36"/>
        <x14:slicerCache r:id="rId37"/>
        <x14:slicerCache r:id="rId38"/>
        <x14:slicerCache r:id="rId3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23" l="1"/>
  <c r="E4" i="23"/>
  <c r="E5" i="23"/>
  <c r="E6" i="23"/>
  <c r="E7" i="23"/>
  <c r="E8" i="23"/>
  <c r="E9" i="23"/>
  <c r="E10" i="23"/>
  <c r="E11" i="23"/>
  <c r="E12" i="23"/>
  <c r="E13" i="23"/>
  <c r="E14" i="23"/>
  <c r="E15" i="23"/>
  <c r="E16" i="23"/>
  <c r="E17" i="23"/>
  <c r="E18" i="23"/>
  <c r="E19" i="23"/>
  <c r="E20" i="23"/>
  <c r="E21" i="23"/>
  <c r="E22" i="23"/>
  <c r="E23" i="23"/>
  <c r="E24" i="23"/>
  <c r="E25" i="23"/>
  <c r="E26" i="23"/>
  <c r="E27" i="23"/>
  <c r="E28" i="23"/>
  <c r="E29" i="23"/>
  <c r="E30" i="23"/>
  <c r="E31" i="23"/>
  <c r="E32" i="23"/>
  <c r="E33" i="23"/>
  <c r="E34" i="23"/>
  <c r="E35" i="23"/>
  <c r="E36" i="23"/>
  <c r="E37" i="23"/>
  <c r="E38" i="23"/>
  <c r="E39" i="23"/>
  <c r="E40" i="23"/>
  <c r="E41" i="23"/>
  <c r="E42" i="23"/>
  <c r="E43" i="23"/>
  <c r="E44" i="23"/>
  <c r="E45" i="23"/>
  <c r="E46" i="23"/>
  <c r="E47" i="23"/>
  <c r="E48" i="23"/>
  <c r="E49" i="23"/>
  <c r="E50" i="23"/>
  <c r="E51" i="23"/>
  <c r="E52" i="23"/>
  <c r="E53" i="23"/>
  <c r="E54" i="23"/>
  <c r="E55" i="23"/>
  <c r="E56" i="23"/>
  <c r="E57" i="23"/>
  <c r="E58" i="23"/>
  <c r="E59" i="23"/>
  <c r="E60" i="23"/>
  <c r="E61" i="23"/>
  <c r="E62" i="23"/>
  <c r="E63" i="23"/>
  <c r="E64" i="23"/>
  <c r="E65" i="23"/>
  <c r="E66" i="23"/>
  <c r="E67" i="23"/>
  <c r="E68" i="23"/>
  <c r="E69" i="23"/>
  <c r="E70" i="23"/>
  <c r="E71" i="23"/>
  <c r="E72" i="23"/>
  <c r="E73" i="23"/>
  <c r="E74" i="23"/>
  <c r="E75" i="23"/>
  <c r="E76" i="23"/>
  <c r="E77" i="23"/>
  <c r="E78" i="23"/>
  <c r="E79" i="23"/>
  <c r="E80" i="23"/>
  <c r="E81" i="23"/>
  <c r="E82" i="23"/>
  <c r="E83" i="23"/>
  <c r="E84" i="23"/>
  <c r="E85" i="23"/>
  <c r="E86" i="23"/>
  <c r="E87" i="23"/>
  <c r="E88" i="23"/>
  <c r="E89" i="23"/>
  <c r="E90" i="23"/>
  <c r="E91" i="23"/>
  <c r="E92" i="23"/>
  <c r="E93" i="23"/>
  <c r="E94" i="23"/>
  <c r="E95" i="23"/>
  <c r="E96" i="23"/>
  <c r="E97" i="23"/>
  <c r="E98" i="23"/>
  <c r="E99" i="23"/>
  <c r="E100" i="23"/>
  <c r="E101" i="23"/>
  <c r="E102" i="23"/>
  <c r="E103" i="23"/>
  <c r="E104" i="23"/>
  <c r="E105" i="23"/>
  <c r="E106" i="23"/>
  <c r="E107" i="23"/>
  <c r="E108" i="23"/>
  <c r="E109" i="23"/>
  <c r="E110" i="23"/>
  <c r="E111" i="23"/>
  <c r="E112" i="23"/>
  <c r="E113" i="23"/>
  <c r="E114" i="23"/>
  <c r="E115" i="23"/>
  <c r="E116" i="23"/>
  <c r="E117" i="23"/>
  <c r="E118" i="23"/>
  <c r="E119" i="23"/>
  <c r="E120" i="23"/>
  <c r="E121" i="23"/>
  <c r="E122" i="23"/>
  <c r="E123" i="23"/>
  <c r="E124" i="23"/>
  <c r="E125" i="23"/>
  <c r="E126" i="23"/>
  <c r="E127" i="23"/>
  <c r="E128" i="23"/>
  <c r="E129" i="23"/>
  <c r="E130" i="23"/>
  <c r="E131" i="23"/>
  <c r="E132" i="23"/>
  <c r="E133" i="23"/>
  <c r="E134" i="23"/>
  <c r="E135" i="23"/>
  <c r="E136" i="23"/>
  <c r="E137" i="23"/>
  <c r="E138" i="23"/>
  <c r="E139" i="23"/>
  <c r="E140" i="23"/>
  <c r="E141" i="23"/>
  <c r="E142" i="23"/>
  <c r="E143" i="23"/>
  <c r="E144" i="23"/>
  <c r="E145" i="23"/>
  <c r="E146" i="23"/>
  <c r="E147" i="23"/>
  <c r="E148" i="23"/>
  <c r="E149" i="23"/>
  <c r="E150" i="23"/>
  <c r="E151" i="23"/>
  <c r="E152" i="23"/>
  <c r="E153" i="23"/>
  <c r="E154" i="23"/>
  <c r="E155" i="23"/>
  <c r="E156" i="23"/>
  <c r="E157" i="23"/>
  <c r="E158" i="23"/>
  <c r="E159" i="23"/>
  <c r="E160" i="23"/>
  <c r="E161" i="23"/>
  <c r="E162" i="23"/>
  <c r="E163" i="23"/>
  <c r="E164" i="23"/>
  <c r="E165" i="23"/>
  <c r="E166" i="23"/>
  <c r="E167" i="23"/>
  <c r="E168" i="23"/>
  <c r="E169" i="23"/>
  <c r="E170" i="23"/>
  <c r="E171" i="23"/>
  <c r="E172" i="23"/>
  <c r="E173" i="23"/>
  <c r="E174" i="23"/>
  <c r="E175" i="23"/>
  <c r="E176" i="23"/>
  <c r="E177" i="23"/>
  <c r="E178" i="23"/>
  <c r="E179" i="23"/>
  <c r="E180" i="23"/>
  <c r="E181" i="23"/>
  <c r="E182" i="23"/>
  <c r="E183" i="23"/>
  <c r="E184" i="23"/>
  <c r="E185" i="23"/>
  <c r="E186" i="23"/>
  <c r="E187" i="23"/>
  <c r="E188" i="23"/>
  <c r="E189" i="23"/>
  <c r="E190" i="23"/>
  <c r="E191" i="23"/>
  <c r="E192" i="23"/>
  <c r="E193" i="23"/>
  <c r="E194" i="23"/>
  <c r="E195" i="23"/>
  <c r="E196" i="23"/>
  <c r="E197" i="23"/>
  <c r="E198" i="23"/>
  <c r="E199" i="23"/>
  <c r="E200" i="23"/>
  <c r="E201" i="23"/>
  <c r="E202" i="23"/>
  <c r="E203" i="23"/>
  <c r="E204" i="23"/>
  <c r="E205" i="23"/>
  <c r="E206" i="23"/>
  <c r="E207" i="23"/>
  <c r="E208" i="23"/>
  <c r="E209" i="23"/>
  <c r="E210" i="23"/>
  <c r="E211" i="23"/>
  <c r="E212" i="23"/>
  <c r="E213" i="23"/>
  <c r="E214" i="23"/>
  <c r="E215" i="23"/>
  <c r="E216" i="23"/>
  <c r="E217" i="23"/>
  <c r="E218" i="23"/>
  <c r="E219" i="23"/>
  <c r="E220" i="23"/>
  <c r="E221" i="23"/>
  <c r="E222" i="23"/>
  <c r="E223" i="23"/>
  <c r="E224" i="23"/>
  <c r="E225" i="23"/>
  <c r="E226" i="23"/>
  <c r="E227" i="23"/>
  <c r="E228" i="23"/>
  <c r="E229" i="23"/>
  <c r="E230" i="23"/>
  <c r="E231" i="23"/>
  <c r="E232" i="23"/>
  <c r="E233" i="23"/>
  <c r="E234" i="23"/>
  <c r="E235" i="23"/>
  <c r="E236" i="23"/>
  <c r="E237" i="23"/>
  <c r="E238" i="23"/>
  <c r="E239" i="23"/>
  <c r="E240" i="23"/>
  <c r="E241" i="23"/>
  <c r="E242" i="23"/>
  <c r="E243" i="23"/>
  <c r="E244" i="23"/>
  <c r="E245" i="23"/>
  <c r="E246" i="23"/>
  <c r="E247" i="23"/>
  <c r="E248" i="23"/>
  <c r="E249" i="23"/>
  <c r="E250" i="23"/>
  <c r="E251" i="23"/>
  <c r="E252" i="23"/>
  <c r="E253" i="23"/>
  <c r="E254" i="23"/>
  <c r="E255" i="23"/>
  <c r="E256" i="23"/>
  <c r="E257" i="23"/>
  <c r="E258" i="23"/>
  <c r="E259" i="23"/>
  <c r="E260" i="23"/>
  <c r="E261" i="23"/>
  <c r="E262" i="23"/>
  <c r="E263" i="23"/>
  <c r="E264" i="23"/>
  <c r="E265" i="23"/>
  <c r="E266" i="23"/>
  <c r="E267" i="23"/>
  <c r="E268" i="23"/>
  <c r="E269" i="23"/>
  <c r="E270" i="23"/>
  <c r="E271" i="23"/>
  <c r="E272" i="23"/>
  <c r="E273" i="23"/>
  <c r="E274" i="23"/>
  <c r="E275" i="23"/>
  <c r="E276" i="23"/>
  <c r="E277" i="23"/>
  <c r="E278" i="23"/>
  <c r="E279" i="23"/>
  <c r="E280" i="23"/>
  <c r="E281" i="23"/>
  <c r="E282" i="23"/>
  <c r="E283" i="23"/>
  <c r="E284" i="23"/>
  <c r="E285" i="23"/>
  <c r="E286" i="23"/>
  <c r="E287" i="23"/>
  <c r="E288" i="23"/>
  <c r="E289" i="23"/>
  <c r="E290" i="23"/>
  <c r="E291" i="23"/>
  <c r="E292" i="23"/>
  <c r="E293" i="23"/>
  <c r="E294" i="23"/>
  <c r="E295" i="23"/>
  <c r="E296" i="23"/>
  <c r="E297" i="23"/>
  <c r="E298" i="23"/>
  <c r="E299" i="23"/>
  <c r="E300" i="23"/>
  <c r="E301" i="23"/>
  <c r="E302" i="23"/>
  <c r="E303" i="23"/>
  <c r="E304" i="23"/>
  <c r="E305" i="23"/>
  <c r="E306" i="23"/>
  <c r="E307" i="23"/>
  <c r="E308" i="23"/>
  <c r="E309" i="23"/>
  <c r="E310" i="23"/>
  <c r="E311" i="23"/>
  <c r="E312" i="23"/>
  <c r="E313" i="23"/>
  <c r="E314" i="23"/>
  <c r="E315" i="23"/>
  <c r="E316" i="23"/>
  <c r="E317" i="23"/>
  <c r="E318" i="23"/>
  <c r="E319" i="23"/>
  <c r="E320" i="23"/>
  <c r="E321" i="23"/>
  <c r="E322" i="23"/>
  <c r="E323" i="23"/>
  <c r="E324" i="23"/>
  <c r="E325" i="23"/>
  <c r="E326" i="23"/>
  <c r="E327" i="23"/>
  <c r="E328" i="23"/>
  <c r="E329" i="23"/>
  <c r="E330" i="23"/>
  <c r="E331" i="23"/>
  <c r="E332" i="23"/>
  <c r="E333" i="23"/>
  <c r="E334" i="23"/>
  <c r="E335" i="23"/>
  <c r="E336" i="23"/>
  <c r="E337" i="23"/>
  <c r="E338" i="23"/>
  <c r="E339" i="23"/>
  <c r="E340" i="23"/>
  <c r="E341" i="23"/>
  <c r="E342" i="23"/>
  <c r="E343" i="23"/>
  <c r="E344" i="23"/>
  <c r="E345" i="23"/>
  <c r="E346" i="23"/>
  <c r="E347" i="23"/>
  <c r="E348" i="23"/>
  <c r="E349" i="23"/>
  <c r="E350" i="23"/>
  <c r="E351" i="23"/>
  <c r="E352" i="23"/>
  <c r="E353" i="23"/>
  <c r="E354" i="23"/>
  <c r="E355" i="23"/>
  <c r="E356" i="23"/>
  <c r="E357" i="23"/>
  <c r="E358" i="23"/>
  <c r="E359" i="23"/>
  <c r="E360" i="23"/>
  <c r="E361" i="23"/>
  <c r="E362" i="23"/>
  <c r="E363" i="23"/>
  <c r="E364" i="23"/>
  <c r="E365" i="23"/>
  <c r="E366" i="23"/>
  <c r="E367" i="23"/>
  <c r="E368" i="23"/>
  <c r="E369" i="23"/>
  <c r="E370" i="23"/>
  <c r="E371" i="23"/>
  <c r="E372" i="23"/>
  <c r="E373" i="23"/>
  <c r="E374" i="23"/>
  <c r="E375" i="23"/>
  <c r="E376" i="23"/>
  <c r="E377" i="23"/>
  <c r="E378" i="23"/>
  <c r="E379" i="23"/>
  <c r="E380" i="23"/>
  <c r="E381" i="23"/>
  <c r="E382" i="23"/>
  <c r="E383" i="23"/>
  <c r="E384" i="23"/>
  <c r="E385" i="23"/>
  <c r="E386" i="23"/>
  <c r="E387" i="23"/>
  <c r="E388" i="23"/>
  <c r="E389" i="23"/>
  <c r="E390" i="23"/>
  <c r="E391" i="23"/>
  <c r="E392" i="23"/>
  <c r="E393" i="23"/>
  <c r="E394" i="23"/>
  <c r="E395" i="23"/>
  <c r="E396" i="23"/>
  <c r="E397" i="23"/>
  <c r="E398" i="23"/>
  <c r="E399" i="23"/>
  <c r="E400" i="23"/>
  <c r="E401" i="23"/>
  <c r="E402" i="23"/>
  <c r="E403" i="23"/>
  <c r="E404" i="23"/>
  <c r="E405" i="23"/>
  <c r="E406" i="23"/>
  <c r="E407" i="23"/>
  <c r="E408" i="23"/>
  <c r="E409" i="23"/>
  <c r="E410" i="23"/>
  <c r="E411" i="23"/>
  <c r="E412" i="23"/>
  <c r="E413" i="23"/>
  <c r="E414" i="23"/>
  <c r="E415" i="23"/>
  <c r="E416" i="23"/>
  <c r="E417" i="23"/>
  <c r="E418" i="23"/>
  <c r="E419" i="23"/>
  <c r="E420" i="23"/>
  <c r="E421" i="23"/>
  <c r="E422" i="23"/>
  <c r="E423" i="23"/>
  <c r="E424" i="23"/>
  <c r="E425" i="23"/>
  <c r="E426" i="23"/>
  <c r="E427" i="23"/>
  <c r="E428" i="23"/>
  <c r="E429" i="23"/>
  <c r="E430" i="23"/>
  <c r="E431" i="23"/>
  <c r="E432" i="23"/>
  <c r="E433" i="23"/>
  <c r="E434" i="23"/>
  <c r="E435" i="23"/>
  <c r="E436" i="23"/>
  <c r="E437" i="23"/>
  <c r="E438" i="23"/>
  <c r="E439" i="23"/>
  <c r="E440" i="23"/>
  <c r="E441" i="23"/>
  <c r="E442" i="23"/>
  <c r="E443" i="23"/>
  <c r="E444" i="23"/>
  <c r="E445" i="23"/>
  <c r="E446" i="23"/>
  <c r="E447" i="23"/>
  <c r="E448" i="23"/>
  <c r="E449" i="23"/>
  <c r="E450" i="23"/>
  <c r="E451" i="23"/>
  <c r="E452" i="23"/>
  <c r="E453" i="23"/>
  <c r="E454" i="23"/>
  <c r="E455" i="23"/>
  <c r="E456" i="23"/>
  <c r="E457" i="23"/>
  <c r="E458" i="23"/>
  <c r="E459" i="23"/>
  <c r="E460" i="23"/>
  <c r="E461" i="23"/>
  <c r="E462" i="23"/>
  <c r="E463" i="23"/>
  <c r="E464" i="23"/>
  <c r="E465" i="23"/>
  <c r="E466" i="23"/>
  <c r="E467" i="23"/>
  <c r="E468" i="23"/>
  <c r="E469" i="23"/>
  <c r="E470" i="23"/>
  <c r="E471" i="23"/>
  <c r="E472" i="23"/>
  <c r="E473" i="23"/>
  <c r="E474" i="23"/>
  <c r="E475" i="23"/>
  <c r="E476" i="23"/>
  <c r="E477" i="23"/>
  <c r="E478" i="23"/>
  <c r="E479" i="23"/>
  <c r="E480" i="23"/>
  <c r="E481" i="23"/>
  <c r="E482" i="23"/>
  <c r="E483" i="23"/>
  <c r="E484" i="23"/>
  <c r="E485" i="23"/>
  <c r="E486" i="23"/>
  <c r="E487" i="23"/>
  <c r="E488" i="23"/>
  <c r="E489" i="23"/>
  <c r="E490" i="23"/>
  <c r="E491" i="23"/>
  <c r="E492" i="23"/>
  <c r="E493" i="23"/>
  <c r="E494" i="23"/>
  <c r="E495" i="23"/>
  <c r="E496" i="23"/>
  <c r="E497" i="23"/>
  <c r="E498" i="23"/>
  <c r="E499" i="23"/>
  <c r="E500" i="23"/>
  <c r="E501" i="23"/>
  <c r="E502" i="23"/>
  <c r="E503" i="23"/>
  <c r="E504" i="23"/>
  <c r="E505" i="23"/>
  <c r="E506" i="23"/>
  <c r="E507" i="23"/>
  <c r="E508" i="23"/>
  <c r="E509" i="23"/>
  <c r="E510" i="23"/>
  <c r="E511" i="23"/>
  <c r="E512" i="23"/>
  <c r="E513" i="23"/>
  <c r="E514" i="23"/>
  <c r="E515" i="23"/>
  <c r="E516" i="23"/>
  <c r="E517" i="23"/>
  <c r="E518" i="23"/>
  <c r="E519" i="23"/>
  <c r="E520" i="23"/>
  <c r="E521" i="23"/>
  <c r="E522" i="23"/>
  <c r="E523" i="23"/>
  <c r="E524" i="23"/>
  <c r="E525" i="23"/>
  <c r="E526" i="23"/>
  <c r="E527" i="23"/>
  <c r="E528" i="23"/>
  <c r="E529" i="23"/>
  <c r="E530" i="23"/>
  <c r="E531" i="23"/>
  <c r="E532" i="23"/>
  <c r="E533" i="23"/>
  <c r="E534" i="23"/>
  <c r="E535" i="23"/>
  <c r="E536" i="23"/>
  <c r="E537" i="23"/>
  <c r="E538" i="23"/>
  <c r="E539" i="23"/>
  <c r="E540" i="23"/>
  <c r="E541" i="23"/>
  <c r="E542" i="23"/>
  <c r="E543" i="23"/>
  <c r="E544" i="23"/>
  <c r="E545" i="23"/>
  <c r="E546" i="23"/>
  <c r="E547" i="23"/>
  <c r="E548" i="23"/>
  <c r="E549" i="23"/>
  <c r="E550" i="23"/>
  <c r="E551" i="23"/>
  <c r="E552" i="23"/>
  <c r="E553" i="23"/>
  <c r="E554" i="23"/>
  <c r="E555" i="23"/>
  <c r="E556" i="23"/>
  <c r="E557" i="23"/>
  <c r="E558" i="23"/>
  <c r="E559" i="23"/>
  <c r="E560" i="23"/>
  <c r="E561" i="23"/>
  <c r="E562" i="23"/>
  <c r="E563" i="23"/>
  <c r="E564" i="23"/>
  <c r="E565" i="23"/>
  <c r="E566" i="23"/>
  <c r="E567" i="23"/>
  <c r="E568" i="23"/>
  <c r="E569" i="23"/>
  <c r="E570" i="23"/>
  <c r="E571" i="23"/>
  <c r="E572" i="23"/>
  <c r="E573" i="23"/>
  <c r="E574" i="23"/>
  <c r="E575" i="23"/>
  <c r="E576" i="23"/>
  <c r="E577" i="23"/>
  <c r="E578" i="23"/>
  <c r="E579" i="23"/>
  <c r="E580" i="23"/>
  <c r="E581" i="23"/>
  <c r="E582" i="23"/>
  <c r="E583" i="23"/>
  <c r="E584" i="23"/>
  <c r="E585" i="23"/>
  <c r="E586" i="23"/>
  <c r="E587" i="23"/>
  <c r="E588" i="23"/>
  <c r="E589" i="23"/>
  <c r="E590" i="23"/>
  <c r="E591" i="23"/>
  <c r="E592" i="23"/>
  <c r="E593" i="23"/>
  <c r="E594" i="23"/>
  <c r="E595" i="23"/>
  <c r="E596" i="23"/>
  <c r="E597" i="23"/>
  <c r="E598" i="23"/>
  <c r="E599" i="23"/>
  <c r="E600" i="23"/>
  <c r="E601" i="23"/>
  <c r="E602" i="23"/>
  <c r="E603" i="23"/>
  <c r="E604" i="23"/>
  <c r="E605" i="23"/>
  <c r="E606" i="23"/>
  <c r="E607" i="23"/>
  <c r="E608" i="23"/>
  <c r="E609" i="23"/>
  <c r="E610" i="23"/>
  <c r="E611" i="23"/>
  <c r="E612" i="23"/>
  <c r="E613" i="23"/>
  <c r="E614" i="23"/>
  <c r="E615" i="23"/>
  <c r="E616" i="23"/>
  <c r="E617" i="23"/>
  <c r="E618" i="23"/>
  <c r="E619" i="23"/>
  <c r="E620" i="23"/>
  <c r="E621" i="23"/>
  <c r="E622" i="23"/>
  <c r="E623" i="23"/>
  <c r="E624" i="23"/>
  <c r="E625" i="23"/>
  <c r="E626" i="23"/>
  <c r="E627" i="23"/>
  <c r="E628" i="23"/>
  <c r="E629" i="23"/>
  <c r="E630" i="23"/>
  <c r="E631" i="23"/>
  <c r="E632" i="23"/>
  <c r="E633" i="23"/>
  <c r="E2" i="23"/>
  <c r="T2" i="21"/>
  <c r="R3" i="14"/>
  <c r="R4" i="14"/>
  <c r="R5" i="14"/>
  <c r="R6" i="14"/>
  <c r="R7" i="14"/>
  <c r="R8" i="14"/>
  <c r="R9" i="14"/>
  <c r="R10" i="14"/>
  <c r="R11" i="14"/>
  <c r="R12" i="14"/>
  <c r="R13" i="14"/>
  <c r="R14" i="14"/>
  <c r="R15" i="14"/>
  <c r="R16" i="14"/>
  <c r="R17" i="14"/>
  <c r="R18" i="14"/>
  <c r="R19" i="14"/>
  <c r="R20" i="14"/>
  <c r="R21" i="14"/>
  <c r="R22" i="14"/>
  <c r="R23" i="14"/>
  <c r="R24" i="14"/>
  <c r="R25" i="14"/>
  <c r="R26" i="14"/>
  <c r="R27" i="14"/>
  <c r="R28" i="14"/>
  <c r="R29" i="14"/>
  <c r="R30" i="14"/>
  <c r="R31" i="14"/>
  <c r="R32" i="14"/>
  <c r="R33" i="14"/>
  <c r="R34" i="14"/>
  <c r="R35" i="14"/>
  <c r="R36" i="14"/>
  <c r="R37" i="14"/>
  <c r="R38" i="14"/>
  <c r="R39" i="14"/>
  <c r="R40" i="14"/>
  <c r="R41" i="14"/>
  <c r="R42" i="14"/>
  <c r="R43" i="14"/>
  <c r="R44" i="14"/>
  <c r="R45" i="14"/>
  <c r="R46" i="14"/>
  <c r="R47" i="14"/>
  <c r="R48" i="14"/>
  <c r="R49" i="14"/>
  <c r="R50" i="14"/>
  <c r="R51" i="14"/>
  <c r="R52" i="14"/>
  <c r="R53" i="14"/>
  <c r="R54" i="14"/>
  <c r="R55" i="14"/>
  <c r="R56" i="14"/>
  <c r="R57" i="14"/>
  <c r="R58" i="14"/>
  <c r="R59" i="14"/>
  <c r="R60" i="14"/>
  <c r="R61" i="14"/>
  <c r="R62" i="14"/>
  <c r="R63" i="14"/>
  <c r="R64" i="14"/>
  <c r="R65" i="14"/>
  <c r="R66" i="14"/>
  <c r="R67" i="14"/>
  <c r="R68" i="14"/>
  <c r="R69" i="14"/>
  <c r="R70" i="14"/>
  <c r="R71" i="14"/>
  <c r="R72" i="14"/>
  <c r="R73" i="14"/>
  <c r="R74" i="14"/>
  <c r="R75" i="14"/>
  <c r="R76" i="14"/>
  <c r="R77" i="14"/>
  <c r="R78" i="14"/>
  <c r="R79" i="14"/>
  <c r="R80" i="14"/>
  <c r="R81" i="14"/>
  <c r="R82" i="14"/>
  <c r="R83" i="14"/>
  <c r="R84" i="14"/>
  <c r="R85" i="14"/>
  <c r="R86" i="14"/>
  <c r="R87" i="14"/>
  <c r="R88" i="14"/>
  <c r="R89" i="14"/>
  <c r="R90" i="14"/>
  <c r="R91" i="14"/>
  <c r="R92" i="14"/>
  <c r="R93" i="14"/>
  <c r="R94" i="14"/>
  <c r="R95" i="14"/>
  <c r="R96" i="14"/>
  <c r="R97" i="14"/>
  <c r="R98" i="14"/>
  <c r="R99" i="14"/>
  <c r="R100" i="14"/>
  <c r="R101" i="14"/>
  <c r="R102" i="14"/>
  <c r="R103" i="14"/>
  <c r="R104" i="14"/>
  <c r="R105" i="14"/>
  <c r="R106" i="14"/>
  <c r="R107" i="14"/>
  <c r="R108" i="14"/>
  <c r="R109" i="14"/>
  <c r="R110" i="14"/>
  <c r="R111" i="14"/>
  <c r="R112" i="14"/>
  <c r="R113" i="14"/>
  <c r="R114" i="14"/>
  <c r="R115" i="14"/>
  <c r="R116" i="14"/>
  <c r="R117" i="14"/>
  <c r="R118" i="14"/>
  <c r="R119" i="14"/>
  <c r="R120" i="14"/>
  <c r="R121" i="14"/>
  <c r="R122" i="14"/>
  <c r="R123" i="14"/>
  <c r="R124" i="14"/>
  <c r="R125" i="14"/>
  <c r="R126" i="14"/>
  <c r="R127" i="14"/>
  <c r="R128" i="14"/>
  <c r="R129" i="14"/>
  <c r="R130" i="14"/>
  <c r="R131" i="14"/>
  <c r="R132" i="14"/>
  <c r="R133" i="14"/>
  <c r="R134" i="14"/>
  <c r="R135" i="14"/>
  <c r="R136" i="14"/>
  <c r="R137" i="14"/>
  <c r="R138" i="14"/>
  <c r="R139" i="14"/>
  <c r="R140" i="14"/>
  <c r="R141" i="14"/>
  <c r="R142" i="14"/>
  <c r="R143" i="14"/>
  <c r="R144" i="14"/>
  <c r="R145" i="14"/>
  <c r="R146" i="14"/>
  <c r="R147" i="14"/>
  <c r="R148" i="14"/>
  <c r="R149" i="14"/>
  <c r="R150" i="14"/>
  <c r="R151" i="14"/>
  <c r="R152" i="14"/>
  <c r="R153" i="14"/>
  <c r="R154" i="14"/>
  <c r="R155" i="14"/>
  <c r="R156" i="14"/>
  <c r="R157" i="14"/>
  <c r="R158" i="14"/>
  <c r="R159" i="14"/>
  <c r="R160" i="14"/>
  <c r="R161" i="14"/>
  <c r="R162" i="14"/>
  <c r="R163" i="14"/>
  <c r="R164" i="14"/>
  <c r="R165" i="14"/>
  <c r="R166" i="14"/>
  <c r="R167" i="14"/>
  <c r="R168" i="14"/>
  <c r="R169" i="14"/>
  <c r="R170" i="14"/>
  <c r="R171" i="14"/>
  <c r="R172" i="14"/>
  <c r="R173" i="14"/>
  <c r="R174" i="14"/>
  <c r="R175" i="14"/>
  <c r="R176" i="14"/>
  <c r="R177" i="14"/>
  <c r="R178" i="14"/>
  <c r="R179" i="14"/>
  <c r="R180" i="14"/>
  <c r="R181" i="14"/>
  <c r="R182" i="14"/>
  <c r="R183" i="14"/>
  <c r="R184" i="14"/>
  <c r="R185" i="14"/>
  <c r="R186" i="14"/>
  <c r="R187" i="14"/>
  <c r="R188" i="14"/>
  <c r="R189" i="14"/>
  <c r="R190" i="14"/>
  <c r="R191" i="14"/>
  <c r="R192" i="14"/>
  <c r="R193" i="14"/>
  <c r="R194" i="14"/>
  <c r="R195" i="14"/>
  <c r="R196" i="14"/>
  <c r="R197" i="14"/>
  <c r="R198" i="14"/>
  <c r="R199" i="14"/>
  <c r="R200" i="14"/>
  <c r="R201" i="14"/>
  <c r="R202" i="14"/>
  <c r="R203" i="14"/>
  <c r="R204" i="14"/>
  <c r="R205" i="14"/>
  <c r="R206" i="14"/>
  <c r="R207" i="14"/>
  <c r="R208" i="14"/>
  <c r="R209" i="14"/>
  <c r="R210" i="14"/>
  <c r="R211" i="14"/>
  <c r="R212" i="14"/>
  <c r="R213" i="14"/>
  <c r="R214" i="14"/>
  <c r="R215" i="14"/>
  <c r="R216" i="14"/>
  <c r="R217" i="14"/>
  <c r="R218" i="14"/>
  <c r="R219" i="14"/>
  <c r="R220" i="14"/>
  <c r="R221" i="14"/>
  <c r="R222" i="14"/>
  <c r="R223" i="14"/>
  <c r="R224" i="14"/>
  <c r="R225" i="14"/>
  <c r="R226" i="14"/>
  <c r="R227" i="14"/>
  <c r="R228" i="14"/>
  <c r="R229" i="14"/>
  <c r="R230" i="14"/>
  <c r="R231" i="14"/>
  <c r="R232" i="14"/>
  <c r="R233" i="14"/>
  <c r="R234" i="14"/>
  <c r="R235" i="14"/>
  <c r="R236" i="14"/>
  <c r="R237" i="14"/>
  <c r="R238" i="14"/>
  <c r="R239" i="14"/>
  <c r="R240" i="14"/>
  <c r="R241" i="14"/>
  <c r="R242" i="14"/>
  <c r="R243" i="14"/>
  <c r="R244" i="14"/>
  <c r="R245" i="14"/>
  <c r="R246" i="14"/>
  <c r="R247" i="14"/>
  <c r="R248" i="14"/>
  <c r="R249" i="14"/>
  <c r="R250" i="14"/>
  <c r="R251" i="14"/>
  <c r="R252" i="14"/>
  <c r="R253" i="14"/>
  <c r="R254" i="14"/>
  <c r="R255" i="14"/>
  <c r="R256" i="14"/>
  <c r="R257" i="14"/>
  <c r="R258" i="14"/>
  <c r="R259" i="14"/>
  <c r="R260" i="14"/>
  <c r="R261" i="14"/>
  <c r="R262" i="14"/>
  <c r="R263" i="14"/>
  <c r="R264" i="14"/>
  <c r="R265" i="14"/>
  <c r="R266" i="14"/>
  <c r="R267" i="14"/>
  <c r="R268" i="14"/>
  <c r="R269" i="14"/>
  <c r="R270" i="14"/>
  <c r="R271" i="14"/>
  <c r="R272" i="14"/>
  <c r="R273" i="14"/>
  <c r="R274" i="14"/>
  <c r="R275" i="14"/>
  <c r="R276" i="14"/>
  <c r="R277" i="14"/>
  <c r="R278" i="14"/>
  <c r="R279" i="14"/>
  <c r="R280" i="14"/>
  <c r="R281" i="14"/>
  <c r="R282" i="14"/>
  <c r="R283" i="14"/>
  <c r="R284" i="14"/>
  <c r="R285" i="14"/>
  <c r="R286" i="14"/>
  <c r="R287" i="14"/>
  <c r="R288" i="14"/>
  <c r="R289" i="14"/>
  <c r="R290" i="14"/>
  <c r="R291" i="14"/>
  <c r="R292" i="14"/>
  <c r="R293" i="14"/>
  <c r="R294" i="14"/>
  <c r="R295" i="14"/>
  <c r="R296" i="14"/>
  <c r="R297" i="14"/>
  <c r="R298" i="14"/>
  <c r="R299" i="14"/>
  <c r="R300" i="14"/>
  <c r="R301" i="14"/>
  <c r="R302" i="14"/>
  <c r="R303" i="14"/>
  <c r="R304" i="14"/>
  <c r="R305" i="14"/>
  <c r="R306" i="14"/>
  <c r="R307" i="14"/>
  <c r="R308" i="14"/>
  <c r="R309" i="14"/>
  <c r="R310" i="14"/>
  <c r="R311" i="14"/>
  <c r="R312" i="14"/>
  <c r="R313" i="14"/>
  <c r="R314" i="14"/>
  <c r="R315" i="14"/>
  <c r="R316" i="14"/>
  <c r="R317" i="14"/>
  <c r="R318" i="14"/>
  <c r="R319" i="14"/>
  <c r="R320" i="14"/>
  <c r="R321" i="14"/>
  <c r="R322" i="14"/>
  <c r="R323" i="14"/>
  <c r="R324" i="14"/>
  <c r="R325" i="14"/>
  <c r="R326" i="14"/>
  <c r="R327" i="14"/>
  <c r="R328" i="14"/>
  <c r="R329" i="14"/>
  <c r="R330" i="14"/>
  <c r="R331" i="14"/>
  <c r="R332" i="14"/>
  <c r="R333" i="14"/>
  <c r="R334" i="14"/>
  <c r="R335" i="14"/>
  <c r="R336" i="14"/>
  <c r="R337" i="14"/>
  <c r="R338" i="14"/>
  <c r="R339" i="14"/>
  <c r="R340" i="14"/>
  <c r="R341" i="14"/>
  <c r="R342" i="14"/>
  <c r="R343" i="14"/>
  <c r="R344" i="14"/>
  <c r="R345" i="14"/>
  <c r="R346" i="14"/>
  <c r="R347" i="14"/>
  <c r="R348" i="14"/>
  <c r="R349" i="14"/>
  <c r="R350" i="14"/>
  <c r="R351" i="14"/>
  <c r="R352" i="14"/>
  <c r="R353" i="14"/>
  <c r="R354" i="14"/>
  <c r="R355" i="14"/>
  <c r="R356" i="14"/>
  <c r="R357" i="14"/>
  <c r="R358" i="14"/>
  <c r="R359" i="14"/>
  <c r="R360" i="14"/>
  <c r="R361" i="14"/>
  <c r="R362" i="14"/>
  <c r="R363" i="14"/>
  <c r="R364" i="14"/>
  <c r="R365" i="14"/>
  <c r="R366" i="14"/>
  <c r="R367" i="14"/>
  <c r="R368" i="14"/>
  <c r="R369" i="14"/>
  <c r="R370" i="14"/>
  <c r="R371" i="14"/>
  <c r="R372" i="14"/>
  <c r="R373" i="14"/>
  <c r="R374" i="14"/>
  <c r="R375" i="14"/>
  <c r="R376" i="14"/>
  <c r="R377" i="14"/>
  <c r="R378" i="14"/>
  <c r="R379" i="14"/>
  <c r="R380" i="14"/>
  <c r="R381" i="14"/>
  <c r="R382" i="14"/>
  <c r="R383" i="14"/>
  <c r="R384" i="14"/>
  <c r="R385" i="14"/>
  <c r="R386" i="14"/>
  <c r="R387" i="14"/>
  <c r="R388" i="14"/>
  <c r="R389" i="14"/>
  <c r="R390" i="14"/>
  <c r="R391" i="14"/>
  <c r="R392" i="14"/>
  <c r="R393" i="14"/>
  <c r="R394" i="14"/>
  <c r="R395" i="14"/>
  <c r="R396" i="14"/>
  <c r="R397" i="14"/>
  <c r="R398" i="14"/>
  <c r="R399" i="14"/>
  <c r="R400" i="14"/>
  <c r="R401" i="14"/>
  <c r="R402" i="14"/>
  <c r="R403" i="14"/>
  <c r="R404" i="14"/>
  <c r="R405" i="14"/>
  <c r="R406" i="14"/>
  <c r="R407" i="14"/>
  <c r="R408" i="14"/>
  <c r="R409" i="14"/>
  <c r="R410" i="14"/>
  <c r="R411" i="14"/>
  <c r="R412" i="14"/>
  <c r="R413" i="14"/>
  <c r="R414" i="14"/>
  <c r="R415" i="14"/>
  <c r="R416" i="14"/>
  <c r="R417" i="14"/>
  <c r="R418" i="14"/>
  <c r="R419" i="14"/>
  <c r="R420" i="14"/>
  <c r="R421" i="14"/>
  <c r="R422" i="14"/>
  <c r="R423" i="14"/>
  <c r="R424" i="14"/>
  <c r="R425" i="14"/>
  <c r="R426" i="14"/>
  <c r="R427" i="14"/>
  <c r="R428" i="14"/>
  <c r="R429" i="14"/>
  <c r="R430" i="14"/>
  <c r="R431" i="14"/>
  <c r="R432" i="14"/>
  <c r="R433" i="14"/>
  <c r="R434" i="14"/>
  <c r="R435" i="14"/>
  <c r="R436" i="14"/>
  <c r="R437" i="14"/>
  <c r="R438" i="14"/>
  <c r="R439" i="14"/>
  <c r="R440" i="14"/>
  <c r="R441" i="14"/>
  <c r="R442" i="14"/>
  <c r="R443" i="14"/>
  <c r="R444" i="14"/>
  <c r="R445" i="14"/>
  <c r="R446" i="14"/>
  <c r="R447" i="14"/>
  <c r="R448" i="14"/>
  <c r="R449" i="14"/>
  <c r="R450" i="14"/>
  <c r="R451" i="14"/>
  <c r="R452" i="14"/>
  <c r="R453" i="14"/>
  <c r="R454" i="14"/>
  <c r="R455" i="14"/>
  <c r="R456" i="14"/>
  <c r="R457" i="14"/>
  <c r="R458" i="14"/>
  <c r="R459" i="14"/>
  <c r="R460" i="14"/>
  <c r="R461" i="14"/>
  <c r="R462" i="14"/>
  <c r="R463" i="14"/>
  <c r="R464" i="14"/>
  <c r="R465" i="14"/>
  <c r="R466" i="14"/>
  <c r="R467" i="14"/>
  <c r="R468" i="14"/>
  <c r="R469" i="14"/>
  <c r="R470" i="14"/>
  <c r="R471" i="14"/>
  <c r="R472" i="14"/>
  <c r="R473" i="14"/>
  <c r="R474" i="14"/>
  <c r="R475" i="14"/>
  <c r="R476" i="14"/>
  <c r="R477" i="14"/>
  <c r="R478" i="14"/>
  <c r="R479" i="14"/>
  <c r="R480" i="14"/>
  <c r="R481" i="14"/>
  <c r="R482" i="14"/>
  <c r="R483" i="14"/>
  <c r="R484" i="14"/>
  <c r="R485" i="14"/>
  <c r="R486" i="14"/>
  <c r="R487" i="14"/>
  <c r="R488" i="14"/>
  <c r="R489" i="14"/>
  <c r="R490" i="14"/>
  <c r="R491" i="14"/>
  <c r="R492" i="14"/>
  <c r="R493" i="14"/>
  <c r="R494" i="14"/>
  <c r="R495" i="14"/>
  <c r="R496" i="14"/>
  <c r="R497" i="14"/>
  <c r="R498" i="14"/>
  <c r="R499" i="14"/>
  <c r="R500" i="14"/>
  <c r="R501" i="14"/>
  <c r="R502" i="14"/>
  <c r="R503" i="14"/>
  <c r="R504" i="14"/>
  <c r="R505" i="14"/>
  <c r="R506" i="14"/>
  <c r="R507" i="14"/>
  <c r="R508" i="14"/>
  <c r="R509" i="14"/>
  <c r="R510" i="14"/>
  <c r="R511" i="14"/>
  <c r="R512" i="14"/>
  <c r="R513" i="14"/>
  <c r="R514" i="14"/>
  <c r="R515" i="14"/>
  <c r="R516" i="14"/>
  <c r="R517" i="14"/>
  <c r="R518" i="14"/>
  <c r="R519" i="14"/>
  <c r="R520" i="14"/>
  <c r="R521" i="14"/>
  <c r="R522" i="14"/>
  <c r="R523" i="14"/>
  <c r="R524" i="14"/>
  <c r="R525" i="14"/>
  <c r="R526" i="14"/>
  <c r="R527" i="14"/>
  <c r="R528" i="14"/>
  <c r="R529" i="14"/>
  <c r="R530" i="14"/>
  <c r="R531" i="14"/>
  <c r="R532" i="14"/>
  <c r="R533" i="14"/>
  <c r="R534" i="14"/>
  <c r="R535" i="14"/>
  <c r="R536" i="14"/>
  <c r="R537" i="14"/>
  <c r="R538" i="14"/>
  <c r="R539" i="14"/>
  <c r="R540" i="14"/>
  <c r="R541" i="14"/>
  <c r="R542" i="14"/>
  <c r="R543" i="14"/>
  <c r="R544" i="14"/>
  <c r="R545" i="14"/>
  <c r="R546" i="14"/>
  <c r="R547" i="14"/>
  <c r="R548" i="14"/>
  <c r="R549" i="14"/>
  <c r="R550" i="14"/>
  <c r="R551" i="14"/>
  <c r="R552" i="14"/>
  <c r="R553" i="14"/>
  <c r="R554" i="14"/>
  <c r="R555" i="14"/>
  <c r="R556" i="14"/>
  <c r="R557" i="14"/>
  <c r="R558" i="14"/>
  <c r="R559" i="14"/>
  <c r="R560" i="14"/>
  <c r="R561" i="14"/>
  <c r="R562" i="14"/>
  <c r="R563" i="14"/>
  <c r="R564" i="14"/>
  <c r="R565" i="14"/>
  <c r="R566" i="14"/>
  <c r="R567" i="14"/>
  <c r="R568" i="14"/>
  <c r="R569" i="14"/>
  <c r="R570" i="14"/>
  <c r="R571" i="14"/>
  <c r="R572" i="14"/>
  <c r="R573" i="14"/>
  <c r="R574" i="14"/>
  <c r="R575" i="14"/>
  <c r="R576" i="14"/>
  <c r="R577" i="14"/>
  <c r="R578" i="14"/>
  <c r="R579" i="14"/>
  <c r="R580" i="14"/>
  <c r="R581" i="14"/>
  <c r="R582" i="14"/>
  <c r="R583" i="14"/>
  <c r="R584" i="14"/>
  <c r="R585" i="14"/>
  <c r="R586" i="14"/>
  <c r="R587" i="14"/>
  <c r="R588" i="14"/>
  <c r="R589" i="14"/>
  <c r="R590" i="14"/>
  <c r="R591" i="14"/>
  <c r="R592" i="14"/>
  <c r="R593" i="14"/>
  <c r="R594" i="14"/>
  <c r="R595" i="14"/>
  <c r="R596" i="14"/>
  <c r="R597" i="14"/>
  <c r="R598" i="14"/>
  <c r="R599" i="14"/>
  <c r="R600" i="14"/>
  <c r="R601" i="14"/>
  <c r="R602" i="14"/>
  <c r="R603" i="14"/>
  <c r="R604" i="14"/>
  <c r="R605" i="14"/>
  <c r="R606" i="14"/>
  <c r="R607" i="14"/>
  <c r="R608" i="14"/>
  <c r="R609" i="14"/>
  <c r="R610" i="14"/>
  <c r="R611" i="14"/>
  <c r="R612" i="14"/>
  <c r="R613" i="14"/>
  <c r="R614" i="14"/>
  <c r="R615" i="14"/>
  <c r="R616" i="14"/>
  <c r="R617" i="14"/>
  <c r="R618" i="14"/>
  <c r="R619" i="14"/>
  <c r="R620" i="14"/>
  <c r="R621" i="14"/>
  <c r="R622" i="14"/>
  <c r="R623" i="14"/>
  <c r="R624" i="14"/>
  <c r="R625" i="14"/>
  <c r="R626" i="14"/>
  <c r="R627" i="14"/>
  <c r="R628" i="14"/>
  <c r="R629" i="14"/>
  <c r="R630" i="14"/>
  <c r="R631" i="14"/>
  <c r="R632" i="14"/>
  <c r="R633" i="14"/>
  <c r="R2" i="14"/>
  <c r="U632" i="1"/>
  <c r="T632" i="1"/>
  <c r="P632" i="1"/>
  <c r="F632" i="1"/>
  <c r="E632" i="1"/>
  <c r="D632" i="1"/>
  <c r="U631" i="1"/>
  <c r="T631" i="1"/>
  <c r="P631" i="1"/>
  <c r="F631" i="1"/>
  <c r="E631" i="1"/>
  <c r="D631" i="1"/>
  <c r="U630" i="1"/>
  <c r="T630" i="1"/>
  <c r="P630" i="1"/>
  <c r="F630" i="1"/>
  <c r="E630" i="1"/>
  <c r="D630" i="1"/>
  <c r="U629" i="1"/>
  <c r="T629" i="1"/>
  <c r="P629" i="1"/>
  <c r="F629" i="1"/>
  <c r="E629" i="1"/>
  <c r="D629" i="1"/>
  <c r="U628" i="1"/>
  <c r="T628" i="1"/>
  <c r="W628" i="1" s="1"/>
  <c r="P628" i="1"/>
  <c r="F628" i="1"/>
  <c r="E628" i="1"/>
  <c r="D628" i="1"/>
  <c r="U627" i="1"/>
  <c r="T627" i="1"/>
  <c r="P627" i="1"/>
  <c r="F627" i="1"/>
  <c r="E627" i="1"/>
  <c r="D627" i="1"/>
  <c r="U626" i="1"/>
  <c r="T626" i="1"/>
  <c r="P626" i="1"/>
  <c r="F626" i="1"/>
  <c r="E626" i="1"/>
  <c r="D626" i="1"/>
  <c r="W625" i="1"/>
  <c r="U625" i="1"/>
  <c r="T625" i="1"/>
  <c r="V625" i="1" s="1"/>
  <c r="P625" i="1"/>
  <c r="F625" i="1"/>
  <c r="E625" i="1"/>
  <c r="D625" i="1"/>
  <c r="W624" i="1"/>
  <c r="V624" i="1"/>
  <c r="U624" i="1"/>
  <c r="T624" i="1"/>
  <c r="P624" i="1"/>
  <c r="F624" i="1"/>
  <c r="E624" i="1"/>
  <c r="D624" i="1"/>
  <c r="U623" i="1"/>
  <c r="T623" i="1"/>
  <c r="P623" i="1"/>
  <c r="F623" i="1"/>
  <c r="E623" i="1"/>
  <c r="D623" i="1"/>
  <c r="U622" i="1"/>
  <c r="T622" i="1"/>
  <c r="P622" i="1"/>
  <c r="F622" i="1"/>
  <c r="E622" i="1"/>
  <c r="D622" i="1"/>
  <c r="U621" i="1"/>
  <c r="T621" i="1"/>
  <c r="W621" i="1" s="1"/>
  <c r="P621" i="1"/>
  <c r="F621" i="1"/>
  <c r="E621" i="1"/>
  <c r="D621" i="1"/>
  <c r="U620" i="1"/>
  <c r="T620" i="1"/>
  <c r="P620" i="1"/>
  <c r="F620" i="1"/>
  <c r="E620" i="1"/>
  <c r="D620" i="1"/>
  <c r="W619" i="1"/>
  <c r="V619" i="1"/>
  <c r="U619" i="1"/>
  <c r="T619" i="1"/>
  <c r="P619" i="1"/>
  <c r="F619" i="1"/>
  <c r="E619" i="1"/>
  <c r="D619" i="1"/>
  <c r="U618" i="1"/>
  <c r="T618" i="1"/>
  <c r="P618" i="1"/>
  <c r="F618" i="1"/>
  <c r="E618" i="1"/>
  <c r="D618" i="1"/>
  <c r="U617" i="1"/>
  <c r="T617" i="1"/>
  <c r="P617" i="1"/>
  <c r="F617" i="1"/>
  <c r="E617" i="1"/>
  <c r="D617" i="1"/>
  <c r="U616" i="1"/>
  <c r="V616" i="1" s="1"/>
  <c r="T616" i="1"/>
  <c r="W616" i="1" s="1"/>
  <c r="P616" i="1"/>
  <c r="F616" i="1"/>
  <c r="E616" i="1"/>
  <c r="D616" i="1"/>
  <c r="W615" i="1"/>
  <c r="V615" i="1"/>
  <c r="U615" i="1"/>
  <c r="T615" i="1"/>
  <c r="P615" i="1"/>
  <c r="F615" i="1"/>
  <c r="E615" i="1"/>
  <c r="D615" i="1"/>
  <c r="U614" i="1"/>
  <c r="T614" i="1"/>
  <c r="P614" i="1"/>
  <c r="F614" i="1"/>
  <c r="E614" i="1"/>
  <c r="D614" i="1"/>
  <c r="U613" i="1"/>
  <c r="T613" i="1"/>
  <c r="W613" i="1" s="1"/>
  <c r="P613" i="1"/>
  <c r="F613" i="1"/>
  <c r="E613" i="1"/>
  <c r="D613" i="1"/>
  <c r="U612" i="1"/>
  <c r="T612" i="1"/>
  <c r="W612" i="1" s="1"/>
  <c r="P612" i="1"/>
  <c r="F612" i="1"/>
  <c r="E612" i="1"/>
  <c r="D612" i="1"/>
  <c r="U611" i="1"/>
  <c r="T611" i="1"/>
  <c r="P611" i="1"/>
  <c r="F611" i="1"/>
  <c r="E611" i="1"/>
  <c r="D611" i="1"/>
  <c r="W610" i="1"/>
  <c r="V610" i="1"/>
  <c r="U610" i="1"/>
  <c r="T610" i="1"/>
  <c r="P610" i="1"/>
  <c r="F610" i="1"/>
  <c r="E610" i="1"/>
  <c r="D610" i="1"/>
  <c r="U609" i="1"/>
  <c r="T609" i="1"/>
  <c r="P609" i="1"/>
  <c r="F609" i="1"/>
  <c r="E609" i="1"/>
  <c r="D609" i="1"/>
  <c r="U608" i="1"/>
  <c r="T608" i="1"/>
  <c r="P608" i="1"/>
  <c r="F608" i="1"/>
  <c r="E608" i="1"/>
  <c r="D608" i="1"/>
  <c r="U607" i="1"/>
  <c r="T607" i="1"/>
  <c r="V607" i="1" s="1"/>
  <c r="W607" i="1" s="1"/>
  <c r="P607" i="1"/>
  <c r="F607" i="1"/>
  <c r="E607" i="1"/>
  <c r="D607" i="1"/>
  <c r="W606" i="1"/>
  <c r="V606" i="1"/>
  <c r="U606" i="1"/>
  <c r="T606" i="1"/>
  <c r="P606" i="1"/>
  <c r="F606" i="1"/>
  <c r="E606" i="1"/>
  <c r="D606" i="1"/>
  <c r="U605" i="1"/>
  <c r="T605" i="1"/>
  <c r="P605" i="1"/>
  <c r="F605" i="1"/>
  <c r="E605" i="1"/>
  <c r="D605" i="1"/>
  <c r="U604" i="1"/>
  <c r="T604" i="1"/>
  <c r="P604" i="1"/>
  <c r="F604" i="1"/>
  <c r="E604" i="1"/>
  <c r="D604" i="1"/>
  <c r="V603" i="1"/>
  <c r="W603" i="1" s="1"/>
  <c r="U603" i="1"/>
  <c r="T603" i="1"/>
  <c r="P603" i="1"/>
  <c r="F603" i="1"/>
  <c r="E603" i="1"/>
  <c r="D603" i="1"/>
  <c r="U602" i="1"/>
  <c r="T602" i="1"/>
  <c r="P602" i="1"/>
  <c r="F602" i="1"/>
  <c r="E602" i="1"/>
  <c r="D602" i="1"/>
  <c r="W601" i="1"/>
  <c r="V601" i="1"/>
  <c r="U601" i="1"/>
  <c r="T601" i="1"/>
  <c r="P601" i="1"/>
  <c r="F601" i="1"/>
  <c r="E601" i="1"/>
  <c r="D601" i="1"/>
  <c r="U600" i="1"/>
  <c r="T600" i="1"/>
  <c r="P600" i="1"/>
  <c r="F600" i="1"/>
  <c r="E600" i="1"/>
  <c r="D600" i="1"/>
  <c r="U599" i="1"/>
  <c r="T599" i="1"/>
  <c r="P599" i="1"/>
  <c r="F599" i="1"/>
  <c r="E599" i="1"/>
  <c r="D599" i="1"/>
  <c r="V598" i="1"/>
  <c r="U598" i="1"/>
  <c r="T598" i="1"/>
  <c r="W598" i="1" s="1"/>
  <c r="P598" i="1"/>
  <c r="F598" i="1"/>
  <c r="E598" i="1"/>
  <c r="D598" i="1"/>
  <c r="W597" i="1"/>
  <c r="V597" i="1"/>
  <c r="U597" i="1"/>
  <c r="T597" i="1"/>
  <c r="P597" i="1"/>
  <c r="F597" i="1"/>
  <c r="E597" i="1"/>
  <c r="D597" i="1"/>
  <c r="U596" i="1"/>
  <c r="T596" i="1"/>
  <c r="P596" i="1"/>
  <c r="F596" i="1"/>
  <c r="E596" i="1"/>
  <c r="D596" i="1"/>
  <c r="U595" i="1"/>
  <c r="T595" i="1"/>
  <c r="P595" i="1"/>
  <c r="F595" i="1"/>
  <c r="E595" i="1"/>
  <c r="D595" i="1"/>
  <c r="U594" i="1"/>
  <c r="T594" i="1"/>
  <c r="P594" i="1"/>
  <c r="F594" i="1"/>
  <c r="E594" i="1"/>
  <c r="D594" i="1"/>
  <c r="U593" i="1"/>
  <c r="T593" i="1"/>
  <c r="P593" i="1"/>
  <c r="F593" i="1"/>
  <c r="E593" i="1"/>
  <c r="D593" i="1"/>
  <c r="U592" i="1"/>
  <c r="T592" i="1"/>
  <c r="P592" i="1"/>
  <c r="F592" i="1"/>
  <c r="E592" i="1"/>
  <c r="D592" i="1"/>
  <c r="U591" i="1"/>
  <c r="T591" i="1"/>
  <c r="P591" i="1"/>
  <c r="F591" i="1"/>
  <c r="E591" i="1"/>
  <c r="D591" i="1"/>
  <c r="U590" i="1"/>
  <c r="T590" i="1"/>
  <c r="P590" i="1"/>
  <c r="F590" i="1"/>
  <c r="E590" i="1"/>
  <c r="D590" i="1"/>
  <c r="W589" i="1"/>
  <c r="U589" i="1"/>
  <c r="T589" i="1"/>
  <c r="V589" i="1" s="1"/>
  <c r="P589" i="1"/>
  <c r="F589" i="1"/>
  <c r="E589" i="1"/>
  <c r="D589" i="1"/>
  <c r="W588" i="1"/>
  <c r="V588" i="1"/>
  <c r="U588" i="1"/>
  <c r="T588" i="1"/>
  <c r="P588" i="1"/>
  <c r="F588" i="1"/>
  <c r="E588" i="1"/>
  <c r="D588" i="1"/>
  <c r="U587" i="1"/>
  <c r="T587" i="1"/>
  <c r="P587" i="1"/>
  <c r="F587" i="1"/>
  <c r="E587" i="1"/>
  <c r="D587" i="1"/>
  <c r="U586" i="1"/>
  <c r="T586" i="1"/>
  <c r="P586" i="1"/>
  <c r="F586" i="1"/>
  <c r="E586" i="1"/>
  <c r="D586" i="1"/>
  <c r="U585" i="1"/>
  <c r="T585" i="1"/>
  <c r="V585" i="1" s="1"/>
  <c r="P585" i="1"/>
  <c r="F585" i="1"/>
  <c r="E585" i="1"/>
  <c r="D585" i="1"/>
  <c r="U584" i="1"/>
  <c r="T584" i="1"/>
  <c r="P584" i="1"/>
  <c r="F584" i="1"/>
  <c r="E584" i="1"/>
  <c r="D584" i="1"/>
  <c r="V583" i="1"/>
  <c r="W583" i="1" s="1"/>
  <c r="U583" i="1"/>
  <c r="T583" i="1"/>
  <c r="P583" i="1"/>
  <c r="F583" i="1"/>
  <c r="E583" i="1"/>
  <c r="D583" i="1"/>
  <c r="U582" i="1"/>
  <c r="T582" i="1"/>
  <c r="P582" i="1"/>
  <c r="F582" i="1"/>
  <c r="E582" i="1"/>
  <c r="D582" i="1"/>
  <c r="U581" i="1"/>
  <c r="T581" i="1"/>
  <c r="P581" i="1"/>
  <c r="F581" i="1"/>
  <c r="E581" i="1"/>
  <c r="D581" i="1"/>
  <c r="V580" i="1"/>
  <c r="U580" i="1"/>
  <c r="T580" i="1"/>
  <c r="P580" i="1"/>
  <c r="F580" i="1"/>
  <c r="E580" i="1"/>
  <c r="D580" i="1"/>
  <c r="W579" i="1"/>
  <c r="V579" i="1"/>
  <c r="U579" i="1"/>
  <c r="T579" i="1"/>
  <c r="P579" i="1"/>
  <c r="F579" i="1"/>
  <c r="E579" i="1"/>
  <c r="D579" i="1"/>
  <c r="U578" i="1"/>
  <c r="T578" i="1"/>
  <c r="P578" i="1"/>
  <c r="F578" i="1"/>
  <c r="E578" i="1"/>
  <c r="D578" i="1"/>
  <c r="U577" i="1"/>
  <c r="T577" i="1"/>
  <c r="P577" i="1"/>
  <c r="F577" i="1"/>
  <c r="E577" i="1"/>
  <c r="D577" i="1"/>
  <c r="U576" i="1"/>
  <c r="T576" i="1"/>
  <c r="V576" i="1" s="1"/>
  <c r="P576" i="1"/>
  <c r="F576" i="1"/>
  <c r="E576" i="1"/>
  <c r="D576" i="1"/>
  <c r="U575" i="1"/>
  <c r="T575" i="1"/>
  <c r="P575" i="1"/>
  <c r="F575" i="1"/>
  <c r="E575" i="1"/>
  <c r="D575" i="1"/>
  <c r="V574" i="1"/>
  <c r="W574" i="1" s="1"/>
  <c r="U574" i="1"/>
  <c r="T574" i="1"/>
  <c r="P574" i="1"/>
  <c r="F574" i="1"/>
  <c r="E574" i="1"/>
  <c r="D574" i="1"/>
  <c r="U573" i="1"/>
  <c r="T573" i="1"/>
  <c r="P573" i="1"/>
  <c r="F573" i="1"/>
  <c r="E573" i="1"/>
  <c r="D573" i="1"/>
  <c r="U572" i="1"/>
  <c r="T572" i="1"/>
  <c r="P572" i="1"/>
  <c r="F572" i="1"/>
  <c r="E572" i="1"/>
  <c r="D572" i="1"/>
  <c r="U571" i="1"/>
  <c r="T571" i="1"/>
  <c r="P571" i="1"/>
  <c r="F571" i="1"/>
  <c r="E571" i="1"/>
  <c r="D571" i="1"/>
  <c r="W570" i="1"/>
  <c r="V570" i="1"/>
  <c r="U570" i="1"/>
  <c r="T570" i="1"/>
  <c r="P570" i="1"/>
  <c r="F570" i="1"/>
  <c r="E570" i="1"/>
  <c r="D570" i="1"/>
  <c r="U569" i="1"/>
  <c r="T569" i="1"/>
  <c r="P569" i="1"/>
  <c r="F569" i="1"/>
  <c r="E569" i="1"/>
  <c r="D569" i="1"/>
  <c r="U568" i="1"/>
  <c r="T568" i="1"/>
  <c r="P568" i="1"/>
  <c r="F568" i="1"/>
  <c r="E568" i="1"/>
  <c r="D568" i="1"/>
  <c r="U567" i="1"/>
  <c r="V567" i="1" s="1"/>
  <c r="W567" i="1" s="1"/>
  <c r="T567" i="1"/>
  <c r="P567" i="1"/>
  <c r="F567" i="1"/>
  <c r="E567" i="1"/>
  <c r="D567" i="1"/>
  <c r="U566" i="1"/>
  <c r="T566" i="1"/>
  <c r="P566" i="1"/>
  <c r="F566" i="1"/>
  <c r="E566" i="1"/>
  <c r="D566" i="1"/>
  <c r="W565" i="1"/>
  <c r="V565" i="1"/>
  <c r="U565" i="1"/>
  <c r="T565" i="1"/>
  <c r="P565" i="1"/>
  <c r="F565" i="1"/>
  <c r="E565" i="1"/>
  <c r="D565" i="1"/>
  <c r="U564" i="1"/>
  <c r="T564" i="1"/>
  <c r="P564" i="1"/>
  <c r="F564" i="1"/>
  <c r="E564" i="1"/>
  <c r="D564" i="1"/>
  <c r="U563" i="1"/>
  <c r="T563" i="1"/>
  <c r="P563" i="1"/>
  <c r="F563" i="1"/>
  <c r="E563" i="1"/>
  <c r="D563" i="1"/>
  <c r="U562" i="1"/>
  <c r="T562" i="1"/>
  <c r="P562" i="1"/>
  <c r="F562" i="1"/>
  <c r="E562" i="1"/>
  <c r="D562" i="1"/>
  <c r="U561" i="1"/>
  <c r="T561" i="1"/>
  <c r="P561" i="1"/>
  <c r="F561" i="1"/>
  <c r="E561" i="1"/>
  <c r="D561" i="1"/>
  <c r="U560" i="1"/>
  <c r="T560" i="1"/>
  <c r="P560" i="1"/>
  <c r="F560" i="1"/>
  <c r="E560" i="1"/>
  <c r="D560" i="1"/>
  <c r="U559" i="1"/>
  <c r="T559" i="1"/>
  <c r="P559" i="1"/>
  <c r="F559" i="1"/>
  <c r="E559" i="1"/>
  <c r="D559" i="1"/>
  <c r="U558" i="1"/>
  <c r="T558" i="1"/>
  <c r="P558" i="1"/>
  <c r="F558" i="1"/>
  <c r="E558" i="1"/>
  <c r="D558" i="1"/>
  <c r="U557" i="1"/>
  <c r="T557" i="1"/>
  <c r="P557" i="1"/>
  <c r="F557" i="1"/>
  <c r="E557" i="1"/>
  <c r="D557" i="1"/>
  <c r="U556" i="1"/>
  <c r="T556" i="1"/>
  <c r="P556" i="1"/>
  <c r="F556" i="1"/>
  <c r="E556" i="1"/>
  <c r="D556" i="1"/>
  <c r="U555" i="1"/>
  <c r="T555" i="1"/>
  <c r="P555" i="1"/>
  <c r="F555" i="1"/>
  <c r="E555" i="1"/>
  <c r="D555" i="1"/>
  <c r="U554" i="1"/>
  <c r="T554" i="1"/>
  <c r="P554" i="1"/>
  <c r="F554" i="1"/>
  <c r="E554" i="1"/>
  <c r="D554" i="1"/>
  <c r="W553" i="1"/>
  <c r="U553" i="1"/>
  <c r="T553" i="1"/>
  <c r="V553" i="1" s="1"/>
  <c r="P553" i="1"/>
  <c r="F553" i="1"/>
  <c r="E553" i="1"/>
  <c r="D553" i="1"/>
  <c r="V552" i="1"/>
  <c r="W552" i="1" s="1"/>
  <c r="U552" i="1"/>
  <c r="T552" i="1"/>
  <c r="P552" i="1"/>
  <c r="F552" i="1"/>
  <c r="E552" i="1"/>
  <c r="D552" i="1"/>
  <c r="U551" i="1"/>
  <c r="T551" i="1"/>
  <c r="P551" i="1"/>
  <c r="F551" i="1"/>
  <c r="E551" i="1"/>
  <c r="D551" i="1"/>
  <c r="U550" i="1"/>
  <c r="T550" i="1"/>
  <c r="P550" i="1"/>
  <c r="F550" i="1"/>
  <c r="E550" i="1"/>
  <c r="D550" i="1"/>
  <c r="U549" i="1"/>
  <c r="T549" i="1"/>
  <c r="P549" i="1"/>
  <c r="F549" i="1"/>
  <c r="E549" i="1"/>
  <c r="D549" i="1"/>
  <c r="U548" i="1"/>
  <c r="T548" i="1"/>
  <c r="P548" i="1"/>
  <c r="F548" i="1"/>
  <c r="E548" i="1"/>
  <c r="D548" i="1"/>
  <c r="V547" i="1"/>
  <c r="W547" i="1" s="1"/>
  <c r="U547" i="1"/>
  <c r="T547" i="1"/>
  <c r="P547" i="1"/>
  <c r="F547" i="1"/>
  <c r="E547" i="1"/>
  <c r="D547" i="1"/>
  <c r="U546" i="1"/>
  <c r="T546" i="1"/>
  <c r="P546" i="1"/>
  <c r="F546" i="1"/>
  <c r="E546" i="1"/>
  <c r="D546" i="1"/>
  <c r="U545" i="1"/>
  <c r="T545" i="1"/>
  <c r="P545" i="1"/>
  <c r="F545" i="1"/>
  <c r="E545" i="1"/>
  <c r="D545" i="1"/>
  <c r="U544" i="1"/>
  <c r="V544" i="1" s="1"/>
  <c r="T544" i="1"/>
  <c r="P544" i="1"/>
  <c r="F544" i="1"/>
  <c r="E544" i="1"/>
  <c r="D544" i="1"/>
  <c r="W543" i="1"/>
  <c r="V543" i="1"/>
  <c r="U543" i="1"/>
  <c r="T543" i="1"/>
  <c r="P543" i="1"/>
  <c r="F543" i="1"/>
  <c r="E543" i="1"/>
  <c r="D543" i="1"/>
  <c r="U542" i="1"/>
  <c r="T542" i="1"/>
  <c r="P542" i="1"/>
  <c r="F542" i="1"/>
  <c r="E542" i="1"/>
  <c r="D542" i="1"/>
  <c r="U541" i="1"/>
  <c r="T541" i="1"/>
  <c r="P541" i="1"/>
  <c r="F541" i="1"/>
  <c r="E541" i="1"/>
  <c r="D541" i="1"/>
  <c r="U540" i="1"/>
  <c r="T540" i="1"/>
  <c r="P540" i="1"/>
  <c r="F540" i="1"/>
  <c r="E540" i="1"/>
  <c r="D540" i="1"/>
  <c r="U539" i="1"/>
  <c r="T539" i="1"/>
  <c r="P539" i="1"/>
  <c r="F539" i="1"/>
  <c r="E539" i="1"/>
  <c r="D539" i="1"/>
  <c r="W538" i="1"/>
  <c r="V538" i="1"/>
  <c r="U538" i="1"/>
  <c r="T538" i="1"/>
  <c r="P538" i="1"/>
  <c r="F538" i="1"/>
  <c r="E538" i="1"/>
  <c r="D538" i="1"/>
  <c r="U537" i="1"/>
  <c r="T537" i="1"/>
  <c r="P537" i="1"/>
  <c r="F537" i="1"/>
  <c r="E537" i="1"/>
  <c r="D537" i="1"/>
  <c r="U536" i="1"/>
  <c r="T536" i="1"/>
  <c r="P536" i="1"/>
  <c r="F536" i="1"/>
  <c r="E536" i="1"/>
  <c r="D536" i="1"/>
  <c r="U535" i="1"/>
  <c r="T535" i="1"/>
  <c r="V535" i="1" s="1"/>
  <c r="W535" i="1" s="1"/>
  <c r="P535" i="1"/>
  <c r="F535" i="1"/>
  <c r="E535" i="1"/>
  <c r="D535" i="1"/>
  <c r="W534" i="1"/>
  <c r="V534" i="1"/>
  <c r="U534" i="1"/>
  <c r="T534" i="1"/>
  <c r="P534" i="1"/>
  <c r="F534" i="1"/>
  <c r="E534" i="1"/>
  <c r="D534" i="1"/>
  <c r="U533" i="1"/>
  <c r="T533" i="1"/>
  <c r="P533" i="1"/>
  <c r="F533" i="1"/>
  <c r="E533" i="1"/>
  <c r="D533" i="1"/>
  <c r="U532" i="1"/>
  <c r="T532" i="1"/>
  <c r="P532" i="1"/>
  <c r="F532" i="1"/>
  <c r="E532" i="1"/>
  <c r="D532" i="1"/>
  <c r="W531" i="1"/>
  <c r="U531" i="1"/>
  <c r="V531" i="1" s="1"/>
  <c r="T531" i="1"/>
  <c r="P531" i="1"/>
  <c r="F531" i="1"/>
  <c r="E531" i="1"/>
  <c r="D531" i="1"/>
  <c r="U530" i="1"/>
  <c r="T530" i="1"/>
  <c r="P530" i="1"/>
  <c r="F530" i="1"/>
  <c r="E530" i="1"/>
  <c r="D530" i="1"/>
  <c r="W529" i="1"/>
  <c r="V529" i="1"/>
  <c r="U529" i="1"/>
  <c r="T529" i="1"/>
  <c r="P529" i="1"/>
  <c r="F529" i="1"/>
  <c r="E529" i="1"/>
  <c r="D529" i="1"/>
  <c r="U528" i="1"/>
  <c r="T528" i="1"/>
  <c r="P528" i="1"/>
  <c r="F528" i="1"/>
  <c r="E528" i="1"/>
  <c r="D528" i="1"/>
  <c r="U527" i="1"/>
  <c r="T527" i="1"/>
  <c r="P527" i="1"/>
  <c r="F527" i="1"/>
  <c r="E527" i="1"/>
  <c r="D527" i="1"/>
  <c r="V526" i="1"/>
  <c r="U526" i="1"/>
  <c r="T526" i="1"/>
  <c r="W526" i="1" s="1"/>
  <c r="P526" i="1"/>
  <c r="F526" i="1"/>
  <c r="E526" i="1"/>
  <c r="D526" i="1"/>
  <c r="V525" i="1"/>
  <c r="W525" i="1" s="1"/>
  <c r="U525" i="1"/>
  <c r="T525" i="1"/>
  <c r="P525" i="1"/>
  <c r="F525" i="1"/>
  <c r="E525" i="1"/>
  <c r="D525" i="1"/>
  <c r="U524" i="1"/>
  <c r="T524" i="1"/>
  <c r="P524" i="1"/>
  <c r="F524" i="1"/>
  <c r="E524" i="1"/>
  <c r="D524" i="1"/>
  <c r="U523" i="1"/>
  <c r="T523" i="1"/>
  <c r="P523" i="1"/>
  <c r="F523" i="1"/>
  <c r="E523" i="1"/>
  <c r="D523" i="1"/>
  <c r="U522" i="1"/>
  <c r="T522" i="1"/>
  <c r="P522" i="1"/>
  <c r="F522" i="1"/>
  <c r="E522" i="1"/>
  <c r="D522" i="1"/>
  <c r="U521" i="1"/>
  <c r="T521" i="1"/>
  <c r="P521" i="1"/>
  <c r="F521" i="1"/>
  <c r="E521" i="1"/>
  <c r="D521" i="1"/>
  <c r="U520" i="1"/>
  <c r="T520" i="1"/>
  <c r="P520" i="1"/>
  <c r="F520" i="1"/>
  <c r="E520" i="1"/>
  <c r="D520" i="1"/>
  <c r="U519" i="1"/>
  <c r="T519" i="1"/>
  <c r="P519" i="1"/>
  <c r="F519" i="1"/>
  <c r="E519" i="1"/>
  <c r="D519" i="1"/>
  <c r="U518" i="1"/>
  <c r="T518" i="1"/>
  <c r="P518" i="1"/>
  <c r="F518" i="1"/>
  <c r="E518" i="1"/>
  <c r="D518" i="1"/>
  <c r="W517" i="1"/>
  <c r="U517" i="1"/>
  <c r="T517" i="1"/>
  <c r="V517" i="1" s="1"/>
  <c r="P517" i="1"/>
  <c r="F517" i="1"/>
  <c r="E517" i="1"/>
  <c r="D517" i="1"/>
  <c r="V516" i="1"/>
  <c r="W516" i="1" s="1"/>
  <c r="U516" i="1"/>
  <c r="T516" i="1"/>
  <c r="P516" i="1"/>
  <c r="F516" i="1"/>
  <c r="E516" i="1"/>
  <c r="D516" i="1"/>
  <c r="U515" i="1"/>
  <c r="T515" i="1"/>
  <c r="P515" i="1"/>
  <c r="F515" i="1"/>
  <c r="E515" i="1"/>
  <c r="D515" i="1"/>
  <c r="U514" i="1"/>
  <c r="T514" i="1"/>
  <c r="P514" i="1"/>
  <c r="F514" i="1"/>
  <c r="E514" i="1"/>
  <c r="D514" i="1"/>
  <c r="V513" i="1"/>
  <c r="U513" i="1"/>
  <c r="T513" i="1"/>
  <c r="P513" i="1"/>
  <c r="F513" i="1"/>
  <c r="E513" i="1"/>
  <c r="D513" i="1"/>
  <c r="U512" i="1"/>
  <c r="T512" i="1"/>
  <c r="P512" i="1"/>
  <c r="F512" i="1"/>
  <c r="E512" i="1"/>
  <c r="D512" i="1"/>
  <c r="U511" i="1"/>
  <c r="T511" i="1"/>
  <c r="V511" i="1" s="1"/>
  <c r="P511" i="1"/>
  <c r="F511" i="1"/>
  <c r="E511" i="1"/>
  <c r="D511" i="1"/>
  <c r="U510" i="1"/>
  <c r="T510" i="1"/>
  <c r="P510" i="1"/>
  <c r="F510" i="1"/>
  <c r="E510" i="1"/>
  <c r="D510" i="1"/>
  <c r="U509" i="1"/>
  <c r="T509" i="1"/>
  <c r="P509" i="1"/>
  <c r="F509" i="1"/>
  <c r="E509" i="1"/>
  <c r="D509" i="1"/>
  <c r="W508" i="1"/>
  <c r="V508" i="1"/>
  <c r="U508" i="1"/>
  <c r="T508" i="1"/>
  <c r="P508" i="1"/>
  <c r="F508" i="1"/>
  <c r="E508" i="1"/>
  <c r="D508" i="1"/>
  <c r="U507" i="1"/>
  <c r="T507" i="1"/>
  <c r="P507" i="1"/>
  <c r="F507" i="1"/>
  <c r="E507" i="1"/>
  <c r="D507" i="1"/>
  <c r="U506" i="1"/>
  <c r="T506" i="1"/>
  <c r="P506" i="1"/>
  <c r="F506" i="1"/>
  <c r="E506" i="1"/>
  <c r="D506" i="1"/>
  <c r="U505" i="1"/>
  <c r="V505" i="1" s="1"/>
  <c r="W505" i="1" s="1"/>
  <c r="T505" i="1"/>
  <c r="P505" i="1"/>
  <c r="F505" i="1"/>
  <c r="E505" i="1"/>
  <c r="D505" i="1"/>
  <c r="U504" i="1"/>
  <c r="T504" i="1"/>
  <c r="P504" i="1"/>
  <c r="F504" i="1"/>
  <c r="E504" i="1"/>
  <c r="D504" i="1"/>
  <c r="U503" i="1"/>
  <c r="T503" i="1"/>
  <c r="P503" i="1"/>
  <c r="F503" i="1"/>
  <c r="E503" i="1"/>
  <c r="D503" i="1"/>
  <c r="W502" i="1"/>
  <c r="U502" i="1"/>
  <c r="T502" i="1"/>
  <c r="V502" i="1" s="1"/>
  <c r="P502" i="1"/>
  <c r="F502" i="1"/>
  <c r="E502" i="1"/>
  <c r="D502" i="1"/>
  <c r="U501" i="1"/>
  <c r="T501" i="1"/>
  <c r="P501" i="1"/>
  <c r="F501" i="1"/>
  <c r="E501" i="1"/>
  <c r="D501" i="1"/>
  <c r="U500" i="1"/>
  <c r="T500" i="1"/>
  <c r="P500" i="1"/>
  <c r="F500" i="1"/>
  <c r="E500" i="1"/>
  <c r="D500" i="1"/>
  <c r="U499" i="1"/>
  <c r="V499" i="1" s="1"/>
  <c r="W499" i="1" s="1"/>
  <c r="T499" i="1"/>
  <c r="P499" i="1"/>
  <c r="F499" i="1"/>
  <c r="E499" i="1"/>
  <c r="D499" i="1"/>
  <c r="U498" i="1"/>
  <c r="V498" i="1" s="1"/>
  <c r="W498" i="1" s="1"/>
  <c r="T498" i="1"/>
  <c r="P498" i="1"/>
  <c r="F498" i="1"/>
  <c r="E498" i="1"/>
  <c r="D498" i="1"/>
  <c r="U497" i="1"/>
  <c r="T497" i="1"/>
  <c r="P497" i="1"/>
  <c r="F497" i="1"/>
  <c r="E497" i="1"/>
  <c r="D497" i="1"/>
  <c r="U496" i="1"/>
  <c r="T496" i="1"/>
  <c r="P496" i="1"/>
  <c r="F496" i="1"/>
  <c r="E496" i="1"/>
  <c r="D496" i="1"/>
  <c r="U495" i="1"/>
  <c r="T495" i="1"/>
  <c r="P495" i="1"/>
  <c r="F495" i="1"/>
  <c r="E495" i="1"/>
  <c r="D495" i="1"/>
  <c r="U494" i="1"/>
  <c r="T494" i="1"/>
  <c r="P494" i="1"/>
  <c r="F494" i="1"/>
  <c r="E494" i="1"/>
  <c r="D494" i="1"/>
  <c r="W493" i="1"/>
  <c r="U493" i="1"/>
  <c r="T493" i="1"/>
  <c r="V493" i="1" s="1"/>
  <c r="P493" i="1"/>
  <c r="F493" i="1"/>
  <c r="E493" i="1"/>
  <c r="D493" i="1"/>
  <c r="U492" i="1"/>
  <c r="T492" i="1"/>
  <c r="P492" i="1"/>
  <c r="F492" i="1"/>
  <c r="E492" i="1"/>
  <c r="D492" i="1"/>
  <c r="U491" i="1"/>
  <c r="T491" i="1"/>
  <c r="P491" i="1"/>
  <c r="F491" i="1"/>
  <c r="E491" i="1"/>
  <c r="D491" i="1"/>
  <c r="U490" i="1"/>
  <c r="T490" i="1"/>
  <c r="V490" i="1" s="1"/>
  <c r="W490" i="1" s="1"/>
  <c r="P490" i="1"/>
  <c r="F490" i="1"/>
  <c r="E490" i="1"/>
  <c r="D490" i="1"/>
  <c r="U489" i="1"/>
  <c r="T489" i="1"/>
  <c r="P489" i="1"/>
  <c r="F489" i="1"/>
  <c r="E489" i="1"/>
  <c r="D489" i="1"/>
  <c r="U488" i="1"/>
  <c r="T488" i="1"/>
  <c r="P488" i="1"/>
  <c r="F488" i="1"/>
  <c r="E488" i="1"/>
  <c r="D488" i="1"/>
  <c r="V487" i="1"/>
  <c r="W487" i="1" s="1"/>
  <c r="U487" i="1"/>
  <c r="T487" i="1"/>
  <c r="P487" i="1"/>
  <c r="F487" i="1"/>
  <c r="E487" i="1"/>
  <c r="D487" i="1"/>
  <c r="W486" i="1"/>
  <c r="U486" i="1"/>
  <c r="T486" i="1"/>
  <c r="V486" i="1" s="1"/>
  <c r="P486" i="1"/>
  <c r="F486" i="1"/>
  <c r="E486" i="1"/>
  <c r="D486" i="1"/>
  <c r="U485" i="1"/>
  <c r="T485" i="1"/>
  <c r="P485" i="1"/>
  <c r="F485" i="1"/>
  <c r="E485" i="1"/>
  <c r="D485" i="1"/>
  <c r="W484" i="1"/>
  <c r="V484" i="1"/>
  <c r="U484" i="1"/>
  <c r="T484" i="1"/>
  <c r="P484" i="1"/>
  <c r="F484" i="1"/>
  <c r="E484" i="1"/>
  <c r="D484" i="1"/>
  <c r="V483" i="1"/>
  <c r="W483" i="1" s="1"/>
  <c r="U483" i="1"/>
  <c r="T483" i="1"/>
  <c r="P483" i="1"/>
  <c r="F483" i="1"/>
  <c r="E483" i="1"/>
  <c r="D483" i="1"/>
  <c r="U482" i="1"/>
  <c r="T482" i="1"/>
  <c r="P482" i="1"/>
  <c r="F482" i="1"/>
  <c r="E482" i="1"/>
  <c r="D482" i="1"/>
  <c r="V481" i="1"/>
  <c r="U481" i="1"/>
  <c r="T481" i="1"/>
  <c r="P481" i="1"/>
  <c r="F481" i="1"/>
  <c r="E481" i="1"/>
  <c r="D481" i="1"/>
  <c r="V480" i="1"/>
  <c r="W480" i="1" s="1"/>
  <c r="U480" i="1"/>
  <c r="T480" i="1"/>
  <c r="P480" i="1"/>
  <c r="F480" i="1"/>
  <c r="E480" i="1"/>
  <c r="D480" i="1"/>
  <c r="W479" i="1"/>
  <c r="U479" i="1"/>
  <c r="T479" i="1"/>
  <c r="V479" i="1" s="1"/>
  <c r="P479" i="1"/>
  <c r="F479" i="1"/>
  <c r="E479" i="1"/>
  <c r="D479" i="1"/>
  <c r="U478" i="1"/>
  <c r="T478" i="1"/>
  <c r="P478" i="1"/>
  <c r="F478" i="1"/>
  <c r="E478" i="1"/>
  <c r="D478" i="1"/>
  <c r="U477" i="1"/>
  <c r="T477" i="1"/>
  <c r="P477" i="1"/>
  <c r="F477" i="1"/>
  <c r="E477" i="1"/>
  <c r="D477" i="1"/>
  <c r="U476" i="1"/>
  <c r="T476" i="1"/>
  <c r="P476" i="1"/>
  <c r="F476" i="1"/>
  <c r="E476" i="1"/>
  <c r="D476" i="1"/>
  <c r="W475" i="1"/>
  <c r="U475" i="1"/>
  <c r="T475" i="1"/>
  <c r="V475" i="1" s="1"/>
  <c r="P475" i="1"/>
  <c r="F475" i="1"/>
  <c r="E475" i="1"/>
  <c r="D475" i="1"/>
  <c r="W474" i="1"/>
  <c r="V474" i="1"/>
  <c r="U474" i="1"/>
  <c r="T474" i="1"/>
  <c r="P474" i="1"/>
  <c r="F474" i="1"/>
  <c r="E474" i="1"/>
  <c r="D474" i="1"/>
  <c r="W473" i="1"/>
  <c r="U473" i="1"/>
  <c r="T473" i="1"/>
  <c r="V473" i="1" s="1"/>
  <c r="P473" i="1"/>
  <c r="F473" i="1"/>
  <c r="E473" i="1"/>
  <c r="D473" i="1"/>
  <c r="W472" i="1"/>
  <c r="V472" i="1"/>
  <c r="U472" i="1"/>
  <c r="T472" i="1"/>
  <c r="P472" i="1"/>
  <c r="F472" i="1"/>
  <c r="E472" i="1"/>
  <c r="D472" i="1"/>
  <c r="U471" i="1"/>
  <c r="T471" i="1"/>
  <c r="P471" i="1"/>
  <c r="F471" i="1"/>
  <c r="E471" i="1"/>
  <c r="D471" i="1"/>
  <c r="W470" i="1"/>
  <c r="U470" i="1"/>
  <c r="T470" i="1"/>
  <c r="V470" i="1" s="1"/>
  <c r="P470" i="1"/>
  <c r="F470" i="1"/>
  <c r="E470" i="1"/>
  <c r="D470" i="1"/>
  <c r="W469" i="1"/>
  <c r="U469" i="1"/>
  <c r="V469" i="1" s="1"/>
  <c r="T469" i="1"/>
  <c r="P469" i="1"/>
  <c r="F469" i="1"/>
  <c r="E469" i="1"/>
  <c r="D469" i="1"/>
  <c r="W468" i="1"/>
  <c r="U468" i="1"/>
  <c r="T468" i="1"/>
  <c r="V468" i="1" s="1"/>
  <c r="P468" i="1"/>
  <c r="F468" i="1"/>
  <c r="E468" i="1"/>
  <c r="D468" i="1"/>
  <c r="U467" i="1"/>
  <c r="T467" i="1"/>
  <c r="P467" i="1"/>
  <c r="F467" i="1"/>
  <c r="E467" i="1"/>
  <c r="D467" i="1"/>
  <c r="U466" i="1"/>
  <c r="T466" i="1"/>
  <c r="P466" i="1"/>
  <c r="F466" i="1"/>
  <c r="E466" i="1"/>
  <c r="D466" i="1"/>
  <c r="U465" i="1"/>
  <c r="T465" i="1"/>
  <c r="P465" i="1"/>
  <c r="F465" i="1"/>
  <c r="E465" i="1"/>
  <c r="D465" i="1"/>
  <c r="U464" i="1"/>
  <c r="T464" i="1"/>
  <c r="P464" i="1"/>
  <c r="F464" i="1"/>
  <c r="E464" i="1"/>
  <c r="D464" i="1"/>
  <c r="V463" i="1"/>
  <c r="W463" i="1" s="1"/>
  <c r="U463" i="1"/>
  <c r="T463" i="1"/>
  <c r="P463" i="1"/>
  <c r="F463" i="1"/>
  <c r="E463" i="1"/>
  <c r="D463" i="1"/>
  <c r="U462" i="1"/>
  <c r="V462" i="1" s="1"/>
  <c r="W462" i="1" s="1"/>
  <c r="T462" i="1"/>
  <c r="P462" i="1"/>
  <c r="F462" i="1"/>
  <c r="E462" i="1"/>
  <c r="D462" i="1"/>
  <c r="U461" i="1"/>
  <c r="T461" i="1"/>
  <c r="P461" i="1"/>
  <c r="F461" i="1"/>
  <c r="E461" i="1"/>
  <c r="D461" i="1"/>
  <c r="U460" i="1"/>
  <c r="T460" i="1"/>
  <c r="V460" i="1" s="1"/>
  <c r="P460" i="1"/>
  <c r="F460" i="1"/>
  <c r="E460" i="1"/>
  <c r="D460" i="1"/>
  <c r="U459" i="1"/>
  <c r="T459" i="1"/>
  <c r="P459" i="1"/>
  <c r="F459" i="1"/>
  <c r="E459" i="1"/>
  <c r="D459" i="1"/>
  <c r="U458" i="1"/>
  <c r="T458" i="1"/>
  <c r="P458" i="1"/>
  <c r="F458" i="1"/>
  <c r="E458" i="1"/>
  <c r="D458" i="1"/>
  <c r="U457" i="1"/>
  <c r="T457" i="1"/>
  <c r="P457" i="1"/>
  <c r="F457" i="1"/>
  <c r="E457" i="1"/>
  <c r="D457" i="1"/>
  <c r="V456" i="1"/>
  <c r="U456" i="1"/>
  <c r="T456" i="1"/>
  <c r="P456" i="1"/>
  <c r="F456" i="1"/>
  <c r="E456" i="1"/>
  <c r="D456" i="1"/>
  <c r="U455" i="1"/>
  <c r="T455" i="1"/>
  <c r="P455" i="1"/>
  <c r="F455" i="1"/>
  <c r="E455" i="1"/>
  <c r="D455" i="1"/>
  <c r="U454" i="1"/>
  <c r="T454" i="1"/>
  <c r="P454" i="1"/>
  <c r="F454" i="1"/>
  <c r="E454" i="1"/>
  <c r="D454" i="1"/>
  <c r="U453" i="1"/>
  <c r="T453" i="1"/>
  <c r="P453" i="1"/>
  <c r="F453" i="1"/>
  <c r="E453" i="1"/>
  <c r="D453" i="1"/>
  <c r="U452" i="1"/>
  <c r="T452" i="1"/>
  <c r="P452" i="1"/>
  <c r="F452" i="1"/>
  <c r="E452" i="1"/>
  <c r="D452" i="1"/>
  <c r="U451" i="1"/>
  <c r="V451" i="1" s="1"/>
  <c r="W451" i="1" s="1"/>
  <c r="T451" i="1"/>
  <c r="P451" i="1"/>
  <c r="F451" i="1"/>
  <c r="E451" i="1"/>
  <c r="D451" i="1"/>
  <c r="W450" i="1"/>
  <c r="U450" i="1"/>
  <c r="T450" i="1"/>
  <c r="V450" i="1" s="1"/>
  <c r="P450" i="1"/>
  <c r="F450" i="1"/>
  <c r="E450" i="1"/>
  <c r="D450" i="1"/>
  <c r="U449" i="1"/>
  <c r="T449" i="1"/>
  <c r="P449" i="1"/>
  <c r="F449" i="1"/>
  <c r="E449" i="1"/>
  <c r="D449" i="1"/>
  <c r="U448" i="1"/>
  <c r="T448" i="1"/>
  <c r="P448" i="1"/>
  <c r="F448" i="1"/>
  <c r="E448" i="1"/>
  <c r="D448" i="1"/>
  <c r="V447" i="1"/>
  <c r="W447" i="1" s="1"/>
  <c r="U447" i="1"/>
  <c r="T447" i="1"/>
  <c r="P447" i="1"/>
  <c r="F447" i="1"/>
  <c r="E447" i="1"/>
  <c r="D447" i="1"/>
  <c r="U446" i="1"/>
  <c r="T446" i="1"/>
  <c r="P446" i="1"/>
  <c r="F446" i="1"/>
  <c r="E446" i="1"/>
  <c r="D446" i="1"/>
  <c r="U445" i="1"/>
  <c r="T445" i="1"/>
  <c r="P445" i="1"/>
  <c r="F445" i="1"/>
  <c r="E445" i="1"/>
  <c r="D445" i="1"/>
  <c r="V444" i="1"/>
  <c r="W444" i="1" s="1"/>
  <c r="U444" i="1"/>
  <c r="T444" i="1"/>
  <c r="P444" i="1"/>
  <c r="F444" i="1"/>
  <c r="E444" i="1"/>
  <c r="D444" i="1"/>
  <c r="W443" i="1"/>
  <c r="U443" i="1"/>
  <c r="T443" i="1"/>
  <c r="V443" i="1" s="1"/>
  <c r="P443" i="1"/>
  <c r="F443" i="1"/>
  <c r="E443" i="1"/>
  <c r="D443" i="1"/>
  <c r="U442" i="1"/>
  <c r="T442" i="1"/>
  <c r="P442" i="1"/>
  <c r="F442" i="1"/>
  <c r="E442" i="1"/>
  <c r="D442" i="1"/>
  <c r="U441" i="1"/>
  <c r="V441" i="1" s="1"/>
  <c r="W441" i="1" s="1"/>
  <c r="T441" i="1"/>
  <c r="P441" i="1"/>
  <c r="F441" i="1"/>
  <c r="E441" i="1"/>
  <c r="D441" i="1"/>
  <c r="U440" i="1"/>
  <c r="T440" i="1"/>
  <c r="P440" i="1"/>
  <c r="F440" i="1"/>
  <c r="E440" i="1"/>
  <c r="D440" i="1"/>
  <c r="U439" i="1"/>
  <c r="T439" i="1"/>
  <c r="V439" i="1" s="1"/>
  <c r="P439" i="1"/>
  <c r="F439" i="1"/>
  <c r="E439" i="1"/>
  <c r="D439" i="1"/>
  <c r="V438" i="1"/>
  <c r="U438" i="1"/>
  <c r="T438" i="1"/>
  <c r="P438" i="1"/>
  <c r="F438" i="1"/>
  <c r="E438" i="1"/>
  <c r="D438" i="1"/>
  <c r="U437" i="1"/>
  <c r="T437" i="1"/>
  <c r="P437" i="1"/>
  <c r="F437" i="1"/>
  <c r="E437" i="1"/>
  <c r="D437" i="1"/>
  <c r="W436" i="1"/>
  <c r="V436" i="1"/>
  <c r="U436" i="1"/>
  <c r="T436" i="1"/>
  <c r="P436" i="1"/>
  <c r="F436" i="1"/>
  <c r="E436" i="1"/>
  <c r="D436" i="1"/>
  <c r="U435" i="1"/>
  <c r="T435" i="1"/>
  <c r="P435" i="1"/>
  <c r="F435" i="1"/>
  <c r="E435" i="1"/>
  <c r="D435" i="1"/>
  <c r="U434" i="1"/>
  <c r="T434" i="1"/>
  <c r="P434" i="1"/>
  <c r="F434" i="1"/>
  <c r="E434" i="1"/>
  <c r="D434" i="1"/>
  <c r="V433" i="1"/>
  <c r="W433" i="1" s="1"/>
  <c r="U433" i="1"/>
  <c r="T433" i="1"/>
  <c r="P433" i="1"/>
  <c r="F433" i="1"/>
  <c r="E433" i="1"/>
  <c r="D433" i="1"/>
  <c r="U432" i="1"/>
  <c r="T432" i="1"/>
  <c r="P432" i="1"/>
  <c r="F432" i="1"/>
  <c r="E432" i="1"/>
  <c r="D432" i="1"/>
  <c r="U431" i="1"/>
  <c r="T431" i="1"/>
  <c r="P431" i="1"/>
  <c r="F431" i="1"/>
  <c r="E431" i="1"/>
  <c r="D431" i="1"/>
  <c r="U430" i="1"/>
  <c r="T430" i="1"/>
  <c r="V430" i="1" s="1"/>
  <c r="W430" i="1" s="1"/>
  <c r="P430" i="1"/>
  <c r="F430" i="1"/>
  <c r="E430" i="1"/>
  <c r="D430" i="1"/>
  <c r="U429" i="1"/>
  <c r="T429" i="1"/>
  <c r="P429" i="1"/>
  <c r="F429" i="1"/>
  <c r="E429" i="1"/>
  <c r="D429" i="1"/>
  <c r="U428" i="1"/>
  <c r="T428" i="1"/>
  <c r="P428" i="1"/>
  <c r="F428" i="1"/>
  <c r="E428" i="1"/>
  <c r="D428" i="1"/>
  <c r="U427" i="1"/>
  <c r="T427" i="1"/>
  <c r="P427" i="1"/>
  <c r="F427" i="1"/>
  <c r="E427" i="1"/>
  <c r="D427" i="1"/>
  <c r="W426" i="1"/>
  <c r="U426" i="1"/>
  <c r="V426" i="1" s="1"/>
  <c r="T426" i="1"/>
  <c r="P426" i="1"/>
  <c r="F426" i="1"/>
  <c r="E426" i="1"/>
  <c r="D426" i="1"/>
  <c r="U425" i="1"/>
  <c r="T425" i="1"/>
  <c r="P425" i="1"/>
  <c r="F425" i="1"/>
  <c r="E425" i="1"/>
  <c r="D425" i="1"/>
  <c r="U424" i="1"/>
  <c r="T424" i="1"/>
  <c r="P424" i="1"/>
  <c r="F424" i="1"/>
  <c r="E424" i="1"/>
  <c r="D424" i="1"/>
  <c r="U423" i="1"/>
  <c r="V423" i="1" s="1"/>
  <c r="W423" i="1" s="1"/>
  <c r="T423" i="1"/>
  <c r="P423" i="1"/>
  <c r="F423" i="1"/>
  <c r="E423" i="1"/>
  <c r="D423" i="1"/>
  <c r="U422" i="1"/>
  <c r="T422" i="1"/>
  <c r="P422" i="1"/>
  <c r="F422" i="1"/>
  <c r="E422" i="1"/>
  <c r="D422" i="1"/>
  <c r="U421" i="1"/>
  <c r="T421" i="1"/>
  <c r="P421" i="1"/>
  <c r="F421" i="1"/>
  <c r="E421" i="1"/>
  <c r="D421" i="1"/>
  <c r="U420" i="1"/>
  <c r="T420" i="1"/>
  <c r="P420" i="1"/>
  <c r="F420" i="1"/>
  <c r="E420" i="1"/>
  <c r="D420" i="1"/>
  <c r="U419" i="1"/>
  <c r="T419" i="1"/>
  <c r="P419" i="1"/>
  <c r="F419" i="1"/>
  <c r="E419" i="1"/>
  <c r="D419" i="1"/>
  <c r="V418" i="1"/>
  <c r="W418" i="1" s="1"/>
  <c r="U418" i="1"/>
  <c r="T418" i="1"/>
  <c r="P418" i="1"/>
  <c r="F418" i="1"/>
  <c r="E418" i="1"/>
  <c r="D418" i="1"/>
  <c r="U417" i="1"/>
  <c r="T417" i="1"/>
  <c r="P417" i="1"/>
  <c r="F417" i="1"/>
  <c r="E417" i="1"/>
  <c r="D417" i="1"/>
  <c r="W416" i="1"/>
  <c r="U416" i="1"/>
  <c r="T416" i="1"/>
  <c r="V416" i="1" s="1"/>
  <c r="P416" i="1"/>
  <c r="F416" i="1"/>
  <c r="E416" i="1"/>
  <c r="D416" i="1"/>
  <c r="U415" i="1"/>
  <c r="V415" i="1" s="1"/>
  <c r="W415" i="1" s="1"/>
  <c r="T415" i="1"/>
  <c r="P415" i="1"/>
  <c r="F415" i="1"/>
  <c r="E415" i="1"/>
  <c r="D415" i="1"/>
  <c r="U414" i="1"/>
  <c r="T414" i="1"/>
  <c r="P414" i="1"/>
  <c r="F414" i="1"/>
  <c r="E414" i="1"/>
  <c r="D414" i="1"/>
  <c r="U413" i="1"/>
  <c r="T413" i="1"/>
  <c r="P413" i="1"/>
  <c r="F413" i="1"/>
  <c r="E413" i="1"/>
  <c r="D413" i="1"/>
  <c r="W412" i="1"/>
  <c r="U412" i="1"/>
  <c r="V412" i="1" s="1"/>
  <c r="T412" i="1"/>
  <c r="P412" i="1"/>
  <c r="F412" i="1"/>
  <c r="E412" i="1"/>
  <c r="D412" i="1"/>
  <c r="V411" i="1"/>
  <c r="W411" i="1" s="1"/>
  <c r="U411" i="1"/>
  <c r="T411" i="1"/>
  <c r="P411" i="1"/>
  <c r="F411" i="1"/>
  <c r="E411" i="1"/>
  <c r="D411" i="1"/>
  <c r="U410" i="1"/>
  <c r="T410" i="1"/>
  <c r="P410" i="1"/>
  <c r="F410" i="1"/>
  <c r="E410" i="1"/>
  <c r="D410" i="1"/>
  <c r="U409" i="1"/>
  <c r="T409" i="1"/>
  <c r="P409" i="1"/>
  <c r="F409" i="1"/>
  <c r="E409" i="1"/>
  <c r="D409" i="1"/>
  <c r="U408" i="1"/>
  <c r="V408" i="1" s="1"/>
  <c r="W408" i="1" s="1"/>
  <c r="T408" i="1"/>
  <c r="P408" i="1"/>
  <c r="F408" i="1"/>
  <c r="E408" i="1"/>
  <c r="D408" i="1"/>
  <c r="U407" i="1"/>
  <c r="T407" i="1"/>
  <c r="V407" i="1" s="1"/>
  <c r="P407" i="1"/>
  <c r="F407" i="1"/>
  <c r="E407" i="1"/>
  <c r="D407" i="1"/>
  <c r="U406" i="1"/>
  <c r="T406" i="1"/>
  <c r="P406" i="1"/>
  <c r="F406" i="1"/>
  <c r="E406" i="1"/>
  <c r="D406" i="1"/>
  <c r="U405" i="1"/>
  <c r="V405" i="1" s="1"/>
  <c r="W405" i="1" s="1"/>
  <c r="T405" i="1"/>
  <c r="P405" i="1"/>
  <c r="F405" i="1"/>
  <c r="E405" i="1"/>
  <c r="D405" i="1"/>
  <c r="U404" i="1"/>
  <c r="T404" i="1"/>
  <c r="P404" i="1"/>
  <c r="F404" i="1"/>
  <c r="E404" i="1"/>
  <c r="D404" i="1"/>
  <c r="U403" i="1"/>
  <c r="T403" i="1"/>
  <c r="P403" i="1"/>
  <c r="F403" i="1"/>
  <c r="E403" i="1"/>
  <c r="D403" i="1"/>
  <c r="U402" i="1"/>
  <c r="T402" i="1"/>
  <c r="P402" i="1"/>
  <c r="F402" i="1"/>
  <c r="E402" i="1"/>
  <c r="D402" i="1"/>
  <c r="U401" i="1"/>
  <c r="T401" i="1"/>
  <c r="P401" i="1"/>
  <c r="F401" i="1"/>
  <c r="E401" i="1"/>
  <c r="D401" i="1"/>
  <c r="V400" i="1"/>
  <c r="W400" i="1" s="1"/>
  <c r="U400" i="1"/>
  <c r="T400" i="1"/>
  <c r="P400" i="1"/>
  <c r="F400" i="1"/>
  <c r="E400" i="1"/>
  <c r="D400" i="1"/>
  <c r="U399" i="1"/>
  <c r="V399" i="1" s="1"/>
  <c r="T399" i="1"/>
  <c r="P399" i="1"/>
  <c r="F399" i="1"/>
  <c r="E399" i="1"/>
  <c r="D399" i="1"/>
  <c r="U398" i="1"/>
  <c r="T398" i="1"/>
  <c r="P398" i="1"/>
  <c r="F398" i="1"/>
  <c r="E398" i="1"/>
  <c r="D398" i="1"/>
  <c r="U397" i="1"/>
  <c r="V397" i="1" s="1"/>
  <c r="W397" i="1" s="1"/>
  <c r="T397" i="1"/>
  <c r="P397" i="1"/>
  <c r="F397" i="1"/>
  <c r="E397" i="1"/>
  <c r="D397" i="1"/>
  <c r="U396" i="1"/>
  <c r="T396" i="1"/>
  <c r="P396" i="1"/>
  <c r="F396" i="1"/>
  <c r="E396" i="1"/>
  <c r="D396" i="1"/>
  <c r="U395" i="1"/>
  <c r="T395" i="1"/>
  <c r="P395" i="1"/>
  <c r="F395" i="1"/>
  <c r="E395" i="1"/>
  <c r="D395" i="1"/>
  <c r="U394" i="1"/>
  <c r="T394" i="1"/>
  <c r="P394" i="1"/>
  <c r="F394" i="1"/>
  <c r="E394" i="1"/>
  <c r="D394" i="1"/>
  <c r="W393" i="1"/>
  <c r="V393" i="1"/>
  <c r="U393" i="1"/>
  <c r="T393" i="1"/>
  <c r="P393" i="1"/>
  <c r="F393" i="1"/>
  <c r="E393" i="1"/>
  <c r="D393" i="1"/>
  <c r="U392" i="1"/>
  <c r="T392" i="1"/>
  <c r="P392" i="1"/>
  <c r="F392" i="1"/>
  <c r="E392" i="1"/>
  <c r="D392" i="1"/>
  <c r="U391" i="1"/>
  <c r="T391" i="1"/>
  <c r="P391" i="1"/>
  <c r="F391" i="1"/>
  <c r="E391" i="1"/>
  <c r="D391" i="1"/>
  <c r="W390" i="1"/>
  <c r="V390" i="1"/>
  <c r="U390" i="1"/>
  <c r="T390" i="1"/>
  <c r="P390" i="1"/>
  <c r="F390" i="1"/>
  <c r="E390" i="1"/>
  <c r="D390" i="1"/>
  <c r="U389" i="1"/>
  <c r="T389" i="1"/>
  <c r="P389" i="1"/>
  <c r="F389" i="1"/>
  <c r="E389" i="1"/>
  <c r="D389" i="1"/>
  <c r="V388" i="1"/>
  <c r="U388" i="1"/>
  <c r="T388" i="1"/>
  <c r="P388" i="1"/>
  <c r="F388" i="1"/>
  <c r="E388" i="1"/>
  <c r="D388" i="1"/>
  <c r="U387" i="1"/>
  <c r="V387" i="1" s="1"/>
  <c r="W387" i="1" s="1"/>
  <c r="T387" i="1"/>
  <c r="P387" i="1"/>
  <c r="F387" i="1"/>
  <c r="E387" i="1"/>
  <c r="D387" i="1"/>
  <c r="U386" i="1"/>
  <c r="T386" i="1"/>
  <c r="P386" i="1"/>
  <c r="F386" i="1"/>
  <c r="E386" i="1"/>
  <c r="D386" i="1"/>
  <c r="U385" i="1"/>
  <c r="T385" i="1"/>
  <c r="P385" i="1"/>
  <c r="F385" i="1"/>
  <c r="E385" i="1"/>
  <c r="D385" i="1"/>
  <c r="U384" i="1"/>
  <c r="T384" i="1"/>
  <c r="P384" i="1"/>
  <c r="F384" i="1"/>
  <c r="E384" i="1"/>
  <c r="D384" i="1"/>
  <c r="W383" i="1"/>
  <c r="U383" i="1"/>
  <c r="T383" i="1"/>
  <c r="V383" i="1" s="1"/>
  <c r="P383" i="1"/>
  <c r="F383" i="1"/>
  <c r="E383" i="1"/>
  <c r="D383" i="1"/>
  <c r="U382" i="1"/>
  <c r="T382" i="1"/>
  <c r="P382" i="1"/>
  <c r="F382" i="1"/>
  <c r="E382" i="1"/>
  <c r="D382" i="1"/>
  <c r="U381" i="1"/>
  <c r="T381" i="1"/>
  <c r="P381" i="1"/>
  <c r="F381" i="1"/>
  <c r="E381" i="1"/>
  <c r="D381" i="1"/>
  <c r="U380" i="1"/>
  <c r="T380" i="1"/>
  <c r="P380" i="1"/>
  <c r="F380" i="1"/>
  <c r="E380" i="1"/>
  <c r="D380" i="1"/>
  <c r="U379" i="1"/>
  <c r="V379" i="1" s="1"/>
  <c r="W379" i="1" s="1"/>
  <c r="T379" i="1"/>
  <c r="P379" i="1"/>
  <c r="F379" i="1"/>
  <c r="E379" i="1"/>
  <c r="D379" i="1"/>
  <c r="W378" i="1"/>
  <c r="U378" i="1"/>
  <c r="T378" i="1"/>
  <c r="V378" i="1" s="1"/>
  <c r="P378" i="1"/>
  <c r="F378" i="1"/>
  <c r="E378" i="1"/>
  <c r="D378" i="1"/>
  <c r="U377" i="1"/>
  <c r="T377" i="1"/>
  <c r="P377" i="1"/>
  <c r="F377" i="1"/>
  <c r="E377" i="1"/>
  <c r="D377" i="1"/>
  <c r="U376" i="1"/>
  <c r="V376" i="1" s="1"/>
  <c r="W376" i="1" s="1"/>
  <c r="T376" i="1"/>
  <c r="P376" i="1"/>
  <c r="F376" i="1"/>
  <c r="E376" i="1"/>
  <c r="D376" i="1"/>
  <c r="W375" i="1"/>
  <c r="U375" i="1"/>
  <c r="T375" i="1"/>
  <c r="V375" i="1" s="1"/>
  <c r="P375" i="1"/>
  <c r="F375" i="1"/>
  <c r="E375" i="1"/>
  <c r="D375" i="1"/>
  <c r="U374" i="1"/>
  <c r="V374" i="1" s="1"/>
  <c r="T374" i="1"/>
  <c r="P374" i="1"/>
  <c r="F374" i="1"/>
  <c r="E374" i="1"/>
  <c r="D374" i="1"/>
  <c r="U373" i="1"/>
  <c r="V373" i="1" s="1"/>
  <c r="W373" i="1" s="1"/>
  <c r="T373" i="1"/>
  <c r="P373" i="1"/>
  <c r="F373" i="1"/>
  <c r="E373" i="1"/>
  <c r="D373" i="1"/>
  <c r="W372" i="1"/>
  <c r="U372" i="1"/>
  <c r="T372" i="1"/>
  <c r="V372" i="1" s="1"/>
  <c r="P372" i="1"/>
  <c r="F372" i="1"/>
  <c r="E372" i="1"/>
  <c r="D372" i="1"/>
  <c r="U371" i="1"/>
  <c r="V371" i="1" s="1"/>
  <c r="W371" i="1" s="1"/>
  <c r="T371" i="1"/>
  <c r="P371" i="1"/>
  <c r="F371" i="1"/>
  <c r="E371" i="1"/>
  <c r="D371" i="1"/>
  <c r="V370" i="1"/>
  <c r="W370" i="1" s="1"/>
  <c r="U370" i="1"/>
  <c r="T370" i="1"/>
  <c r="P370" i="1"/>
  <c r="F370" i="1"/>
  <c r="E370" i="1"/>
  <c r="D370" i="1"/>
  <c r="U369" i="1"/>
  <c r="T369" i="1"/>
  <c r="P369" i="1"/>
  <c r="F369" i="1"/>
  <c r="E369" i="1"/>
  <c r="D369" i="1"/>
  <c r="U368" i="1"/>
  <c r="T368" i="1"/>
  <c r="P368" i="1"/>
  <c r="F368" i="1"/>
  <c r="E368" i="1"/>
  <c r="D368" i="1"/>
  <c r="U367" i="1"/>
  <c r="V367" i="1" s="1"/>
  <c r="W367" i="1" s="1"/>
  <c r="T367" i="1"/>
  <c r="P367" i="1"/>
  <c r="F367" i="1"/>
  <c r="E367" i="1"/>
  <c r="D367" i="1"/>
  <c r="W366" i="1"/>
  <c r="U366" i="1"/>
  <c r="T366" i="1"/>
  <c r="V366" i="1" s="1"/>
  <c r="P366" i="1"/>
  <c r="F366" i="1"/>
  <c r="E366" i="1"/>
  <c r="D366" i="1"/>
  <c r="V365" i="1"/>
  <c r="U365" i="1"/>
  <c r="T365" i="1"/>
  <c r="P365" i="1"/>
  <c r="F365" i="1"/>
  <c r="E365" i="1"/>
  <c r="D365" i="1"/>
  <c r="V364" i="1"/>
  <c r="W364" i="1" s="1"/>
  <c r="U364" i="1"/>
  <c r="T364" i="1"/>
  <c r="P364" i="1"/>
  <c r="F364" i="1"/>
  <c r="E364" i="1"/>
  <c r="D364" i="1"/>
  <c r="U363" i="1"/>
  <c r="T363" i="1"/>
  <c r="V363" i="1" s="1"/>
  <c r="P363" i="1"/>
  <c r="F363" i="1"/>
  <c r="E363" i="1"/>
  <c r="D363" i="1"/>
  <c r="U362" i="1"/>
  <c r="T362" i="1"/>
  <c r="P362" i="1"/>
  <c r="F362" i="1"/>
  <c r="E362" i="1"/>
  <c r="D362" i="1"/>
  <c r="W361" i="1"/>
  <c r="V361" i="1"/>
  <c r="U361" i="1"/>
  <c r="T361" i="1"/>
  <c r="P361" i="1"/>
  <c r="F361" i="1"/>
  <c r="E361" i="1"/>
  <c r="D361" i="1"/>
  <c r="W360" i="1"/>
  <c r="U360" i="1"/>
  <c r="T360" i="1"/>
  <c r="V360" i="1" s="1"/>
  <c r="P360" i="1"/>
  <c r="F360" i="1"/>
  <c r="E360" i="1"/>
  <c r="D360" i="1"/>
  <c r="U359" i="1"/>
  <c r="T359" i="1"/>
  <c r="P359" i="1"/>
  <c r="F359" i="1"/>
  <c r="E359" i="1"/>
  <c r="D359" i="1"/>
  <c r="U358" i="1"/>
  <c r="V358" i="1" s="1"/>
  <c r="W358" i="1" s="1"/>
  <c r="T358" i="1"/>
  <c r="P358" i="1"/>
  <c r="F358" i="1"/>
  <c r="E358" i="1"/>
  <c r="D358" i="1"/>
  <c r="W357" i="1"/>
  <c r="U357" i="1"/>
  <c r="T357" i="1"/>
  <c r="V357" i="1" s="1"/>
  <c r="P357" i="1"/>
  <c r="F357" i="1"/>
  <c r="E357" i="1"/>
  <c r="D357" i="1"/>
  <c r="W356" i="1"/>
  <c r="U356" i="1"/>
  <c r="T356" i="1"/>
  <c r="V356" i="1" s="1"/>
  <c r="P356" i="1"/>
  <c r="F356" i="1"/>
  <c r="E356" i="1"/>
  <c r="D356" i="1"/>
  <c r="V355" i="1"/>
  <c r="W355" i="1" s="1"/>
  <c r="U355" i="1"/>
  <c r="T355" i="1"/>
  <c r="P355" i="1"/>
  <c r="F355" i="1"/>
  <c r="E355" i="1"/>
  <c r="D355" i="1"/>
  <c r="U354" i="1"/>
  <c r="T354" i="1"/>
  <c r="P354" i="1"/>
  <c r="F354" i="1"/>
  <c r="E354" i="1"/>
  <c r="D354" i="1"/>
  <c r="V353" i="1"/>
  <c r="W353" i="1" s="1"/>
  <c r="U353" i="1"/>
  <c r="T353" i="1"/>
  <c r="P353" i="1"/>
  <c r="F353" i="1"/>
  <c r="E353" i="1"/>
  <c r="D353" i="1"/>
  <c r="V352" i="1"/>
  <c r="W352" i="1" s="1"/>
  <c r="U352" i="1"/>
  <c r="T352" i="1"/>
  <c r="P352" i="1"/>
  <c r="F352" i="1"/>
  <c r="E352" i="1"/>
  <c r="D352" i="1"/>
  <c r="U351" i="1"/>
  <c r="T351" i="1"/>
  <c r="P351" i="1"/>
  <c r="F351" i="1"/>
  <c r="E351" i="1"/>
  <c r="D351" i="1"/>
  <c r="W350" i="1"/>
  <c r="V350" i="1"/>
  <c r="U350" i="1"/>
  <c r="T350" i="1"/>
  <c r="P350" i="1"/>
  <c r="F350" i="1"/>
  <c r="E350" i="1"/>
  <c r="D350" i="1"/>
  <c r="V349" i="1"/>
  <c r="W349" i="1" s="1"/>
  <c r="U349" i="1"/>
  <c r="T349" i="1"/>
  <c r="P349" i="1"/>
  <c r="F349" i="1"/>
  <c r="E349" i="1"/>
  <c r="D349" i="1"/>
  <c r="U348" i="1"/>
  <c r="T348" i="1"/>
  <c r="P348" i="1"/>
  <c r="F348" i="1"/>
  <c r="E348" i="1"/>
  <c r="D348" i="1"/>
  <c r="V347" i="1"/>
  <c r="W347" i="1" s="1"/>
  <c r="U347" i="1"/>
  <c r="T347" i="1"/>
  <c r="P347" i="1"/>
  <c r="F347" i="1"/>
  <c r="E347" i="1"/>
  <c r="D347" i="1"/>
  <c r="U346" i="1"/>
  <c r="V346" i="1" s="1"/>
  <c r="W346" i="1" s="1"/>
  <c r="T346" i="1"/>
  <c r="P346" i="1"/>
  <c r="F346" i="1"/>
  <c r="E346" i="1"/>
  <c r="D346" i="1"/>
  <c r="U345" i="1"/>
  <c r="T345" i="1"/>
  <c r="V345" i="1" s="1"/>
  <c r="P345" i="1"/>
  <c r="F345" i="1"/>
  <c r="E345" i="1"/>
  <c r="D345" i="1"/>
  <c r="W344" i="1"/>
  <c r="V344" i="1"/>
  <c r="U344" i="1"/>
  <c r="T344" i="1"/>
  <c r="P344" i="1"/>
  <c r="F344" i="1"/>
  <c r="E344" i="1"/>
  <c r="D344" i="1"/>
  <c r="W343" i="1"/>
  <c r="V343" i="1"/>
  <c r="U343" i="1"/>
  <c r="T343" i="1"/>
  <c r="P343" i="1"/>
  <c r="F343" i="1"/>
  <c r="E343" i="1"/>
  <c r="D343" i="1"/>
  <c r="W342" i="1"/>
  <c r="U342" i="1"/>
  <c r="T342" i="1"/>
  <c r="V342" i="1" s="1"/>
  <c r="P342" i="1"/>
  <c r="F342" i="1"/>
  <c r="E342" i="1"/>
  <c r="D342" i="1"/>
  <c r="U341" i="1"/>
  <c r="T341" i="1"/>
  <c r="P341" i="1"/>
  <c r="F341" i="1"/>
  <c r="E341" i="1"/>
  <c r="D341" i="1"/>
  <c r="U340" i="1"/>
  <c r="V340" i="1" s="1"/>
  <c r="W340" i="1" s="1"/>
  <c r="T340" i="1"/>
  <c r="P340" i="1"/>
  <c r="F340" i="1"/>
  <c r="E340" i="1"/>
  <c r="D340" i="1"/>
  <c r="W339" i="1"/>
  <c r="U339" i="1"/>
  <c r="T339" i="1"/>
  <c r="V339" i="1" s="1"/>
  <c r="P339" i="1"/>
  <c r="F339" i="1"/>
  <c r="E339" i="1"/>
  <c r="D339" i="1"/>
  <c r="U338" i="1"/>
  <c r="T338" i="1"/>
  <c r="P338" i="1"/>
  <c r="F338" i="1"/>
  <c r="E338" i="1"/>
  <c r="D338" i="1"/>
  <c r="U337" i="1"/>
  <c r="V337" i="1" s="1"/>
  <c r="W337" i="1" s="1"/>
  <c r="T337" i="1"/>
  <c r="P337" i="1"/>
  <c r="F337" i="1"/>
  <c r="E337" i="1"/>
  <c r="D337" i="1"/>
  <c r="U336" i="1"/>
  <c r="T336" i="1"/>
  <c r="P336" i="1"/>
  <c r="F336" i="1"/>
  <c r="E336" i="1"/>
  <c r="D336" i="1"/>
  <c r="U335" i="1"/>
  <c r="T335" i="1"/>
  <c r="P335" i="1"/>
  <c r="F335" i="1"/>
  <c r="E335" i="1"/>
  <c r="D335" i="1"/>
  <c r="V334" i="1"/>
  <c r="W334" i="1" s="1"/>
  <c r="U334" i="1"/>
  <c r="T334" i="1"/>
  <c r="P334" i="1"/>
  <c r="F334" i="1"/>
  <c r="E334" i="1"/>
  <c r="D334" i="1"/>
  <c r="W333" i="1"/>
  <c r="U333" i="1"/>
  <c r="T333" i="1"/>
  <c r="V333" i="1" s="1"/>
  <c r="P333" i="1"/>
  <c r="F333" i="1"/>
  <c r="E333" i="1"/>
  <c r="D333" i="1"/>
  <c r="U332" i="1"/>
  <c r="T332" i="1"/>
  <c r="V332" i="1" s="1"/>
  <c r="W332" i="1" s="1"/>
  <c r="P332" i="1"/>
  <c r="F332" i="1"/>
  <c r="E332" i="1"/>
  <c r="D332" i="1"/>
  <c r="U331" i="1"/>
  <c r="V331" i="1" s="1"/>
  <c r="W331" i="1" s="1"/>
  <c r="T331" i="1"/>
  <c r="P331" i="1"/>
  <c r="F331" i="1"/>
  <c r="E331" i="1"/>
  <c r="D331" i="1"/>
  <c r="U330" i="1"/>
  <c r="T330" i="1"/>
  <c r="V330" i="1" s="1"/>
  <c r="P330" i="1"/>
  <c r="F330" i="1"/>
  <c r="E330" i="1"/>
  <c r="D330" i="1"/>
  <c r="V329" i="1"/>
  <c r="U329" i="1"/>
  <c r="T329" i="1"/>
  <c r="P329" i="1"/>
  <c r="F329" i="1"/>
  <c r="E329" i="1"/>
  <c r="D329" i="1"/>
  <c r="W328" i="1"/>
  <c r="V328" i="1"/>
  <c r="U328" i="1"/>
  <c r="T328" i="1"/>
  <c r="P328" i="1"/>
  <c r="F328" i="1"/>
  <c r="E328" i="1"/>
  <c r="D328" i="1"/>
  <c r="U327" i="1"/>
  <c r="T327" i="1"/>
  <c r="V327" i="1" s="1"/>
  <c r="P327" i="1"/>
  <c r="F327" i="1"/>
  <c r="E327" i="1"/>
  <c r="D327" i="1"/>
  <c r="U326" i="1"/>
  <c r="T326" i="1"/>
  <c r="P326" i="1"/>
  <c r="F326" i="1"/>
  <c r="E326" i="1"/>
  <c r="D326" i="1"/>
  <c r="U325" i="1"/>
  <c r="V325" i="1" s="1"/>
  <c r="W325" i="1" s="1"/>
  <c r="T325" i="1"/>
  <c r="P325" i="1"/>
  <c r="F325" i="1"/>
  <c r="E325" i="1"/>
  <c r="D325" i="1"/>
  <c r="U324" i="1"/>
  <c r="T324" i="1"/>
  <c r="V324" i="1" s="1"/>
  <c r="P324" i="1"/>
  <c r="F324" i="1"/>
  <c r="E324" i="1"/>
  <c r="D324" i="1"/>
  <c r="U323" i="1"/>
  <c r="T323" i="1"/>
  <c r="P323" i="1"/>
  <c r="F323" i="1"/>
  <c r="E323" i="1"/>
  <c r="D323" i="1"/>
  <c r="V322" i="1"/>
  <c r="W322" i="1" s="1"/>
  <c r="U322" i="1"/>
  <c r="T322" i="1"/>
  <c r="P322" i="1"/>
  <c r="F322" i="1"/>
  <c r="E322" i="1"/>
  <c r="D322" i="1"/>
  <c r="U321" i="1"/>
  <c r="T321" i="1"/>
  <c r="P321" i="1"/>
  <c r="F321" i="1"/>
  <c r="E321" i="1"/>
  <c r="D321" i="1"/>
  <c r="U320" i="1"/>
  <c r="T320" i="1"/>
  <c r="V320" i="1" s="1"/>
  <c r="W320" i="1" s="1"/>
  <c r="P320" i="1"/>
  <c r="F320" i="1"/>
  <c r="E320" i="1"/>
  <c r="D320" i="1"/>
  <c r="U319" i="1"/>
  <c r="V319" i="1" s="1"/>
  <c r="W319" i="1" s="1"/>
  <c r="T319" i="1"/>
  <c r="P319" i="1"/>
  <c r="F319" i="1"/>
  <c r="E319" i="1"/>
  <c r="D319" i="1"/>
  <c r="W318" i="1"/>
  <c r="U318" i="1"/>
  <c r="T318" i="1"/>
  <c r="V318" i="1" s="1"/>
  <c r="P318" i="1"/>
  <c r="F318" i="1"/>
  <c r="E318" i="1"/>
  <c r="D318" i="1"/>
  <c r="W317" i="1"/>
  <c r="V317" i="1"/>
  <c r="U317" i="1"/>
  <c r="T317" i="1"/>
  <c r="P317" i="1"/>
  <c r="F317" i="1"/>
  <c r="E317" i="1"/>
  <c r="D317" i="1"/>
  <c r="U316" i="1"/>
  <c r="V316" i="1" s="1"/>
  <c r="W316" i="1" s="1"/>
  <c r="T316" i="1"/>
  <c r="P316" i="1"/>
  <c r="F316" i="1"/>
  <c r="E316" i="1"/>
  <c r="D316" i="1"/>
  <c r="U315" i="1"/>
  <c r="T315" i="1"/>
  <c r="P315" i="1"/>
  <c r="F315" i="1"/>
  <c r="E315" i="1"/>
  <c r="D315" i="1"/>
  <c r="V314" i="1"/>
  <c r="W314" i="1" s="1"/>
  <c r="U314" i="1"/>
  <c r="T314" i="1"/>
  <c r="P314" i="1"/>
  <c r="F314" i="1"/>
  <c r="E314" i="1"/>
  <c r="D314" i="1"/>
  <c r="U313" i="1"/>
  <c r="V313" i="1" s="1"/>
  <c r="W313" i="1" s="1"/>
  <c r="T313" i="1"/>
  <c r="P313" i="1"/>
  <c r="F313" i="1"/>
  <c r="E313" i="1"/>
  <c r="D313" i="1"/>
  <c r="U312" i="1"/>
  <c r="T312" i="1"/>
  <c r="P312" i="1"/>
  <c r="F312" i="1"/>
  <c r="E312" i="1"/>
  <c r="D312" i="1"/>
  <c r="U311" i="1"/>
  <c r="T311" i="1"/>
  <c r="V311" i="1" s="1"/>
  <c r="P311" i="1"/>
  <c r="F311" i="1"/>
  <c r="E311" i="1"/>
  <c r="D311" i="1"/>
  <c r="W310" i="1"/>
  <c r="V310" i="1"/>
  <c r="U310" i="1"/>
  <c r="T310" i="1"/>
  <c r="P310" i="1"/>
  <c r="F310" i="1"/>
  <c r="E310" i="1"/>
  <c r="D310" i="1"/>
  <c r="U309" i="1"/>
  <c r="T309" i="1"/>
  <c r="P309" i="1"/>
  <c r="F309" i="1"/>
  <c r="E309" i="1"/>
  <c r="D309" i="1"/>
  <c r="U308" i="1"/>
  <c r="T308" i="1"/>
  <c r="P308" i="1"/>
  <c r="F308" i="1"/>
  <c r="E308" i="1"/>
  <c r="D308" i="1"/>
  <c r="U307" i="1"/>
  <c r="V307" i="1" s="1"/>
  <c r="W307" i="1" s="1"/>
  <c r="T307" i="1"/>
  <c r="P307" i="1"/>
  <c r="F307" i="1"/>
  <c r="E307" i="1"/>
  <c r="D307" i="1"/>
  <c r="W306" i="1"/>
  <c r="U306" i="1"/>
  <c r="T306" i="1"/>
  <c r="V306" i="1" s="1"/>
  <c r="P306" i="1"/>
  <c r="F306" i="1"/>
  <c r="E306" i="1"/>
  <c r="D306" i="1"/>
  <c r="U305" i="1"/>
  <c r="T305" i="1"/>
  <c r="P305" i="1"/>
  <c r="F305" i="1"/>
  <c r="E305" i="1"/>
  <c r="D305" i="1"/>
  <c r="V304" i="1"/>
  <c r="W304" i="1" s="1"/>
  <c r="U304" i="1"/>
  <c r="T304" i="1"/>
  <c r="P304" i="1"/>
  <c r="F304" i="1"/>
  <c r="E304" i="1"/>
  <c r="D304" i="1"/>
  <c r="U303" i="1"/>
  <c r="T303" i="1"/>
  <c r="P303" i="1"/>
  <c r="F303" i="1"/>
  <c r="E303" i="1"/>
  <c r="D303" i="1"/>
  <c r="V302" i="1"/>
  <c r="U302" i="1"/>
  <c r="T302" i="1"/>
  <c r="W302" i="1" s="1"/>
  <c r="P302" i="1"/>
  <c r="F302" i="1"/>
  <c r="E302" i="1"/>
  <c r="D302" i="1"/>
  <c r="U301" i="1"/>
  <c r="V301" i="1" s="1"/>
  <c r="W301" i="1" s="1"/>
  <c r="T301" i="1"/>
  <c r="P301" i="1"/>
  <c r="F301" i="1"/>
  <c r="E301" i="1"/>
  <c r="D301" i="1"/>
  <c r="U300" i="1"/>
  <c r="T300" i="1"/>
  <c r="P300" i="1"/>
  <c r="F300" i="1"/>
  <c r="E300" i="1"/>
  <c r="D300" i="1"/>
  <c r="U299" i="1"/>
  <c r="T299" i="1"/>
  <c r="V299" i="1" s="1"/>
  <c r="W299" i="1" s="1"/>
  <c r="P299" i="1"/>
  <c r="F299" i="1"/>
  <c r="E299" i="1"/>
  <c r="D299" i="1"/>
  <c r="V298" i="1"/>
  <c r="W298" i="1" s="1"/>
  <c r="U298" i="1"/>
  <c r="T298" i="1"/>
  <c r="P298" i="1"/>
  <c r="F298" i="1"/>
  <c r="E298" i="1"/>
  <c r="D298" i="1"/>
  <c r="U297" i="1"/>
  <c r="T297" i="1"/>
  <c r="P297" i="1"/>
  <c r="F297" i="1"/>
  <c r="E297" i="1"/>
  <c r="D297" i="1"/>
  <c r="W296" i="1"/>
  <c r="V296" i="1"/>
  <c r="U296" i="1"/>
  <c r="T296" i="1"/>
  <c r="P296" i="1"/>
  <c r="F296" i="1"/>
  <c r="E296" i="1"/>
  <c r="D296" i="1"/>
  <c r="W295" i="1"/>
  <c r="U295" i="1"/>
  <c r="V295" i="1" s="1"/>
  <c r="T295" i="1"/>
  <c r="P295" i="1"/>
  <c r="F295" i="1"/>
  <c r="E295" i="1"/>
  <c r="D295" i="1"/>
  <c r="U294" i="1"/>
  <c r="T294" i="1"/>
  <c r="V294" i="1" s="1"/>
  <c r="P294" i="1"/>
  <c r="F294" i="1"/>
  <c r="E294" i="1"/>
  <c r="D294" i="1"/>
  <c r="U293" i="1"/>
  <c r="T293" i="1"/>
  <c r="V293" i="1" s="1"/>
  <c r="P293" i="1"/>
  <c r="F293" i="1"/>
  <c r="E293" i="1"/>
  <c r="D293" i="1"/>
  <c r="V292" i="1"/>
  <c r="W292" i="1" s="1"/>
  <c r="U292" i="1"/>
  <c r="T292" i="1"/>
  <c r="P292" i="1"/>
  <c r="F292" i="1"/>
  <c r="E292" i="1"/>
  <c r="D292" i="1"/>
  <c r="U291" i="1"/>
  <c r="T291" i="1"/>
  <c r="P291" i="1"/>
  <c r="F291" i="1"/>
  <c r="E291" i="1"/>
  <c r="D291" i="1"/>
  <c r="U290" i="1"/>
  <c r="T290" i="1"/>
  <c r="P290" i="1"/>
  <c r="F290" i="1"/>
  <c r="E290" i="1"/>
  <c r="D290" i="1"/>
  <c r="W289" i="1"/>
  <c r="V289" i="1"/>
  <c r="U289" i="1"/>
  <c r="T289" i="1"/>
  <c r="P289" i="1"/>
  <c r="F289" i="1"/>
  <c r="E289" i="1"/>
  <c r="D289" i="1"/>
  <c r="U288" i="1"/>
  <c r="T288" i="1"/>
  <c r="V288" i="1" s="1"/>
  <c r="P288" i="1"/>
  <c r="F288" i="1"/>
  <c r="E288" i="1"/>
  <c r="D288" i="1"/>
  <c r="U287" i="1"/>
  <c r="T287" i="1"/>
  <c r="P287" i="1"/>
  <c r="F287" i="1"/>
  <c r="E287" i="1"/>
  <c r="D287" i="1"/>
  <c r="U286" i="1"/>
  <c r="V286" i="1" s="1"/>
  <c r="W286" i="1" s="1"/>
  <c r="T286" i="1"/>
  <c r="P286" i="1"/>
  <c r="F286" i="1"/>
  <c r="E286" i="1"/>
  <c r="D286" i="1"/>
  <c r="U285" i="1"/>
  <c r="T285" i="1"/>
  <c r="P285" i="1"/>
  <c r="F285" i="1"/>
  <c r="E285" i="1"/>
  <c r="D285" i="1"/>
  <c r="W284" i="1"/>
  <c r="U284" i="1"/>
  <c r="T284" i="1"/>
  <c r="V284" i="1" s="1"/>
  <c r="P284" i="1"/>
  <c r="F284" i="1"/>
  <c r="E284" i="1"/>
  <c r="D284" i="1"/>
  <c r="V283" i="1"/>
  <c r="W283" i="1" s="1"/>
  <c r="U283" i="1"/>
  <c r="T283" i="1"/>
  <c r="P283" i="1"/>
  <c r="F283" i="1"/>
  <c r="E283" i="1"/>
  <c r="D283" i="1"/>
  <c r="U282" i="1"/>
  <c r="T282" i="1"/>
  <c r="P282" i="1"/>
  <c r="F282" i="1"/>
  <c r="E282" i="1"/>
  <c r="D282" i="1"/>
  <c r="V281" i="1"/>
  <c r="W281" i="1" s="1"/>
  <c r="U281" i="1"/>
  <c r="T281" i="1"/>
  <c r="P281" i="1"/>
  <c r="F281" i="1"/>
  <c r="E281" i="1"/>
  <c r="D281" i="1"/>
  <c r="U280" i="1"/>
  <c r="V280" i="1" s="1"/>
  <c r="W280" i="1" s="1"/>
  <c r="T280" i="1"/>
  <c r="P280" i="1"/>
  <c r="F280" i="1"/>
  <c r="E280" i="1"/>
  <c r="D280" i="1"/>
  <c r="U279" i="1"/>
  <c r="T279" i="1"/>
  <c r="P279" i="1"/>
  <c r="F279" i="1"/>
  <c r="E279" i="1"/>
  <c r="D279" i="1"/>
  <c r="U278" i="1"/>
  <c r="V278" i="1" s="1"/>
  <c r="W278" i="1" s="1"/>
  <c r="T278" i="1"/>
  <c r="P278" i="1"/>
  <c r="F278" i="1"/>
  <c r="E278" i="1"/>
  <c r="D278" i="1"/>
  <c r="U277" i="1"/>
  <c r="V277" i="1" s="1"/>
  <c r="W277" i="1" s="1"/>
  <c r="T277" i="1"/>
  <c r="P277" i="1"/>
  <c r="F277" i="1"/>
  <c r="E277" i="1"/>
  <c r="D277" i="1"/>
  <c r="U276" i="1"/>
  <c r="T276" i="1"/>
  <c r="P276" i="1"/>
  <c r="F276" i="1"/>
  <c r="E276" i="1"/>
  <c r="D276" i="1"/>
  <c r="U275" i="1"/>
  <c r="T275" i="1"/>
  <c r="P275" i="1"/>
  <c r="F275" i="1"/>
  <c r="E275" i="1"/>
  <c r="D275" i="1"/>
  <c r="U274" i="1"/>
  <c r="V274" i="1" s="1"/>
  <c r="W274" i="1" s="1"/>
  <c r="T274" i="1"/>
  <c r="P274" i="1"/>
  <c r="F274" i="1"/>
  <c r="E274" i="1"/>
  <c r="D274" i="1"/>
  <c r="U273" i="1"/>
  <c r="T273" i="1"/>
  <c r="P273" i="1"/>
  <c r="F273" i="1"/>
  <c r="E273" i="1"/>
  <c r="D273" i="1"/>
  <c r="W272" i="1"/>
  <c r="U272" i="1"/>
  <c r="V272" i="1" s="1"/>
  <c r="T272" i="1"/>
  <c r="P272" i="1"/>
  <c r="F272" i="1"/>
  <c r="E272" i="1"/>
  <c r="D272" i="1"/>
  <c r="W271" i="1"/>
  <c r="V271" i="1"/>
  <c r="U271" i="1"/>
  <c r="T271" i="1"/>
  <c r="P271" i="1"/>
  <c r="F271" i="1"/>
  <c r="E271" i="1"/>
  <c r="D271" i="1"/>
  <c r="W270" i="1"/>
  <c r="U270" i="1"/>
  <c r="T270" i="1"/>
  <c r="V270" i="1" s="1"/>
  <c r="P270" i="1"/>
  <c r="F270" i="1"/>
  <c r="E270" i="1"/>
  <c r="D270" i="1"/>
  <c r="V269" i="1"/>
  <c r="U269" i="1"/>
  <c r="T269" i="1"/>
  <c r="W269" i="1" s="1"/>
  <c r="P269" i="1"/>
  <c r="F269" i="1"/>
  <c r="E269" i="1"/>
  <c r="D269" i="1"/>
  <c r="U268" i="1"/>
  <c r="V268" i="1" s="1"/>
  <c r="W268" i="1" s="1"/>
  <c r="T268" i="1"/>
  <c r="P268" i="1"/>
  <c r="F268" i="1"/>
  <c r="E268" i="1"/>
  <c r="D268" i="1"/>
  <c r="U267" i="1"/>
  <c r="T267" i="1"/>
  <c r="P267" i="1"/>
  <c r="F267" i="1"/>
  <c r="E267" i="1"/>
  <c r="D267" i="1"/>
  <c r="U266" i="1"/>
  <c r="T266" i="1"/>
  <c r="P266" i="1"/>
  <c r="F266" i="1"/>
  <c r="E266" i="1"/>
  <c r="D266" i="1"/>
  <c r="U265" i="1"/>
  <c r="V265" i="1" s="1"/>
  <c r="W265" i="1" s="1"/>
  <c r="T265" i="1"/>
  <c r="P265" i="1"/>
  <c r="F265" i="1"/>
  <c r="E265" i="1"/>
  <c r="D265" i="1"/>
  <c r="U264" i="1"/>
  <c r="T264" i="1"/>
  <c r="P264" i="1"/>
  <c r="F264" i="1"/>
  <c r="E264" i="1"/>
  <c r="D264" i="1"/>
  <c r="U263" i="1"/>
  <c r="V263" i="1" s="1"/>
  <c r="W263" i="1" s="1"/>
  <c r="T263" i="1"/>
  <c r="P263" i="1"/>
  <c r="F263" i="1"/>
  <c r="E263" i="1"/>
  <c r="D263" i="1"/>
  <c r="V262" i="1"/>
  <c r="W262" i="1" s="1"/>
  <c r="U262" i="1"/>
  <c r="T262" i="1"/>
  <c r="P262" i="1"/>
  <c r="F262" i="1"/>
  <c r="E262" i="1"/>
  <c r="D262" i="1"/>
  <c r="U261" i="1"/>
  <c r="T261" i="1"/>
  <c r="V261" i="1" s="1"/>
  <c r="P261" i="1"/>
  <c r="F261" i="1"/>
  <c r="E261" i="1"/>
  <c r="D261" i="1"/>
  <c r="U260" i="1"/>
  <c r="T260" i="1"/>
  <c r="P260" i="1"/>
  <c r="F260" i="1"/>
  <c r="E260" i="1"/>
  <c r="D260" i="1"/>
  <c r="W259" i="1"/>
  <c r="U259" i="1"/>
  <c r="V259" i="1" s="1"/>
  <c r="T259" i="1"/>
  <c r="P259" i="1"/>
  <c r="F259" i="1"/>
  <c r="E259" i="1"/>
  <c r="D259" i="1"/>
  <c r="U258" i="1"/>
  <c r="T258" i="1"/>
  <c r="P258" i="1"/>
  <c r="F258" i="1"/>
  <c r="E258" i="1"/>
  <c r="D258" i="1"/>
  <c r="U257" i="1"/>
  <c r="T257" i="1"/>
  <c r="P257" i="1"/>
  <c r="F257" i="1"/>
  <c r="E257" i="1"/>
  <c r="D257" i="1"/>
  <c r="W256" i="1"/>
  <c r="V256" i="1"/>
  <c r="U256" i="1"/>
  <c r="T256" i="1"/>
  <c r="P256" i="1"/>
  <c r="F256" i="1"/>
  <c r="E256" i="1"/>
  <c r="D256" i="1"/>
  <c r="U255" i="1"/>
  <c r="T255" i="1"/>
  <c r="V255" i="1" s="1"/>
  <c r="P255" i="1"/>
  <c r="F255" i="1"/>
  <c r="E255" i="1"/>
  <c r="D255" i="1"/>
  <c r="U254" i="1"/>
  <c r="T254" i="1"/>
  <c r="P254" i="1"/>
  <c r="F254" i="1"/>
  <c r="E254" i="1"/>
  <c r="D254" i="1"/>
  <c r="V253" i="1"/>
  <c r="W253" i="1" s="1"/>
  <c r="U253" i="1"/>
  <c r="T253" i="1"/>
  <c r="P253" i="1"/>
  <c r="F253" i="1"/>
  <c r="E253" i="1"/>
  <c r="D253" i="1"/>
  <c r="U252" i="1"/>
  <c r="T252" i="1"/>
  <c r="P252" i="1"/>
  <c r="F252" i="1"/>
  <c r="E252" i="1"/>
  <c r="D252" i="1"/>
  <c r="U251" i="1"/>
  <c r="T251" i="1"/>
  <c r="P251" i="1"/>
  <c r="F251" i="1"/>
  <c r="E251" i="1"/>
  <c r="D251" i="1"/>
  <c r="V250" i="1"/>
  <c r="W250" i="1" s="1"/>
  <c r="U250" i="1"/>
  <c r="T250" i="1"/>
  <c r="P250" i="1"/>
  <c r="F250" i="1"/>
  <c r="E250" i="1"/>
  <c r="D250" i="1"/>
  <c r="U249" i="1"/>
  <c r="T249" i="1"/>
  <c r="P249" i="1"/>
  <c r="F249" i="1"/>
  <c r="E249" i="1"/>
  <c r="D249" i="1"/>
  <c r="W248" i="1"/>
  <c r="U248" i="1"/>
  <c r="T248" i="1"/>
  <c r="V248" i="1" s="1"/>
  <c r="P248" i="1"/>
  <c r="F248" i="1"/>
  <c r="E248" i="1"/>
  <c r="D248" i="1"/>
  <c r="V247" i="1"/>
  <c r="W247" i="1" s="1"/>
  <c r="U247" i="1"/>
  <c r="T247" i="1"/>
  <c r="P247" i="1"/>
  <c r="F247" i="1"/>
  <c r="E247" i="1"/>
  <c r="D247" i="1"/>
  <c r="U246" i="1"/>
  <c r="T246" i="1"/>
  <c r="V246" i="1" s="1"/>
  <c r="P246" i="1"/>
  <c r="F246" i="1"/>
  <c r="E246" i="1"/>
  <c r="D246" i="1"/>
  <c r="V245" i="1"/>
  <c r="W245" i="1" s="1"/>
  <c r="U245" i="1"/>
  <c r="T245" i="1"/>
  <c r="P245" i="1"/>
  <c r="F245" i="1"/>
  <c r="E245" i="1"/>
  <c r="D245" i="1"/>
  <c r="W244" i="1"/>
  <c r="U244" i="1"/>
  <c r="V244" i="1" s="1"/>
  <c r="T244" i="1"/>
  <c r="P244" i="1"/>
  <c r="F244" i="1"/>
  <c r="E244" i="1"/>
  <c r="D244" i="1"/>
  <c r="U243" i="1"/>
  <c r="T243" i="1"/>
  <c r="P243" i="1"/>
  <c r="F243" i="1"/>
  <c r="E243" i="1"/>
  <c r="D243" i="1"/>
  <c r="U242" i="1"/>
  <c r="V242" i="1" s="1"/>
  <c r="W242" i="1" s="1"/>
  <c r="T242" i="1"/>
  <c r="P242" i="1"/>
  <c r="F242" i="1"/>
  <c r="E242" i="1"/>
  <c r="D242" i="1"/>
  <c r="U241" i="1"/>
  <c r="V241" i="1" s="1"/>
  <c r="W241" i="1" s="1"/>
  <c r="T241" i="1"/>
  <c r="P241" i="1"/>
  <c r="F241" i="1"/>
  <c r="E241" i="1"/>
  <c r="D241" i="1"/>
  <c r="U240" i="1"/>
  <c r="T240" i="1"/>
  <c r="P240" i="1"/>
  <c r="F240" i="1"/>
  <c r="E240" i="1"/>
  <c r="D240" i="1"/>
  <c r="U239" i="1"/>
  <c r="V239" i="1" s="1"/>
  <c r="W239" i="1" s="1"/>
  <c r="T239" i="1"/>
  <c r="P239" i="1"/>
  <c r="F239" i="1"/>
  <c r="E239" i="1"/>
  <c r="D239" i="1"/>
  <c r="W238" i="1"/>
  <c r="V238" i="1"/>
  <c r="U238" i="1"/>
  <c r="T238" i="1"/>
  <c r="P238" i="1"/>
  <c r="F238" i="1"/>
  <c r="E238" i="1"/>
  <c r="D238" i="1"/>
  <c r="U237" i="1"/>
  <c r="T237" i="1"/>
  <c r="P237" i="1"/>
  <c r="F237" i="1"/>
  <c r="E237" i="1"/>
  <c r="D237" i="1"/>
  <c r="U236" i="1"/>
  <c r="T236" i="1"/>
  <c r="P236" i="1"/>
  <c r="F236" i="1"/>
  <c r="E236" i="1"/>
  <c r="D236" i="1"/>
  <c r="V235" i="1"/>
  <c r="W235" i="1" s="1"/>
  <c r="U235" i="1"/>
  <c r="T235" i="1"/>
  <c r="P235" i="1"/>
  <c r="F235" i="1"/>
  <c r="E235" i="1"/>
  <c r="D235" i="1"/>
  <c r="W234" i="1"/>
  <c r="U234" i="1"/>
  <c r="T234" i="1"/>
  <c r="V234" i="1" s="1"/>
  <c r="P234" i="1"/>
  <c r="F234" i="1"/>
  <c r="E234" i="1"/>
  <c r="D234" i="1"/>
  <c r="U233" i="1"/>
  <c r="T233" i="1"/>
  <c r="P233" i="1"/>
  <c r="F233" i="1"/>
  <c r="E233" i="1"/>
  <c r="D233" i="1"/>
  <c r="V232" i="1"/>
  <c r="W232" i="1" s="1"/>
  <c r="U232" i="1"/>
  <c r="T232" i="1"/>
  <c r="P232" i="1"/>
  <c r="F232" i="1"/>
  <c r="E232" i="1"/>
  <c r="D232" i="1"/>
  <c r="W231" i="1"/>
  <c r="V231" i="1"/>
  <c r="U231" i="1"/>
  <c r="T231" i="1"/>
  <c r="P231" i="1"/>
  <c r="F231" i="1"/>
  <c r="E231" i="1"/>
  <c r="D231" i="1"/>
  <c r="U230" i="1"/>
  <c r="T230" i="1"/>
  <c r="V230" i="1" s="1"/>
  <c r="W230" i="1" s="1"/>
  <c r="P230" i="1"/>
  <c r="F230" i="1"/>
  <c r="E230" i="1"/>
  <c r="D230" i="1"/>
  <c r="U229" i="1"/>
  <c r="V229" i="1" s="1"/>
  <c r="W229" i="1" s="1"/>
  <c r="T229" i="1"/>
  <c r="P229" i="1"/>
  <c r="F229" i="1"/>
  <c r="E229" i="1"/>
  <c r="D229" i="1"/>
  <c r="V228" i="1"/>
  <c r="W228" i="1" s="1"/>
  <c r="U228" i="1"/>
  <c r="T228" i="1"/>
  <c r="P228" i="1"/>
  <c r="F228" i="1"/>
  <c r="E228" i="1"/>
  <c r="D228" i="1"/>
  <c r="V227" i="1"/>
  <c r="W227" i="1" s="1"/>
  <c r="U227" i="1"/>
  <c r="T227" i="1"/>
  <c r="P227" i="1"/>
  <c r="F227" i="1"/>
  <c r="E227" i="1"/>
  <c r="D227" i="1"/>
  <c r="U226" i="1"/>
  <c r="V226" i="1" s="1"/>
  <c r="W226" i="1" s="1"/>
  <c r="T226" i="1"/>
  <c r="P226" i="1"/>
  <c r="F226" i="1"/>
  <c r="E226" i="1"/>
  <c r="D226" i="1"/>
  <c r="V225" i="1"/>
  <c r="W225" i="1" s="1"/>
  <c r="U225" i="1"/>
  <c r="T225" i="1"/>
  <c r="P225" i="1"/>
  <c r="F225" i="1"/>
  <c r="E225" i="1"/>
  <c r="D225" i="1"/>
  <c r="U224" i="1"/>
  <c r="V224" i="1" s="1"/>
  <c r="W224" i="1" s="1"/>
  <c r="T224" i="1"/>
  <c r="P224" i="1"/>
  <c r="F224" i="1"/>
  <c r="E224" i="1"/>
  <c r="D224" i="1"/>
  <c r="V223" i="1"/>
  <c r="W223" i="1" s="1"/>
  <c r="U223" i="1"/>
  <c r="T223" i="1"/>
  <c r="P223" i="1"/>
  <c r="F223" i="1"/>
  <c r="E223" i="1"/>
  <c r="D223" i="1"/>
  <c r="W222" i="1"/>
  <c r="V222" i="1"/>
  <c r="U222" i="1"/>
  <c r="T222" i="1"/>
  <c r="P222" i="1"/>
  <c r="F222" i="1"/>
  <c r="E222" i="1"/>
  <c r="D222" i="1"/>
  <c r="U221" i="1"/>
  <c r="T221" i="1"/>
  <c r="V221" i="1" s="1"/>
  <c r="P221" i="1"/>
  <c r="F221" i="1"/>
  <c r="E221" i="1"/>
  <c r="D221" i="1"/>
  <c r="U220" i="1"/>
  <c r="V220" i="1" s="1"/>
  <c r="W220" i="1" s="1"/>
  <c r="T220" i="1"/>
  <c r="P220" i="1"/>
  <c r="F220" i="1"/>
  <c r="E220" i="1"/>
  <c r="D220" i="1"/>
  <c r="W219" i="1"/>
  <c r="V219" i="1"/>
  <c r="U219" i="1"/>
  <c r="T219" i="1"/>
  <c r="P219" i="1"/>
  <c r="F219" i="1"/>
  <c r="E219" i="1"/>
  <c r="D219" i="1"/>
  <c r="U218" i="1"/>
  <c r="T218" i="1"/>
  <c r="P218" i="1"/>
  <c r="F218" i="1"/>
  <c r="E218" i="1"/>
  <c r="D218" i="1"/>
  <c r="V217" i="1"/>
  <c r="W217" i="1" s="1"/>
  <c r="U217" i="1"/>
  <c r="T217" i="1"/>
  <c r="P217" i="1"/>
  <c r="F217" i="1"/>
  <c r="E217" i="1"/>
  <c r="D217" i="1"/>
  <c r="V216" i="1"/>
  <c r="W216" i="1" s="1"/>
  <c r="U216" i="1"/>
  <c r="T216" i="1"/>
  <c r="P216" i="1"/>
  <c r="F216" i="1"/>
  <c r="E216" i="1"/>
  <c r="D216" i="1"/>
  <c r="U215" i="1"/>
  <c r="T215" i="1"/>
  <c r="P215" i="1"/>
  <c r="F215" i="1"/>
  <c r="E215" i="1"/>
  <c r="D215" i="1"/>
  <c r="U214" i="1"/>
  <c r="T214" i="1"/>
  <c r="P214" i="1"/>
  <c r="F214" i="1"/>
  <c r="E214" i="1"/>
  <c r="D214" i="1"/>
  <c r="V213" i="1"/>
  <c r="W213" i="1" s="1"/>
  <c r="U213" i="1"/>
  <c r="T213" i="1"/>
  <c r="P213" i="1"/>
  <c r="F213" i="1"/>
  <c r="E213" i="1"/>
  <c r="D213" i="1"/>
  <c r="U212" i="1"/>
  <c r="T212" i="1"/>
  <c r="P212" i="1"/>
  <c r="F212" i="1"/>
  <c r="E212" i="1"/>
  <c r="D212" i="1"/>
  <c r="U211" i="1"/>
  <c r="T211" i="1"/>
  <c r="P211" i="1"/>
  <c r="F211" i="1"/>
  <c r="E211" i="1"/>
  <c r="D211" i="1"/>
  <c r="V210" i="1"/>
  <c r="W210" i="1" s="1"/>
  <c r="U210" i="1"/>
  <c r="T210" i="1"/>
  <c r="P210" i="1"/>
  <c r="F210" i="1"/>
  <c r="E210" i="1"/>
  <c r="D210" i="1"/>
  <c r="U209" i="1"/>
  <c r="T209" i="1"/>
  <c r="P209" i="1"/>
  <c r="F209" i="1"/>
  <c r="E209" i="1"/>
  <c r="D209" i="1"/>
  <c r="U208" i="1"/>
  <c r="T208" i="1"/>
  <c r="P208" i="1"/>
  <c r="F208" i="1"/>
  <c r="E208" i="1"/>
  <c r="D208" i="1"/>
  <c r="U207" i="1"/>
  <c r="V207" i="1" s="1"/>
  <c r="W207" i="1" s="1"/>
  <c r="T207" i="1"/>
  <c r="P207" i="1"/>
  <c r="F207" i="1"/>
  <c r="E207" i="1"/>
  <c r="D207" i="1"/>
  <c r="U206" i="1"/>
  <c r="V206" i="1" s="1"/>
  <c r="W206" i="1" s="1"/>
  <c r="T206" i="1"/>
  <c r="P206" i="1"/>
  <c r="F206" i="1"/>
  <c r="E206" i="1"/>
  <c r="D206" i="1"/>
  <c r="V205" i="1"/>
  <c r="U205" i="1"/>
  <c r="T205" i="1"/>
  <c r="P205" i="1"/>
  <c r="F205" i="1"/>
  <c r="E205" i="1"/>
  <c r="D205" i="1"/>
  <c r="U204" i="1"/>
  <c r="V204" i="1" s="1"/>
  <c r="W204" i="1" s="1"/>
  <c r="T204" i="1"/>
  <c r="P204" i="1"/>
  <c r="F204" i="1"/>
  <c r="E204" i="1"/>
  <c r="D204" i="1"/>
  <c r="V203" i="1"/>
  <c r="U203" i="1"/>
  <c r="T203" i="1"/>
  <c r="W203" i="1" s="1"/>
  <c r="P203" i="1"/>
  <c r="F203" i="1"/>
  <c r="E203" i="1"/>
  <c r="D203" i="1"/>
  <c r="U202" i="1"/>
  <c r="V202" i="1" s="1"/>
  <c r="T202" i="1"/>
  <c r="P202" i="1"/>
  <c r="F202" i="1"/>
  <c r="E202" i="1"/>
  <c r="D202" i="1"/>
  <c r="U201" i="1"/>
  <c r="V201" i="1" s="1"/>
  <c r="W201" i="1" s="1"/>
  <c r="T201" i="1"/>
  <c r="P201" i="1"/>
  <c r="F201" i="1"/>
  <c r="E201" i="1"/>
  <c r="D201" i="1"/>
  <c r="U200" i="1"/>
  <c r="T200" i="1"/>
  <c r="P200" i="1"/>
  <c r="F200" i="1"/>
  <c r="E200" i="1"/>
  <c r="D200" i="1"/>
  <c r="V199" i="1"/>
  <c r="U199" i="1"/>
  <c r="T199" i="1"/>
  <c r="P199" i="1"/>
  <c r="F199" i="1"/>
  <c r="E199" i="1"/>
  <c r="D199" i="1"/>
  <c r="V198" i="1"/>
  <c r="W198" i="1" s="1"/>
  <c r="U198" i="1"/>
  <c r="T198" i="1"/>
  <c r="P198" i="1"/>
  <c r="F198" i="1"/>
  <c r="E198" i="1"/>
  <c r="D198" i="1"/>
  <c r="U197" i="1"/>
  <c r="T197" i="1"/>
  <c r="P197" i="1"/>
  <c r="F197" i="1"/>
  <c r="E197" i="1"/>
  <c r="D197" i="1"/>
  <c r="V196" i="1"/>
  <c r="U196" i="1"/>
  <c r="T196" i="1"/>
  <c r="P196" i="1"/>
  <c r="F196" i="1"/>
  <c r="E196" i="1"/>
  <c r="D196" i="1"/>
  <c r="U195" i="1"/>
  <c r="V195" i="1" s="1"/>
  <c r="W195" i="1" s="1"/>
  <c r="T195" i="1"/>
  <c r="P195" i="1"/>
  <c r="F195" i="1"/>
  <c r="E195" i="1"/>
  <c r="D195" i="1"/>
  <c r="U194" i="1"/>
  <c r="T194" i="1"/>
  <c r="V194" i="1" s="1"/>
  <c r="W194" i="1" s="1"/>
  <c r="P194" i="1"/>
  <c r="F194" i="1"/>
  <c r="E194" i="1"/>
  <c r="D194" i="1"/>
  <c r="U193" i="1"/>
  <c r="T193" i="1"/>
  <c r="P193" i="1"/>
  <c r="F193" i="1"/>
  <c r="E193" i="1"/>
  <c r="D193" i="1"/>
  <c r="V192" i="1"/>
  <c r="U192" i="1"/>
  <c r="T192" i="1"/>
  <c r="P192" i="1"/>
  <c r="F192" i="1"/>
  <c r="E192" i="1"/>
  <c r="D192" i="1"/>
  <c r="V191" i="1"/>
  <c r="W191" i="1" s="1"/>
  <c r="U191" i="1"/>
  <c r="T191" i="1"/>
  <c r="P191" i="1"/>
  <c r="F191" i="1"/>
  <c r="E191" i="1"/>
  <c r="D191" i="1"/>
  <c r="U190" i="1"/>
  <c r="T190" i="1"/>
  <c r="P190" i="1"/>
  <c r="F190" i="1"/>
  <c r="E190" i="1"/>
  <c r="D190" i="1"/>
  <c r="U189" i="1"/>
  <c r="T189" i="1"/>
  <c r="P189" i="1"/>
  <c r="F189" i="1"/>
  <c r="E189" i="1"/>
  <c r="D189" i="1"/>
  <c r="U188" i="1"/>
  <c r="V188" i="1" s="1"/>
  <c r="W188" i="1" s="1"/>
  <c r="T188" i="1"/>
  <c r="P188" i="1"/>
  <c r="F188" i="1"/>
  <c r="E188" i="1"/>
  <c r="D188" i="1"/>
  <c r="U187" i="1"/>
  <c r="T187" i="1"/>
  <c r="P187" i="1"/>
  <c r="F187" i="1"/>
  <c r="E187" i="1"/>
  <c r="D187" i="1"/>
  <c r="U186" i="1"/>
  <c r="T186" i="1"/>
  <c r="P186" i="1"/>
  <c r="F186" i="1"/>
  <c r="E186" i="1"/>
  <c r="D186" i="1"/>
  <c r="W185" i="1"/>
  <c r="V185" i="1"/>
  <c r="U185" i="1"/>
  <c r="T185" i="1"/>
  <c r="P185" i="1"/>
  <c r="F185" i="1"/>
  <c r="E185" i="1"/>
  <c r="D185" i="1"/>
  <c r="U184" i="1"/>
  <c r="V184" i="1" s="1"/>
  <c r="T184" i="1"/>
  <c r="P184" i="1"/>
  <c r="F184" i="1"/>
  <c r="E184" i="1"/>
  <c r="D184" i="1"/>
  <c r="U183" i="1"/>
  <c r="T183" i="1"/>
  <c r="V183" i="1" s="1"/>
  <c r="W183" i="1" s="1"/>
  <c r="P183" i="1"/>
  <c r="F183" i="1"/>
  <c r="E183" i="1"/>
  <c r="D183" i="1"/>
  <c r="W182" i="1"/>
  <c r="U182" i="1"/>
  <c r="T182" i="1"/>
  <c r="V182" i="1" s="1"/>
  <c r="P182" i="1"/>
  <c r="F182" i="1"/>
  <c r="E182" i="1"/>
  <c r="D182" i="1"/>
  <c r="V181" i="1"/>
  <c r="U181" i="1"/>
  <c r="T181" i="1"/>
  <c r="P181" i="1"/>
  <c r="F181" i="1"/>
  <c r="E181" i="1"/>
  <c r="D181" i="1"/>
  <c r="W180" i="1"/>
  <c r="V180" i="1"/>
  <c r="U180" i="1"/>
  <c r="T180" i="1"/>
  <c r="P180" i="1"/>
  <c r="F180" i="1"/>
  <c r="E180" i="1"/>
  <c r="D180" i="1"/>
  <c r="V179" i="1"/>
  <c r="U179" i="1"/>
  <c r="T179" i="1"/>
  <c r="P179" i="1"/>
  <c r="F179" i="1"/>
  <c r="E179" i="1"/>
  <c r="D179" i="1"/>
  <c r="U178" i="1"/>
  <c r="T178" i="1"/>
  <c r="P178" i="1"/>
  <c r="F178" i="1"/>
  <c r="E178" i="1"/>
  <c r="D178" i="1"/>
  <c r="U177" i="1"/>
  <c r="V177" i="1" s="1"/>
  <c r="W177" i="1" s="1"/>
  <c r="T177" i="1"/>
  <c r="P177" i="1"/>
  <c r="F177" i="1"/>
  <c r="E177" i="1"/>
  <c r="D177" i="1"/>
  <c r="U176" i="1"/>
  <c r="T176" i="1"/>
  <c r="P176" i="1"/>
  <c r="F176" i="1"/>
  <c r="E176" i="1"/>
  <c r="D176" i="1"/>
  <c r="U175" i="1"/>
  <c r="T175" i="1"/>
  <c r="P175" i="1"/>
  <c r="F175" i="1"/>
  <c r="E175" i="1"/>
  <c r="D175" i="1"/>
  <c r="U174" i="1"/>
  <c r="T174" i="1"/>
  <c r="P174" i="1"/>
  <c r="F174" i="1"/>
  <c r="E174" i="1"/>
  <c r="D174" i="1"/>
  <c r="U173" i="1"/>
  <c r="T173" i="1"/>
  <c r="P173" i="1"/>
  <c r="F173" i="1"/>
  <c r="E173" i="1"/>
  <c r="D173" i="1"/>
  <c r="U172" i="1"/>
  <c r="T172" i="1"/>
  <c r="P172" i="1"/>
  <c r="F172" i="1"/>
  <c r="E172" i="1"/>
  <c r="D172" i="1"/>
  <c r="U171" i="1"/>
  <c r="T171" i="1"/>
  <c r="P171" i="1"/>
  <c r="F171" i="1"/>
  <c r="E171" i="1"/>
  <c r="D171" i="1"/>
  <c r="W170" i="1"/>
  <c r="U170" i="1"/>
  <c r="V170" i="1" s="1"/>
  <c r="T170" i="1"/>
  <c r="P170" i="1"/>
  <c r="F170" i="1"/>
  <c r="E170" i="1"/>
  <c r="D170" i="1"/>
  <c r="V169" i="1"/>
  <c r="U169" i="1"/>
  <c r="T169" i="1"/>
  <c r="P169" i="1"/>
  <c r="F169" i="1"/>
  <c r="E169" i="1"/>
  <c r="D169" i="1"/>
  <c r="U168" i="1"/>
  <c r="T168" i="1"/>
  <c r="P168" i="1"/>
  <c r="F168" i="1"/>
  <c r="E168" i="1"/>
  <c r="D168" i="1"/>
  <c r="V167" i="1"/>
  <c r="U167" i="1"/>
  <c r="T167" i="1"/>
  <c r="W167" i="1" s="1"/>
  <c r="P167" i="1"/>
  <c r="F167" i="1"/>
  <c r="E167" i="1"/>
  <c r="D167" i="1"/>
  <c r="V166" i="1"/>
  <c r="U166" i="1"/>
  <c r="T166" i="1"/>
  <c r="P166" i="1"/>
  <c r="F166" i="1"/>
  <c r="E166" i="1"/>
  <c r="D166" i="1"/>
  <c r="U165" i="1"/>
  <c r="T165" i="1"/>
  <c r="P165" i="1"/>
  <c r="F165" i="1"/>
  <c r="E165" i="1"/>
  <c r="D165" i="1"/>
  <c r="U164" i="1"/>
  <c r="T164" i="1"/>
  <c r="P164" i="1"/>
  <c r="F164" i="1"/>
  <c r="E164" i="1"/>
  <c r="D164" i="1"/>
  <c r="U163" i="1"/>
  <c r="V163" i="1" s="1"/>
  <c r="T163" i="1"/>
  <c r="P163" i="1"/>
  <c r="F163" i="1"/>
  <c r="E163" i="1"/>
  <c r="D163" i="1"/>
  <c r="U162" i="1"/>
  <c r="T162" i="1"/>
  <c r="P162" i="1"/>
  <c r="F162" i="1"/>
  <c r="E162" i="1"/>
  <c r="D162" i="1"/>
  <c r="U161" i="1"/>
  <c r="T161" i="1"/>
  <c r="P161" i="1"/>
  <c r="F161" i="1"/>
  <c r="E161" i="1"/>
  <c r="D161" i="1"/>
  <c r="U160" i="1"/>
  <c r="T160" i="1"/>
  <c r="V160" i="1" s="1"/>
  <c r="P160" i="1"/>
  <c r="F160" i="1"/>
  <c r="E160" i="1"/>
  <c r="D160" i="1"/>
  <c r="U159" i="1"/>
  <c r="V159" i="1" s="1"/>
  <c r="W159" i="1" s="1"/>
  <c r="T159" i="1"/>
  <c r="P159" i="1"/>
  <c r="F159" i="1"/>
  <c r="E159" i="1"/>
  <c r="D159" i="1"/>
  <c r="U158" i="1"/>
  <c r="T158" i="1"/>
  <c r="V158" i="1" s="1"/>
  <c r="W158" i="1" s="1"/>
  <c r="P158" i="1"/>
  <c r="F158" i="1"/>
  <c r="E158" i="1"/>
  <c r="D158" i="1"/>
  <c r="V157" i="1"/>
  <c r="U157" i="1"/>
  <c r="T157" i="1"/>
  <c r="P157" i="1"/>
  <c r="F157" i="1"/>
  <c r="E157" i="1"/>
  <c r="D157" i="1"/>
  <c r="V156" i="1"/>
  <c r="U156" i="1"/>
  <c r="T156" i="1"/>
  <c r="W156" i="1" s="1"/>
  <c r="P156" i="1"/>
  <c r="F156" i="1"/>
  <c r="E156" i="1"/>
  <c r="D156" i="1"/>
  <c r="V155" i="1"/>
  <c r="W155" i="1" s="1"/>
  <c r="U155" i="1"/>
  <c r="T155" i="1"/>
  <c r="P155" i="1"/>
  <c r="F155" i="1"/>
  <c r="E155" i="1"/>
  <c r="D155" i="1"/>
  <c r="U154" i="1"/>
  <c r="T154" i="1"/>
  <c r="P154" i="1"/>
  <c r="F154" i="1"/>
  <c r="E154" i="1"/>
  <c r="D154" i="1"/>
  <c r="U153" i="1"/>
  <c r="T153" i="1"/>
  <c r="P153" i="1"/>
  <c r="F153" i="1"/>
  <c r="E153" i="1"/>
  <c r="D153" i="1"/>
  <c r="U152" i="1"/>
  <c r="V152" i="1" s="1"/>
  <c r="W152" i="1" s="1"/>
  <c r="T152" i="1"/>
  <c r="P152" i="1"/>
  <c r="F152" i="1"/>
  <c r="E152" i="1"/>
  <c r="D152" i="1"/>
  <c r="U151" i="1"/>
  <c r="T151" i="1"/>
  <c r="P151" i="1"/>
  <c r="F151" i="1"/>
  <c r="E151" i="1"/>
  <c r="D151" i="1"/>
  <c r="U150" i="1"/>
  <c r="T150" i="1"/>
  <c r="P150" i="1"/>
  <c r="F150" i="1"/>
  <c r="E150" i="1"/>
  <c r="D150" i="1"/>
  <c r="U149" i="1"/>
  <c r="T149" i="1"/>
  <c r="P149" i="1"/>
  <c r="F149" i="1"/>
  <c r="E149" i="1"/>
  <c r="D149" i="1"/>
  <c r="U148" i="1"/>
  <c r="V148" i="1" s="1"/>
  <c r="T148" i="1"/>
  <c r="P148" i="1"/>
  <c r="F148" i="1"/>
  <c r="E148" i="1"/>
  <c r="D148" i="1"/>
  <c r="W147" i="1"/>
  <c r="U147" i="1"/>
  <c r="T147" i="1"/>
  <c r="V147" i="1" s="1"/>
  <c r="P147" i="1"/>
  <c r="F147" i="1"/>
  <c r="E147" i="1"/>
  <c r="D147" i="1"/>
  <c r="U146" i="1"/>
  <c r="T146" i="1"/>
  <c r="P146" i="1"/>
  <c r="F146" i="1"/>
  <c r="E146" i="1"/>
  <c r="D146" i="1"/>
  <c r="V145" i="1"/>
  <c r="U145" i="1"/>
  <c r="T145" i="1"/>
  <c r="P145" i="1"/>
  <c r="F145" i="1"/>
  <c r="E145" i="1"/>
  <c r="D145" i="1"/>
  <c r="V144" i="1"/>
  <c r="W144" i="1" s="1"/>
  <c r="U144" i="1"/>
  <c r="T144" i="1"/>
  <c r="P144" i="1"/>
  <c r="F144" i="1"/>
  <c r="E144" i="1"/>
  <c r="D144" i="1"/>
  <c r="U143" i="1"/>
  <c r="T143" i="1"/>
  <c r="P143" i="1"/>
  <c r="F143" i="1"/>
  <c r="E143" i="1"/>
  <c r="D143" i="1"/>
  <c r="U142" i="1"/>
  <c r="T142" i="1"/>
  <c r="P142" i="1"/>
  <c r="F142" i="1"/>
  <c r="E142" i="1"/>
  <c r="D142" i="1"/>
  <c r="U141" i="1"/>
  <c r="V141" i="1" s="1"/>
  <c r="W141" i="1" s="1"/>
  <c r="T141" i="1"/>
  <c r="P141" i="1"/>
  <c r="F141" i="1"/>
  <c r="E141" i="1"/>
  <c r="D141" i="1"/>
  <c r="U140" i="1"/>
  <c r="T140" i="1"/>
  <c r="P140" i="1"/>
  <c r="F140" i="1"/>
  <c r="E140" i="1"/>
  <c r="D140" i="1"/>
  <c r="U139" i="1"/>
  <c r="T139" i="1"/>
  <c r="P139" i="1"/>
  <c r="F139" i="1"/>
  <c r="E139" i="1"/>
  <c r="D139" i="1"/>
  <c r="V138" i="1"/>
  <c r="U138" i="1"/>
  <c r="T138" i="1"/>
  <c r="W138" i="1" s="1"/>
  <c r="P138" i="1"/>
  <c r="F138" i="1"/>
  <c r="E138" i="1"/>
  <c r="D138" i="1"/>
  <c r="U137" i="1"/>
  <c r="T137" i="1"/>
  <c r="P137" i="1"/>
  <c r="F137" i="1"/>
  <c r="E137" i="1"/>
  <c r="D137" i="1"/>
  <c r="U136" i="1"/>
  <c r="T136" i="1"/>
  <c r="P136" i="1"/>
  <c r="F136" i="1"/>
  <c r="E136" i="1"/>
  <c r="D136" i="1"/>
  <c r="U135" i="1"/>
  <c r="V135" i="1" s="1"/>
  <c r="W135" i="1" s="1"/>
  <c r="T135" i="1"/>
  <c r="P135" i="1"/>
  <c r="F135" i="1"/>
  <c r="E135" i="1"/>
  <c r="D135" i="1"/>
  <c r="U134" i="1"/>
  <c r="V134" i="1" s="1"/>
  <c r="W134" i="1" s="1"/>
  <c r="T134" i="1"/>
  <c r="P134" i="1"/>
  <c r="F134" i="1"/>
  <c r="E134" i="1"/>
  <c r="D134" i="1"/>
  <c r="V133" i="1"/>
  <c r="U133" i="1"/>
  <c r="T133" i="1"/>
  <c r="P133" i="1"/>
  <c r="F133" i="1"/>
  <c r="E133" i="1"/>
  <c r="D133" i="1"/>
  <c r="U132" i="1"/>
  <c r="T132" i="1"/>
  <c r="P132" i="1"/>
  <c r="F132" i="1"/>
  <c r="E132" i="1"/>
  <c r="D132" i="1"/>
  <c r="V131" i="1"/>
  <c r="U131" i="1"/>
  <c r="T131" i="1"/>
  <c r="P131" i="1"/>
  <c r="F131" i="1"/>
  <c r="E131" i="1"/>
  <c r="D131" i="1"/>
  <c r="U130" i="1"/>
  <c r="V130" i="1" s="1"/>
  <c r="T130" i="1"/>
  <c r="P130" i="1"/>
  <c r="F130" i="1"/>
  <c r="E130" i="1"/>
  <c r="D130" i="1"/>
  <c r="U129" i="1"/>
  <c r="T129" i="1"/>
  <c r="P129" i="1"/>
  <c r="F129" i="1"/>
  <c r="E129" i="1"/>
  <c r="D129" i="1"/>
  <c r="U128" i="1"/>
  <c r="T128" i="1"/>
  <c r="P128" i="1"/>
  <c r="F128" i="1"/>
  <c r="E128" i="1"/>
  <c r="D128" i="1"/>
  <c r="U127" i="1"/>
  <c r="T127" i="1"/>
  <c r="P127" i="1"/>
  <c r="F127" i="1"/>
  <c r="E127" i="1"/>
  <c r="D127" i="1"/>
  <c r="U126" i="1"/>
  <c r="T126" i="1"/>
  <c r="P126" i="1"/>
  <c r="F126" i="1"/>
  <c r="E126" i="1"/>
  <c r="D126" i="1"/>
  <c r="U125" i="1"/>
  <c r="T125" i="1"/>
  <c r="P125" i="1"/>
  <c r="F125" i="1"/>
  <c r="E125" i="1"/>
  <c r="D125" i="1"/>
  <c r="V124" i="1"/>
  <c r="U124" i="1"/>
  <c r="T124" i="1"/>
  <c r="P124" i="1"/>
  <c r="F124" i="1"/>
  <c r="E124" i="1"/>
  <c r="D124" i="1"/>
  <c r="U123" i="1"/>
  <c r="V123" i="1" s="1"/>
  <c r="W123" i="1" s="1"/>
  <c r="T123" i="1"/>
  <c r="P123" i="1"/>
  <c r="F123" i="1"/>
  <c r="E123" i="1"/>
  <c r="D123" i="1"/>
  <c r="U122" i="1"/>
  <c r="T122" i="1"/>
  <c r="V122" i="1" s="1"/>
  <c r="W122" i="1" s="1"/>
  <c r="P122" i="1"/>
  <c r="F122" i="1"/>
  <c r="E122" i="1"/>
  <c r="D122" i="1"/>
  <c r="U121" i="1"/>
  <c r="T121" i="1"/>
  <c r="V121" i="1" s="1"/>
  <c r="P121" i="1"/>
  <c r="F121" i="1"/>
  <c r="E121" i="1"/>
  <c r="D121" i="1"/>
  <c r="U120" i="1"/>
  <c r="V120" i="1" s="1"/>
  <c r="W120" i="1" s="1"/>
  <c r="T120" i="1"/>
  <c r="P120" i="1"/>
  <c r="F120" i="1"/>
  <c r="E120" i="1"/>
  <c r="D120" i="1"/>
  <c r="W119" i="1"/>
  <c r="U119" i="1"/>
  <c r="T119" i="1"/>
  <c r="V119" i="1" s="1"/>
  <c r="P119" i="1"/>
  <c r="F119" i="1"/>
  <c r="E119" i="1"/>
  <c r="D119" i="1"/>
  <c r="U118" i="1"/>
  <c r="T118" i="1"/>
  <c r="P118" i="1"/>
  <c r="F118" i="1"/>
  <c r="E118" i="1"/>
  <c r="D118" i="1"/>
  <c r="W117" i="1"/>
  <c r="U117" i="1"/>
  <c r="V117" i="1" s="1"/>
  <c r="T117" i="1"/>
  <c r="P117" i="1"/>
  <c r="F117" i="1"/>
  <c r="E117" i="1"/>
  <c r="D117" i="1"/>
  <c r="W116" i="1"/>
  <c r="U116" i="1"/>
  <c r="T116" i="1"/>
  <c r="V116" i="1" s="1"/>
  <c r="P116" i="1"/>
  <c r="F116" i="1"/>
  <c r="E116" i="1"/>
  <c r="D116" i="1"/>
  <c r="U115" i="1"/>
  <c r="T115" i="1"/>
  <c r="P115" i="1"/>
  <c r="F115" i="1"/>
  <c r="E115" i="1"/>
  <c r="D115" i="1"/>
  <c r="U114" i="1"/>
  <c r="V114" i="1" s="1"/>
  <c r="W114" i="1" s="1"/>
  <c r="T114" i="1"/>
  <c r="P114" i="1"/>
  <c r="F114" i="1"/>
  <c r="E114" i="1"/>
  <c r="D114" i="1"/>
  <c r="U113" i="1"/>
  <c r="T113" i="1"/>
  <c r="V113" i="1" s="1"/>
  <c r="W113" i="1" s="1"/>
  <c r="P113" i="1"/>
  <c r="F113" i="1"/>
  <c r="E113" i="1"/>
  <c r="D113" i="1"/>
  <c r="W112" i="1"/>
  <c r="V112" i="1"/>
  <c r="U112" i="1"/>
  <c r="T112" i="1"/>
  <c r="P112" i="1"/>
  <c r="F112" i="1"/>
  <c r="E112" i="1"/>
  <c r="D112" i="1"/>
  <c r="U111" i="1"/>
  <c r="V111" i="1" s="1"/>
  <c r="W111" i="1" s="1"/>
  <c r="T111" i="1"/>
  <c r="P111" i="1"/>
  <c r="F111" i="1"/>
  <c r="E111" i="1"/>
  <c r="D111" i="1"/>
  <c r="U110" i="1"/>
  <c r="T110" i="1"/>
  <c r="V110" i="1" s="1"/>
  <c r="W110" i="1" s="1"/>
  <c r="P110" i="1"/>
  <c r="F110" i="1"/>
  <c r="E110" i="1"/>
  <c r="D110" i="1"/>
  <c r="U109" i="1"/>
  <c r="T109" i="1"/>
  <c r="P109" i="1"/>
  <c r="F109" i="1"/>
  <c r="E109" i="1"/>
  <c r="D109" i="1"/>
  <c r="U108" i="1"/>
  <c r="V108" i="1" s="1"/>
  <c r="W108" i="1" s="1"/>
  <c r="T108" i="1"/>
  <c r="P108" i="1"/>
  <c r="F108" i="1"/>
  <c r="E108" i="1"/>
  <c r="D108" i="1"/>
  <c r="W107" i="1"/>
  <c r="U107" i="1"/>
  <c r="T107" i="1"/>
  <c r="V107" i="1" s="1"/>
  <c r="P107" i="1"/>
  <c r="F107" i="1"/>
  <c r="E107" i="1"/>
  <c r="D107" i="1"/>
  <c r="V106" i="1"/>
  <c r="W106" i="1" s="1"/>
  <c r="U106" i="1"/>
  <c r="T106" i="1"/>
  <c r="P106" i="1"/>
  <c r="F106" i="1"/>
  <c r="E106" i="1"/>
  <c r="D106" i="1"/>
  <c r="U105" i="1"/>
  <c r="V105" i="1" s="1"/>
  <c r="W105" i="1" s="1"/>
  <c r="T105" i="1"/>
  <c r="P105" i="1"/>
  <c r="F105" i="1"/>
  <c r="E105" i="1"/>
  <c r="D105" i="1"/>
  <c r="U104" i="1"/>
  <c r="T104" i="1"/>
  <c r="V104" i="1" s="1"/>
  <c r="W104" i="1" s="1"/>
  <c r="P104" i="1"/>
  <c r="F104" i="1"/>
  <c r="E104" i="1"/>
  <c r="D104" i="1"/>
  <c r="V103" i="1"/>
  <c r="U103" i="1"/>
  <c r="T103" i="1"/>
  <c r="P103" i="1"/>
  <c r="F103" i="1"/>
  <c r="E103" i="1"/>
  <c r="D103" i="1"/>
  <c r="U102" i="1"/>
  <c r="V102" i="1" s="1"/>
  <c r="W102" i="1" s="1"/>
  <c r="T102" i="1"/>
  <c r="P102" i="1"/>
  <c r="F102" i="1"/>
  <c r="E102" i="1"/>
  <c r="D102" i="1"/>
  <c r="W101" i="1"/>
  <c r="U101" i="1"/>
  <c r="T101" i="1"/>
  <c r="V101" i="1" s="1"/>
  <c r="P101" i="1"/>
  <c r="F101" i="1"/>
  <c r="E101" i="1"/>
  <c r="D101" i="1"/>
  <c r="U100" i="1"/>
  <c r="T100" i="1"/>
  <c r="P100" i="1"/>
  <c r="F100" i="1"/>
  <c r="E100" i="1"/>
  <c r="D100" i="1"/>
  <c r="W99" i="1"/>
  <c r="U99" i="1"/>
  <c r="V99" i="1" s="1"/>
  <c r="T99" i="1"/>
  <c r="P99" i="1"/>
  <c r="F99" i="1"/>
  <c r="E99" i="1"/>
  <c r="D99" i="1"/>
  <c r="U98" i="1"/>
  <c r="T98" i="1"/>
  <c r="V98" i="1" s="1"/>
  <c r="W98" i="1" s="1"/>
  <c r="P98" i="1"/>
  <c r="F98" i="1"/>
  <c r="E98" i="1"/>
  <c r="D98" i="1"/>
  <c r="U97" i="1"/>
  <c r="T97" i="1"/>
  <c r="P97" i="1"/>
  <c r="F97" i="1"/>
  <c r="E97" i="1"/>
  <c r="D97" i="1"/>
  <c r="U96" i="1"/>
  <c r="V96" i="1" s="1"/>
  <c r="W96" i="1" s="1"/>
  <c r="T96" i="1"/>
  <c r="P96" i="1"/>
  <c r="F96" i="1"/>
  <c r="E96" i="1"/>
  <c r="D96" i="1"/>
  <c r="U95" i="1"/>
  <c r="T95" i="1"/>
  <c r="V95" i="1" s="1"/>
  <c r="W95" i="1" s="1"/>
  <c r="P95" i="1"/>
  <c r="F95" i="1"/>
  <c r="E95" i="1"/>
  <c r="D95" i="1"/>
  <c r="W94" i="1"/>
  <c r="V94" i="1"/>
  <c r="U94" i="1"/>
  <c r="T94" i="1"/>
  <c r="P94" i="1"/>
  <c r="F94" i="1"/>
  <c r="E94" i="1"/>
  <c r="D94" i="1"/>
  <c r="W93" i="1"/>
  <c r="U93" i="1"/>
  <c r="V93" i="1" s="1"/>
  <c r="T93" i="1"/>
  <c r="P93" i="1"/>
  <c r="F93" i="1"/>
  <c r="E93" i="1"/>
  <c r="D93" i="1"/>
  <c r="U92" i="1"/>
  <c r="T92" i="1"/>
  <c r="V92" i="1" s="1"/>
  <c r="W92" i="1" s="1"/>
  <c r="P92" i="1"/>
  <c r="F92" i="1"/>
  <c r="E92" i="1"/>
  <c r="D92" i="1"/>
  <c r="U91" i="1"/>
  <c r="T91" i="1"/>
  <c r="P91" i="1"/>
  <c r="F91" i="1"/>
  <c r="E91" i="1"/>
  <c r="D91" i="1"/>
  <c r="U90" i="1"/>
  <c r="V90" i="1" s="1"/>
  <c r="W90" i="1" s="1"/>
  <c r="T90" i="1"/>
  <c r="P90" i="1"/>
  <c r="F90" i="1"/>
  <c r="E90" i="1"/>
  <c r="D90" i="1"/>
  <c r="W89" i="1"/>
  <c r="U89" i="1"/>
  <c r="T89" i="1"/>
  <c r="V89" i="1" s="1"/>
  <c r="P89" i="1"/>
  <c r="F89" i="1"/>
  <c r="E89" i="1"/>
  <c r="D89" i="1"/>
  <c r="V88" i="1"/>
  <c r="W88" i="1" s="1"/>
  <c r="U88" i="1"/>
  <c r="T88" i="1"/>
  <c r="P88" i="1"/>
  <c r="F88" i="1"/>
  <c r="E88" i="1"/>
  <c r="D88" i="1"/>
  <c r="U87" i="1"/>
  <c r="V87" i="1" s="1"/>
  <c r="W87" i="1" s="1"/>
  <c r="T87" i="1"/>
  <c r="P87" i="1"/>
  <c r="F87" i="1"/>
  <c r="E87" i="1"/>
  <c r="D87" i="1"/>
  <c r="U86" i="1"/>
  <c r="T86" i="1"/>
  <c r="V86" i="1" s="1"/>
  <c r="W86" i="1" s="1"/>
  <c r="P86" i="1"/>
  <c r="F86" i="1"/>
  <c r="E86" i="1"/>
  <c r="D86" i="1"/>
  <c r="U85" i="1"/>
  <c r="T85" i="1"/>
  <c r="V85" i="1" s="1"/>
  <c r="P85" i="1"/>
  <c r="F85" i="1"/>
  <c r="E85" i="1"/>
  <c r="D85" i="1"/>
  <c r="U84" i="1"/>
  <c r="V84" i="1" s="1"/>
  <c r="W84" i="1" s="1"/>
  <c r="T84" i="1"/>
  <c r="P84" i="1"/>
  <c r="F84" i="1"/>
  <c r="E84" i="1"/>
  <c r="D84" i="1"/>
  <c r="W83" i="1"/>
  <c r="U83" i="1"/>
  <c r="T83" i="1"/>
  <c r="V83" i="1" s="1"/>
  <c r="P83" i="1"/>
  <c r="F83" i="1"/>
  <c r="E83" i="1"/>
  <c r="D83" i="1"/>
  <c r="U82" i="1"/>
  <c r="T82" i="1"/>
  <c r="P82" i="1"/>
  <c r="F82" i="1"/>
  <c r="E82" i="1"/>
  <c r="D82" i="1"/>
  <c r="W81" i="1"/>
  <c r="U81" i="1"/>
  <c r="V81" i="1" s="1"/>
  <c r="T81" i="1"/>
  <c r="P81" i="1"/>
  <c r="F81" i="1"/>
  <c r="E81" i="1"/>
  <c r="D81" i="1"/>
  <c r="W80" i="1"/>
  <c r="U80" i="1"/>
  <c r="T80" i="1"/>
  <c r="V80" i="1" s="1"/>
  <c r="P80" i="1"/>
  <c r="F80" i="1"/>
  <c r="E80" i="1"/>
  <c r="D80" i="1"/>
  <c r="U79" i="1"/>
  <c r="T79" i="1"/>
  <c r="P79" i="1"/>
  <c r="F79" i="1"/>
  <c r="E79" i="1"/>
  <c r="D79" i="1"/>
  <c r="U78" i="1"/>
  <c r="V78" i="1" s="1"/>
  <c r="W78" i="1" s="1"/>
  <c r="T78" i="1"/>
  <c r="P78" i="1"/>
  <c r="F78" i="1"/>
  <c r="E78" i="1"/>
  <c r="D78" i="1"/>
  <c r="U77" i="1"/>
  <c r="T77" i="1"/>
  <c r="V77" i="1" s="1"/>
  <c r="W77" i="1" s="1"/>
  <c r="P77" i="1"/>
  <c r="F77" i="1"/>
  <c r="E77" i="1"/>
  <c r="D77" i="1"/>
  <c r="W76" i="1"/>
  <c r="V76" i="1"/>
  <c r="U76" i="1"/>
  <c r="T76" i="1"/>
  <c r="P76" i="1"/>
  <c r="F76" i="1"/>
  <c r="E76" i="1"/>
  <c r="D76" i="1"/>
  <c r="U75" i="1"/>
  <c r="V75" i="1" s="1"/>
  <c r="W75" i="1" s="1"/>
  <c r="T75" i="1"/>
  <c r="P75" i="1"/>
  <c r="F75" i="1"/>
  <c r="E75" i="1"/>
  <c r="D75" i="1"/>
  <c r="U74" i="1"/>
  <c r="T74" i="1"/>
  <c r="V74" i="1" s="1"/>
  <c r="W74" i="1" s="1"/>
  <c r="P74" i="1"/>
  <c r="F74" i="1"/>
  <c r="E74" i="1"/>
  <c r="D74" i="1"/>
  <c r="U73" i="1"/>
  <c r="T73" i="1"/>
  <c r="P73" i="1"/>
  <c r="F73" i="1"/>
  <c r="E73" i="1"/>
  <c r="D73" i="1"/>
  <c r="U72" i="1"/>
  <c r="V72" i="1" s="1"/>
  <c r="W72" i="1" s="1"/>
  <c r="T72" i="1"/>
  <c r="P72" i="1"/>
  <c r="F72" i="1"/>
  <c r="E72" i="1"/>
  <c r="D72" i="1"/>
  <c r="W71" i="1"/>
  <c r="U71" i="1"/>
  <c r="T71" i="1"/>
  <c r="V71" i="1" s="1"/>
  <c r="P71" i="1"/>
  <c r="F71" i="1"/>
  <c r="E71" i="1"/>
  <c r="D71" i="1"/>
  <c r="W70" i="1"/>
  <c r="V70" i="1"/>
  <c r="U70" i="1"/>
  <c r="T70" i="1"/>
  <c r="P70" i="1"/>
  <c r="F70" i="1"/>
  <c r="E70" i="1"/>
  <c r="D70" i="1"/>
  <c r="U69" i="1"/>
  <c r="V69" i="1" s="1"/>
  <c r="W69" i="1" s="1"/>
  <c r="T69" i="1"/>
  <c r="P69" i="1"/>
  <c r="F69" i="1"/>
  <c r="E69" i="1"/>
  <c r="D69" i="1"/>
  <c r="U68" i="1"/>
  <c r="T68" i="1"/>
  <c r="V68" i="1" s="1"/>
  <c r="W68" i="1" s="1"/>
  <c r="P68" i="1"/>
  <c r="F68" i="1"/>
  <c r="E68" i="1"/>
  <c r="D68" i="1"/>
  <c r="U67" i="1"/>
  <c r="T67" i="1"/>
  <c r="V67" i="1" s="1"/>
  <c r="P67" i="1"/>
  <c r="F67" i="1"/>
  <c r="E67" i="1"/>
  <c r="D67" i="1"/>
  <c r="U66" i="1"/>
  <c r="V66" i="1" s="1"/>
  <c r="W66" i="1" s="1"/>
  <c r="T66" i="1"/>
  <c r="P66" i="1"/>
  <c r="F66" i="1"/>
  <c r="E66" i="1"/>
  <c r="D66" i="1"/>
  <c r="W65" i="1"/>
  <c r="U65" i="1"/>
  <c r="T65" i="1"/>
  <c r="V65" i="1" s="1"/>
  <c r="P65" i="1"/>
  <c r="F65" i="1"/>
  <c r="E65" i="1"/>
  <c r="D65" i="1"/>
  <c r="U64" i="1"/>
  <c r="T64" i="1"/>
  <c r="P64" i="1"/>
  <c r="F64" i="1"/>
  <c r="E64" i="1"/>
  <c r="D64" i="1"/>
  <c r="W63" i="1"/>
  <c r="U63" i="1"/>
  <c r="V63" i="1" s="1"/>
  <c r="T63" i="1"/>
  <c r="P63" i="1"/>
  <c r="F63" i="1"/>
  <c r="E63" i="1"/>
  <c r="D63" i="1"/>
  <c r="W62" i="1"/>
  <c r="U62" i="1"/>
  <c r="T62" i="1"/>
  <c r="V62" i="1" s="1"/>
  <c r="P62" i="1"/>
  <c r="F62" i="1"/>
  <c r="E62" i="1"/>
  <c r="D62" i="1"/>
  <c r="U61" i="1"/>
  <c r="T61" i="1"/>
  <c r="P61" i="1"/>
  <c r="F61" i="1"/>
  <c r="E61" i="1"/>
  <c r="D61" i="1"/>
  <c r="U60" i="1"/>
  <c r="V60" i="1" s="1"/>
  <c r="W60" i="1" s="1"/>
  <c r="T60" i="1"/>
  <c r="P60" i="1"/>
  <c r="F60" i="1"/>
  <c r="E60" i="1"/>
  <c r="D60" i="1"/>
  <c r="U59" i="1"/>
  <c r="T59" i="1"/>
  <c r="V59" i="1" s="1"/>
  <c r="W59" i="1" s="1"/>
  <c r="P59" i="1"/>
  <c r="F59" i="1"/>
  <c r="E59" i="1"/>
  <c r="D59" i="1"/>
  <c r="W58" i="1"/>
  <c r="V58" i="1"/>
  <c r="U58" i="1"/>
  <c r="T58" i="1"/>
  <c r="P58" i="1"/>
  <c r="F58" i="1"/>
  <c r="E58" i="1"/>
  <c r="D58" i="1"/>
  <c r="U57" i="1"/>
  <c r="V57" i="1" s="1"/>
  <c r="W57" i="1" s="1"/>
  <c r="T57" i="1"/>
  <c r="P57" i="1"/>
  <c r="F57" i="1"/>
  <c r="E57" i="1"/>
  <c r="D57" i="1"/>
  <c r="U56" i="1"/>
  <c r="T56" i="1"/>
  <c r="V56" i="1" s="1"/>
  <c r="W56" i="1" s="1"/>
  <c r="P56" i="1"/>
  <c r="F56" i="1"/>
  <c r="E56" i="1"/>
  <c r="D56" i="1"/>
  <c r="U55" i="1"/>
  <c r="T55" i="1"/>
  <c r="P55" i="1"/>
  <c r="F55" i="1"/>
  <c r="E55" i="1"/>
  <c r="D55" i="1"/>
  <c r="U54" i="1"/>
  <c r="V54" i="1" s="1"/>
  <c r="W54" i="1" s="1"/>
  <c r="T54" i="1"/>
  <c r="P54" i="1"/>
  <c r="F54" i="1"/>
  <c r="E54" i="1"/>
  <c r="D54" i="1"/>
  <c r="W53" i="1"/>
  <c r="U53" i="1"/>
  <c r="T53" i="1"/>
  <c r="V53" i="1" s="1"/>
  <c r="P53" i="1"/>
  <c r="F53" i="1"/>
  <c r="E53" i="1"/>
  <c r="D53" i="1"/>
  <c r="V52" i="1"/>
  <c r="W52" i="1" s="1"/>
  <c r="U52" i="1"/>
  <c r="T52" i="1"/>
  <c r="P52" i="1"/>
  <c r="F52" i="1"/>
  <c r="E52" i="1"/>
  <c r="D52" i="1"/>
  <c r="U51" i="1"/>
  <c r="V51" i="1" s="1"/>
  <c r="W51" i="1" s="1"/>
  <c r="T51" i="1"/>
  <c r="P51" i="1"/>
  <c r="F51" i="1"/>
  <c r="E51" i="1"/>
  <c r="D51" i="1"/>
  <c r="U50" i="1"/>
  <c r="T50" i="1"/>
  <c r="V50" i="1" s="1"/>
  <c r="W50" i="1" s="1"/>
  <c r="P50" i="1"/>
  <c r="F50" i="1"/>
  <c r="E50" i="1"/>
  <c r="D50" i="1"/>
  <c r="U49" i="1"/>
  <c r="V49" i="1" s="1"/>
  <c r="T49" i="1"/>
  <c r="P49" i="1"/>
  <c r="F49" i="1"/>
  <c r="E49" i="1"/>
  <c r="D49" i="1"/>
  <c r="U48" i="1"/>
  <c r="V48" i="1" s="1"/>
  <c r="W48" i="1" s="1"/>
  <c r="T48" i="1"/>
  <c r="P48" i="1"/>
  <c r="F48" i="1"/>
  <c r="E48" i="1"/>
  <c r="D48" i="1"/>
  <c r="W47" i="1"/>
  <c r="U47" i="1"/>
  <c r="T47" i="1"/>
  <c r="V47" i="1" s="1"/>
  <c r="P47" i="1"/>
  <c r="F47" i="1"/>
  <c r="E47" i="1"/>
  <c r="D47" i="1"/>
  <c r="U46" i="1"/>
  <c r="T46" i="1"/>
  <c r="P46" i="1"/>
  <c r="F46" i="1"/>
  <c r="E46" i="1"/>
  <c r="D46" i="1"/>
  <c r="W45" i="1"/>
  <c r="U45" i="1"/>
  <c r="V45" i="1" s="1"/>
  <c r="T45" i="1"/>
  <c r="P45" i="1"/>
  <c r="F45" i="1"/>
  <c r="E45" i="1"/>
  <c r="D45" i="1"/>
  <c r="U44" i="1"/>
  <c r="T44" i="1"/>
  <c r="V44" i="1" s="1"/>
  <c r="W44" i="1" s="1"/>
  <c r="P44" i="1"/>
  <c r="F44" i="1"/>
  <c r="E44" i="1"/>
  <c r="D44" i="1"/>
  <c r="U43" i="1"/>
  <c r="T43" i="1"/>
  <c r="P43" i="1"/>
  <c r="F43" i="1"/>
  <c r="E43" i="1"/>
  <c r="D43" i="1"/>
  <c r="U42" i="1"/>
  <c r="V42" i="1" s="1"/>
  <c r="W42" i="1" s="1"/>
  <c r="T42" i="1"/>
  <c r="P42" i="1"/>
  <c r="F42" i="1"/>
  <c r="E42" i="1"/>
  <c r="D42" i="1"/>
  <c r="U41" i="1"/>
  <c r="T41" i="1"/>
  <c r="V41" i="1" s="1"/>
  <c r="W41" i="1" s="1"/>
  <c r="P41" i="1"/>
  <c r="F41" i="1"/>
  <c r="E41" i="1"/>
  <c r="D41" i="1"/>
  <c r="W40" i="1"/>
  <c r="V40" i="1"/>
  <c r="U40" i="1"/>
  <c r="T40" i="1"/>
  <c r="P40" i="1"/>
  <c r="F40" i="1"/>
  <c r="E40" i="1"/>
  <c r="D40" i="1"/>
  <c r="W39" i="1"/>
  <c r="U39" i="1"/>
  <c r="V39" i="1" s="1"/>
  <c r="T39" i="1"/>
  <c r="P39" i="1"/>
  <c r="F39" i="1"/>
  <c r="E39" i="1"/>
  <c r="D39" i="1"/>
  <c r="U38" i="1"/>
  <c r="T38" i="1"/>
  <c r="V38" i="1" s="1"/>
  <c r="W38" i="1" s="1"/>
  <c r="P38" i="1"/>
  <c r="F38" i="1"/>
  <c r="E38" i="1"/>
  <c r="D38" i="1"/>
  <c r="U37" i="1"/>
  <c r="T37" i="1"/>
  <c r="P37" i="1"/>
  <c r="F37" i="1"/>
  <c r="E37" i="1"/>
  <c r="D37" i="1"/>
  <c r="U36" i="1"/>
  <c r="V36" i="1" s="1"/>
  <c r="W36" i="1" s="1"/>
  <c r="T36" i="1"/>
  <c r="P36" i="1"/>
  <c r="F36" i="1"/>
  <c r="E36" i="1"/>
  <c r="D36" i="1"/>
  <c r="W35" i="1"/>
  <c r="U35" i="1"/>
  <c r="T35" i="1"/>
  <c r="V35" i="1" s="1"/>
  <c r="P35" i="1"/>
  <c r="F35" i="1"/>
  <c r="E35" i="1"/>
  <c r="D35" i="1"/>
  <c r="V34" i="1"/>
  <c r="W34" i="1" s="1"/>
  <c r="U34" i="1"/>
  <c r="T34" i="1"/>
  <c r="P34" i="1"/>
  <c r="F34" i="1"/>
  <c r="E34" i="1"/>
  <c r="D34" i="1"/>
  <c r="U33" i="1"/>
  <c r="V33" i="1" s="1"/>
  <c r="W33" i="1" s="1"/>
  <c r="T33" i="1"/>
  <c r="P33" i="1"/>
  <c r="F33" i="1"/>
  <c r="E33" i="1"/>
  <c r="D33" i="1"/>
  <c r="U32" i="1"/>
  <c r="T32" i="1"/>
  <c r="V32" i="1" s="1"/>
  <c r="W32" i="1" s="1"/>
  <c r="P32" i="1"/>
  <c r="F32" i="1"/>
  <c r="E32" i="1"/>
  <c r="D32" i="1"/>
  <c r="U31" i="1"/>
  <c r="V31" i="1" s="1"/>
  <c r="T31" i="1"/>
  <c r="P31" i="1"/>
  <c r="F31" i="1"/>
  <c r="E31" i="1"/>
  <c r="D31" i="1"/>
  <c r="U30" i="1"/>
  <c r="V30" i="1" s="1"/>
  <c r="W30" i="1" s="1"/>
  <c r="T30" i="1"/>
  <c r="P30" i="1"/>
  <c r="F30" i="1"/>
  <c r="E30" i="1"/>
  <c r="D30" i="1"/>
  <c r="W29" i="1"/>
  <c r="U29" i="1"/>
  <c r="T29" i="1"/>
  <c r="V29" i="1" s="1"/>
  <c r="P29" i="1"/>
  <c r="F29" i="1"/>
  <c r="E29" i="1"/>
  <c r="D29" i="1"/>
  <c r="U28" i="1"/>
  <c r="T28" i="1"/>
  <c r="P28" i="1"/>
  <c r="F28" i="1"/>
  <c r="E28" i="1"/>
  <c r="D28" i="1"/>
  <c r="W27" i="1"/>
  <c r="U27" i="1"/>
  <c r="V27" i="1" s="1"/>
  <c r="T27" i="1"/>
  <c r="P27" i="1"/>
  <c r="F27" i="1"/>
  <c r="E27" i="1"/>
  <c r="D27" i="1"/>
  <c r="U26" i="1"/>
  <c r="T26" i="1"/>
  <c r="V26" i="1" s="1"/>
  <c r="W26" i="1" s="1"/>
  <c r="P26" i="1"/>
  <c r="F26" i="1"/>
  <c r="E26" i="1"/>
  <c r="D26" i="1"/>
  <c r="U25" i="1"/>
  <c r="T25" i="1"/>
  <c r="P25" i="1"/>
  <c r="F25" i="1"/>
  <c r="E25" i="1"/>
  <c r="D25" i="1"/>
  <c r="U24" i="1"/>
  <c r="V24" i="1" s="1"/>
  <c r="W24" i="1" s="1"/>
  <c r="T24" i="1"/>
  <c r="P24" i="1"/>
  <c r="F24" i="1"/>
  <c r="E24" i="1"/>
  <c r="D24" i="1"/>
  <c r="U23" i="1"/>
  <c r="T23" i="1"/>
  <c r="V23" i="1" s="1"/>
  <c r="W23" i="1" s="1"/>
  <c r="P23" i="1"/>
  <c r="F23" i="1"/>
  <c r="E23" i="1"/>
  <c r="D23" i="1"/>
  <c r="W22" i="1"/>
  <c r="V22" i="1"/>
  <c r="U22" i="1"/>
  <c r="T22" i="1"/>
  <c r="P22" i="1"/>
  <c r="F22" i="1"/>
  <c r="E22" i="1"/>
  <c r="D22" i="1"/>
  <c r="U21" i="1"/>
  <c r="V21" i="1" s="1"/>
  <c r="W21" i="1" s="1"/>
  <c r="T21" i="1"/>
  <c r="P21" i="1"/>
  <c r="F21" i="1"/>
  <c r="E21" i="1"/>
  <c r="D21" i="1"/>
  <c r="U20" i="1"/>
  <c r="T20" i="1"/>
  <c r="V20" i="1" s="1"/>
  <c r="W20" i="1" s="1"/>
  <c r="P20" i="1"/>
  <c r="F20" i="1"/>
  <c r="E20" i="1"/>
  <c r="D20" i="1"/>
  <c r="U19" i="1"/>
  <c r="T19" i="1"/>
  <c r="P19" i="1"/>
  <c r="F19" i="1"/>
  <c r="E19" i="1"/>
  <c r="D19" i="1"/>
  <c r="U18" i="1"/>
  <c r="V18" i="1" s="1"/>
  <c r="W18" i="1" s="1"/>
  <c r="T18" i="1"/>
  <c r="P18" i="1"/>
  <c r="F18" i="1"/>
  <c r="E18" i="1"/>
  <c r="D18" i="1"/>
  <c r="W17" i="1"/>
  <c r="U17" i="1"/>
  <c r="T17" i="1"/>
  <c r="V17" i="1" s="1"/>
  <c r="P17" i="1"/>
  <c r="F17" i="1"/>
  <c r="E17" i="1"/>
  <c r="D17" i="1"/>
  <c r="V16" i="1"/>
  <c r="W16" i="1" s="1"/>
  <c r="U16" i="1"/>
  <c r="T16" i="1"/>
  <c r="P16" i="1"/>
  <c r="F16" i="1"/>
  <c r="E16" i="1"/>
  <c r="D16" i="1"/>
  <c r="U15" i="1"/>
  <c r="V15" i="1" s="1"/>
  <c r="W15" i="1" s="1"/>
  <c r="T15" i="1"/>
  <c r="P15" i="1"/>
  <c r="F15" i="1"/>
  <c r="E15" i="1"/>
  <c r="D15" i="1"/>
  <c r="U14" i="1"/>
  <c r="T14" i="1"/>
  <c r="V14" i="1" s="1"/>
  <c r="W14" i="1" s="1"/>
  <c r="P14" i="1"/>
  <c r="F14" i="1"/>
  <c r="E14" i="1"/>
  <c r="D14" i="1"/>
  <c r="U13" i="1"/>
  <c r="T13" i="1"/>
  <c r="P13" i="1"/>
  <c r="F13" i="1"/>
  <c r="E13" i="1"/>
  <c r="D13" i="1"/>
  <c r="U12" i="1"/>
  <c r="V12" i="1" s="1"/>
  <c r="W12" i="1" s="1"/>
  <c r="T12" i="1"/>
  <c r="P12" i="1"/>
  <c r="F12" i="1"/>
  <c r="E12" i="1"/>
  <c r="D12" i="1"/>
  <c r="W11" i="1"/>
  <c r="U11" i="1"/>
  <c r="T11" i="1"/>
  <c r="V11" i="1" s="1"/>
  <c r="P11" i="1"/>
  <c r="F11" i="1"/>
  <c r="E11" i="1"/>
  <c r="D11" i="1"/>
  <c r="U10" i="1"/>
  <c r="T10" i="1"/>
  <c r="P10" i="1"/>
  <c r="F10" i="1"/>
  <c r="E10" i="1"/>
  <c r="D10" i="1"/>
  <c r="W9" i="1"/>
  <c r="V9" i="1"/>
  <c r="U9" i="1"/>
  <c r="T9" i="1"/>
  <c r="P9" i="1"/>
  <c r="F9" i="1"/>
  <c r="E9" i="1"/>
  <c r="D9" i="1"/>
  <c r="W8" i="1"/>
  <c r="U8" i="1"/>
  <c r="T8" i="1"/>
  <c r="V8" i="1" s="1"/>
  <c r="P8" i="1"/>
  <c r="F8" i="1"/>
  <c r="E8" i="1"/>
  <c r="D8" i="1"/>
  <c r="U7" i="1"/>
  <c r="T7" i="1"/>
  <c r="P7" i="1"/>
  <c r="F7" i="1"/>
  <c r="E7" i="1"/>
  <c r="D7" i="1"/>
  <c r="U6" i="1"/>
  <c r="V6" i="1" s="1"/>
  <c r="W6" i="1" s="1"/>
  <c r="T6" i="1"/>
  <c r="P6" i="1"/>
  <c r="F6" i="1"/>
  <c r="E6" i="1"/>
  <c r="D6" i="1"/>
  <c r="W5" i="1"/>
  <c r="U5" i="1"/>
  <c r="T5" i="1"/>
  <c r="V5" i="1" s="1"/>
  <c r="P5" i="1"/>
  <c r="F5" i="1"/>
  <c r="E5" i="1"/>
  <c r="D5" i="1"/>
  <c r="U4" i="1"/>
  <c r="T4" i="1"/>
  <c r="P4" i="1"/>
  <c r="F4" i="1"/>
  <c r="E4" i="1"/>
  <c r="D4" i="1"/>
  <c r="U3" i="1"/>
  <c r="V3" i="1" s="1"/>
  <c r="W3" i="1" s="1"/>
  <c r="T3" i="1"/>
  <c r="P3" i="1"/>
  <c r="F3" i="1"/>
  <c r="E3" i="1"/>
  <c r="D3" i="1"/>
  <c r="U2" i="1"/>
  <c r="T2" i="1"/>
  <c r="V2" i="1" s="1"/>
  <c r="W2" i="1" s="1"/>
  <c r="P2" i="1"/>
  <c r="F2" i="1"/>
  <c r="E2" i="1"/>
  <c r="D2" i="1"/>
  <c r="U1" i="1"/>
  <c r="T1" i="1"/>
  <c r="P1" i="1"/>
  <c r="F1" i="1"/>
  <c r="E1" i="1"/>
  <c r="D1" i="1"/>
  <c r="U632" i="11"/>
  <c r="T632" i="11"/>
  <c r="P632" i="11"/>
  <c r="F632" i="11"/>
  <c r="E632" i="11"/>
  <c r="D632" i="11"/>
  <c r="U631" i="11"/>
  <c r="T631" i="11"/>
  <c r="P631" i="11"/>
  <c r="F631" i="11"/>
  <c r="E631" i="11"/>
  <c r="D631" i="11"/>
  <c r="U630" i="11"/>
  <c r="T630" i="11"/>
  <c r="P630" i="11"/>
  <c r="F630" i="11"/>
  <c r="E630" i="11"/>
  <c r="D630" i="11"/>
  <c r="U629" i="11"/>
  <c r="T629" i="11"/>
  <c r="P629" i="11"/>
  <c r="F629" i="11"/>
  <c r="E629" i="11"/>
  <c r="D629" i="11"/>
  <c r="U628" i="11"/>
  <c r="T628" i="11"/>
  <c r="W628" i="11" s="1"/>
  <c r="P628" i="11"/>
  <c r="F628" i="11"/>
  <c r="E628" i="11"/>
  <c r="D628" i="11"/>
  <c r="U627" i="11"/>
  <c r="T627" i="11"/>
  <c r="W627" i="11" s="1"/>
  <c r="P627" i="11"/>
  <c r="F627" i="11"/>
  <c r="E627" i="11"/>
  <c r="D627" i="11"/>
  <c r="U626" i="11"/>
  <c r="T626" i="11"/>
  <c r="P626" i="11"/>
  <c r="F626" i="11"/>
  <c r="E626" i="11"/>
  <c r="D626" i="11"/>
  <c r="U625" i="11"/>
  <c r="T625" i="11"/>
  <c r="P625" i="11"/>
  <c r="F625" i="11"/>
  <c r="E625" i="11"/>
  <c r="D625" i="11"/>
  <c r="W624" i="11"/>
  <c r="V624" i="11"/>
  <c r="U624" i="11"/>
  <c r="T624" i="11"/>
  <c r="P624" i="11"/>
  <c r="F624" i="11"/>
  <c r="E624" i="11"/>
  <c r="D624" i="11"/>
  <c r="U623" i="11"/>
  <c r="T623" i="11"/>
  <c r="P623" i="11"/>
  <c r="F623" i="11"/>
  <c r="E623" i="11"/>
  <c r="D623" i="11"/>
  <c r="U622" i="11"/>
  <c r="T622" i="11"/>
  <c r="W622" i="11" s="1"/>
  <c r="P622" i="11"/>
  <c r="F622" i="11"/>
  <c r="E622" i="11"/>
  <c r="D622" i="11"/>
  <c r="U621" i="11"/>
  <c r="T621" i="11"/>
  <c r="P621" i="11"/>
  <c r="F621" i="11"/>
  <c r="E621" i="11"/>
  <c r="D621" i="11"/>
  <c r="U620" i="11"/>
  <c r="T620" i="11"/>
  <c r="P620" i="11"/>
  <c r="F620" i="11"/>
  <c r="E620" i="11"/>
  <c r="D620" i="11"/>
  <c r="W619" i="11"/>
  <c r="V619" i="11"/>
  <c r="U619" i="11"/>
  <c r="T619" i="11"/>
  <c r="P619" i="11"/>
  <c r="F619" i="11"/>
  <c r="E619" i="11"/>
  <c r="D619" i="11"/>
  <c r="W618" i="11"/>
  <c r="V618" i="11"/>
  <c r="U618" i="11"/>
  <c r="T618" i="11"/>
  <c r="P618" i="11"/>
  <c r="F618" i="11"/>
  <c r="E618" i="11"/>
  <c r="D618" i="11"/>
  <c r="U617" i="11"/>
  <c r="T617" i="11"/>
  <c r="P617" i="11"/>
  <c r="F617" i="11"/>
  <c r="E617" i="11"/>
  <c r="D617" i="11"/>
  <c r="U616" i="11"/>
  <c r="T616" i="11"/>
  <c r="P616" i="11"/>
  <c r="F616" i="11"/>
  <c r="E616" i="11"/>
  <c r="D616" i="11"/>
  <c r="U615" i="11"/>
  <c r="T615" i="11"/>
  <c r="W615" i="11" s="1"/>
  <c r="P615" i="11"/>
  <c r="F615" i="11"/>
  <c r="E615" i="11"/>
  <c r="D615" i="11"/>
  <c r="U614" i="11"/>
  <c r="T614" i="11"/>
  <c r="P614" i="11"/>
  <c r="F614" i="11"/>
  <c r="E614" i="11"/>
  <c r="D614" i="11"/>
  <c r="W613" i="11"/>
  <c r="V613" i="11"/>
  <c r="U613" i="11"/>
  <c r="T613" i="11"/>
  <c r="P613" i="11"/>
  <c r="F613" i="11"/>
  <c r="E613" i="11"/>
  <c r="D613" i="11"/>
  <c r="U612" i="11"/>
  <c r="T612" i="11"/>
  <c r="P612" i="11"/>
  <c r="F612" i="11"/>
  <c r="E612" i="11"/>
  <c r="D612" i="11"/>
  <c r="U611" i="11"/>
  <c r="T611" i="11"/>
  <c r="P611" i="11"/>
  <c r="F611" i="11"/>
  <c r="E611" i="11"/>
  <c r="D611" i="11"/>
  <c r="U610" i="11"/>
  <c r="T610" i="11"/>
  <c r="W610" i="11" s="1"/>
  <c r="P610" i="11"/>
  <c r="F610" i="11"/>
  <c r="E610" i="11"/>
  <c r="D610" i="11"/>
  <c r="U609" i="11"/>
  <c r="T609" i="11"/>
  <c r="W609" i="11" s="1"/>
  <c r="P609" i="11"/>
  <c r="F609" i="11"/>
  <c r="E609" i="11"/>
  <c r="D609" i="11"/>
  <c r="U608" i="11"/>
  <c r="T608" i="11"/>
  <c r="P608" i="11"/>
  <c r="F608" i="11"/>
  <c r="E608" i="11"/>
  <c r="D608" i="11"/>
  <c r="U607" i="11"/>
  <c r="T607" i="11"/>
  <c r="P607" i="11"/>
  <c r="F607" i="11"/>
  <c r="E607" i="11"/>
  <c r="D607" i="11"/>
  <c r="V606" i="11"/>
  <c r="W606" i="11" s="1"/>
  <c r="U606" i="11"/>
  <c r="T606" i="11"/>
  <c r="P606" i="11"/>
  <c r="F606" i="11"/>
  <c r="E606" i="11"/>
  <c r="D606" i="11"/>
  <c r="U605" i="11"/>
  <c r="T605" i="11"/>
  <c r="P605" i="11"/>
  <c r="F605" i="11"/>
  <c r="E605" i="11"/>
  <c r="D605" i="11"/>
  <c r="U604" i="11"/>
  <c r="T604" i="11"/>
  <c r="P604" i="11"/>
  <c r="F604" i="11"/>
  <c r="E604" i="11"/>
  <c r="D604" i="11"/>
  <c r="V603" i="11"/>
  <c r="W603" i="11" s="1"/>
  <c r="U603" i="11"/>
  <c r="T603" i="11"/>
  <c r="P603" i="11"/>
  <c r="F603" i="11"/>
  <c r="E603" i="11"/>
  <c r="D603" i="11"/>
  <c r="U602" i="11"/>
  <c r="T602" i="11"/>
  <c r="P602" i="11"/>
  <c r="F602" i="11"/>
  <c r="E602" i="11"/>
  <c r="D602" i="11"/>
  <c r="V601" i="11"/>
  <c r="W601" i="11" s="1"/>
  <c r="U601" i="11"/>
  <c r="T601" i="11"/>
  <c r="P601" i="11"/>
  <c r="F601" i="11"/>
  <c r="E601" i="11"/>
  <c r="D601" i="11"/>
  <c r="U600" i="11"/>
  <c r="T600" i="11"/>
  <c r="P600" i="11"/>
  <c r="F600" i="11"/>
  <c r="E600" i="11"/>
  <c r="D600" i="11"/>
  <c r="U599" i="11"/>
  <c r="T599" i="11"/>
  <c r="P599" i="11"/>
  <c r="F599" i="11"/>
  <c r="E599" i="11"/>
  <c r="D599" i="11"/>
  <c r="U598" i="11"/>
  <c r="T598" i="11"/>
  <c r="P598" i="11"/>
  <c r="F598" i="11"/>
  <c r="E598" i="11"/>
  <c r="D598" i="11"/>
  <c r="U597" i="11"/>
  <c r="T597" i="11"/>
  <c r="P597" i="11"/>
  <c r="F597" i="11"/>
  <c r="E597" i="11"/>
  <c r="D597" i="11"/>
  <c r="U596" i="11"/>
  <c r="T596" i="11"/>
  <c r="P596" i="11"/>
  <c r="F596" i="11"/>
  <c r="E596" i="11"/>
  <c r="D596" i="11"/>
  <c r="U595" i="11"/>
  <c r="T595" i="11"/>
  <c r="V595" i="11" s="1"/>
  <c r="P595" i="11"/>
  <c r="F595" i="11"/>
  <c r="E595" i="11"/>
  <c r="D595" i="11"/>
  <c r="U594" i="11"/>
  <c r="T594" i="11"/>
  <c r="P594" i="11"/>
  <c r="F594" i="11"/>
  <c r="E594" i="11"/>
  <c r="D594" i="11"/>
  <c r="U593" i="11"/>
  <c r="T593" i="11"/>
  <c r="P593" i="11"/>
  <c r="F593" i="11"/>
  <c r="E593" i="11"/>
  <c r="D593" i="11"/>
  <c r="V592" i="11"/>
  <c r="W592" i="11" s="1"/>
  <c r="U592" i="11"/>
  <c r="T592" i="11"/>
  <c r="P592" i="11"/>
  <c r="F592" i="11"/>
  <c r="E592" i="11"/>
  <c r="D592" i="11"/>
  <c r="U591" i="11"/>
  <c r="T591" i="11"/>
  <c r="P591" i="11"/>
  <c r="F591" i="11"/>
  <c r="E591" i="11"/>
  <c r="D591" i="11"/>
  <c r="U590" i="11"/>
  <c r="T590" i="11"/>
  <c r="P590" i="11"/>
  <c r="F590" i="11"/>
  <c r="E590" i="11"/>
  <c r="D590" i="11"/>
  <c r="U589" i="11"/>
  <c r="T589" i="11"/>
  <c r="P589" i="11"/>
  <c r="F589" i="11"/>
  <c r="E589" i="11"/>
  <c r="D589" i="11"/>
  <c r="W588" i="11"/>
  <c r="V588" i="11"/>
  <c r="U588" i="11"/>
  <c r="T588" i="11"/>
  <c r="P588" i="11"/>
  <c r="F588" i="11"/>
  <c r="E588" i="11"/>
  <c r="D588" i="11"/>
  <c r="U587" i="11"/>
  <c r="T587" i="11"/>
  <c r="P587" i="11"/>
  <c r="F587" i="11"/>
  <c r="E587" i="11"/>
  <c r="D587" i="11"/>
  <c r="U586" i="11"/>
  <c r="T586" i="11"/>
  <c r="P586" i="11"/>
  <c r="F586" i="11"/>
  <c r="E586" i="11"/>
  <c r="D586" i="11"/>
  <c r="U585" i="11"/>
  <c r="T585" i="11"/>
  <c r="V585" i="11" s="1"/>
  <c r="W585" i="11" s="1"/>
  <c r="P585" i="11"/>
  <c r="F585" i="11"/>
  <c r="E585" i="11"/>
  <c r="D585" i="11"/>
  <c r="U584" i="11"/>
  <c r="T584" i="11"/>
  <c r="P584" i="11"/>
  <c r="F584" i="11"/>
  <c r="E584" i="11"/>
  <c r="D584" i="11"/>
  <c r="W583" i="11"/>
  <c r="V583" i="11"/>
  <c r="U583" i="11"/>
  <c r="T583" i="11"/>
  <c r="P583" i="11"/>
  <c r="F583" i="11"/>
  <c r="E583" i="11"/>
  <c r="D583" i="11"/>
  <c r="U582" i="11"/>
  <c r="T582" i="11"/>
  <c r="P582" i="11"/>
  <c r="F582" i="11"/>
  <c r="E582" i="11"/>
  <c r="D582" i="11"/>
  <c r="U581" i="11"/>
  <c r="T581" i="11"/>
  <c r="P581" i="11"/>
  <c r="F581" i="11"/>
  <c r="E581" i="11"/>
  <c r="D581" i="11"/>
  <c r="U580" i="11"/>
  <c r="T580" i="11"/>
  <c r="P580" i="11"/>
  <c r="F580" i="11"/>
  <c r="E580" i="11"/>
  <c r="D580" i="11"/>
  <c r="U579" i="11"/>
  <c r="T579" i="11"/>
  <c r="V579" i="11" s="1"/>
  <c r="P579" i="11"/>
  <c r="F579" i="11"/>
  <c r="E579" i="11"/>
  <c r="D579" i="11"/>
  <c r="U578" i="11"/>
  <c r="T578" i="11"/>
  <c r="P578" i="11"/>
  <c r="F578" i="11"/>
  <c r="E578" i="11"/>
  <c r="D578" i="11"/>
  <c r="U577" i="11"/>
  <c r="T577" i="11"/>
  <c r="P577" i="11"/>
  <c r="F577" i="11"/>
  <c r="E577" i="11"/>
  <c r="D577" i="11"/>
  <c r="U576" i="11"/>
  <c r="T576" i="11"/>
  <c r="P576" i="11"/>
  <c r="F576" i="11"/>
  <c r="E576" i="11"/>
  <c r="D576" i="11"/>
  <c r="U575" i="11"/>
  <c r="T575" i="11"/>
  <c r="P575" i="11"/>
  <c r="F575" i="11"/>
  <c r="E575" i="11"/>
  <c r="D575" i="11"/>
  <c r="U574" i="11"/>
  <c r="T574" i="11"/>
  <c r="P574" i="11"/>
  <c r="F574" i="11"/>
  <c r="E574" i="11"/>
  <c r="D574" i="11"/>
  <c r="U573" i="11"/>
  <c r="T573" i="11"/>
  <c r="P573" i="11"/>
  <c r="F573" i="11"/>
  <c r="E573" i="11"/>
  <c r="D573" i="11"/>
  <c r="U572" i="11"/>
  <c r="T572" i="11"/>
  <c r="P572" i="11"/>
  <c r="F572" i="11"/>
  <c r="E572" i="11"/>
  <c r="D572" i="11"/>
  <c r="U571" i="11"/>
  <c r="T571" i="11"/>
  <c r="P571" i="11"/>
  <c r="F571" i="11"/>
  <c r="E571" i="11"/>
  <c r="D571" i="11"/>
  <c r="V570" i="11"/>
  <c r="W570" i="11" s="1"/>
  <c r="U570" i="11"/>
  <c r="T570" i="11"/>
  <c r="P570" i="11"/>
  <c r="F570" i="11"/>
  <c r="E570" i="11"/>
  <c r="D570" i="11"/>
  <c r="U569" i="11"/>
  <c r="T569" i="11"/>
  <c r="P569" i="11"/>
  <c r="F569" i="11"/>
  <c r="E569" i="11"/>
  <c r="D569" i="11"/>
  <c r="U568" i="11"/>
  <c r="T568" i="11"/>
  <c r="P568" i="11"/>
  <c r="F568" i="11"/>
  <c r="E568" i="11"/>
  <c r="D568" i="11"/>
  <c r="U567" i="11"/>
  <c r="T567" i="11"/>
  <c r="P567" i="11"/>
  <c r="F567" i="11"/>
  <c r="E567" i="11"/>
  <c r="D567" i="11"/>
  <c r="U566" i="11"/>
  <c r="T566" i="11"/>
  <c r="P566" i="11"/>
  <c r="F566" i="11"/>
  <c r="E566" i="11"/>
  <c r="D566" i="11"/>
  <c r="V565" i="11"/>
  <c r="W565" i="11" s="1"/>
  <c r="U565" i="11"/>
  <c r="T565" i="11"/>
  <c r="P565" i="11"/>
  <c r="F565" i="11"/>
  <c r="E565" i="11"/>
  <c r="D565" i="11"/>
  <c r="V564" i="11"/>
  <c r="W564" i="11" s="1"/>
  <c r="U564" i="11"/>
  <c r="T564" i="11"/>
  <c r="P564" i="11"/>
  <c r="F564" i="11"/>
  <c r="E564" i="11"/>
  <c r="D564" i="11"/>
  <c r="U563" i="11"/>
  <c r="T563" i="11"/>
  <c r="P563" i="11"/>
  <c r="F563" i="11"/>
  <c r="E563" i="11"/>
  <c r="D563" i="11"/>
  <c r="U562" i="11"/>
  <c r="T562" i="11"/>
  <c r="P562" i="11"/>
  <c r="F562" i="11"/>
  <c r="E562" i="11"/>
  <c r="D562" i="11"/>
  <c r="U561" i="11"/>
  <c r="T561" i="11"/>
  <c r="P561" i="11"/>
  <c r="F561" i="11"/>
  <c r="E561" i="11"/>
  <c r="D561" i="11"/>
  <c r="U560" i="11"/>
  <c r="T560" i="11"/>
  <c r="P560" i="11"/>
  <c r="F560" i="11"/>
  <c r="E560" i="11"/>
  <c r="D560" i="11"/>
  <c r="V559" i="11"/>
  <c r="W559" i="11" s="1"/>
  <c r="U559" i="11"/>
  <c r="T559" i="11"/>
  <c r="P559" i="11"/>
  <c r="F559" i="11"/>
  <c r="E559" i="11"/>
  <c r="D559" i="11"/>
  <c r="U558" i="11"/>
  <c r="T558" i="11"/>
  <c r="P558" i="11"/>
  <c r="F558" i="11"/>
  <c r="E558" i="11"/>
  <c r="D558" i="11"/>
  <c r="V557" i="11"/>
  <c r="U557" i="11"/>
  <c r="T557" i="11"/>
  <c r="P557" i="11"/>
  <c r="F557" i="11"/>
  <c r="E557" i="11"/>
  <c r="D557" i="11"/>
  <c r="U556" i="11"/>
  <c r="T556" i="11"/>
  <c r="V556" i="11" s="1"/>
  <c r="W556" i="11" s="1"/>
  <c r="P556" i="11"/>
  <c r="F556" i="11"/>
  <c r="E556" i="11"/>
  <c r="D556" i="11"/>
  <c r="U555" i="11"/>
  <c r="T555" i="11"/>
  <c r="P555" i="11"/>
  <c r="F555" i="11"/>
  <c r="E555" i="11"/>
  <c r="D555" i="11"/>
  <c r="U554" i="11"/>
  <c r="V554" i="11" s="1"/>
  <c r="T554" i="11"/>
  <c r="P554" i="11"/>
  <c r="F554" i="11"/>
  <c r="E554" i="11"/>
  <c r="D554" i="11"/>
  <c r="U553" i="11"/>
  <c r="T553" i="11"/>
  <c r="P553" i="11"/>
  <c r="F553" i="11"/>
  <c r="E553" i="11"/>
  <c r="D553" i="11"/>
  <c r="U552" i="11"/>
  <c r="T552" i="11"/>
  <c r="P552" i="11"/>
  <c r="F552" i="11"/>
  <c r="E552" i="11"/>
  <c r="D552" i="11"/>
  <c r="V551" i="11"/>
  <c r="U551" i="11"/>
  <c r="T551" i="11"/>
  <c r="P551" i="11"/>
  <c r="F551" i="11"/>
  <c r="E551" i="11"/>
  <c r="D551" i="11"/>
  <c r="U550" i="11"/>
  <c r="T550" i="11"/>
  <c r="P550" i="11"/>
  <c r="F550" i="11"/>
  <c r="E550" i="11"/>
  <c r="D550" i="11"/>
  <c r="U549" i="11"/>
  <c r="T549" i="11"/>
  <c r="P549" i="11"/>
  <c r="F549" i="11"/>
  <c r="E549" i="11"/>
  <c r="D549" i="11"/>
  <c r="U548" i="11"/>
  <c r="V548" i="11" s="1"/>
  <c r="T548" i="11"/>
  <c r="P548" i="11"/>
  <c r="F548" i="11"/>
  <c r="E548" i="11"/>
  <c r="D548" i="11"/>
  <c r="V547" i="11"/>
  <c r="U547" i="11"/>
  <c r="T547" i="11"/>
  <c r="P547" i="11"/>
  <c r="F547" i="11"/>
  <c r="E547" i="11"/>
  <c r="D547" i="11"/>
  <c r="U546" i="11"/>
  <c r="T546" i="11"/>
  <c r="V546" i="11" s="1"/>
  <c r="W546" i="11" s="1"/>
  <c r="P546" i="11"/>
  <c r="F546" i="11"/>
  <c r="E546" i="11"/>
  <c r="D546" i="11"/>
  <c r="U545" i="11"/>
  <c r="T545" i="11"/>
  <c r="P545" i="11"/>
  <c r="F545" i="11"/>
  <c r="E545" i="11"/>
  <c r="D545" i="11"/>
  <c r="U544" i="11"/>
  <c r="T544" i="11"/>
  <c r="P544" i="11"/>
  <c r="F544" i="11"/>
  <c r="E544" i="11"/>
  <c r="D544" i="11"/>
  <c r="V543" i="11"/>
  <c r="W543" i="11" s="1"/>
  <c r="U543" i="11"/>
  <c r="T543" i="11"/>
  <c r="P543" i="11"/>
  <c r="F543" i="11"/>
  <c r="E543" i="11"/>
  <c r="D543" i="11"/>
  <c r="U542" i="11"/>
  <c r="V542" i="11" s="1"/>
  <c r="T542" i="11"/>
  <c r="P542" i="11"/>
  <c r="F542" i="11"/>
  <c r="E542" i="11"/>
  <c r="D542" i="11"/>
  <c r="U541" i="11"/>
  <c r="T541" i="11"/>
  <c r="P541" i="11"/>
  <c r="F541" i="11"/>
  <c r="E541" i="11"/>
  <c r="D541" i="11"/>
  <c r="W540" i="11"/>
  <c r="V540" i="11"/>
  <c r="U540" i="11"/>
  <c r="T540" i="11"/>
  <c r="P540" i="11"/>
  <c r="F540" i="11"/>
  <c r="E540" i="11"/>
  <c r="D540" i="11"/>
  <c r="U539" i="11"/>
  <c r="T539" i="11"/>
  <c r="P539" i="11"/>
  <c r="F539" i="11"/>
  <c r="E539" i="11"/>
  <c r="D539" i="11"/>
  <c r="U538" i="11"/>
  <c r="T538" i="11"/>
  <c r="P538" i="11"/>
  <c r="F538" i="11"/>
  <c r="E538" i="11"/>
  <c r="D538" i="11"/>
  <c r="U537" i="11"/>
  <c r="T537" i="11"/>
  <c r="P537" i="11"/>
  <c r="F537" i="11"/>
  <c r="E537" i="11"/>
  <c r="D537" i="11"/>
  <c r="U536" i="11"/>
  <c r="V536" i="11" s="1"/>
  <c r="T536" i="11"/>
  <c r="P536" i="11"/>
  <c r="F536" i="11"/>
  <c r="E536" i="11"/>
  <c r="D536" i="11"/>
  <c r="W535" i="11"/>
  <c r="U535" i="11"/>
  <c r="T535" i="11"/>
  <c r="V535" i="11" s="1"/>
  <c r="P535" i="11"/>
  <c r="F535" i="11"/>
  <c r="E535" i="11"/>
  <c r="D535" i="11"/>
  <c r="U534" i="11"/>
  <c r="T534" i="11"/>
  <c r="P534" i="11"/>
  <c r="F534" i="11"/>
  <c r="E534" i="11"/>
  <c r="D534" i="11"/>
  <c r="U533" i="11"/>
  <c r="T533" i="11"/>
  <c r="P533" i="11"/>
  <c r="F533" i="11"/>
  <c r="E533" i="11"/>
  <c r="D533" i="11"/>
  <c r="V532" i="11"/>
  <c r="W532" i="11" s="1"/>
  <c r="U532" i="11"/>
  <c r="T532" i="11"/>
  <c r="P532" i="11"/>
  <c r="F532" i="11"/>
  <c r="E532" i="11"/>
  <c r="D532" i="11"/>
  <c r="U531" i="11"/>
  <c r="T531" i="11"/>
  <c r="P531" i="11"/>
  <c r="F531" i="11"/>
  <c r="E531" i="11"/>
  <c r="D531" i="11"/>
  <c r="U530" i="11"/>
  <c r="T530" i="11"/>
  <c r="P530" i="11"/>
  <c r="F530" i="11"/>
  <c r="E530" i="11"/>
  <c r="D530" i="11"/>
  <c r="U529" i="11"/>
  <c r="V529" i="11" s="1"/>
  <c r="W529" i="11" s="1"/>
  <c r="T529" i="11"/>
  <c r="P529" i="11"/>
  <c r="F529" i="11"/>
  <c r="E529" i="11"/>
  <c r="D529" i="11"/>
  <c r="U528" i="11"/>
  <c r="V528" i="11" s="1"/>
  <c r="T528" i="11"/>
  <c r="P528" i="11"/>
  <c r="F528" i="11"/>
  <c r="E528" i="11"/>
  <c r="D528" i="11"/>
  <c r="U527" i="11"/>
  <c r="T527" i="11"/>
  <c r="P527" i="11"/>
  <c r="F527" i="11"/>
  <c r="E527" i="11"/>
  <c r="D527" i="11"/>
  <c r="U526" i="11"/>
  <c r="T526" i="11"/>
  <c r="V526" i="11" s="1"/>
  <c r="W526" i="11" s="1"/>
  <c r="P526" i="11"/>
  <c r="F526" i="11"/>
  <c r="E526" i="11"/>
  <c r="D526" i="11"/>
  <c r="U525" i="11"/>
  <c r="T525" i="11"/>
  <c r="P525" i="11"/>
  <c r="F525" i="11"/>
  <c r="E525" i="11"/>
  <c r="D525" i="11"/>
  <c r="U524" i="11"/>
  <c r="T524" i="11"/>
  <c r="P524" i="11"/>
  <c r="F524" i="11"/>
  <c r="E524" i="11"/>
  <c r="D524" i="11"/>
  <c r="U523" i="11"/>
  <c r="T523" i="11"/>
  <c r="P523" i="11"/>
  <c r="F523" i="11"/>
  <c r="E523" i="11"/>
  <c r="D523" i="11"/>
  <c r="U522" i="11"/>
  <c r="V522" i="11" s="1"/>
  <c r="T522" i="11"/>
  <c r="P522" i="11"/>
  <c r="F522" i="11"/>
  <c r="E522" i="11"/>
  <c r="D522" i="11"/>
  <c r="V521" i="11"/>
  <c r="U521" i="11"/>
  <c r="T521" i="11"/>
  <c r="P521" i="11"/>
  <c r="F521" i="11"/>
  <c r="E521" i="11"/>
  <c r="D521" i="11"/>
  <c r="U520" i="11"/>
  <c r="T520" i="11"/>
  <c r="P520" i="11"/>
  <c r="F520" i="11"/>
  <c r="E520" i="11"/>
  <c r="D520" i="11"/>
  <c r="U519" i="11"/>
  <c r="T519" i="11"/>
  <c r="P519" i="11"/>
  <c r="F519" i="11"/>
  <c r="E519" i="11"/>
  <c r="D519" i="11"/>
  <c r="U518" i="11"/>
  <c r="V518" i="11" s="1"/>
  <c r="T518" i="11"/>
  <c r="P518" i="11"/>
  <c r="F518" i="11"/>
  <c r="E518" i="11"/>
  <c r="D518" i="11"/>
  <c r="U517" i="11"/>
  <c r="V517" i="11" s="1"/>
  <c r="W517" i="11" s="1"/>
  <c r="T517" i="11"/>
  <c r="P517" i="11"/>
  <c r="F517" i="11"/>
  <c r="E517" i="11"/>
  <c r="D517" i="11"/>
  <c r="U516" i="11"/>
  <c r="T516" i="11"/>
  <c r="P516" i="11"/>
  <c r="F516" i="11"/>
  <c r="E516" i="11"/>
  <c r="D516" i="11"/>
  <c r="V515" i="11"/>
  <c r="U515" i="11"/>
  <c r="T515" i="11"/>
  <c r="P515" i="11"/>
  <c r="F515" i="11"/>
  <c r="E515" i="11"/>
  <c r="D515" i="11"/>
  <c r="U514" i="11"/>
  <c r="T514" i="11"/>
  <c r="P514" i="11"/>
  <c r="F514" i="11"/>
  <c r="E514" i="11"/>
  <c r="D514" i="11"/>
  <c r="U513" i="11"/>
  <c r="T513" i="11"/>
  <c r="P513" i="11"/>
  <c r="F513" i="11"/>
  <c r="E513" i="11"/>
  <c r="D513" i="11"/>
  <c r="U512" i="11"/>
  <c r="T512" i="11"/>
  <c r="P512" i="11"/>
  <c r="F512" i="11"/>
  <c r="E512" i="11"/>
  <c r="D512" i="11"/>
  <c r="U511" i="11"/>
  <c r="T511" i="11"/>
  <c r="P511" i="11"/>
  <c r="F511" i="11"/>
  <c r="E511" i="11"/>
  <c r="D511" i="11"/>
  <c r="W510" i="11"/>
  <c r="U510" i="11"/>
  <c r="T510" i="11"/>
  <c r="V510" i="11" s="1"/>
  <c r="P510" i="11"/>
  <c r="F510" i="11"/>
  <c r="E510" i="11"/>
  <c r="D510" i="11"/>
  <c r="U509" i="11"/>
  <c r="T509" i="11"/>
  <c r="P509" i="11"/>
  <c r="F509" i="11"/>
  <c r="E509" i="11"/>
  <c r="D509" i="11"/>
  <c r="U508" i="11"/>
  <c r="T508" i="11"/>
  <c r="P508" i="11"/>
  <c r="F508" i="11"/>
  <c r="E508" i="11"/>
  <c r="D508" i="11"/>
  <c r="V507" i="11"/>
  <c r="W507" i="11" s="1"/>
  <c r="U507" i="11"/>
  <c r="T507" i="11"/>
  <c r="P507" i="11"/>
  <c r="F507" i="11"/>
  <c r="E507" i="11"/>
  <c r="D507" i="11"/>
  <c r="U506" i="11"/>
  <c r="T506" i="11"/>
  <c r="V506" i="11" s="1"/>
  <c r="P506" i="11"/>
  <c r="F506" i="11"/>
  <c r="E506" i="11"/>
  <c r="D506" i="11"/>
  <c r="U505" i="11"/>
  <c r="T505" i="11"/>
  <c r="P505" i="11"/>
  <c r="F505" i="11"/>
  <c r="E505" i="11"/>
  <c r="D505" i="11"/>
  <c r="U504" i="11"/>
  <c r="V504" i="11" s="1"/>
  <c r="W504" i="11" s="1"/>
  <c r="T504" i="11"/>
  <c r="P504" i="11"/>
  <c r="F504" i="11"/>
  <c r="E504" i="11"/>
  <c r="D504" i="11"/>
  <c r="V503" i="11"/>
  <c r="U503" i="11"/>
  <c r="T503" i="11"/>
  <c r="P503" i="11"/>
  <c r="F503" i="11"/>
  <c r="E503" i="11"/>
  <c r="D503" i="11"/>
  <c r="U502" i="11"/>
  <c r="T502" i="11"/>
  <c r="P502" i="11"/>
  <c r="F502" i="11"/>
  <c r="E502" i="11"/>
  <c r="D502" i="11"/>
  <c r="U501" i="11"/>
  <c r="T501" i="11"/>
  <c r="P501" i="11"/>
  <c r="F501" i="11"/>
  <c r="E501" i="11"/>
  <c r="D501" i="11"/>
  <c r="U500" i="11"/>
  <c r="T500" i="11"/>
  <c r="P500" i="11"/>
  <c r="F500" i="11"/>
  <c r="E500" i="11"/>
  <c r="D500" i="11"/>
  <c r="U499" i="11"/>
  <c r="T499" i="11"/>
  <c r="V499" i="11" s="1"/>
  <c r="W499" i="11" s="1"/>
  <c r="P499" i="11"/>
  <c r="F499" i="11"/>
  <c r="E499" i="11"/>
  <c r="D499" i="11"/>
  <c r="W498" i="11"/>
  <c r="V498" i="11"/>
  <c r="U498" i="11"/>
  <c r="T498" i="11"/>
  <c r="P498" i="11"/>
  <c r="F498" i="11"/>
  <c r="E498" i="11"/>
  <c r="D498" i="11"/>
  <c r="U497" i="11"/>
  <c r="T497" i="11"/>
  <c r="P497" i="11"/>
  <c r="F497" i="11"/>
  <c r="E497" i="11"/>
  <c r="D497" i="11"/>
  <c r="W496" i="11"/>
  <c r="V496" i="11"/>
  <c r="U496" i="11"/>
  <c r="T496" i="11"/>
  <c r="P496" i="11"/>
  <c r="F496" i="11"/>
  <c r="E496" i="11"/>
  <c r="D496" i="11"/>
  <c r="U495" i="11"/>
  <c r="T495" i="11"/>
  <c r="P495" i="11"/>
  <c r="F495" i="11"/>
  <c r="E495" i="11"/>
  <c r="D495" i="11"/>
  <c r="U494" i="11"/>
  <c r="T494" i="11"/>
  <c r="P494" i="11"/>
  <c r="F494" i="11"/>
  <c r="E494" i="11"/>
  <c r="D494" i="11"/>
  <c r="V493" i="11"/>
  <c r="W493" i="11" s="1"/>
  <c r="U493" i="11"/>
  <c r="T493" i="11"/>
  <c r="P493" i="11"/>
  <c r="F493" i="11"/>
  <c r="E493" i="11"/>
  <c r="D493" i="11"/>
  <c r="U492" i="11"/>
  <c r="T492" i="11"/>
  <c r="P492" i="11"/>
  <c r="F492" i="11"/>
  <c r="E492" i="11"/>
  <c r="D492" i="11"/>
  <c r="U491" i="11"/>
  <c r="T491" i="11"/>
  <c r="P491" i="11"/>
  <c r="F491" i="11"/>
  <c r="E491" i="11"/>
  <c r="D491" i="11"/>
  <c r="U490" i="11"/>
  <c r="T490" i="11"/>
  <c r="P490" i="11"/>
  <c r="F490" i="11"/>
  <c r="E490" i="11"/>
  <c r="D490" i="11"/>
  <c r="U489" i="11"/>
  <c r="T489" i="11"/>
  <c r="P489" i="11"/>
  <c r="F489" i="11"/>
  <c r="E489" i="11"/>
  <c r="D489" i="11"/>
  <c r="U488" i="11"/>
  <c r="T488" i="11"/>
  <c r="P488" i="11"/>
  <c r="F488" i="11"/>
  <c r="E488" i="11"/>
  <c r="D488" i="11"/>
  <c r="U487" i="11"/>
  <c r="T487" i="11"/>
  <c r="V487" i="11" s="1"/>
  <c r="P487" i="11"/>
  <c r="F487" i="11"/>
  <c r="E487" i="11"/>
  <c r="D487" i="11"/>
  <c r="V486" i="11"/>
  <c r="U486" i="11"/>
  <c r="T486" i="11"/>
  <c r="P486" i="11"/>
  <c r="F486" i="11"/>
  <c r="E486" i="11"/>
  <c r="D486" i="11"/>
  <c r="V485" i="11"/>
  <c r="U485" i="11"/>
  <c r="T485" i="11"/>
  <c r="P485" i="11"/>
  <c r="F485" i="11"/>
  <c r="E485" i="11"/>
  <c r="D485" i="11"/>
  <c r="U484" i="11"/>
  <c r="T484" i="11"/>
  <c r="P484" i="11"/>
  <c r="F484" i="11"/>
  <c r="E484" i="11"/>
  <c r="D484" i="11"/>
  <c r="U483" i="11"/>
  <c r="T483" i="11"/>
  <c r="P483" i="11"/>
  <c r="F483" i="11"/>
  <c r="E483" i="11"/>
  <c r="D483" i="11"/>
  <c r="U482" i="11"/>
  <c r="V482" i="11" s="1"/>
  <c r="T482" i="11"/>
  <c r="P482" i="11"/>
  <c r="F482" i="11"/>
  <c r="E482" i="11"/>
  <c r="D482" i="11"/>
  <c r="U481" i="11"/>
  <c r="T481" i="11"/>
  <c r="P481" i="11"/>
  <c r="F481" i="11"/>
  <c r="E481" i="11"/>
  <c r="D481" i="11"/>
  <c r="U480" i="11"/>
  <c r="T480" i="11"/>
  <c r="P480" i="11"/>
  <c r="F480" i="11"/>
  <c r="E480" i="11"/>
  <c r="D480" i="11"/>
  <c r="U479" i="11"/>
  <c r="T479" i="11"/>
  <c r="P479" i="11"/>
  <c r="F479" i="11"/>
  <c r="E479" i="11"/>
  <c r="D479" i="11"/>
  <c r="V478" i="11"/>
  <c r="W478" i="11" s="1"/>
  <c r="U478" i="11"/>
  <c r="T478" i="11"/>
  <c r="P478" i="11"/>
  <c r="F478" i="11"/>
  <c r="E478" i="11"/>
  <c r="D478" i="11"/>
  <c r="U477" i="11"/>
  <c r="T477" i="11"/>
  <c r="P477" i="11"/>
  <c r="F477" i="11"/>
  <c r="E477" i="11"/>
  <c r="D477" i="11"/>
  <c r="U476" i="11"/>
  <c r="T476" i="11"/>
  <c r="P476" i="11"/>
  <c r="F476" i="11"/>
  <c r="E476" i="11"/>
  <c r="D476" i="11"/>
  <c r="U475" i="11"/>
  <c r="T475" i="11"/>
  <c r="P475" i="11"/>
  <c r="F475" i="11"/>
  <c r="E475" i="11"/>
  <c r="D475" i="11"/>
  <c r="W474" i="11"/>
  <c r="V474" i="11"/>
  <c r="U474" i="11"/>
  <c r="T474" i="11"/>
  <c r="P474" i="11"/>
  <c r="F474" i="11"/>
  <c r="E474" i="11"/>
  <c r="D474" i="11"/>
  <c r="U473" i="11"/>
  <c r="V473" i="11" s="1"/>
  <c r="T473" i="11"/>
  <c r="P473" i="11"/>
  <c r="F473" i="11"/>
  <c r="E473" i="11"/>
  <c r="D473" i="11"/>
  <c r="U472" i="11"/>
  <c r="T472" i="11"/>
  <c r="P472" i="11"/>
  <c r="F472" i="11"/>
  <c r="E472" i="11"/>
  <c r="D472" i="11"/>
  <c r="W471" i="11"/>
  <c r="V471" i="11"/>
  <c r="U471" i="11"/>
  <c r="T471" i="11"/>
  <c r="P471" i="11"/>
  <c r="F471" i="11"/>
  <c r="E471" i="11"/>
  <c r="D471" i="11"/>
  <c r="U470" i="11"/>
  <c r="T470" i="11"/>
  <c r="P470" i="11"/>
  <c r="F470" i="11"/>
  <c r="E470" i="11"/>
  <c r="D470" i="11"/>
  <c r="U469" i="11"/>
  <c r="T469" i="11"/>
  <c r="P469" i="11"/>
  <c r="F469" i="11"/>
  <c r="E469" i="11"/>
  <c r="D469" i="11"/>
  <c r="U468" i="11"/>
  <c r="V468" i="11" s="1"/>
  <c r="W468" i="11" s="1"/>
  <c r="T468" i="11"/>
  <c r="P468" i="11"/>
  <c r="F468" i="11"/>
  <c r="E468" i="11"/>
  <c r="D468" i="11"/>
  <c r="U467" i="11"/>
  <c r="V467" i="11" s="1"/>
  <c r="T467" i="11"/>
  <c r="P467" i="11"/>
  <c r="F467" i="11"/>
  <c r="E467" i="11"/>
  <c r="D467" i="11"/>
  <c r="U466" i="11"/>
  <c r="T466" i="11"/>
  <c r="P466" i="11"/>
  <c r="F466" i="11"/>
  <c r="E466" i="11"/>
  <c r="D466" i="11"/>
  <c r="U465" i="11"/>
  <c r="T465" i="11"/>
  <c r="P465" i="11"/>
  <c r="F465" i="11"/>
  <c r="E465" i="11"/>
  <c r="D465" i="11"/>
  <c r="U464" i="11"/>
  <c r="T464" i="11"/>
  <c r="P464" i="11"/>
  <c r="F464" i="11"/>
  <c r="E464" i="11"/>
  <c r="D464" i="11"/>
  <c r="W463" i="11"/>
  <c r="V463" i="11"/>
  <c r="U463" i="11"/>
  <c r="T463" i="11"/>
  <c r="P463" i="11"/>
  <c r="F463" i="11"/>
  <c r="E463" i="11"/>
  <c r="D463" i="11"/>
  <c r="U462" i="11"/>
  <c r="T462" i="11"/>
  <c r="P462" i="11"/>
  <c r="F462" i="11"/>
  <c r="E462" i="11"/>
  <c r="D462" i="11"/>
  <c r="U461" i="11"/>
  <c r="T461" i="11"/>
  <c r="P461" i="11"/>
  <c r="F461" i="11"/>
  <c r="E461" i="11"/>
  <c r="D461" i="11"/>
  <c r="V460" i="11"/>
  <c r="W460" i="11" s="1"/>
  <c r="U460" i="11"/>
  <c r="T460" i="11"/>
  <c r="P460" i="11"/>
  <c r="F460" i="11"/>
  <c r="E460" i="11"/>
  <c r="D460" i="11"/>
  <c r="U459" i="11"/>
  <c r="T459" i="11"/>
  <c r="V459" i="11" s="1"/>
  <c r="P459" i="11"/>
  <c r="F459" i="11"/>
  <c r="E459" i="11"/>
  <c r="D459" i="11"/>
  <c r="U458" i="11"/>
  <c r="T458" i="11"/>
  <c r="P458" i="11"/>
  <c r="F458" i="11"/>
  <c r="E458" i="11"/>
  <c r="D458" i="11"/>
  <c r="V457" i="11"/>
  <c r="W457" i="11" s="1"/>
  <c r="U457" i="11"/>
  <c r="T457" i="11"/>
  <c r="P457" i="11"/>
  <c r="F457" i="11"/>
  <c r="E457" i="11"/>
  <c r="D457" i="11"/>
  <c r="U456" i="11"/>
  <c r="T456" i="11"/>
  <c r="P456" i="11"/>
  <c r="F456" i="11"/>
  <c r="E456" i="11"/>
  <c r="D456" i="11"/>
  <c r="U455" i="11"/>
  <c r="T455" i="11"/>
  <c r="P455" i="11"/>
  <c r="F455" i="11"/>
  <c r="E455" i="11"/>
  <c r="D455" i="11"/>
  <c r="U454" i="11"/>
  <c r="T454" i="11"/>
  <c r="P454" i="11"/>
  <c r="F454" i="11"/>
  <c r="E454" i="11"/>
  <c r="D454" i="11"/>
  <c r="V453" i="11"/>
  <c r="W453" i="11" s="1"/>
  <c r="U453" i="11"/>
  <c r="T453" i="11"/>
  <c r="P453" i="11"/>
  <c r="F453" i="11"/>
  <c r="E453" i="11"/>
  <c r="D453" i="11"/>
  <c r="V452" i="11"/>
  <c r="U452" i="11"/>
  <c r="T452" i="11"/>
  <c r="P452" i="11"/>
  <c r="F452" i="11"/>
  <c r="E452" i="11"/>
  <c r="D452" i="11"/>
  <c r="U451" i="11"/>
  <c r="T451" i="11"/>
  <c r="V451" i="11" s="1"/>
  <c r="P451" i="11"/>
  <c r="F451" i="11"/>
  <c r="E451" i="11"/>
  <c r="D451" i="11"/>
  <c r="U450" i="11"/>
  <c r="T450" i="11"/>
  <c r="P450" i="11"/>
  <c r="F450" i="11"/>
  <c r="E450" i="11"/>
  <c r="D450" i="11"/>
  <c r="V449" i="11"/>
  <c r="U449" i="11"/>
  <c r="T449" i="11"/>
  <c r="P449" i="11"/>
  <c r="F449" i="11"/>
  <c r="E449" i="11"/>
  <c r="D449" i="11"/>
  <c r="W448" i="11"/>
  <c r="U448" i="11"/>
  <c r="T448" i="11"/>
  <c r="V448" i="11" s="1"/>
  <c r="P448" i="11"/>
  <c r="F448" i="11"/>
  <c r="E448" i="11"/>
  <c r="D448" i="11"/>
  <c r="U447" i="11"/>
  <c r="T447" i="11"/>
  <c r="P447" i="11"/>
  <c r="F447" i="11"/>
  <c r="E447" i="11"/>
  <c r="D447" i="11"/>
  <c r="U446" i="11"/>
  <c r="V446" i="11" s="1"/>
  <c r="T446" i="11"/>
  <c r="P446" i="11"/>
  <c r="F446" i="11"/>
  <c r="E446" i="11"/>
  <c r="D446" i="11"/>
  <c r="U445" i="11"/>
  <c r="T445" i="11"/>
  <c r="P445" i="11"/>
  <c r="F445" i="11"/>
  <c r="E445" i="11"/>
  <c r="D445" i="11"/>
  <c r="U444" i="11"/>
  <c r="T444" i="11"/>
  <c r="P444" i="11"/>
  <c r="F444" i="11"/>
  <c r="E444" i="11"/>
  <c r="D444" i="11"/>
  <c r="U443" i="11"/>
  <c r="V443" i="11" s="1"/>
  <c r="T443" i="11"/>
  <c r="P443" i="11"/>
  <c r="F443" i="11"/>
  <c r="E443" i="11"/>
  <c r="D443" i="11"/>
  <c r="U442" i="11"/>
  <c r="T442" i="11"/>
  <c r="V442" i="11" s="1"/>
  <c r="P442" i="11"/>
  <c r="F442" i="11"/>
  <c r="E442" i="11"/>
  <c r="D442" i="11"/>
  <c r="U441" i="11"/>
  <c r="T441" i="11"/>
  <c r="P441" i="11"/>
  <c r="F441" i="11"/>
  <c r="E441" i="11"/>
  <c r="D441" i="11"/>
  <c r="U440" i="11"/>
  <c r="T440" i="11"/>
  <c r="V440" i="11" s="1"/>
  <c r="P440" i="11"/>
  <c r="F440" i="11"/>
  <c r="E440" i="11"/>
  <c r="D440" i="11"/>
  <c r="U439" i="11"/>
  <c r="V439" i="11" s="1"/>
  <c r="T439" i="11"/>
  <c r="P439" i="11"/>
  <c r="F439" i="11"/>
  <c r="E439" i="11"/>
  <c r="D439" i="11"/>
  <c r="W438" i="11"/>
  <c r="V438" i="11"/>
  <c r="U438" i="11"/>
  <c r="T438" i="11"/>
  <c r="P438" i="11"/>
  <c r="F438" i="11"/>
  <c r="E438" i="11"/>
  <c r="D438" i="11"/>
  <c r="U437" i="11"/>
  <c r="T437" i="11"/>
  <c r="P437" i="11"/>
  <c r="F437" i="11"/>
  <c r="E437" i="11"/>
  <c r="D437" i="11"/>
  <c r="U436" i="11"/>
  <c r="T436" i="11"/>
  <c r="P436" i="11"/>
  <c r="F436" i="11"/>
  <c r="E436" i="11"/>
  <c r="D436" i="11"/>
  <c r="V435" i="11"/>
  <c r="W435" i="11" s="1"/>
  <c r="U435" i="11"/>
  <c r="T435" i="11"/>
  <c r="P435" i="11"/>
  <c r="F435" i="11"/>
  <c r="E435" i="11"/>
  <c r="D435" i="11"/>
  <c r="U434" i="11"/>
  <c r="T434" i="11"/>
  <c r="P434" i="11"/>
  <c r="F434" i="11"/>
  <c r="E434" i="11"/>
  <c r="D434" i="11"/>
  <c r="U433" i="11"/>
  <c r="T433" i="11"/>
  <c r="P433" i="11"/>
  <c r="F433" i="11"/>
  <c r="E433" i="11"/>
  <c r="D433" i="11"/>
  <c r="V432" i="11"/>
  <c r="W432" i="11" s="1"/>
  <c r="U432" i="11"/>
  <c r="T432" i="11"/>
  <c r="P432" i="11"/>
  <c r="F432" i="11"/>
  <c r="E432" i="11"/>
  <c r="D432" i="11"/>
  <c r="V431" i="11"/>
  <c r="U431" i="11"/>
  <c r="T431" i="11"/>
  <c r="P431" i="11"/>
  <c r="F431" i="11"/>
  <c r="E431" i="11"/>
  <c r="D431" i="11"/>
  <c r="U430" i="11"/>
  <c r="T430" i="11"/>
  <c r="P430" i="11"/>
  <c r="F430" i="11"/>
  <c r="E430" i="11"/>
  <c r="D430" i="11"/>
  <c r="U429" i="11"/>
  <c r="T429" i="11"/>
  <c r="P429" i="11"/>
  <c r="F429" i="11"/>
  <c r="E429" i="11"/>
  <c r="D429" i="11"/>
  <c r="U428" i="11"/>
  <c r="T428" i="11"/>
  <c r="P428" i="11"/>
  <c r="F428" i="11"/>
  <c r="E428" i="11"/>
  <c r="D428" i="11"/>
  <c r="W427" i="11"/>
  <c r="V427" i="11"/>
  <c r="U427" i="11"/>
  <c r="T427" i="11"/>
  <c r="P427" i="11"/>
  <c r="F427" i="11"/>
  <c r="E427" i="11"/>
  <c r="D427" i="11"/>
  <c r="U426" i="11"/>
  <c r="T426" i="11"/>
  <c r="V426" i="11" s="1"/>
  <c r="P426" i="11"/>
  <c r="F426" i="11"/>
  <c r="E426" i="11"/>
  <c r="D426" i="11"/>
  <c r="U425" i="11"/>
  <c r="T425" i="11"/>
  <c r="P425" i="11"/>
  <c r="F425" i="11"/>
  <c r="E425" i="11"/>
  <c r="D425" i="11"/>
  <c r="V424" i="11"/>
  <c r="W424" i="11" s="1"/>
  <c r="U424" i="11"/>
  <c r="T424" i="11"/>
  <c r="P424" i="11"/>
  <c r="F424" i="11"/>
  <c r="E424" i="11"/>
  <c r="D424" i="11"/>
  <c r="U423" i="11"/>
  <c r="V423" i="11" s="1"/>
  <c r="W423" i="11" s="1"/>
  <c r="T423" i="11"/>
  <c r="P423" i="11"/>
  <c r="F423" i="11"/>
  <c r="E423" i="11"/>
  <c r="D423" i="11"/>
  <c r="U422" i="11"/>
  <c r="T422" i="11"/>
  <c r="P422" i="11"/>
  <c r="F422" i="11"/>
  <c r="E422" i="11"/>
  <c r="D422" i="11"/>
  <c r="W421" i="11"/>
  <c r="V421" i="11"/>
  <c r="U421" i="11"/>
  <c r="T421" i="11"/>
  <c r="P421" i="11"/>
  <c r="F421" i="11"/>
  <c r="E421" i="11"/>
  <c r="D421" i="11"/>
  <c r="V420" i="11"/>
  <c r="W420" i="11" s="1"/>
  <c r="U420" i="11"/>
  <c r="T420" i="11"/>
  <c r="P420" i="11"/>
  <c r="F420" i="11"/>
  <c r="E420" i="11"/>
  <c r="D420" i="11"/>
  <c r="U419" i="11"/>
  <c r="T419" i="11"/>
  <c r="P419" i="11"/>
  <c r="F419" i="11"/>
  <c r="E419" i="11"/>
  <c r="D419" i="11"/>
  <c r="U418" i="11"/>
  <c r="V418" i="11" s="1"/>
  <c r="W418" i="11" s="1"/>
  <c r="T418" i="11"/>
  <c r="P418" i="11"/>
  <c r="F418" i="11"/>
  <c r="E418" i="11"/>
  <c r="D418" i="11"/>
  <c r="U417" i="11"/>
  <c r="T417" i="11"/>
  <c r="P417" i="11"/>
  <c r="F417" i="11"/>
  <c r="E417" i="11"/>
  <c r="D417" i="11"/>
  <c r="V416" i="11"/>
  <c r="U416" i="11"/>
  <c r="T416" i="11"/>
  <c r="P416" i="11"/>
  <c r="F416" i="11"/>
  <c r="E416" i="11"/>
  <c r="D416" i="11"/>
  <c r="V415" i="11"/>
  <c r="W415" i="11" s="1"/>
  <c r="U415" i="11"/>
  <c r="T415" i="11"/>
  <c r="P415" i="11"/>
  <c r="F415" i="11"/>
  <c r="E415" i="11"/>
  <c r="D415" i="11"/>
  <c r="U414" i="11"/>
  <c r="V414" i="11" s="1"/>
  <c r="T414" i="11"/>
  <c r="P414" i="11"/>
  <c r="F414" i="11"/>
  <c r="E414" i="11"/>
  <c r="D414" i="11"/>
  <c r="V413" i="11"/>
  <c r="U413" i="11"/>
  <c r="T413" i="11"/>
  <c r="P413" i="11"/>
  <c r="F413" i="11"/>
  <c r="E413" i="11"/>
  <c r="D413" i="11"/>
  <c r="V412" i="11"/>
  <c r="U412" i="11"/>
  <c r="T412" i="11"/>
  <c r="P412" i="11"/>
  <c r="F412" i="11"/>
  <c r="E412" i="11"/>
  <c r="D412" i="11"/>
  <c r="U411" i="11"/>
  <c r="T411" i="11"/>
  <c r="P411" i="11"/>
  <c r="F411" i="11"/>
  <c r="E411" i="11"/>
  <c r="D411" i="11"/>
  <c r="U410" i="11"/>
  <c r="V410" i="11" s="1"/>
  <c r="T410" i="11"/>
  <c r="P410" i="11"/>
  <c r="F410" i="11"/>
  <c r="E410" i="11"/>
  <c r="D410" i="11"/>
  <c r="U409" i="11"/>
  <c r="V409" i="11" s="1"/>
  <c r="W409" i="11" s="1"/>
  <c r="T409" i="11"/>
  <c r="P409" i="11"/>
  <c r="F409" i="11"/>
  <c r="E409" i="11"/>
  <c r="D409" i="11"/>
  <c r="U408" i="11"/>
  <c r="T408" i="11"/>
  <c r="P408" i="11"/>
  <c r="F408" i="11"/>
  <c r="E408" i="11"/>
  <c r="D408" i="11"/>
  <c r="U407" i="11"/>
  <c r="T407" i="11"/>
  <c r="P407" i="11"/>
  <c r="F407" i="11"/>
  <c r="E407" i="11"/>
  <c r="D407" i="11"/>
  <c r="U406" i="11"/>
  <c r="T406" i="11"/>
  <c r="P406" i="11"/>
  <c r="F406" i="11"/>
  <c r="E406" i="11"/>
  <c r="D406" i="11"/>
  <c r="U405" i="11"/>
  <c r="T405" i="11"/>
  <c r="P405" i="11"/>
  <c r="F405" i="11"/>
  <c r="E405" i="11"/>
  <c r="D405" i="11"/>
  <c r="U404" i="11"/>
  <c r="T404" i="11"/>
  <c r="P404" i="11"/>
  <c r="F404" i="11"/>
  <c r="E404" i="11"/>
  <c r="D404" i="11"/>
  <c r="U403" i="11"/>
  <c r="T403" i="11"/>
  <c r="V403" i="11" s="1"/>
  <c r="P403" i="11"/>
  <c r="F403" i="11"/>
  <c r="E403" i="11"/>
  <c r="D403" i="11"/>
  <c r="W402" i="11"/>
  <c r="V402" i="11"/>
  <c r="U402" i="11"/>
  <c r="T402" i="11"/>
  <c r="P402" i="11"/>
  <c r="F402" i="11"/>
  <c r="E402" i="11"/>
  <c r="D402" i="11"/>
  <c r="U401" i="11"/>
  <c r="T401" i="11"/>
  <c r="P401" i="11"/>
  <c r="F401" i="11"/>
  <c r="E401" i="11"/>
  <c r="D401" i="11"/>
  <c r="U400" i="11"/>
  <c r="T400" i="11"/>
  <c r="P400" i="11"/>
  <c r="F400" i="11"/>
  <c r="E400" i="11"/>
  <c r="D400" i="11"/>
  <c r="V399" i="11"/>
  <c r="W399" i="11" s="1"/>
  <c r="U399" i="11"/>
  <c r="T399" i="11"/>
  <c r="P399" i="11"/>
  <c r="F399" i="11"/>
  <c r="E399" i="11"/>
  <c r="D399" i="11"/>
  <c r="U398" i="11"/>
  <c r="T398" i="11"/>
  <c r="P398" i="11"/>
  <c r="F398" i="11"/>
  <c r="E398" i="11"/>
  <c r="D398" i="11"/>
  <c r="U397" i="11"/>
  <c r="T397" i="11"/>
  <c r="P397" i="11"/>
  <c r="F397" i="11"/>
  <c r="E397" i="11"/>
  <c r="D397" i="11"/>
  <c r="V396" i="11"/>
  <c r="W396" i="11" s="1"/>
  <c r="U396" i="11"/>
  <c r="T396" i="11"/>
  <c r="P396" i="11"/>
  <c r="F396" i="11"/>
  <c r="E396" i="11"/>
  <c r="D396" i="11"/>
  <c r="U395" i="11"/>
  <c r="T395" i="11"/>
  <c r="P395" i="11"/>
  <c r="F395" i="11"/>
  <c r="E395" i="11"/>
  <c r="D395" i="11"/>
  <c r="U394" i="11"/>
  <c r="T394" i="11"/>
  <c r="P394" i="11"/>
  <c r="F394" i="11"/>
  <c r="E394" i="11"/>
  <c r="D394" i="11"/>
  <c r="U393" i="11"/>
  <c r="T393" i="11"/>
  <c r="P393" i="11"/>
  <c r="F393" i="11"/>
  <c r="E393" i="11"/>
  <c r="D393" i="11"/>
  <c r="V392" i="11"/>
  <c r="U392" i="11"/>
  <c r="T392" i="11"/>
  <c r="P392" i="11"/>
  <c r="F392" i="11"/>
  <c r="E392" i="11"/>
  <c r="D392" i="11"/>
  <c r="W391" i="11"/>
  <c r="V391" i="11"/>
  <c r="U391" i="11"/>
  <c r="T391" i="11"/>
  <c r="P391" i="11"/>
  <c r="F391" i="11"/>
  <c r="E391" i="11"/>
  <c r="D391" i="11"/>
  <c r="U390" i="11"/>
  <c r="T390" i="11"/>
  <c r="P390" i="11"/>
  <c r="F390" i="11"/>
  <c r="E390" i="11"/>
  <c r="D390" i="11"/>
  <c r="U389" i="11"/>
  <c r="T389" i="11"/>
  <c r="P389" i="11"/>
  <c r="F389" i="11"/>
  <c r="E389" i="11"/>
  <c r="D389" i="11"/>
  <c r="V388" i="11"/>
  <c r="W388" i="11" s="1"/>
  <c r="U388" i="11"/>
  <c r="T388" i="11"/>
  <c r="P388" i="11"/>
  <c r="F388" i="11"/>
  <c r="E388" i="11"/>
  <c r="D388" i="11"/>
  <c r="W387" i="11"/>
  <c r="U387" i="11"/>
  <c r="T387" i="11"/>
  <c r="V387" i="11" s="1"/>
  <c r="P387" i="11"/>
  <c r="F387" i="11"/>
  <c r="E387" i="11"/>
  <c r="D387" i="11"/>
  <c r="U386" i="11"/>
  <c r="T386" i="11"/>
  <c r="P386" i="11"/>
  <c r="F386" i="11"/>
  <c r="E386" i="11"/>
  <c r="D386" i="11"/>
  <c r="V385" i="11"/>
  <c r="W385" i="11" s="1"/>
  <c r="U385" i="11"/>
  <c r="T385" i="11"/>
  <c r="P385" i="11"/>
  <c r="F385" i="11"/>
  <c r="E385" i="11"/>
  <c r="D385" i="11"/>
  <c r="U384" i="11"/>
  <c r="T384" i="11"/>
  <c r="P384" i="11"/>
  <c r="F384" i="11"/>
  <c r="E384" i="11"/>
  <c r="D384" i="11"/>
  <c r="U383" i="11"/>
  <c r="T383" i="11"/>
  <c r="P383" i="11"/>
  <c r="F383" i="11"/>
  <c r="E383" i="11"/>
  <c r="D383" i="11"/>
  <c r="V382" i="11"/>
  <c r="W382" i="11" s="1"/>
  <c r="U382" i="11"/>
  <c r="T382" i="11"/>
  <c r="P382" i="11"/>
  <c r="F382" i="11"/>
  <c r="E382" i="11"/>
  <c r="D382" i="11"/>
  <c r="U381" i="11"/>
  <c r="T381" i="11"/>
  <c r="P381" i="11"/>
  <c r="F381" i="11"/>
  <c r="E381" i="11"/>
  <c r="D381" i="11"/>
  <c r="V380" i="11"/>
  <c r="U380" i="11"/>
  <c r="T380" i="11"/>
  <c r="P380" i="11"/>
  <c r="F380" i="11"/>
  <c r="E380" i="11"/>
  <c r="D380" i="11"/>
  <c r="V379" i="11"/>
  <c r="W379" i="11" s="1"/>
  <c r="U379" i="11"/>
  <c r="T379" i="11"/>
  <c r="P379" i="11"/>
  <c r="F379" i="11"/>
  <c r="E379" i="11"/>
  <c r="D379" i="11"/>
  <c r="V378" i="11"/>
  <c r="U378" i="11"/>
  <c r="T378" i="11"/>
  <c r="P378" i="11"/>
  <c r="F378" i="11"/>
  <c r="E378" i="11"/>
  <c r="D378" i="11"/>
  <c r="W377" i="11"/>
  <c r="V377" i="11"/>
  <c r="U377" i="11"/>
  <c r="T377" i="11"/>
  <c r="P377" i="11"/>
  <c r="F377" i="11"/>
  <c r="E377" i="11"/>
  <c r="D377" i="11"/>
  <c r="U376" i="11"/>
  <c r="T376" i="11"/>
  <c r="P376" i="11"/>
  <c r="F376" i="11"/>
  <c r="E376" i="11"/>
  <c r="D376" i="11"/>
  <c r="U375" i="11"/>
  <c r="V375" i="11" s="1"/>
  <c r="T375" i="11"/>
  <c r="P375" i="11"/>
  <c r="F375" i="11"/>
  <c r="E375" i="11"/>
  <c r="D375" i="11"/>
  <c r="W374" i="11"/>
  <c r="V374" i="11"/>
  <c r="U374" i="11"/>
  <c r="T374" i="11"/>
  <c r="P374" i="11"/>
  <c r="F374" i="11"/>
  <c r="E374" i="11"/>
  <c r="D374" i="11"/>
  <c r="U373" i="11"/>
  <c r="T373" i="11"/>
  <c r="V373" i="11" s="1"/>
  <c r="P373" i="11"/>
  <c r="F373" i="11"/>
  <c r="E373" i="11"/>
  <c r="D373" i="11"/>
  <c r="U372" i="11"/>
  <c r="T372" i="11"/>
  <c r="P372" i="11"/>
  <c r="F372" i="11"/>
  <c r="E372" i="11"/>
  <c r="D372" i="11"/>
  <c r="W371" i="11"/>
  <c r="V371" i="11"/>
  <c r="U371" i="11"/>
  <c r="T371" i="11"/>
  <c r="P371" i="11"/>
  <c r="F371" i="11"/>
  <c r="E371" i="11"/>
  <c r="D371" i="11"/>
  <c r="U370" i="11"/>
  <c r="T370" i="11"/>
  <c r="P370" i="11"/>
  <c r="F370" i="11"/>
  <c r="E370" i="11"/>
  <c r="D370" i="11"/>
  <c r="U369" i="11"/>
  <c r="T369" i="11"/>
  <c r="V369" i="11" s="1"/>
  <c r="P369" i="11"/>
  <c r="F369" i="11"/>
  <c r="E369" i="11"/>
  <c r="D369" i="11"/>
  <c r="W368" i="11"/>
  <c r="V368" i="11"/>
  <c r="U368" i="11"/>
  <c r="T368" i="11"/>
  <c r="P368" i="11"/>
  <c r="F368" i="11"/>
  <c r="E368" i="11"/>
  <c r="D368" i="11"/>
  <c r="U367" i="11"/>
  <c r="T367" i="11"/>
  <c r="V367" i="11" s="1"/>
  <c r="P367" i="11"/>
  <c r="F367" i="11"/>
  <c r="E367" i="11"/>
  <c r="D367" i="11"/>
  <c r="U366" i="11"/>
  <c r="T366" i="11"/>
  <c r="P366" i="11"/>
  <c r="F366" i="11"/>
  <c r="E366" i="11"/>
  <c r="D366" i="11"/>
  <c r="W365" i="11"/>
  <c r="V365" i="11"/>
  <c r="U365" i="11"/>
  <c r="T365" i="11"/>
  <c r="P365" i="11"/>
  <c r="F365" i="11"/>
  <c r="E365" i="11"/>
  <c r="D365" i="11"/>
  <c r="V364" i="11"/>
  <c r="W364" i="11" s="1"/>
  <c r="U364" i="11"/>
  <c r="T364" i="11"/>
  <c r="P364" i="11"/>
  <c r="F364" i="11"/>
  <c r="E364" i="11"/>
  <c r="D364" i="11"/>
  <c r="U363" i="11"/>
  <c r="T363" i="11"/>
  <c r="P363" i="11"/>
  <c r="F363" i="11"/>
  <c r="E363" i="11"/>
  <c r="D363" i="11"/>
  <c r="W362" i="11"/>
  <c r="V362" i="11"/>
  <c r="U362" i="11"/>
  <c r="T362" i="11"/>
  <c r="P362" i="11"/>
  <c r="F362" i="11"/>
  <c r="E362" i="11"/>
  <c r="D362" i="11"/>
  <c r="V361" i="11"/>
  <c r="W361" i="11" s="1"/>
  <c r="U361" i="11"/>
  <c r="T361" i="11"/>
  <c r="P361" i="11"/>
  <c r="F361" i="11"/>
  <c r="E361" i="11"/>
  <c r="D361" i="11"/>
  <c r="U360" i="11"/>
  <c r="T360" i="11"/>
  <c r="P360" i="11"/>
  <c r="F360" i="11"/>
  <c r="E360" i="11"/>
  <c r="D360" i="11"/>
  <c r="W359" i="11"/>
  <c r="V359" i="11"/>
  <c r="U359" i="11"/>
  <c r="T359" i="11"/>
  <c r="P359" i="11"/>
  <c r="F359" i="11"/>
  <c r="E359" i="11"/>
  <c r="D359" i="11"/>
  <c r="U358" i="11"/>
  <c r="T358" i="11"/>
  <c r="V358" i="11" s="1"/>
  <c r="P358" i="11"/>
  <c r="F358" i="11"/>
  <c r="E358" i="11"/>
  <c r="D358" i="11"/>
  <c r="U357" i="11"/>
  <c r="T357" i="11"/>
  <c r="P357" i="11"/>
  <c r="F357" i="11"/>
  <c r="E357" i="11"/>
  <c r="D357" i="11"/>
  <c r="W356" i="11"/>
  <c r="V356" i="11"/>
  <c r="U356" i="11"/>
  <c r="T356" i="11"/>
  <c r="P356" i="11"/>
  <c r="F356" i="11"/>
  <c r="E356" i="11"/>
  <c r="D356" i="11"/>
  <c r="V355" i="11"/>
  <c r="U355" i="11"/>
  <c r="T355" i="11"/>
  <c r="P355" i="11"/>
  <c r="F355" i="11"/>
  <c r="E355" i="11"/>
  <c r="D355" i="11"/>
  <c r="U354" i="11"/>
  <c r="T354" i="11"/>
  <c r="V354" i="11" s="1"/>
  <c r="P354" i="11"/>
  <c r="F354" i="11"/>
  <c r="E354" i="11"/>
  <c r="D354" i="11"/>
  <c r="W353" i="11"/>
  <c r="V353" i="11"/>
  <c r="U353" i="11"/>
  <c r="T353" i="11"/>
  <c r="P353" i="11"/>
  <c r="F353" i="11"/>
  <c r="E353" i="11"/>
  <c r="D353" i="11"/>
  <c r="U352" i="11"/>
  <c r="T352" i="11"/>
  <c r="V352" i="11" s="1"/>
  <c r="P352" i="11"/>
  <c r="F352" i="11"/>
  <c r="E352" i="11"/>
  <c r="D352" i="11"/>
  <c r="U351" i="11"/>
  <c r="T351" i="11"/>
  <c r="P351" i="11"/>
  <c r="F351" i="11"/>
  <c r="E351" i="11"/>
  <c r="D351" i="11"/>
  <c r="W350" i="11"/>
  <c r="U350" i="11"/>
  <c r="V350" i="11" s="1"/>
  <c r="T350" i="11"/>
  <c r="P350" i="11"/>
  <c r="F350" i="11"/>
  <c r="E350" i="11"/>
  <c r="D350" i="11"/>
  <c r="U349" i="11"/>
  <c r="T349" i="11"/>
  <c r="P349" i="11"/>
  <c r="F349" i="11"/>
  <c r="E349" i="11"/>
  <c r="D349" i="11"/>
  <c r="U348" i="11"/>
  <c r="V348" i="11" s="1"/>
  <c r="W348" i="11" s="1"/>
  <c r="T348" i="11"/>
  <c r="P348" i="11"/>
  <c r="F348" i="11"/>
  <c r="E348" i="11"/>
  <c r="D348" i="11"/>
  <c r="W347" i="11"/>
  <c r="U347" i="11"/>
  <c r="V347" i="11" s="1"/>
  <c r="T347" i="11"/>
  <c r="P347" i="11"/>
  <c r="F347" i="11"/>
  <c r="E347" i="11"/>
  <c r="D347" i="11"/>
  <c r="U346" i="11"/>
  <c r="T346" i="11"/>
  <c r="P346" i="11"/>
  <c r="F346" i="11"/>
  <c r="E346" i="11"/>
  <c r="D346" i="11"/>
  <c r="U345" i="11"/>
  <c r="T345" i="11"/>
  <c r="P345" i="11"/>
  <c r="F345" i="11"/>
  <c r="E345" i="11"/>
  <c r="D345" i="11"/>
  <c r="W344" i="11"/>
  <c r="U344" i="11"/>
  <c r="V344" i="11" s="1"/>
  <c r="T344" i="11"/>
  <c r="P344" i="11"/>
  <c r="F344" i="11"/>
  <c r="E344" i="11"/>
  <c r="D344" i="11"/>
  <c r="U343" i="11"/>
  <c r="T343" i="11"/>
  <c r="V343" i="11" s="1"/>
  <c r="P343" i="11"/>
  <c r="F343" i="11"/>
  <c r="E343" i="11"/>
  <c r="D343" i="11"/>
  <c r="U342" i="11"/>
  <c r="V342" i="11" s="1"/>
  <c r="T342" i="11"/>
  <c r="P342" i="11"/>
  <c r="F342" i="11"/>
  <c r="E342" i="11"/>
  <c r="D342" i="11"/>
  <c r="U341" i="11"/>
  <c r="V341" i="11" s="1"/>
  <c r="W341" i="11" s="1"/>
  <c r="T341" i="11"/>
  <c r="P341" i="11"/>
  <c r="F341" i="11"/>
  <c r="E341" i="11"/>
  <c r="D341" i="11"/>
  <c r="U340" i="11"/>
  <c r="T340" i="11"/>
  <c r="P340" i="11"/>
  <c r="F340" i="11"/>
  <c r="E340" i="11"/>
  <c r="D340" i="11"/>
  <c r="U339" i="11"/>
  <c r="T339" i="11"/>
  <c r="P339" i="11"/>
  <c r="F339" i="11"/>
  <c r="E339" i="11"/>
  <c r="D339" i="11"/>
  <c r="U338" i="11"/>
  <c r="V338" i="11" s="1"/>
  <c r="W338" i="11" s="1"/>
  <c r="T338" i="11"/>
  <c r="P338" i="11"/>
  <c r="F338" i="11"/>
  <c r="E338" i="11"/>
  <c r="D338" i="11"/>
  <c r="U337" i="11"/>
  <c r="V337" i="11" s="1"/>
  <c r="W337" i="11" s="1"/>
  <c r="T337" i="11"/>
  <c r="P337" i="11"/>
  <c r="F337" i="11"/>
  <c r="E337" i="11"/>
  <c r="D337" i="11"/>
  <c r="U336" i="11"/>
  <c r="T336" i="11"/>
  <c r="V336" i="11" s="1"/>
  <c r="P336" i="11"/>
  <c r="F336" i="11"/>
  <c r="E336" i="11"/>
  <c r="D336" i="11"/>
  <c r="U335" i="11"/>
  <c r="V335" i="11" s="1"/>
  <c r="W335" i="11" s="1"/>
  <c r="T335" i="11"/>
  <c r="P335" i="11"/>
  <c r="F335" i="11"/>
  <c r="E335" i="11"/>
  <c r="D335" i="11"/>
  <c r="U334" i="11"/>
  <c r="T334" i="11"/>
  <c r="P334" i="11"/>
  <c r="F334" i="11"/>
  <c r="E334" i="11"/>
  <c r="D334" i="11"/>
  <c r="V333" i="11"/>
  <c r="W333" i="11" s="1"/>
  <c r="U333" i="11"/>
  <c r="T333" i="11"/>
  <c r="P333" i="11"/>
  <c r="F333" i="11"/>
  <c r="E333" i="11"/>
  <c r="D333" i="11"/>
  <c r="U332" i="11"/>
  <c r="V332" i="11" s="1"/>
  <c r="W332" i="11" s="1"/>
  <c r="T332" i="11"/>
  <c r="P332" i="11"/>
  <c r="F332" i="11"/>
  <c r="E332" i="11"/>
  <c r="D332" i="11"/>
  <c r="U331" i="11"/>
  <c r="T331" i="11"/>
  <c r="V331" i="11" s="1"/>
  <c r="P331" i="11"/>
  <c r="F331" i="11"/>
  <c r="E331" i="11"/>
  <c r="D331" i="11"/>
  <c r="V330" i="11"/>
  <c r="W330" i="11" s="1"/>
  <c r="U330" i="11"/>
  <c r="T330" i="11"/>
  <c r="P330" i="11"/>
  <c r="F330" i="11"/>
  <c r="E330" i="11"/>
  <c r="D330" i="11"/>
  <c r="W329" i="11"/>
  <c r="U329" i="11"/>
  <c r="V329" i="11" s="1"/>
  <c r="T329" i="11"/>
  <c r="P329" i="11"/>
  <c r="F329" i="11"/>
  <c r="E329" i="11"/>
  <c r="D329" i="11"/>
  <c r="U328" i="11"/>
  <c r="T328" i="11"/>
  <c r="P328" i="11"/>
  <c r="F328" i="11"/>
  <c r="E328" i="11"/>
  <c r="D328" i="11"/>
  <c r="U327" i="11"/>
  <c r="V327" i="11" s="1"/>
  <c r="W327" i="11" s="1"/>
  <c r="T327" i="11"/>
  <c r="P327" i="11"/>
  <c r="F327" i="11"/>
  <c r="E327" i="11"/>
  <c r="D327" i="11"/>
  <c r="U326" i="11"/>
  <c r="V326" i="11" s="1"/>
  <c r="W326" i="11" s="1"/>
  <c r="T326" i="11"/>
  <c r="P326" i="11"/>
  <c r="F326" i="11"/>
  <c r="E326" i="11"/>
  <c r="D326" i="11"/>
  <c r="U325" i="11"/>
  <c r="T325" i="11"/>
  <c r="V325" i="11" s="1"/>
  <c r="P325" i="11"/>
  <c r="F325" i="11"/>
  <c r="E325" i="11"/>
  <c r="D325" i="11"/>
  <c r="U324" i="11"/>
  <c r="T324" i="11"/>
  <c r="V324" i="11" s="1"/>
  <c r="P324" i="11"/>
  <c r="F324" i="11"/>
  <c r="E324" i="11"/>
  <c r="D324" i="11"/>
  <c r="U323" i="11"/>
  <c r="V323" i="11" s="1"/>
  <c r="W323" i="11" s="1"/>
  <c r="T323" i="11"/>
  <c r="P323" i="11"/>
  <c r="F323" i="11"/>
  <c r="E323" i="11"/>
  <c r="D323" i="11"/>
  <c r="V322" i="11"/>
  <c r="W322" i="11" s="1"/>
  <c r="U322" i="11"/>
  <c r="T322" i="11"/>
  <c r="P322" i="11"/>
  <c r="F322" i="11"/>
  <c r="E322" i="11"/>
  <c r="D322" i="11"/>
  <c r="U321" i="11"/>
  <c r="T321" i="11"/>
  <c r="P321" i="11"/>
  <c r="F321" i="11"/>
  <c r="E321" i="11"/>
  <c r="D321" i="11"/>
  <c r="W320" i="11"/>
  <c r="U320" i="11"/>
  <c r="V320" i="11" s="1"/>
  <c r="T320" i="11"/>
  <c r="P320" i="11"/>
  <c r="F320" i="11"/>
  <c r="E320" i="11"/>
  <c r="D320" i="11"/>
  <c r="U319" i="11"/>
  <c r="V319" i="11" s="1"/>
  <c r="W319" i="11" s="1"/>
  <c r="T319" i="11"/>
  <c r="P319" i="11"/>
  <c r="F319" i="11"/>
  <c r="E319" i="11"/>
  <c r="D319" i="11"/>
  <c r="U318" i="11"/>
  <c r="T318" i="11"/>
  <c r="V318" i="11" s="1"/>
  <c r="P318" i="11"/>
  <c r="F318" i="11"/>
  <c r="E318" i="11"/>
  <c r="D318" i="11"/>
  <c r="U317" i="11"/>
  <c r="V317" i="11" s="1"/>
  <c r="W317" i="11" s="1"/>
  <c r="T317" i="11"/>
  <c r="P317" i="11"/>
  <c r="F317" i="11"/>
  <c r="E317" i="11"/>
  <c r="D317" i="11"/>
  <c r="U316" i="11"/>
  <c r="T316" i="11"/>
  <c r="P316" i="11"/>
  <c r="F316" i="11"/>
  <c r="E316" i="11"/>
  <c r="D316" i="11"/>
  <c r="U315" i="11"/>
  <c r="T315" i="11"/>
  <c r="P315" i="11"/>
  <c r="F315" i="11"/>
  <c r="E315" i="11"/>
  <c r="D315" i="11"/>
  <c r="W314" i="11"/>
  <c r="U314" i="11"/>
  <c r="V314" i="11" s="1"/>
  <c r="T314" i="11"/>
  <c r="P314" i="11"/>
  <c r="F314" i="11"/>
  <c r="E314" i="11"/>
  <c r="D314" i="11"/>
  <c r="U313" i="11"/>
  <c r="T313" i="11"/>
  <c r="P313" i="11"/>
  <c r="F313" i="11"/>
  <c r="E313" i="11"/>
  <c r="D313" i="11"/>
  <c r="V312" i="11"/>
  <c r="W312" i="11" s="1"/>
  <c r="U312" i="11"/>
  <c r="T312" i="11"/>
  <c r="P312" i="11"/>
  <c r="F312" i="11"/>
  <c r="E312" i="11"/>
  <c r="D312" i="11"/>
  <c r="W311" i="11"/>
  <c r="U311" i="11"/>
  <c r="V311" i="11" s="1"/>
  <c r="T311" i="11"/>
  <c r="P311" i="11"/>
  <c r="F311" i="11"/>
  <c r="E311" i="11"/>
  <c r="D311" i="11"/>
  <c r="U310" i="11"/>
  <c r="T310" i="11"/>
  <c r="V310" i="11" s="1"/>
  <c r="P310" i="11"/>
  <c r="F310" i="11"/>
  <c r="E310" i="11"/>
  <c r="D310" i="11"/>
  <c r="V309" i="11"/>
  <c r="W309" i="11" s="1"/>
  <c r="U309" i="11"/>
  <c r="T309" i="11"/>
  <c r="P309" i="11"/>
  <c r="F309" i="11"/>
  <c r="E309" i="11"/>
  <c r="D309" i="11"/>
  <c r="U308" i="11"/>
  <c r="V308" i="11" s="1"/>
  <c r="W308" i="11" s="1"/>
  <c r="T308" i="11"/>
  <c r="P308" i="11"/>
  <c r="F308" i="11"/>
  <c r="E308" i="11"/>
  <c r="D308" i="11"/>
  <c r="U307" i="11"/>
  <c r="T307" i="11"/>
  <c r="V307" i="11" s="1"/>
  <c r="P307" i="11"/>
  <c r="F307" i="11"/>
  <c r="E307" i="11"/>
  <c r="D307" i="11"/>
  <c r="U306" i="11"/>
  <c r="T306" i="11"/>
  <c r="P306" i="11"/>
  <c r="F306" i="11"/>
  <c r="E306" i="11"/>
  <c r="D306" i="11"/>
  <c r="U305" i="11"/>
  <c r="V305" i="11" s="1"/>
  <c r="W305" i="11" s="1"/>
  <c r="T305" i="11"/>
  <c r="P305" i="11"/>
  <c r="F305" i="11"/>
  <c r="E305" i="11"/>
  <c r="D305" i="11"/>
  <c r="V304" i="11"/>
  <c r="W304" i="11" s="1"/>
  <c r="U304" i="11"/>
  <c r="T304" i="11"/>
  <c r="P304" i="11"/>
  <c r="F304" i="11"/>
  <c r="E304" i="11"/>
  <c r="D304" i="11"/>
  <c r="U303" i="11"/>
  <c r="T303" i="11"/>
  <c r="P303" i="11"/>
  <c r="F303" i="11"/>
  <c r="E303" i="11"/>
  <c r="D303" i="11"/>
  <c r="U302" i="11"/>
  <c r="V302" i="11" s="1"/>
  <c r="W302" i="11" s="1"/>
  <c r="T302" i="11"/>
  <c r="P302" i="11"/>
  <c r="F302" i="11"/>
  <c r="E302" i="11"/>
  <c r="D302" i="11"/>
  <c r="V301" i="11"/>
  <c r="W301" i="11" s="1"/>
  <c r="U301" i="11"/>
  <c r="T301" i="11"/>
  <c r="P301" i="11"/>
  <c r="F301" i="11"/>
  <c r="E301" i="11"/>
  <c r="D301" i="11"/>
  <c r="U300" i="11"/>
  <c r="T300" i="11"/>
  <c r="V300" i="11" s="1"/>
  <c r="P300" i="11"/>
  <c r="F300" i="11"/>
  <c r="E300" i="11"/>
  <c r="D300" i="11"/>
  <c r="U299" i="11"/>
  <c r="V299" i="11" s="1"/>
  <c r="W299" i="11" s="1"/>
  <c r="T299" i="11"/>
  <c r="P299" i="11"/>
  <c r="F299" i="11"/>
  <c r="E299" i="11"/>
  <c r="D299" i="11"/>
  <c r="U298" i="11"/>
  <c r="T298" i="11"/>
  <c r="P298" i="11"/>
  <c r="F298" i="11"/>
  <c r="E298" i="11"/>
  <c r="D298" i="11"/>
  <c r="W297" i="11"/>
  <c r="V297" i="11"/>
  <c r="U297" i="11"/>
  <c r="T297" i="11"/>
  <c r="P297" i="11"/>
  <c r="F297" i="11"/>
  <c r="E297" i="11"/>
  <c r="D297" i="11"/>
  <c r="U296" i="11"/>
  <c r="V296" i="11" s="1"/>
  <c r="W296" i="11" s="1"/>
  <c r="T296" i="11"/>
  <c r="P296" i="11"/>
  <c r="F296" i="11"/>
  <c r="E296" i="11"/>
  <c r="D296" i="11"/>
  <c r="U295" i="11"/>
  <c r="T295" i="11"/>
  <c r="P295" i="11"/>
  <c r="F295" i="11"/>
  <c r="E295" i="11"/>
  <c r="D295" i="11"/>
  <c r="V294" i="11"/>
  <c r="W294" i="11" s="1"/>
  <c r="U294" i="11"/>
  <c r="T294" i="11"/>
  <c r="P294" i="11"/>
  <c r="F294" i="11"/>
  <c r="E294" i="11"/>
  <c r="D294" i="11"/>
  <c r="W293" i="11"/>
  <c r="U293" i="11"/>
  <c r="V293" i="11" s="1"/>
  <c r="T293" i="11"/>
  <c r="P293" i="11"/>
  <c r="F293" i="11"/>
  <c r="E293" i="11"/>
  <c r="D293" i="11"/>
  <c r="U292" i="11"/>
  <c r="T292" i="11"/>
  <c r="P292" i="11"/>
  <c r="F292" i="11"/>
  <c r="E292" i="11"/>
  <c r="D292" i="11"/>
  <c r="U291" i="11"/>
  <c r="T291" i="11"/>
  <c r="P291" i="11"/>
  <c r="F291" i="11"/>
  <c r="E291" i="11"/>
  <c r="D291" i="11"/>
  <c r="U290" i="11"/>
  <c r="V290" i="11" s="1"/>
  <c r="W290" i="11" s="1"/>
  <c r="T290" i="11"/>
  <c r="P290" i="11"/>
  <c r="F290" i="11"/>
  <c r="E290" i="11"/>
  <c r="D290" i="11"/>
  <c r="W289" i="11"/>
  <c r="U289" i="11"/>
  <c r="T289" i="11"/>
  <c r="V289" i="11" s="1"/>
  <c r="P289" i="11"/>
  <c r="F289" i="11"/>
  <c r="E289" i="11"/>
  <c r="D289" i="11"/>
  <c r="U288" i="11"/>
  <c r="T288" i="11"/>
  <c r="P288" i="11"/>
  <c r="F288" i="11"/>
  <c r="E288" i="11"/>
  <c r="D288" i="11"/>
  <c r="W287" i="11"/>
  <c r="U287" i="11"/>
  <c r="V287" i="11" s="1"/>
  <c r="T287" i="11"/>
  <c r="P287" i="11"/>
  <c r="F287" i="11"/>
  <c r="E287" i="11"/>
  <c r="D287" i="11"/>
  <c r="V286" i="11"/>
  <c r="W286" i="11" s="1"/>
  <c r="U286" i="11"/>
  <c r="T286" i="11"/>
  <c r="P286" i="11"/>
  <c r="F286" i="11"/>
  <c r="E286" i="11"/>
  <c r="D286" i="11"/>
  <c r="U285" i="11"/>
  <c r="T285" i="11"/>
  <c r="P285" i="11"/>
  <c r="F285" i="11"/>
  <c r="E285" i="11"/>
  <c r="D285" i="11"/>
  <c r="W284" i="11"/>
  <c r="U284" i="11"/>
  <c r="V284" i="11" s="1"/>
  <c r="T284" i="11"/>
  <c r="P284" i="11"/>
  <c r="F284" i="11"/>
  <c r="E284" i="11"/>
  <c r="D284" i="11"/>
  <c r="U283" i="11"/>
  <c r="V283" i="11" s="1"/>
  <c r="W283" i="11" s="1"/>
  <c r="T283" i="11"/>
  <c r="P283" i="11"/>
  <c r="F283" i="11"/>
  <c r="E283" i="11"/>
  <c r="D283" i="11"/>
  <c r="U282" i="11"/>
  <c r="T282" i="11"/>
  <c r="V282" i="11" s="1"/>
  <c r="P282" i="11"/>
  <c r="F282" i="11"/>
  <c r="E282" i="11"/>
  <c r="D282" i="11"/>
  <c r="U281" i="11"/>
  <c r="V281" i="11" s="1"/>
  <c r="W281" i="11" s="1"/>
  <c r="T281" i="11"/>
  <c r="P281" i="11"/>
  <c r="F281" i="11"/>
  <c r="E281" i="11"/>
  <c r="D281" i="11"/>
  <c r="U280" i="11"/>
  <c r="T280" i="11"/>
  <c r="P280" i="11"/>
  <c r="F280" i="11"/>
  <c r="E280" i="11"/>
  <c r="D280" i="11"/>
  <c r="U279" i="11"/>
  <c r="T279" i="11"/>
  <c r="V279" i="11" s="1"/>
  <c r="W279" i="11" s="1"/>
  <c r="P279" i="11"/>
  <c r="F279" i="11"/>
  <c r="E279" i="11"/>
  <c r="D279" i="11"/>
  <c r="W278" i="11"/>
  <c r="U278" i="11"/>
  <c r="V278" i="11" s="1"/>
  <c r="T278" i="11"/>
  <c r="P278" i="11"/>
  <c r="F278" i="11"/>
  <c r="E278" i="11"/>
  <c r="D278" i="11"/>
  <c r="U277" i="11"/>
  <c r="T277" i="11"/>
  <c r="V277" i="11" s="1"/>
  <c r="P277" i="11"/>
  <c r="F277" i="11"/>
  <c r="E277" i="11"/>
  <c r="D277" i="11"/>
  <c r="V276" i="11"/>
  <c r="W276" i="11" s="1"/>
  <c r="U276" i="11"/>
  <c r="T276" i="11"/>
  <c r="P276" i="11"/>
  <c r="F276" i="11"/>
  <c r="E276" i="11"/>
  <c r="D276" i="11"/>
  <c r="W275" i="11"/>
  <c r="U275" i="11"/>
  <c r="V275" i="11" s="1"/>
  <c r="T275" i="11"/>
  <c r="P275" i="11"/>
  <c r="F275" i="11"/>
  <c r="E275" i="11"/>
  <c r="D275" i="11"/>
  <c r="U274" i="11"/>
  <c r="T274" i="11"/>
  <c r="P274" i="11"/>
  <c r="F274" i="11"/>
  <c r="E274" i="11"/>
  <c r="D274" i="11"/>
  <c r="U273" i="11"/>
  <c r="T273" i="11"/>
  <c r="V273" i="11" s="1"/>
  <c r="W273" i="11" s="1"/>
  <c r="P273" i="11"/>
  <c r="F273" i="11"/>
  <c r="E273" i="11"/>
  <c r="D273" i="11"/>
  <c r="U272" i="11"/>
  <c r="V272" i="11" s="1"/>
  <c r="W272" i="11" s="1"/>
  <c r="T272" i="11"/>
  <c r="P272" i="11"/>
  <c r="F272" i="11"/>
  <c r="E272" i="11"/>
  <c r="D272" i="11"/>
  <c r="W271" i="11"/>
  <c r="U271" i="11"/>
  <c r="T271" i="11"/>
  <c r="V271" i="11" s="1"/>
  <c r="P271" i="11"/>
  <c r="F271" i="11"/>
  <c r="E271" i="11"/>
  <c r="D271" i="11"/>
  <c r="U270" i="11"/>
  <c r="T270" i="11"/>
  <c r="P270" i="11"/>
  <c r="F270" i="11"/>
  <c r="E270" i="11"/>
  <c r="D270" i="11"/>
  <c r="W269" i="11"/>
  <c r="U269" i="11"/>
  <c r="V269" i="11" s="1"/>
  <c r="T269" i="11"/>
  <c r="P269" i="11"/>
  <c r="F269" i="11"/>
  <c r="E269" i="11"/>
  <c r="D269" i="11"/>
  <c r="V268" i="11"/>
  <c r="W268" i="11" s="1"/>
  <c r="U268" i="11"/>
  <c r="T268" i="11"/>
  <c r="P268" i="11"/>
  <c r="F268" i="11"/>
  <c r="E268" i="11"/>
  <c r="D268" i="11"/>
  <c r="U267" i="11"/>
  <c r="T267" i="11"/>
  <c r="P267" i="11"/>
  <c r="F267" i="11"/>
  <c r="E267" i="11"/>
  <c r="D267" i="11"/>
  <c r="W266" i="11"/>
  <c r="U266" i="11"/>
  <c r="V266" i="11" s="1"/>
  <c r="T266" i="11"/>
  <c r="P266" i="11"/>
  <c r="F266" i="11"/>
  <c r="E266" i="11"/>
  <c r="D266" i="11"/>
  <c r="U265" i="11"/>
  <c r="V265" i="11" s="1"/>
  <c r="W265" i="11" s="1"/>
  <c r="T265" i="11"/>
  <c r="P265" i="11"/>
  <c r="F265" i="11"/>
  <c r="E265" i="11"/>
  <c r="D265" i="11"/>
  <c r="U264" i="11"/>
  <c r="T264" i="11"/>
  <c r="V264" i="11" s="1"/>
  <c r="P264" i="11"/>
  <c r="F264" i="11"/>
  <c r="E264" i="11"/>
  <c r="D264" i="11"/>
  <c r="U263" i="11"/>
  <c r="V263" i="11" s="1"/>
  <c r="W263" i="11" s="1"/>
  <c r="T263" i="11"/>
  <c r="P263" i="11"/>
  <c r="F263" i="11"/>
  <c r="E263" i="11"/>
  <c r="D263" i="11"/>
  <c r="U262" i="11"/>
  <c r="T262" i="11"/>
  <c r="P262" i="11"/>
  <c r="F262" i="11"/>
  <c r="E262" i="11"/>
  <c r="D262" i="11"/>
  <c r="W261" i="11"/>
  <c r="V261" i="11"/>
  <c r="U261" i="11"/>
  <c r="T261" i="11"/>
  <c r="P261" i="11"/>
  <c r="F261" i="11"/>
  <c r="E261" i="11"/>
  <c r="D261" i="11"/>
  <c r="U260" i="11"/>
  <c r="V260" i="11" s="1"/>
  <c r="W260" i="11" s="1"/>
  <c r="T260" i="11"/>
  <c r="P260" i="11"/>
  <c r="F260" i="11"/>
  <c r="E260" i="11"/>
  <c r="D260" i="11"/>
  <c r="U259" i="11"/>
  <c r="T259" i="11"/>
  <c r="P259" i="11"/>
  <c r="F259" i="11"/>
  <c r="E259" i="11"/>
  <c r="D259" i="11"/>
  <c r="U258" i="11"/>
  <c r="V258" i="11" s="1"/>
  <c r="W258" i="11" s="1"/>
  <c r="T258" i="11"/>
  <c r="P258" i="11"/>
  <c r="F258" i="11"/>
  <c r="E258" i="11"/>
  <c r="D258" i="11"/>
  <c r="W257" i="11"/>
  <c r="U257" i="11"/>
  <c r="V257" i="11" s="1"/>
  <c r="T257" i="11"/>
  <c r="P257" i="11"/>
  <c r="F257" i="11"/>
  <c r="E257" i="11"/>
  <c r="D257" i="11"/>
  <c r="U256" i="11"/>
  <c r="T256" i="11"/>
  <c r="P256" i="11"/>
  <c r="F256" i="11"/>
  <c r="E256" i="11"/>
  <c r="D256" i="11"/>
  <c r="U255" i="11"/>
  <c r="T255" i="11"/>
  <c r="P255" i="11"/>
  <c r="F255" i="11"/>
  <c r="E255" i="11"/>
  <c r="D255" i="11"/>
  <c r="W254" i="11"/>
  <c r="U254" i="11"/>
  <c r="V254" i="11" s="1"/>
  <c r="T254" i="11"/>
  <c r="P254" i="11"/>
  <c r="F254" i="11"/>
  <c r="E254" i="11"/>
  <c r="D254" i="11"/>
  <c r="U253" i="11"/>
  <c r="T253" i="11"/>
  <c r="V253" i="11" s="1"/>
  <c r="P253" i="11"/>
  <c r="F253" i="11"/>
  <c r="E253" i="11"/>
  <c r="D253" i="11"/>
  <c r="U252" i="11"/>
  <c r="T252" i="11"/>
  <c r="V252" i="11" s="1"/>
  <c r="P252" i="11"/>
  <c r="F252" i="11"/>
  <c r="E252" i="11"/>
  <c r="D252" i="11"/>
  <c r="W251" i="11"/>
  <c r="U251" i="11"/>
  <c r="V251" i="11" s="1"/>
  <c r="T251" i="11"/>
  <c r="P251" i="11"/>
  <c r="F251" i="11"/>
  <c r="E251" i="11"/>
  <c r="D251" i="11"/>
  <c r="V250" i="11"/>
  <c r="W250" i="11" s="1"/>
  <c r="U250" i="11"/>
  <c r="T250" i="11"/>
  <c r="P250" i="11"/>
  <c r="F250" i="11"/>
  <c r="E250" i="11"/>
  <c r="D250" i="11"/>
  <c r="U249" i="11"/>
  <c r="T249" i="11"/>
  <c r="V249" i="11" s="1"/>
  <c r="P249" i="11"/>
  <c r="F249" i="11"/>
  <c r="E249" i="11"/>
  <c r="D249" i="11"/>
  <c r="U248" i="11"/>
  <c r="V248" i="11" s="1"/>
  <c r="W248" i="11" s="1"/>
  <c r="T248" i="11"/>
  <c r="P248" i="11"/>
  <c r="F248" i="11"/>
  <c r="E248" i="11"/>
  <c r="D248" i="11"/>
  <c r="U247" i="11"/>
  <c r="V247" i="11" s="1"/>
  <c r="W247" i="11" s="1"/>
  <c r="T247" i="11"/>
  <c r="P247" i="11"/>
  <c r="F247" i="11"/>
  <c r="E247" i="11"/>
  <c r="D247" i="11"/>
  <c r="U246" i="11"/>
  <c r="T246" i="11"/>
  <c r="P246" i="11"/>
  <c r="F246" i="11"/>
  <c r="E246" i="11"/>
  <c r="D246" i="11"/>
  <c r="U245" i="11"/>
  <c r="V245" i="11" s="1"/>
  <c r="W245" i="11" s="1"/>
  <c r="T245" i="11"/>
  <c r="P245" i="11"/>
  <c r="F245" i="11"/>
  <c r="E245" i="11"/>
  <c r="D245" i="11"/>
  <c r="U244" i="11"/>
  <c r="T244" i="11"/>
  <c r="P244" i="11"/>
  <c r="F244" i="11"/>
  <c r="E244" i="11"/>
  <c r="D244" i="11"/>
  <c r="W243" i="11"/>
  <c r="V243" i="11"/>
  <c r="U243" i="11"/>
  <c r="T243" i="11"/>
  <c r="P243" i="11"/>
  <c r="F243" i="11"/>
  <c r="E243" i="11"/>
  <c r="D243" i="11"/>
  <c r="W242" i="11"/>
  <c r="U242" i="11"/>
  <c r="V242" i="11" s="1"/>
  <c r="T242" i="11"/>
  <c r="P242" i="11"/>
  <c r="F242" i="11"/>
  <c r="E242" i="11"/>
  <c r="D242" i="11"/>
  <c r="U241" i="11"/>
  <c r="T241" i="11"/>
  <c r="P241" i="11"/>
  <c r="F241" i="11"/>
  <c r="E241" i="11"/>
  <c r="D241" i="11"/>
  <c r="U240" i="11"/>
  <c r="V240" i="11" s="1"/>
  <c r="W240" i="11" s="1"/>
  <c r="T240" i="11"/>
  <c r="P240" i="11"/>
  <c r="F240" i="11"/>
  <c r="E240" i="11"/>
  <c r="D240" i="11"/>
  <c r="W239" i="11"/>
  <c r="U239" i="11"/>
  <c r="V239" i="11" s="1"/>
  <c r="T239" i="11"/>
  <c r="P239" i="11"/>
  <c r="F239" i="11"/>
  <c r="E239" i="11"/>
  <c r="D239" i="11"/>
  <c r="V238" i="11"/>
  <c r="U238" i="11"/>
  <c r="T238" i="11"/>
  <c r="P238" i="11"/>
  <c r="F238" i="11"/>
  <c r="E238" i="11"/>
  <c r="D238" i="11"/>
  <c r="U237" i="11"/>
  <c r="T237" i="11"/>
  <c r="P237" i="11"/>
  <c r="F237" i="11"/>
  <c r="E237" i="11"/>
  <c r="D237" i="11"/>
  <c r="U236" i="11"/>
  <c r="V236" i="11" s="1"/>
  <c r="W236" i="11" s="1"/>
  <c r="T236" i="11"/>
  <c r="P236" i="11"/>
  <c r="F236" i="11"/>
  <c r="E236" i="11"/>
  <c r="D236" i="11"/>
  <c r="U235" i="11"/>
  <c r="T235" i="11"/>
  <c r="V235" i="11" s="1"/>
  <c r="P235" i="11"/>
  <c r="F235" i="11"/>
  <c r="E235" i="11"/>
  <c r="D235" i="11"/>
  <c r="U234" i="11"/>
  <c r="T234" i="11"/>
  <c r="P234" i="11"/>
  <c r="F234" i="11"/>
  <c r="E234" i="11"/>
  <c r="D234" i="11"/>
  <c r="W233" i="11"/>
  <c r="U233" i="11"/>
  <c r="V233" i="11" s="1"/>
  <c r="T233" i="11"/>
  <c r="P233" i="11"/>
  <c r="F233" i="11"/>
  <c r="E233" i="11"/>
  <c r="D233" i="11"/>
  <c r="U232" i="11"/>
  <c r="T232" i="11"/>
  <c r="P232" i="11"/>
  <c r="F232" i="11"/>
  <c r="E232" i="11"/>
  <c r="D232" i="11"/>
  <c r="U231" i="11"/>
  <c r="T231" i="11"/>
  <c r="P231" i="11"/>
  <c r="F231" i="11"/>
  <c r="E231" i="11"/>
  <c r="D231" i="11"/>
  <c r="U230" i="11"/>
  <c r="V230" i="11" s="1"/>
  <c r="W230" i="11" s="1"/>
  <c r="T230" i="11"/>
  <c r="P230" i="11"/>
  <c r="F230" i="11"/>
  <c r="E230" i="11"/>
  <c r="D230" i="11"/>
  <c r="U229" i="11"/>
  <c r="V229" i="11" s="1"/>
  <c r="W229" i="11" s="1"/>
  <c r="T229" i="11"/>
  <c r="P229" i="11"/>
  <c r="F229" i="11"/>
  <c r="E229" i="11"/>
  <c r="D229" i="11"/>
  <c r="W228" i="11"/>
  <c r="U228" i="11"/>
  <c r="T228" i="11"/>
  <c r="V228" i="11" s="1"/>
  <c r="P228" i="11"/>
  <c r="F228" i="11"/>
  <c r="E228" i="11"/>
  <c r="D228" i="11"/>
  <c r="U227" i="11"/>
  <c r="V227" i="11" s="1"/>
  <c r="W227" i="11" s="1"/>
  <c r="T227" i="11"/>
  <c r="P227" i="11"/>
  <c r="F227" i="11"/>
  <c r="E227" i="11"/>
  <c r="D227" i="11"/>
  <c r="U226" i="11"/>
  <c r="T226" i="11"/>
  <c r="P226" i="11"/>
  <c r="F226" i="11"/>
  <c r="E226" i="11"/>
  <c r="D226" i="11"/>
  <c r="V225" i="11"/>
  <c r="W225" i="11" s="1"/>
  <c r="U225" i="11"/>
  <c r="T225" i="11"/>
  <c r="P225" i="11"/>
  <c r="F225" i="11"/>
  <c r="E225" i="11"/>
  <c r="D225" i="11"/>
  <c r="U224" i="11"/>
  <c r="V224" i="11" s="1"/>
  <c r="W224" i="11" s="1"/>
  <c r="T224" i="11"/>
  <c r="P224" i="11"/>
  <c r="F224" i="11"/>
  <c r="E224" i="11"/>
  <c r="D224" i="11"/>
  <c r="V223" i="11"/>
  <c r="U223" i="11"/>
  <c r="T223" i="11"/>
  <c r="P223" i="11"/>
  <c r="F223" i="11"/>
  <c r="E223" i="11"/>
  <c r="D223" i="11"/>
  <c r="U222" i="11"/>
  <c r="V222" i="11" s="1"/>
  <c r="W222" i="11" s="1"/>
  <c r="T222" i="11"/>
  <c r="P222" i="11"/>
  <c r="F222" i="11"/>
  <c r="E222" i="11"/>
  <c r="D222" i="11"/>
  <c r="W221" i="11"/>
  <c r="U221" i="11"/>
  <c r="V221" i="11" s="1"/>
  <c r="T221" i="11"/>
  <c r="P221" i="11"/>
  <c r="F221" i="11"/>
  <c r="E221" i="11"/>
  <c r="D221" i="11"/>
  <c r="U220" i="11"/>
  <c r="T220" i="11"/>
  <c r="P220" i="11"/>
  <c r="F220" i="11"/>
  <c r="E220" i="11"/>
  <c r="D220" i="11"/>
  <c r="U219" i="11"/>
  <c r="T219" i="11"/>
  <c r="V219" i="11" s="1"/>
  <c r="P219" i="11"/>
  <c r="F219" i="11"/>
  <c r="E219" i="11"/>
  <c r="D219" i="11"/>
  <c r="W218" i="11"/>
  <c r="U218" i="11"/>
  <c r="V218" i="11" s="1"/>
  <c r="T218" i="11"/>
  <c r="P218" i="11"/>
  <c r="F218" i="11"/>
  <c r="E218" i="11"/>
  <c r="D218" i="11"/>
  <c r="U217" i="11"/>
  <c r="T217" i="11"/>
  <c r="P217" i="11"/>
  <c r="F217" i="11"/>
  <c r="E217" i="11"/>
  <c r="D217" i="11"/>
  <c r="U216" i="11"/>
  <c r="T216" i="11"/>
  <c r="P216" i="11"/>
  <c r="F216" i="11"/>
  <c r="E216" i="11"/>
  <c r="D216" i="11"/>
  <c r="U215" i="11"/>
  <c r="V215" i="11" s="1"/>
  <c r="W215" i="11" s="1"/>
  <c r="T215" i="11"/>
  <c r="P215" i="11"/>
  <c r="F215" i="11"/>
  <c r="E215" i="11"/>
  <c r="D215" i="11"/>
  <c r="V214" i="11"/>
  <c r="W214" i="11" s="1"/>
  <c r="U214" i="11"/>
  <c r="T214" i="11"/>
  <c r="P214" i="11"/>
  <c r="F214" i="11"/>
  <c r="E214" i="11"/>
  <c r="D214" i="11"/>
  <c r="U213" i="11"/>
  <c r="T213" i="11"/>
  <c r="P213" i="11"/>
  <c r="F213" i="11"/>
  <c r="E213" i="11"/>
  <c r="D213" i="11"/>
  <c r="U212" i="11"/>
  <c r="V212" i="11" s="1"/>
  <c r="W212" i="11" s="1"/>
  <c r="T212" i="11"/>
  <c r="P212" i="11"/>
  <c r="F212" i="11"/>
  <c r="E212" i="11"/>
  <c r="D212" i="11"/>
  <c r="U211" i="11"/>
  <c r="V211" i="11" s="1"/>
  <c r="W211" i="11" s="1"/>
  <c r="T211" i="11"/>
  <c r="P211" i="11"/>
  <c r="F211" i="11"/>
  <c r="E211" i="11"/>
  <c r="D211" i="11"/>
  <c r="U210" i="11"/>
  <c r="T210" i="11"/>
  <c r="P210" i="11"/>
  <c r="F210" i="11"/>
  <c r="E210" i="11"/>
  <c r="D210" i="11"/>
  <c r="U209" i="11"/>
  <c r="V209" i="11" s="1"/>
  <c r="W209" i="11" s="1"/>
  <c r="T209" i="11"/>
  <c r="P209" i="11"/>
  <c r="F209" i="11"/>
  <c r="E209" i="11"/>
  <c r="D209" i="11"/>
  <c r="U208" i="11"/>
  <c r="T208" i="11"/>
  <c r="V208" i="11" s="1"/>
  <c r="W208" i="11" s="1"/>
  <c r="P208" i="11"/>
  <c r="F208" i="11"/>
  <c r="E208" i="11"/>
  <c r="D208" i="11"/>
  <c r="U207" i="11"/>
  <c r="T207" i="11"/>
  <c r="P207" i="11"/>
  <c r="F207" i="11"/>
  <c r="E207" i="11"/>
  <c r="D207" i="11"/>
  <c r="W206" i="11"/>
  <c r="U206" i="11"/>
  <c r="V206" i="11" s="1"/>
  <c r="T206" i="11"/>
  <c r="P206" i="11"/>
  <c r="F206" i="11"/>
  <c r="E206" i="11"/>
  <c r="D206" i="11"/>
  <c r="V205" i="11"/>
  <c r="W205" i="11" s="1"/>
  <c r="U205" i="11"/>
  <c r="T205" i="11"/>
  <c r="P205" i="11"/>
  <c r="F205" i="11"/>
  <c r="E205" i="11"/>
  <c r="D205" i="11"/>
  <c r="U204" i="11"/>
  <c r="V204" i="11" s="1"/>
  <c r="W204" i="11" s="1"/>
  <c r="T204" i="11"/>
  <c r="P204" i="11"/>
  <c r="F204" i="11"/>
  <c r="E204" i="11"/>
  <c r="D204" i="11"/>
  <c r="W203" i="11"/>
  <c r="U203" i="11"/>
  <c r="V203" i="11" s="1"/>
  <c r="T203" i="11"/>
  <c r="P203" i="11"/>
  <c r="F203" i="11"/>
  <c r="E203" i="11"/>
  <c r="D203" i="11"/>
  <c r="V202" i="11"/>
  <c r="U202" i="11"/>
  <c r="T202" i="11"/>
  <c r="P202" i="11"/>
  <c r="F202" i="11"/>
  <c r="E202" i="11"/>
  <c r="D202" i="11"/>
  <c r="U201" i="11"/>
  <c r="T201" i="11"/>
  <c r="V201" i="11" s="1"/>
  <c r="P201" i="11"/>
  <c r="F201" i="11"/>
  <c r="E201" i="11"/>
  <c r="D201" i="11"/>
  <c r="U200" i="11"/>
  <c r="V200" i="11" s="1"/>
  <c r="W200" i="11" s="1"/>
  <c r="T200" i="11"/>
  <c r="P200" i="11"/>
  <c r="F200" i="11"/>
  <c r="E200" i="11"/>
  <c r="D200" i="11"/>
  <c r="U199" i="11"/>
  <c r="T199" i="11"/>
  <c r="P199" i="11"/>
  <c r="F199" i="11"/>
  <c r="E199" i="11"/>
  <c r="D199" i="11"/>
  <c r="U198" i="11"/>
  <c r="T198" i="11"/>
  <c r="V198" i="11" s="1"/>
  <c r="P198" i="11"/>
  <c r="F198" i="11"/>
  <c r="E198" i="11"/>
  <c r="D198" i="11"/>
  <c r="U197" i="11"/>
  <c r="V197" i="11" s="1"/>
  <c r="W197" i="11" s="1"/>
  <c r="T197" i="11"/>
  <c r="P197" i="11"/>
  <c r="F197" i="11"/>
  <c r="E197" i="11"/>
  <c r="D197" i="11"/>
  <c r="U196" i="11"/>
  <c r="T196" i="11"/>
  <c r="P196" i="11"/>
  <c r="F196" i="11"/>
  <c r="E196" i="11"/>
  <c r="D196" i="11"/>
  <c r="U195" i="11"/>
  <c r="T195" i="11"/>
  <c r="P195" i="11"/>
  <c r="F195" i="11"/>
  <c r="E195" i="11"/>
  <c r="D195" i="11"/>
  <c r="U194" i="11"/>
  <c r="V194" i="11" s="1"/>
  <c r="W194" i="11" s="1"/>
  <c r="T194" i="11"/>
  <c r="P194" i="11"/>
  <c r="F194" i="11"/>
  <c r="E194" i="11"/>
  <c r="D194" i="11"/>
  <c r="U193" i="11"/>
  <c r="V193" i="11" s="1"/>
  <c r="W193" i="11" s="1"/>
  <c r="T193" i="11"/>
  <c r="P193" i="11"/>
  <c r="F193" i="11"/>
  <c r="E193" i="11"/>
  <c r="D193" i="11"/>
  <c r="U192" i="11"/>
  <c r="T192" i="11"/>
  <c r="V192" i="11" s="1"/>
  <c r="P192" i="11"/>
  <c r="F192" i="11"/>
  <c r="E192" i="11"/>
  <c r="D192" i="11"/>
  <c r="U191" i="11"/>
  <c r="V191" i="11" s="1"/>
  <c r="W191" i="11" s="1"/>
  <c r="T191" i="11"/>
  <c r="P191" i="11"/>
  <c r="F191" i="11"/>
  <c r="E191" i="11"/>
  <c r="D191" i="11"/>
  <c r="U190" i="11"/>
  <c r="T190" i="11"/>
  <c r="V190" i="11" s="1"/>
  <c r="W190" i="11" s="1"/>
  <c r="P190" i="11"/>
  <c r="F190" i="11"/>
  <c r="E190" i="11"/>
  <c r="D190" i="11"/>
  <c r="V189" i="11"/>
  <c r="W189" i="11" s="1"/>
  <c r="U189" i="11"/>
  <c r="T189" i="11"/>
  <c r="P189" i="11"/>
  <c r="F189" i="11"/>
  <c r="E189" i="11"/>
  <c r="D189" i="11"/>
  <c r="U188" i="11"/>
  <c r="V188" i="11" s="1"/>
  <c r="W188" i="11" s="1"/>
  <c r="T188" i="11"/>
  <c r="P188" i="11"/>
  <c r="F188" i="11"/>
  <c r="E188" i="11"/>
  <c r="D188" i="11"/>
  <c r="V187" i="11"/>
  <c r="U187" i="11"/>
  <c r="T187" i="11"/>
  <c r="P187" i="11"/>
  <c r="F187" i="11"/>
  <c r="E187" i="11"/>
  <c r="D187" i="11"/>
  <c r="U186" i="11"/>
  <c r="V186" i="11" s="1"/>
  <c r="W186" i="11" s="1"/>
  <c r="T186" i="11"/>
  <c r="P186" i="11"/>
  <c r="F186" i="11"/>
  <c r="E186" i="11"/>
  <c r="D186" i="11"/>
  <c r="W185" i="11"/>
  <c r="U185" i="11"/>
  <c r="V185" i="11" s="1"/>
  <c r="T185" i="11"/>
  <c r="P185" i="11"/>
  <c r="F185" i="11"/>
  <c r="E185" i="11"/>
  <c r="D185" i="11"/>
  <c r="U184" i="11"/>
  <c r="T184" i="11"/>
  <c r="P184" i="11"/>
  <c r="F184" i="11"/>
  <c r="E184" i="11"/>
  <c r="D184" i="11"/>
  <c r="U183" i="11"/>
  <c r="T183" i="11"/>
  <c r="P183" i="11"/>
  <c r="F183" i="11"/>
  <c r="E183" i="11"/>
  <c r="D183" i="11"/>
  <c r="U182" i="11"/>
  <c r="V182" i="11" s="1"/>
  <c r="W182" i="11" s="1"/>
  <c r="T182" i="11"/>
  <c r="P182" i="11"/>
  <c r="F182" i="11"/>
  <c r="E182" i="11"/>
  <c r="D182" i="11"/>
  <c r="U181" i="11"/>
  <c r="T181" i="11"/>
  <c r="V181" i="11" s="1"/>
  <c r="P181" i="11"/>
  <c r="F181" i="11"/>
  <c r="E181" i="11"/>
  <c r="D181" i="11"/>
  <c r="U180" i="11"/>
  <c r="T180" i="11"/>
  <c r="V180" i="11" s="1"/>
  <c r="W180" i="11" s="1"/>
  <c r="P180" i="11"/>
  <c r="F180" i="11"/>
  <c r="E180" i="11"/>
  <c r="D180" i="11"/>
  <c r="U179" i="11"/>
  <c r="V179" i="11" s="1"/>
  <c r="W179" i="11" s="1"/>
  <c r="T179" i="11"/>
  <c r="P179" i="11"/>
  <c r="F179" i="11"/>
  <c r="E179" i="11"/>
  <c r="D179" i="11"/>
  <c r="V178" i="11"/>
  <c r="W178" i="11" s="1"/>
  <c r="U178" i="11"/>
  <c r="T178" i="11"/>
  <c r="P178" i="11"/>
  <c r="F178" i="11"/>
  <c r="E178" i="11"/>
  <c r="D178" i="11"/>
  <c r="U177" i="11"/>
  <c r="V177" i="11" s="1"/>
  <c r="T177" i="11"/>
  <c r="P177" i="11"/>
  <c r="F177" i="11"/>
  <c r="E177" i="11"/>
  <c r="D177" i="11"/>
  <c r="U176" i="11"/>
  <c r="V176" i="11" s="1"/>
  <c r="W176" i="11" s="1"/>
  <c r="T176" i="11"/>
  <c r="P176" i="11"/>
  <c r="F176" i="11"/>
  <c r="E176" i="11"/>
  <c r="D176" i="11"/>
  <c r="V175" i="11"/>
  <c r="W175" i="11" s="1"/>
  <c r="U175" i="11"/>
  <c r="T175" i="11"/>
  <c r="P175" i="11"/>
  <c r="F175" i="11"/>
  <c r="E175" i="11"/>
  <c r="D175" i="11"/>
  <c r="U174" i="11"/>
  <c r="T174" i="11"/>
  <c r="P174" i="11"/>
  <c r="F174" i="11"/>
  <c r="E174" i="11"/>
  <c r="D174" i="11"/>
  <c r="U173" i="11"/>
  <c r="V173" i="11" s="1"/>
  <c r="W173" i="11" s="1"/>
  <c r="T173" i="11"/>
  <c r="P173" i="11"/>
  <c r="F173" i="11"/>
  <c r="E173" i="11"/>
  <c r="D173" i="11"/>
  <c r="U172" i="11"/>
  <c r="V172" i="11" s="1"/>
  <c r="W172" i="11" s="1"/>
  <c r="T172" i="11"/>
  <c r="P172" i="11"/>
  <c r="F172" i="11"/>
  <c r="E172" i="11"/>
  <c r="D172" i="11"/>
  <c r="U171" i="11"/>
  <c r="T171" i="11"/>
  <c r="P171" i="11"/>
  <c r="F171" i="11"/>
  <c r="E171" i="11"/>
  <c r="D171" i="11"/>
  <c r="W170" i="11"/>
  <c r="U170" i="11"/>
  <c r="V170" i="11" s="1"/>
  <c r="T170" i="11"/>
  <c r="P170" i="11"/>
  <c r="F170" i="11"/>
  <c r="E170" i="11"/>
  <c r="D170" i="11"/>
  <c r="V169" i="11"/>
  <c r="W169" i="11" s="1"/>
  <c r="U169" i="11"/>
  <c r="T169" i="11"/>
  <c r="P169" i="11"/>
  <c r="F169" i="11"/>
  <c r="E169" i="11"/>
  <c r="D169" i="11"/>
  <c r="U168" i="11"/>
  <c r="V168" i="11" s="1"/>
  <c r="W168" i="11" s="1"/>
  <c r="T168" i="11"/>
  <c r="P168" i="11"/>
  <c r="F168" i="11"/>
  <c r="E168" i="11"/>
  <c r="D168" i="11"/>
  <c r="W167" i="11"/>
  <c r="U167" i="11"/>
  <c r="V167" i="11" s="1"/>
  <c r="T167" i="11"/>
  <c r="P167" i="11"/>
  <c r="F167" i="11"/>
  <c r="E167" i="11"/>
  <c r="D167" i="11"/>
  <c r="U166" i="11"/>
  <c r="T166" i="11"/>
  <c r="P166" i="11"/>
  <c r="F166" i="11"/>
  <c r="E166" i="11"/>
  <c r="D166" i="11"/>
  <c r="U165" i="11"/>
  <c r="T165" i="11"/>
  <c r="V165" i="11" s="1"/>
  <c r="P165" i="11"/>
  <c r="F165" i="11"/>
  <c r="E165" i="11"/>
  <c r="D165" i="11"/>
  <c r="U164" i="11"/>
  <c r="V164" i="11" s="1"/>
  <c r="W164" i="11" s="1"/>
  <c r="T164" i="11"/>
  <c r="P164" i="11"/>
  <c r="F164" i="11"/>
  <c r="E164" i="11"/>
  <c r="D164" i="11"/>
  <c r="U163" i="11"/>
  <c r="T163" i="11"/>
  <c r="V163" i="11" s="1"/>
  <c r="P163" i="11"/>
  <c r="F163" i="11"/>
  <c r="E163" i="11"/>
  <c r="D163" i="11"/>
  <c r="U162" i="11"/>
  <c r="T162" i="11"/>
  <c r="P162" i="11"/>
  <c r="F162" i="11"/>
  <c r="E162" i="11"/>
  <c r="D162" i="11"/>
  <c r="U161" i="11"/>
  <c r="V161" i="11" s="1"/>
  <c r="W161" i="11" s="1"/>
  <c r="T161" i="11"/>
  <c r="P161" i="11"/>
  <c r="F161" i="11"/>
  <c r="E161" i="11"/>
  <c r="D161" i="11"/>
  <c r="U160" i="11"/>
  <c r="T160" i="11"/>
  <c r="P160" i="11"/>
  <c r="F160" i="11"/>
  <c r="E160" i="11"/>
  <c r="D160" i="11"/>
  <c r="U159" i="11"/>
  <c r="T159" i="11"/>
  <c r="P159" i="11"/>
  <c r="F159" i="11"/>
  <c r="E159" i="11"/>
  <c r="D159" i="11"/>
  <c r="U158" i="11"/>
  <c r="V158" i="11" s="1"/>
  <c r="W158" i="11" s="1"/>
  <c r="T158" i="11"/>
  <c r="P158" i="11"/>
  <c r="F158" i="11"/>
  <c r="E158" i="11"/>
  <c r="D158" i="11"/>
  <c r="W157" i="11"/>
  <c r="V157" i="11"/>
  <c r="U157" i="11"/>
  <c r="T157" i="11"/>
  <c r="P157" i="11"/>
  <c r="F157" i="11"/>
  <c r="E157" i="11"/>
  <c r="D157" i="11"/>
  <c r="U156" i="11"/>
  <c r="T156" i="11"/>
  <c r="P156" i="11"/>
  <c r="F156" i="11"/>
  <c r="E156" i="11"/>
  <c r="D156" i="11"/>
  <c r="U155" i="11"/>
  <c r="V155" i="11" s="1"/>
  <c r="W155" i="11" s="1"/>
  <c r="T155" i="11"/>
  <c r="P155" i="11"/>
  <c r="F155" i="11"/>
  <c r="E155" i="11"/>
  <c r="D155" i="11"/>
  <c r="V154" i="11"/>
  <c r="W154" i="11" s="1"/>
  <c r="U154" i="11"/>
  <c r="T154" i="11"/>
  <c r="P154" i="11"/>
  <c r="F154" i="11"/>
  <c r="E154" i="11"/>
  <c r="D154" i="11"/>
  <c r="V153" i="11"/>
  <c r="W153" i="11" s="1"/>
  <c r="U153" i="11"/>
  <c r="T153" i="11"/>
  <c r="P153" i="11"/>
  <c r="F153" i="11"/>
  <c r="E153" i="11"/>
  <c r="D153" i="11"/>
  <c r="U152" i="11"/>
  <c r="V152" i="11" s="1"/>
  <c r="W152" i="11" s="1"/>
  <c r="T152" i="11"/>
  <c r="P152" i="11"/>
  <c r="F152" i="11"/>
  <c r="E152" i="11"/>
  <c r="D152" i="11"/>
  <c r="U151" i="11"/>
  <c r="T151" i="11"/>
  <c r="P151" i="11"/>
  <c r="F151" i="11"/>
  <c r="E151" i="11"/>
  <c r="D151" i="11"/>
  <c r="U150" i="11"/>
  <c r="V150" i="11" s="1"/>
  <c r="W150" i="11" s="1"/>
  <c r="T150" i="11"/>
  <c r="P150" i="11"/>
  <c r="F150" i="11"/>
  <c r="E150" i="11"/>
  <c r="D150" i="11"/>
  <c r="W149" i="11"/>
  <c r="U149" i="11"/>
  <c r="V149" i="11" s="1"/>
  <c r="T149" i="11"/>
  <c r="P149" i="11"/>
  <c r="F149" i="11"/>
  <c r="E149" i="11"/>
  <c r="D149" i="11"/>
  <c r="U148" i="11"/>
  <c r="T148" i="11"/>
  <c r="P148" i="11"/>
  <c r="F148" i="11"/>
  <c r="E148" i="11"/>
  <c r="D148" i="11"/>
  <c r="W147" i="11"/>
  <c r="V147" i="11"/>
  <c r="U147" i="11"/>
  <c r="T147" i="11"/>
  <c r="P147" i="11"/>
  <c r="F147" i="11"/>
  <c r="E147" i="11"/>
  <c r="D147" i="11"/>
  <c r="U146" i="11"/>
  <c r="V146" i="11" s="1"/>
  <c r="W146" i="11" s="1"/>
  <c r="T146" i="11"/>
  <c r="P146" i="11"/>
  <c r="F146" i="11"/>
  <c r="E146" i="11"/>
  <c r="D146" i="11"/>
  <c r="U145" i="11"/>
  <c r="T145" i="11"/>
  <c r="V145" i="11" s="1"/>
  <c r="P145" i="11"/>
  <c r="F145" i="11"/>
  <c r="E145" i="11"/>
  <c r="D145" i="11"/>
  <c r="V144" i="11"/>
  <c r="W144" i="11" s="1"/>
  <c r="U144" i="11"/>
  <c r="T144" i="11"/>
  <c r="P144" i="11"/>
  <c r="F144" i="11"/>
  <c r="E144" i="11"/>
  <c r="D144" i="11"/>
  <c r="U143" i="11"/>
  <c r="V143" i="11" s="1"/>
  <c r="W143" i="11" s="1"/>
  <c r="T143" i="11"/>
  <c r="P143" i="11"/>
  <c r="F143" i="11"/>
  <c r="E143" i="11"/>
  <c r="D143" i="11"/>
  <c r="W142" i="11"/>
  <c r="V142" i="11"/>
  <c r="U142" i="11"/>
  <c r="T142" i="11"/>
  <c r="P142" i="11"/>
  <c r="F142" i="11"/>
  <c r="E142" i="11"/>
  <c r="D142" i="11"/>
  <c r="U141" i="11"/>
  <c r="T141" i="11"/>
  <c r="V141" i="11" s="1"/>
  <c r="P141" i="11"/>
  <c r="F141" i="11"/>
  <c r="E141" i="11"/>
  <c r="D141" i="11"/>
  <c r="U140" i="11"/>
  <c r="V140" i="11" s="1"/>
  <c r="W140" i="11" s="1"/>
  <c r="T140" i="11"/>
  <c r="P140" i="11"/>
  <c r="F140" i="11"/>
  <c r="E140" i="11"/>
  <c r="D140" i="11"/>
  <c r="V139" i="11"/>
  <c r="W139" i="11" s="1"/>
  <c r="U139" i="11"/>
  <c r="T139" i="11"/>
  <c r="P139" i="11"/>
  <c r="F139" i="11"/>
  <c r="E139" i="11"/>
  <c r="D139" i="11"/>
  <c r="U138" i="11"/>
  <c r="T138" i="11"/>
  <c r="P138" i="11"/>
  <c r="F138" i="11"/>
  <c r="E138" i="11"/>
  <c r="D138" i="11"/>
  <c r="U137" i="11"/>
  <c r="V137" i="11" s="1"/>
  <c r="W137" i="11" s="1"/>
  <c r="T137" i="11"/>
  <c r="P137" i="11"/>
  <c r="F137" i="11"/>
  <c r="E137" i="11"/>
  <c r="D137" i="11"/>
  <c r="V136" i="11"/>
  <c r="U136" i="11"/>
  <c r="T136" i="11"/>
  <c r="P136" i="11"/>
  <c r="F136" i="11"/>
  <c r="E136" i="11"/>
  <c r="D136" i="11"/>
  <c r="U135" i="11"/>
  <c r="T135" i="11"/>
  <c r="P135" i="11"/>
  <c r="F135" i="11"/>
  <c r="E135" i="11"/>
  <c r="D135" i="11"/>
  <c r="W134" i="11"/>
  <c r="U134" i="11"/>
  <c r="V134" i="11" s="1"/>
  <c r="T134" i="11"/>
  <c r="P134" i="11"/>
  <c r="F134" i="11"/>
  <c r="E134" i="11"/>
  <c r="D134" i="11"/>
  <c r="U133" i="11"/>
  <c r="T133" i="11"/>
  <c r="P133" i="11"/>
  <c r="F133" i="11"/>
  <c r="E133" i="11"/>
  <c r="D133" i="11"/>
  <c r="U132" i="11"/>
  <c r="V132" i="11" s="1"/>
  <c r="W132" i="11" s="1"/>
  <c r="T132" i="11"/>
  <c r="P132" i="11"/>
  <c r="F132" i="11"/>
  <c r="E132" i="11"/>
  <c r="D132" i="11"/>
  <c r="W131" i="11"/>
  <c r="U131" i="11"/>
  <c r="V131" i="11" s="1"/>
  <c r="T131" i="11"/>
  <c r="P131" i="11"/>
  <c r="F131" i="11"/>
  <c r="E131" i="11"/>
  <c r="D131" i="11"/>
  <c r="U130" i="11"/>
  <c r="T130" i="11"/>
  <c r="P130" i="11"/>
  <c r="F130" i="11"/>
  <c r="E130" i="11"/>
  <c r="D130" i="11"/>
  <c r="U129" i="11"/>
  <c r="T129" i="11"/>
  <c r="P129" i="11"/>
  <c r="F129" i="11"/>
  <c r="E129" i="11"/>
  <c r="D129" i="11"/>
  <c r="U128" i="11"/>
  <c r="V128" i="11" s="1"/>
  <c r="W128" i="11" s="1"/>
  <c r="T128" i="11"/>
  <c r="P128" i="11"/>
  <c r="F128" i="11"/>
  <c r="E128" i="11"/>
  <c r="D128" i="11"/>
  <c r="U127" i="11"/>
  <c r="T127" i="11"/>
  <c r="V127" i="11" s="1"/>
  <c r="P127" i="11"/>
  <c r="F127" i="11"/>
  <c r="E127" i="11"/>
  <c r="D127" i="11"/>
  <c r="U126" i="11"/>
  <c r="V126" i="11" s="1"/>
  <c r="T126" i="11"/>
  <c r="P126" i="11"/>
  <c r="F126" i="11"/>
  <c r="E126" i="11"/>
  <c r="D126" i="11"/>
  <c r="U125" i="11"/>
  <c r="V125" i="11" s="1"/>
  <c r="W125" i="11" s="1"/>
  <c r="T125" i="11"/>
  <c r="P125" i="11"/>
  <c r="F125" i="11"/>
  <c r="E125" i="11"/>
  <c r="D125" i="11"/>
  <c r="U124" i="11"/>
  <c r="T124" i="11"/>
  <c r="P124" i="11"/>
  <c r="F124" i="11"/>
  <c r="E124" i="11"/>
  <c r="D124" i="11"/>
  <c r="U123" i="11"/>
  <c r="T123" i="11"/>
  <c r="P123" i="11"/>
  <c r="F123" i="11"/>
  <c r="E123" i="11"/>
  <c r="D123" i="11"/>
  <c r="U122" i="11"/>
  <c r="V122" i="11" s="1"/>
  <c r="W122" i="11" s="1"/>
  <c r="T122" i="11"/>
  <c r="P122" i="11"/>
  <c r="F122" i="11"/>
  <c r="E122" i="11"/>
  <c r="D122" i="11"/>
  <c r="V121" i="11"/>
  <c r="W121" i="11" s="1"/>
  <c r="U121" i="11"/>
  <c r="T121" i="11"/>
  <c r="P121" i="11"/>
  <c r="F121" i="11"/>
  <c r="E121" i="11"/>
  <c r="D121" i="11"/>
  <c r="U120" i="11"/>
  <c r="T120" i="11"/>
  <c r="V120" i="11" s="1"/>
  <c r="P120" i="11"/>
  <c r="F120" i="11"/>
  <c r="E120" i="11"/>
  <c r="D120" i="11"/>
  <c r="W119" i="11"/>
  <c r="U119" i="11"/>
  <c r="V119" i="11" s="1"/>
  <c r="T119" i="11"/>
  <c r="P119" i="11"/>
  <c r="F119" i="11"/>
  <c r="E119" i="11"/>
  <c r="D119" i="11"/>
  <c r="U118" i="11"/>
  <c r="T118" i="11"/>
  <c r="V118" i="11" s="1"/>
  <c r="P118" i="11"/>
  <c r="F118" i="11"/>
  <c r="E118" i="11"/>
  <c r="D118" i="11"/>
  <c r="V117" i="11"/>
  <c r="W117" i="11" s="1"/>
  <c r="U117" i="11"/>
  <c r="T117" i="11"/>
  <c r="P117" i="11"/>
  <c r="F117" i="11"/>
  <c r="E117" i="11"/>
  <c r="D117" i="11"/>
  <c r="U116" i="11"/>
  <c r="V116" i="11" s="1"/>
  <c r="W116" i="11" s="1"/>
  <c r="T116" i="11"/>
  <c r="P116" i="11"/>
  <c r="F116" i="11"/>
  <c r="E116" i="11"/>
  <c r="D116" i="11"/>
  <c r="U115" i="11"/>
  <c r="T115" i="11"/>
  <c r="P115" i="11"/>
  <c r="F115" i="11"/>
  <c r="E115" i="11"/>
  <c r="D115" i="11"/>
  <c r="W114" i="11"/>
  <c r="V114" i="11"/>
  <c r="U114" i="11"/>
  <c r="T114" i="11"/>
  <c r="P114" i="11"/>
  <c r="F114" i="11"/>
  <c r="E114" i="11"/>
  <c r="D114" i="11"/>
  <c r="W113" i="11"/>
  <c r="U113" i="11"/>
  <c r="V113" i="11" s="1"/>
  <c r="T113" i="11"/>
  <c r="P113" i="11"/>
  <c r="F113" i="11"/>
  <c r="E113" i="11"/>
  <c r="D113" i="11"/>
  <c r="U112" i="11"/>
  <c r="T112" i="11"/>
  <c r="P112" i="11"/>
  <c r="F112" i="11"/>
  <c r="E112" i="11"/>
  <c r="D112" i="11"/>
  <c r="U111" i="11"/>
  <c r="V111" i="11" s="1"/>
  <c r="W111" i="11" s="1"/>
  <c r="T111" i="11"/>
  <c r="P111" i="11"/>
  <c r="F111" i="11"/>
  <c r="E111" i="11"/>
  <c r="D111" i="11"/>
  <c r="U110" i="11"/>
  <c r="V110" i="11" s="1"/>
  <c r="W110" i="11" s="1"/>
  <c r="T110" i="11"/>
  <c r="P110" i="11"/>
  <c r="F110" i="11"/>
  <c r="E110" i="11"/>
  <c r="D110" i="11"/>
  <c r="W109" i="11"/>
  <c r="U109" i="11"/>
  <c r="T109" i="11"/>
  <c r="V109" i="11" s="1"/>
  <c r="P109" i="11"/>
  <c r="F109" i="11"/>
  <c r="E109" i="11"/>
  <c r="D109" i="11"/>
  <c r="U108" i="11"/>
  <c r="T108" i="11"/>
  <c r="V108" i="11" s="1"/>
  <c r="P108" i="11"/>
  <c r="F108" i="11"/>
  <c r="E108" i="11"/>
  <c r="D108" i="11"/>
  <c r="U107" i="11"/>
  <c r="V107" i="11" s="1"/>
  <c r="W107" i="11" s="1"/>
  <c r="T107" i="11"/>
  <c r="P107" i="11"/>
  <c r="F107" i="11"/>
  <c r="E107" i="11"/>
  <c r="D107" i="11"/>
  <c r="V106" i="11"/>
  <c r="W106" i="11" s="1"/>
  <c r="U106" i="11"/>
  <c r="T106" i="11"/>
  <c r="P106" i="11"/>
  <c r="F106" i="11"/>
  <c r="E106" i="11"/>
  <c r="D106" i="11"/>
  <c r="U105" i="11"/>
  <c r="T105" i="11"/>
  <c r="P105" i="11"/>
  <c r="F105" i="11"/>
  <c r="E105" i="11"/>
  <c r="D105" i="11"/>
  <c r="W104" i="11"/>
  <c r="U104" i="11"/>
  <c r="V104" i="11" s="1"/>
  <c r="T104" i="11"/>
  <c r="P104" i="11"/>
  <c r="F104" i="11"/>
  <c r="E104" i="11"/>
  <c r="D104" i="11"/>
  <c r="U103" i="11"/>
  <c r="V103" i="11" s="1"/>
  <c r="W103" i="11" s="1"/>
  <c r="T103" i="11"/>
  <c r="P103" i="11"/>
  <c r="F103" i="11"/>
  <c r="E103" i="11"/>
  <c r="D103" i="11"/>
  <c r="U102" i="11"/>
  <c r="T102" i="11"/>
  <c r="V102" i="11" s="1"/>
  <c r="P102" i="11"/>
  <c r="F102" i="11"/>
  <c r="E102" i="11"/>
  <c r="D102" i="11"/>
  <c r="U101" i="11"/>
  <c r="V101" i="11" s="1"/>
  <c r="W101" i="11" s="1"/>
  <c r="T101" i="11"/>
  <c r="P101" i="11"/>
  <c r="F101" i="11"/>
  <c r="E101" i="11"/>
  <c r="D101" i="11"/>
  <c r="U100" i="11"/>
  <c r="T100" i="11"/>
  <c r="P100" i="11"/>
  <c r="F100" i="11"/>
  <c r="E100" i="11"/>
  <c r="D100" i="11"/>
  <c r="U99" i="11"/>
  <c r="T99" i="11"/>
  <c r="P99" i="11"/>
  <c r="F99" i="11"/>
  <c r="E99" i="11"/>
  <c r="D99" i="11"/>
  <c r="W98" i="11"/>
  <c r="U98" i="11"/>
  <c r="V98" i="11" s="1"/>
  <c r="T98" i="11"/>
  <c r="P98" i="11"/>
  <c r="F98" i="11"/>
  <c r="E98" i="11"/>
  <c r="D98" i="11"/>
  <c r="U97" i="11"/>
  <c r="T97" i="11"/>
  <c r="V97" i="11" s="1"/>
  <c r="P97" i="11"/>
  <c r="F97" i="11"/>
  <c r="E97" i="11"/>
  <c r="D97" i="11"/>
  <c r="W96" i="11"/>
  <c r="V96" i="11"/>
  <c r="U96" i="11"/>
  <c r="T96" i="11"/>
  <c r="P96" i="11"/>
  <c r="F96" i="11"/>
  <c r="E96" i="11"/>
  <c r="D96" i="11"/>
  <c r="W95" i="11"/>
  <c r="U95" i="11"/>
  <c r="V95" i="11" s="1"/>
  <c r="T95" i="11"/>
  <c r="P95" i="11"/>
  <c r="F95" i="11"/>
  <c r="E95" i="11"/>
  <c r="D95" i="11"/>
  <c r="U94" i="11"/>
  <c r="T94" i="11"/>
  <c r="P94" i="11"/>
  <c r="F94" i="11"/>
  <c r="E94" i="11"/>
  <c r="D94" i="11"/>
  <c r="V93" i="11"/>
  <c r="W93" i="11" s="1"/>
  <c r="U93" i="11"/>
  <c r="T93" i="11"/>
  <c r="P93" i="11"/>
  <c r="F93" i="11"/>
  <c r="E93" i="11"/>
  <c r="D93" i="11"/>
  <c r="U92" i="11"/>
  <c r="V92" i="11" s="1"/>
  <c r="W92" i="11" s="1"/>
  <c r="T92" i="11"/>
  <c r="P92" i="11"/>
  <c r="F92" i="11"/>
  <c r="E92" i="11"/>
  <c r="D92" i="11"/>
  <c r="U91" i="11"/>
  <c r="T91" i="11"/>
  <c r="V91" i="11" s="1"/>
  <c r="P91" i="11"/>
  <c r="F91" i="11"/>
  <c r="E91" i="11"/>
  <c r="D91" i="11"/>
  <c r="U90" i="11"/>
  <c r="T90" i="11"/>
  <c r="V90" i="11" s="1"/>
  <c r="P90" i="11"/>
  <c r="F90" i="11"/>
  <c r="E90" i="11"/>
  <c r="D90" i="11"/>
  <c r="U89" i="11"/>
  <c r="V89" i="11" s="1"/>
  <c r="W89" i="11" s="1"/>
  <c r="T89" i="11"/>
  <c r="P89" i="11"/>
  <c r="F89" i="11"/>
  <c r="E89" i="11"/>
  <c r="D89" i="11"/>
  <c r="V88" i="11"/>
  <c r="W88" i="11" s="1"/>
  <c r="U88" i="11"/>
  <c r="T88" i="11"/>
  <c r="P88" i="11"/>
  <c r="F88" i="11"/>
  <c r="E88" i="11"/>
  <c r="D88" i="11"/>
  <c r="U87" i="11"/>
  <c r="T87" i="11"/>
  <c r="P87" i="11"/>
  <c r="F87" i="11"/>
  <c r="E87" i="11"/>
  <c r="D87" i="11"/>
  <c r="W86" i="11"/>
  <c r="U86" i="11"/>
  <c r="V86" i="11" s="1"/>
  <c r="T86" i="11"/>
  <c r="P86" i="11"/>
  <c r="F86" i="11"/>
  <c r="E86" i="11"/>
  <c r="D86" i="11"/>
  <c r="V85" i="11"/>
  <c r="W85" i="11" s="1"/>
  <c r="U85" i="11"/>
  <c r="T85" i="11"/>
  <c r="P85" i="11"/>
  <c r="F85" i="11"/>
  <c r="E85" i="11"/>
  <c r="D85" i="11"/>
  <c r="U84" i="11"/>
  <c r="T84" i="11"/>
  <c r="V84" i="11" s="1"/>
  <c r="P84" i="11"/>
  <c r="F84" i="11"/>
  <c r="E84" i="11"/>
  <c r="D84" i="11"/>
  <c r="U83" i="11"/>
  <c r="V83" i="11" s="1"/>
  <c r="W83" i="11" s="1"/>
  <c r="T83" i="11"/>
  <c r="P83" i="11"/>
  <c r="F83" i="11"/>
  <c r="E83" i="11"/>
  <c r="D83" i="11"/>
  <c r="U82" i="11"/>
  <c r="T82" i="11"/>
  <c r="P82" i="11"/>
  <c r="F82" i="11"/>
  <c r="E82" i="11"/>
  <c r="D82" i="11"/>
  <c r="W81" i="11"/>
  <c r="V81" i="11"/>
  <c r="U81" i="11"/>
  <c r="T81" i="11"/>
  <c r="P81" i="11"/>
  <c r="F81" i="11"/>
  <c r="E81" i="11"/>
  <c r="D81" i="11"/>
  <c r="U80" i="11"/>
  <c r="V80" i="11" s="1"/>
  <c r="W80" i="11" s="1"/>
  <c r="T80" i="11"/>
  <c r="P80" i="11"/>
  <c r="F80" i="11"/>
  <c r="E80" i="11"/>
  <c r="D80" i="11"/>
  <c r="U79" i="11"/>
  <c r="T79" i="11"/>
  <c r="V79" i="11" s="1"/>
  <c r="P79" i="11"/>
  <c r="F79" i="11"/>
  <c r="E79" i="11"/>
  <c r="D79" i="11"/>
  <c r="W78" i="11"/>
  <c r="V78" i="11"/>
  <c r="U78" i="11"/>
  <c r="T78" i="11"/>
  <c r="P78" i="11"/>
  <c r="F78" i="11"/>
  <c r="E78" i="11"/>
  <c r="D78" i="11"/>
  <c r="W77" i="11"/>
  <c r="U77" i="11"/>
  <c r="V77" i="11" s="1"/>
  <c r="T77" i="11"/>
  <c r="P77" i="11"/>
  <c r="F77" i="11"/>
  <c r="E77" i="11"/>
  <c r="D77" i="11"/>
  <c r="U76" i="11"/>
  <c r="T76" i="11"/>
  <c r="P76" i="11"/>
  <c r="F76" i="11"/>
  <c r="E76" i="11"/>
  <c r="D76" i="11"/>
  <c r="U75" i="11"/>
  <c r="T75" i="11"/>
  <c r="P75" i="11"/>
  <c r="F75" i="11"/>
  <c r="E75" i="11"/>
  <c r="D75" i="11"/>
  <c r="U74" i="11"/>
  <c r="V74" i="11" s="1"/>
  <c r="W74" i="11" s="1"/>
  <c r="T74" i="11"/>
  <c r="P74" i="11"/>
  <c r="F74" i="11"/>
  <c r="E74" i="11"/>
  <c r="D74" i="11"/>
  <c r="W73" i="11"/>
  <c r="U73" i="11"/>
  <c r="T73" i="11"/>
  <c r="V73" i="11" s="1"/>
  <c r="P73" i="11"/>
  <c r="F73" i="11"/>
  <c r="E73" i="11"/>
  <c r="D73" i="11"/>
  <c r="U72" i="11"/>
  <c r="T72" i="11"/>
  <c r="P72" i="11"/>
  <c r="F72" i="11"/>
  <c r="E72" i="11"/>
  <c r="D72" i="11"/>
  <c r="W71" i="11"/>
  <c r="U71" i="11"/>
  <c r="V71" i="11" s="1"/>
  <c r="T71" i="11"/>
  <c r="P71" i="11"/>
  <c r="F71" i="11"/>
  <c r="E71" i="11"/>
  <c r="D71" i="11"/>
  <c r="W70" i="11"/>
  <c r="V70" i="11"/>
  <c r="U70" i="11"/>
  <c r="T70" i="11"/>
  <c r="P70" i="11"/>
  <c r="F70" i="11"/>
  <c r="E70" i="11"/>
  <c r="D70" i="11"/>
  <c r="U69" i="11"/>
  <c r="T69" i="11"/>
  <c r="P69" i="11"/>
  <c r="F69" i="11"/>
  <c r="E69" i="11"/>
  <c r="D69" i="11"/>
  <c r="W68" i="11"/>
  <c r="U68" i="11"/>
  <c r="V68" i="11" s="1"/>
  <c r="T68" i="11"/>
  <c r="P68" i="11"/>
  <c r="F68" i="11"/>
  <c r="E68" i="11"/>
  <c r="D68" i="11"/>
  <c r="U67" i="11"/>
  <c r="V67" i="11" s="1"/>
  <c r="W67" i="11" s="1"/>
  <c r="T67" i="11"/>
  <c r="P67" i="11"/>
  <c r="F67" i="11"/>
  <c r="E67" i="11"/>
  <c r="D67" i="11"/>
  <c r="U66" i="11"/>
  <c r="T66" i="11"/>
  <c r="V66" i="11" s="1"/>
  <c r="P66" i="11"/>
  <c r="F66" i="11"/>
  <c r="E66" i="11"/>
  <c r="D66" i="11"/>
  <c r="U65" i="11"/>
  <c r="V65" i="11" s="1"/>
  <c r="W65" i="11" s="1"/>
  <c r="T65" i="11"/>
  <c r="P65" i="11"/>
  <c r="F65" i="11"/>
  <c r="E65" i="11"/>
  <c r="D65" i="11"/>
  <c r="U64" i="11"/>
  <c r="T64" i="11"/>
  <c r="P64" i="11"/>
  <c r="F64" i="11"/>
  <c r="E64" i="11"/>
  <c r="D64" i="11"/>
  <c r="W63" i="11"/>
  <c r="V63" i="11"/>
  <c r="U63" i="11"/>
  <c r="T63" i="11"/>
  <c r="P63" i="11"/>
  <c r="F63" i="11"/>
  <c r="E63" i="11"/>
  <c r="D63" i="11"/>
  <c r="W62" i="11"/>
  <c r="U62" i="11"/>
  <c r="V62" i="11" s="1"/>
  <c r="T62" i="11"/>
  <c r="P62" i="11"/>
  <c r="F62" i="11"/>
  <c r="E62" i="11"/>
  <c r="D62" i="11"/>
  <c r="U61" i="11"/>
  <c r="T61" i="11"/>
  <c r="P61" i="11"/>
  <c r="F61" i="11"/>
  <c r="E61" i="11"/>
  <c r="D61" i="11"/>
  <c r="W60" i="11"/>
  <c r="V60" i="11"/>
  <c r="U60" i="11"/>
  <c r="T60" i="11"/>
  <c r="P60" i="11"/>
  <c r="F60" i="11"/>
  <c r="E60" i="11"/>
  <c r="D60" i="11"/>
  <c r="W59" i="11"/>
  <c r="U59" i="11"/>
  <c r="V59" i="11" s="1"/>
  <c r="T59" i="11"/>
  <c r="P59" i="11"/>
  <c r="F59" i="11"/>
  <c r="E59" i="11"/>
  <c r="D59" i="11"/>
  <c r="U58" i="11"/>
  <c r="T58" i="11"/>
  <c r="P58" i="11"/>
  <c r="F58" i="11"/>
  <c r="E58" i="11"/>
  <c r="D58" i="11"/>
  <c r="U57" i="11"/>
  <c r="T57" i="11"/>
  <c r="P57" i="11"/>
  <c r="F57" i="11"/>
  <c r="E57" i="11"/>
  <c r="D57" i="11"/>
  <c r="U56" i="11"/>
  <c r="V56" i="11" s="1"/>
  <c r="W56" i="11" s="1"/>
  <c r="T56" i="11"/>
  <c r="P56" i="11"/>
  <c r="F56" i="11"/>
  <c r="E56" i="11"/>
  <c r="D56" i="11"/>
  <c r="U55" i="11"/>
  <c r="T55" i="11"/>
  <c r="P55" i="11"/>
  <c r="F55" i="11"/>
  <c r="E55" i="11"/>
  <c r="D55" i="11"/>
  <c r="U54" i="11"/>
  <c r="T54" i="11"/>
  <c r="P54" i="11"/>
  <c r="F54" i="11"/>
  <c r="E54" i="11"/>
  <c r="D54" i="11"/>
  <c r="W53" i="11"/>
  <c r="U53" i="11"/>
  <c r="V53" i="11" s="1"/>
  <c r="T53" i="11"/>
  <c r="P53" i="11"/>
  <c r="F53" i="11"/>
  <c r="E53" i="11"/>
  <c r="D53" i="11"/>
  <c r="U52" i="11"/>
  <c r="T52" i="11"/>
  <c r="P52" i="11"/>
  <c r="F52" i="11"/>
  <c r="E52" i="11"/>
  <c r="D52" i="11"/>
  <c r="U51" i="11"/>
  <c r="T51" i="11"/>
  <c r="P51" i="11"/>
  <c r="F51" i="11"/>
  <c r="E51" i="11"/>
  <c r="D51" i="11"/>
  <c r="U50" i="11"/>
  <c r="V50" i="11" s="1"/>
  <c r="W50" i="11" s="1"/>
  <c r="T50" i="11"/>
  <c r="P50" i="11"/>
  <c r="F50" i="11"/>
  <c r="E50" i="11"/>
  <c r="D50" i="11"/>
  <c r="U49" i="11"/>
  <c r="V49" i="11" s="1"/>
  <c r="W49" i="11" s="1"/>
  <c r="T49" i="11"/>
  <c r="P49" i="11"/>
  <c r="F49" i="11"/>
  <c r="E49" i="11"/>
  <c r="D49" i="11"/>
  <c r="U48" i="11"/>
  <c r="T48" i="11"/>
  <c r="V48" i="11" s="1"/>
  <c r="P48" i="11"/>
  <c r="F48" i="11"/>
  <c r="E48" i="11"/>
  <c r="D48" i="11"/>
  <c r="U47" i="11"/>
  <c r="V47" i="11" s="1"/>
  <c r="W47" i="11" s="1"/>
  <c r="T47" i="11"/>
  <c r="P47" i="11"/>
  <c r="F47" i="11"/>
  <c r="E47" i="11"/>
  <c r="D47" i="11"/>
  <c r="U46" i="11"/>
  <c r="T46" i="11"/>
  <c r="V46" i="11" s="1"/>
  <c r="P46" i="11"/>
  <c r="F46" i="11"/>
  <c r="E46" i="11"/>
  <c r="D46" i="11"/>
  <c r="W45" i="11"/>
  <c r="V45" i="11"/>
  <c r="U45" i="11"/>
  <c r="T45" i="11"/>
  <c r="P45" i="11"/>
  <c r="F45" i="11"/>
  <c r="E45" i="11"/>
  <c r="D45" i="11"/>
  <c r="U44" i="11"/>
  <c r="V44" i="11" s="1"/>
  <c r="W44" i="11" s="1"/>
  <c r="T44" i="11"/>
  <c r="P44" i="11"/>
  <c r="F44" i="11"/>
  <c r="E44" i="11"/>
  <c r="D44" i="11"/>
  <c r="U43" i="11"/>
  <c r="T43" i="11"/>
  <c r="P43" i="11"/>
  <c r="F43" i="11"/>
  <c r="E43" i="11"/>
  <c r="D43" i="11"/>
  <c r="U42" i="11"/>
  <c r="V42" i="11" s="1"/>
  <c r="W42" i="11" s="1"/>
  <c r="T42" i="11"/>
  <c r="P42" i="11"/>
  <c r="F42" i="11"/>
  <c r="E42" i="11"/>
  <c r="D42" i="11"/>
  <c r="W41" i="11"/>
  <c r="U41" i="11"/>
  <c r="V41" i="11" s="1"/>
  <c r="T41" i="11"/>
  <c r="P41" i="11"/>
  <c r="F41" i="11"/>
  <c r="E41" i="11"/>
  <c r="D41" i="11"/>
  <c r="U40" i="11"/>
  <c r="T40" i="11"/>
  <c r="P40" i="11"/>
  <c r="F40" i="11"/>
  <c r="E40" i="11"/>
  <c r="D40" i="11"/>
  <c r="U39" i="11"/>
  <c r="T39" i="11"/>
  <c r="P39" i="11"/>
  <c r="F39" i="11"/>
  <c r="E39" i="11"/>
  <c r="D39" i="11"/>
  <c r="W38" i="11"/>
  <c r="U38" i="11"/>
  <c r="V38" i="11" s="1"/>
  <c r="T38" i="11"/>
  <c r="P38" i="11"/>
  <c r="F38" i="11"/>
  <c r="E38" i="11"/>
  <c r="D38" i="11"/>
  <c r="W37" i="11"/>
  <c r="U37" i="11"/>
  <c r="T37" i="11"/>
  <c r="V37" i="11" s="1"/>
  <c r="P37" i="11"/>
  <c r="F37" i="11"/>
  <c r="E37" i="11"/>
  <c r="D37" i="11"/>
  <c r="U36" i="11"/>
  <c r="T36" i="11"/>
  <c r="P36" i="11"/>
  <c r="F36" i="11"/>
  <c r="E36" i="11"/>
  <c r="D36" i="11"/>
  <c r="W35" i="11"/>
  <c r="U35" i="11"/>
  <c r="V35" i="11" s="1"/>
  <c r="T35" i="11"/>
  <c r="P35" i="11"/>
  <c r="F35" i="11"/>
  <c r="E35" i="11"/>
  <c r="D35" i="11"/>
  <c r="V34" i="11"/>
  <c r="W34" i="11" s="1"/>
  <c r="U34" i="11"/>
  <c r="T34" i="11"/>
  <c r="P34" i="11"/>
  <c r="F34" i="11"/>
  <c r="E34" i="11"/>
  <c r="D34" i="11"/>
  <c r="U33" i="11"/>
  <c r="T33" i="11"/>
  <c r="P33" i="11"/>
  <c r="F33" i="11"/>
  <c r="E33" i="11"/>
  <c r="D33" i="11"/>
  <c r="U32" i="11"/>
  <c r="V32" i="11" s="1"/>
  <c r="W32" i="11" s="1"/>
  <c r="T32" i="11"/>
  <c r="P32" i="11"/>
  <c r="F32" i="11"/>
  <c r="E32" i="11"/>
  <c r="D32" i="11"/>
  <c r="U31" i="11"/>
  <c r="V31" i="11" s="1"/>
  <c r="W31" i="11" s="1"/>
  <c r="T31" i="11"/>
  <c r="P31" i="11"/>
  <c r="F31" i="11"/>
  <c r="E31" i="11"/>
  <c r="D31" i="11"/>
  <c r="U30" i="11"/>
  <c r="T30" i="11"/>
  <c r="P30" i="11"/>
  <c r="F30" i="11"/>
  <c r="E30" i="11"/>
  <c r="D30" i="11"/>
  <c r="U29" i="11"/>
  <c r="V29" i="11" s="1"/>
  <c r="W29" i="11" s="1"/>
  <c r="T29" i="11"/>
  <c r="P29" i="11"/>
  <c r="F29" i="11"/>
  <c r="E29" i="11"/>
  <c r="D29" i="11"/>
  <c r="U28" i="11"/>
  <c r="T28" i="11"/>
  <c r="P28" i="11"/>
  <c r="F28" i="11"/>
  <c r="E28" i="11"/>
  <c r="D28" i="11"/>
  <c r="V27" i="11"/>
  <c r="W27" i="11" s="1"/>
  <c r="U27" i="11"/>
  <c r="T27" i="11"/>
  <c r="P27" i="11"/>
  <c r="F27" i="11"/>
  <c r="E27" i="11"/>
  <c r="D27" i="11"/>
  <c r="W26" i="11"/>
  <c r="U26" i="11"/>
  <c r="V26" i="11" s="1"/>
  <c r="T26" i="11"/>
  <c r="P26" i="11"/>
  <c r="F26" i="11"/>
  <c r="E26" i="11"/>
  <c r="D26" i="11"/>
  <c r="U25" i="11"/>
  <c r="T25" i="11"/>
  <c r="P25" i="11"/>
  <c r="F25" i="11"/>
  <c r="E25" i="11"/>
  <c r="D25" i="11"/>
  <c r="U24" i="11"/>
  <c r="V24" i="11" s="1"/>
  <c r="W24" i="11" s="1"/>
  <c r="T24" i="11"/>
  <c r="P24" i="11"/>
  <c r="F24" i="11"/>
  <c r="E24" i="11"/>
  <c r="D24" i="11"/>
  <c r="W23" i="11"/>
  <c r="U23" i="11"/>
  <c r="V23" i="11" s="1"/>
  <c r="T23" i="11"/>
  <c r="P23" i="11"/>
  <c r="F23" i="11"/>
  <c r="E23" i="11"/>
  <c r="D23" i="11"/>
  <c r="V22" i="11"/>
  <c r="U22" i="11"/>
  <c r="T22" i="11"/>
  <c r="P22" i="11"/>
  <c r="F22" i="11"/>
  <c r="E22" i="11"/>
  <c r="D22" i="11"/>
  <c r="U21" i="11"/>
  <c r="T21" i="11"/>
  <c r="V21" i="11" s="1"/>
  <c r="P21" i="11"/>
  <c r="F21" i="11"/>
  <c r="E21" i="11"/>
  <c r="D21" i="11"/>
  <c r="U20" i="11"/>
  <c r="V20" i="11" s="1"/>
  <c r="W20" i="11" s="1"/>
  <c r="T20" i="11"/>
  <c r="P20" i="11"/>
  <c r="F20" i="11"/>
  <c r="E20" i="11"/>
  <c r="D20" i="11"/>
  <c r="U19" i="11"/>
  <c r="T19" i="11"/>
  <c r="P19" i="11"/>
  <c r="F19" i="11"/>
  <c r="E19" i="11"/>
  <c r="D19" i="11"/>
  <c r="U18" i="11"/>
  <c r="T18" i="11"/>
  <c r="P18" i="11"/>
  <c r="F18" i="11"/>
  <c r="E18" i="11"/>
  <c r="D18" i="11"/>
  <c r="W17" i="11"/>
  <c r="U17" i="11"/>
  <c r="V17" i="11" s="1"/>
  <c r="T17" i="11"/>
  <c r="P17" i="11"/>
  <c r="F17" i="11"/>
  <c r="E17" i="11"/>
  <c r="D17" i="11"/>
  <c r="U16" i="11"/>
  <c r="T16" i="11"/>
  <c r="P16" i="11"/>
  <c r="F16" i="11"/>
  <c r="E16" i="11"/>
  <c r="D16" i="11"/>
  <c r="U15" i="11"/>
  <c r="T15" i="11"/>
  <c r="P15" i="11"/>
  <c r="F15" i="11"/>
  <c r="E15" i="11"/>
  <c r="D15" i="11"/>
  <c r="U14" i="11"/>
  <c r="V14" i="11" s="1"/>
  <c r="W14" i="11" s="1"/>
  <c r="T14" i="11"/>
  <c r="P14" i="11"/>
  <c r="F14" i="11"/>
  <c r="E14" i="11"/>
  <c r="D14" i="11"/>
  <c r="U13" i="11"/>
  <c r="V13" i="11" s="1"/>
  <c r="W13" i="11" s="1"/>
  <c r="T13" i="11"/>
  <c r="P13" i="11"/>
  <c r="F13" i="11"/>
  <c r="E13" i="11"/>
  <c r="D13" i="11"/>
  <c r="W12" i="11"/>
  <c r="U12" i="11"/>
  <c r="T12" i="11"/>
  <c r="V12" i="11" s="1"/>
  <c r="P12" i="11"/>
  <c r="F12" i="11"/>
  <c r="E12" i="11"/>
  <c r="D12" i="11"/>
  <c r="U11" i="11"/>
  <c r="V11" i="11" s="1"/>
  <c r="W11" i="11" s="1"/>
  <c r="T11" i="11"/>
  <c r="P11" i="11"/>
  <c r="F11" i="11"/>
  <c r="E11" i="11"/>
  <c r="D11" i="11"/>
  <c r="U10" i="11"/>
  <c r="T10" i="11"/>
  <c r="P10" i="11"/>
  <c r="F10" i="11"/>
  <c r="E10" i="11"/>
  <c r="D10" i="11"/>
  <c r="V9" i="11"/>
  <c r="W9" i="11" s="1"/>
  <c r="U9" i="11"/>
  <c r="T9" i="11"/>
  <c r="P9" i="11"/>
  <c r="F9" i="11"/>
  <c r="E9" i="11"/>
  <c r="D9" i="11"/>
  <c r="U8" i="11"/>
  <c r="V8" i="11" s="1"/>
  <c r="W8" i="11" s="1"/>
  <c r="T8" i="11"/>
  <c r="P8" i="11"/>
  <c r="F8" i="11"/>
  <c r="E8" i="11"/>
  <c r="D8" i="11"/>
  <c r="V7" i="11"/>
  <c r="U7" i="11"/>
  <c r="T7" i="11"/>
  <c r="P7" i="11"/>
  <c r="F7" i="11"/>
  <c r="E7" i="11"/>
  <c r="D7" i="11"/>
  <c r="V6" i="11"/>
  <c r="W6" i="11" s="1"/>
  <c r="U6" i="11"/>
  <c r="T6" i="11"/>
  <c r="P6" i="11"/>
  <c r="F6" i="11"/>
  <c r="E6" i="11"/>
  <c r="D6" i="11"/>
  <c r="W5" i="11"/>
  <c r="U5" i="11"/>
  <c r="V5" i="11" s="1"/>
  <c r="T5" i="11"/>
  <c r="P5" i="11"/>
  <c r="F5" i="11"/>
  <c r="E5" i="11"/>
  <c r="D5" i="11"/>
  <c r="U4" i="11"/>
  <c r="T4" i="11"/>
  <c r="P4" i="11"/>
  <c r="F4" i="11"/>
  <c r="E4" i="11"/>
  <c r="D4" i="11"/>
  <c r="U3" i="11"/>
  <c r="T3" i="11"/>
  <c r="P3" i="11"/>
  <c r="F3" i="11"/>
  <c r="E3" i="11"/>
  <c r="D3" i="11"/>
  <c r="W2" i="11"/>
  <c r="U2" i="11"/>
  <c r="V2" i="11" s="1"/>
  <c r="T2" i="11"/>
  <c r="P2" i="11"/>
  <c r="F2" i="11"/>
  <c r="E2" i="11"/>
  <c r="D2" i="11"/>
  <c r="U1" i="11"/>
  <c r="T1" i="11"/>
  <c r="P1" i="11"/>
  <c r="F1" i="11"/>
  <c r="E1" i="11"/>
  <c r="D1" i="11"/>
  <c r="U632" i="16"/>
  <c r="T632" i="16"/>
  <c r="P632" i="16"/>
  <c r="F632" i="16"/>
  <c r="E632" i="16"/>
  <c r="D632" i="16"/>
  <c r="U631" i="16"/>
  <c r="T631" i="16"/>
  <c r="P631" i="16"/>
  <c r="F631" i="16"/>
  <c r="E631" i="16"/>
  <c r="D631" i="16"/>
  <c r="U630" i="16"/>
  <c r="T630" i="16"/>
  <c r="W630" i="16" s="1"/>
  <c r="P630" i="16"/>
  <c r="F630" i="16"/>
  <c r="E630" i="16"/>
  <c r="D630" i="16"/>
  <c r="U629" i="16"/>
  <c r="V629" i="16" s="1"/>
  <c r="T629" i="16"/>
  <c r="W629" i="16" s="1"/>
  <c r="P629" i="16"/>
  <c r="F629" i="16"/>
  <c r="E629" i="16"/>
  <c r="D629" i="16"/>
  <c r="W628" i="16"/>
  <c r="U628" i="16"/>
  <c r="T628" i="16"/>
  <c r="P628" i="16"/>
  <c r="F628" i="16"/>
  <c r="E628" i="16"/>
  <c r="D628" i="16"/>
  <c r="V627" i="16"/>
  <c r="U627" i="16"/>
  <c r="T627" i="16"/>
  <c r="W627" i="16" s="1"/>
  <c r="P627" i="16"/>
  <c r="F627" i="16"/>
  <c r="E627" i="16"/>
  <c r="D627" i="16"/>
  <c r="U626" i="16"/>
  <c r="T626" i="16"/>
  <c r="P626" i="16"/>
  <c r="F626" i="16"/>
  <c r="E626" i="16"/>
  <c r="D626" i="16"/>
  <c r="V625" i="16"/>
  <c r="U625" i="16"/>
  <c r="T625" i="16"/>
  <c r="W625" i="16" s="1"/>
  <c r="P625" i="16"/>
  <c r="F625" i="16"/>
  <c r="E625" i="16"/>
  <c r="D625" i="16"/>
  <c r="U624" i="16"/>
  <c r="T624" i="16"/>
  <c r="P624" i="16"/>
  <c r="F624" i="16"/>
  <c r="E624" i="16"/>
  <c r="D624" i="16"/>
  <c r="V623" i="16"/>
  <c r="U623" i="16"/>
  <c r="T623" i="16"/>
  <c r="W623" i="16" s="1"/>
  <c r="P623" i="16"/>
  <c r="F623" i="16"/>
  <c r="E623" i="16"/>
  <c r="D623" i="16"/>
  <c r="W622" i="16"/>
  <c r="V622" i="16"/>
  <c r="U622" i="16"/>
  <c r="T622" i="16"/>
  <c r="P622" i="16"/>
  <c r="F622" i="16"/>
  <c r="E622" i="16"/>
  <c r="D622" i="16"/>
  <c r="U621" i="16"/>
  <c r="T621" i="16"/>
  <c r="P621" i="16"/>
  <c r="F621" i="16"/>
  <c r="E621" i="16"/>
  <c r="D621" i="16"/>
  <c r="U620" i="16"/>
  <c r="T620" i="16"/>
  <c r="P620" i="16"/>
  <c r="F620" i="16"/>
  <c r="E620" i="16"/>
  <c r="D620" i="16"/>
  <c r="U619" i="16"/>
  <c r="T619" i="16"/>
  <c r="P619" i="16"/>
  <c r="F619" i="16"/>
  <c r="E619" i="16"/>
  <c r="D619" i="16"/>
  <c r="W618" i="16"/>
  <c r="V618" i="16"/>
  <c r="U618" i="16"/>
  <c r="T618" i="16"/>
  <c r="P618" i="16"/>
  <c r="F618" i="16"/>
  <c r="E618" i="16"/>
  <c r="D618" i="16"/>
  <c r="U617" i="16"/>
  <c r="T617" i="16"/>
  <c r="P617" i="16"/>
  <c r="F617" i="16"/>
  <c r="E617" i="16"/>
  <c r="D617" i="16"/>
  <c r="U616" i="16"/>
  <c r="T616" i="16"/>
  <c r="P616" i="16"/>
  <c r="F616" i="16"/>
  <c r="E616" i="16"/>
  <c r="D616" i="16"/>
  <c r="W615" i="16"/>
  <c r="U615" i="16"/>
  <c r="V615" i="16" s="1"/>
  <c r="T615" i="16"/>
  <c r="P615" i="16"/>
  <c r="F615" i="16"/>
  <c r="E615" i="16"/>
  <c r="D615" i="16"/>
  <c r="U614" i="16"/>
  <c r="T614" i="16"/>
  <c r="W614" i="16" s="1"/>
  <c r="P614" i="16"/>
  <c r="F614" i="16"/>
  <c r="E614" i="16"/>
  <c r="D614" i="16"/>
  <c r="U613" i="16"/>
  <c r="T613" i="16"/>
  <c r="P613" i="16"/>
  <c r="F613" i="16"/>
  <c r="E613" i="16"/>
  <c r="D613" i="16"/>
  <c r="W612" i="16"/>
  <c r="V612" i="16"/>
  <c r="U612" i="16"/>
  <c r="T612" i="16"/>
  <c r="P612" i="16"/>
  <c r="F612" i="16"/>
  <c r="E612" i="16"/>
  <c r="D612" i="16"/>
  <c r="U611" i="16"/>
  <c r="V611" i="16" s="1"/>
  <c r="T611" i="16"/>
  <c r="W611" i="16" s="1"/>
  <c r="P611" i="16"/>
  <c r="F611" i="16"/>
  <c r="E611" i="16"/>
  <c r="D611" i="16"/>
  <c r="U610" i="16"/>
  <c r="T610" i="16"/>
  <c r="P610" i="16"/>
  <c r="F610" i="16"/>
  <c r="E610" i="16"/>
  <c r="D610" i="16"/>
  <c r="W609" i="16"/>
  <c r="U609" i="16"/>
  <c r="T609" i="16"/>
  <c r="V609" i="16" s="1"/>
  <c r="P609" i="16"/>
  <c r="F609" i="16"/>
  <c r="E609" i="16"/>
  <c r="D609" i="16"/>
  <c r="U608" i="16"/>
  <c r="V608" i="16" s="1"/>
  <c r="T608" i="16"/>
  <c r="W608" i="16" s="1"/>
  <c r="P608" i="16"/>
  <c r="F608" i="16"/>
  <c r="E608" i="16"/>
  <c r="D608" i="16"/>
  <c r="W607" i="16"/>
  <c r="V607" i="16"/>
  <c r="U607" i="16"/>
  <c r="T607" i="16"/>
  <c r="P607" i="16"/>
  <c r="F607" i="16"/>
  <c r="E607" i="16"/>
  <c r="D607" i="16"/>
  <c r="U606" i="16"/>
  <c r="V606" i="16" s="1"/>
  <c r="T606" i="16"/>
  <c r="P606" i="16"/>
  <c r="F606" i="16"/>
  <c r="E606" i="16"/>
  <c r="D606" i="16"/>
  <c r="V605" i="16"/>
  <c r="U605" i="16"/>
  <c r="T605" i="16"/>
  <c r="P605" i="16"/>
  <c r="F605" i="16"/>
  <c r="E605" i="16"/>
  <c r="D605" i="16"/>
  <c r="U604" i="16"/>
  <c r="V604" i="16" s="1"/>
  <c r="W604" i="16" s="1"/>
  <c r="T604" i="16"/>
  <c r="P604" i="16"/>
  <c r="F604" i="16"/>
  <c r="E604" i="16"/>
  <c r="D604" i="16"/>
  <c r="W603" i="16"/>
  <c r="U603" i="16"/>
  <c r="T603" i="16"/>
  <c r="V603" i="16" s="1"/>
  <c r="P603" i="16"/>
  <c r="F603" i="16"/>
  <c r="E603" i="16"/>
  <c r="D603" i="16"/>
  <c r="U602" i="16"/>
  <c r="T602" i="16"/>
  <c r="P602" i="16"/>
  <c r="F602" i="16"/>
  <c r="E602" i="16"/>
  <c r="D602" i="16"/>
  <c r="V601" i="16"/>
  <c r="U601" i="16"/>
  <c r="T601" i="16"/>
  <c r="P601" i="16"/>
  <c r="F601" i="16"/>
  <c r="E601" i="16"/>
  <c r="D601" i="16"/>
  <c r="V600" i="16"/>
  <c r="W600" i="16" s="1"/>
  <c r="U600" i="16"/>
  <c r="T600" i="16"/>
  <c r="P600" i="16"/>
  <c r="F600" i="16"/>
  <c r="E600" i="16"/>
  <c r="D600" i="16"/>
  <c r="U599" i="16"/>
  <c r="T599" i="16"/>
  <c r="P599" i="16"/>
  <c r="F599" i="16"/>
  <c r="E599" i="16"/>
  <c r="D599" i="16"/>
  <c r="U598" i="16"/>
  <c r="T598" i="16"/>
  <c r="P598" i="16"/>
  <c r="F598" i="16"/>
  <c r="E598" i="16"/>
  <c r="D598" i="16"/>
  <c r="U597" i="16"/>
  <c r="V597" i="16" s="1"/>
  <c r="W597" i="16" s="1"/>
  <c r="T597" i="16"/>
  <c r="P597" i="16"/>
  <c r="F597" i="16"/>
  <c r="E597" i="16"/>
  <c r="D597" i="16"/>
  <c r="V596" i="16"/>
  <c r="U596" i="16"/>
  <c r="T596" i="16"/>
  <c r="P596" i="16"/>
  <c r="F596" i="16"/>
  <c r="E596" i="16"/>
  <c r="D596" i="16"/>
  <c r="U595" i="16"/>
  <c r="T595" i="16"/>
  <c r="P595" i="16"/>
  <c r="F595" i="16"/>
  <c r="E595" i="16"/>
  <c r="D595" i="16"/>
  <c r="V594" i="16"/>
  <c r="W594" i="16" s="1"/>
  <c r="U594" i="16"/>
  <c r="T594" i="16"/>
  <c r="P594" i="16"/>
  <c r="F594" i="16"/>
  <c r="E594" i="16"/>
  <c r="D594" i="16"/>
  <c r="U593" i="16"/>
  <c r="V593" i="16" s="1"/>
  <c r="T593" i="16"/>
  <c r="P593" i="16"/>
  <c r="F593" i="16"/>
  <c r="E593" i="16"/>
  <c r="D593" i="16"/>
  <c r="U592" i="16"/>
  <c r="T592" i="16"/>
  <c r="P592" i="16"/>
  <c r="F592" i="16"/>
  <c r="E592" i="16"/>
  <c r="D592" i="16"/>
  <c r="U591" i="16"/>
  <c r="T591" i="16"/>
  <c r="P591" i="16"/>
  <c r="F591" i="16"/>
  <c r="E591" i="16"/>
  <c r="D591" i="16"/>
  <c r="U590" i="16"/>
  <c r="T590" i="16"/>
  <c r="V590" i="16" s="1"/>
  <c r="P590" i="16"/>
  <c r="F590" i="16"/>
  <c r="E590" i="16"/>
  <c r="D590" i="16"/>
  <c r="V589" i="16"/>
  <c r="W589" i="16" s="1"/>
  <c r="U589" i="16"/>
  <c r="T589" i="16"/>
  <c r="P589" i="16"/>
  <c r="F589" i="16"/>
  <c r="E589" i="16"/>
  <c r="D589" i="16"/>
  <c r="U588" i="16"/>
  <c r="T588" i="16"/>
  <c r="P588" i="16"/>
  <c r="F588" i="16"/>
  <c r="E588" i="16"/>
  <c r="D588" i="16"/>
  <c r="U587" i="16"/>
  <c r="T587" i="16"/>
  <c r="P587" i="16"/>
  <c r="F587" i="16"/>
  <c r="E587" i="16"/>
  <c r="D587" i="16"/>
  <c r="V586" i="16"/>
  <c r="W586" i="16" s="1"/>
  <c r="U586" i="16"/>
  <c r="T586" i="16"/>
  <c r="P586" i="16"/>
  <c r="F586" i="16"/>
  <c r="E586" i="16"/>
  <c r="D586" i="16"/>
  <c r="U585" i="16"/>
  <c r="T585" i="16"/>
  <c r="V585" i="16" s="1"/>
  <c r="P585" i="16"/>
  <c r="F585" i="16"/>
  <c r="E585" i="16"/>
  <c r="D585" i="16"/>
  <c r="U584" i="16"/>
  <c r="V584" i="16" s="1"/>
  <c r="T584" i="16"/>
  <c r="P584" i="16"/>
  <c r="F584" i="16"/>
  <c r="E584" i="16"/>
  <c r="D584" i="16"/>
  <c r="U583" i="16"/>
  <c r="T583" i="16"/>
  <c r="V583" i="16" s="1"/>
  <c r="P583" i="16"/>
  <c r="F583" i="16"/>
  <c r="E583" i="16"/>
  <c r="D583" i="16"/>
  <c r="V582" i="16"/>
  <c r="W582" i="16" s="1"/>
  <c r="U582" i="16"/>
  <c r="T582" i="16"/>
  <c r="P582" i="16"/>
  <c r="F582" i="16"/>
  <c r="E582" i="16"/>
  <c r="D582" i="16"/>
  <c r="U581" i="16"/>
  <c r="T581" i="16"/>
  <c r="P581" i="16"/>
  <c r="F581" i="16"/>
  <c r="E581" i="16"/>
  <c r="D581" i="16"/>
  <c r="U580" i="16"/>
  <c r="V580" i="16" s="1"/>
  <c r="T580" i="16"/>
  <c r="P580" i="16"/>
  <c r="F580" i="16"/>
  <c r="E580" i="16"/>
  <c r="D580" i="16"/>
  <c r="W579" i="16"/>
  <c r="V579" i="16"/>
  <c r="U579" i="16"/>
  <c r="T579" i="16"/>
  <c r="P579" i="16"/>
  <c r="F579" i="16"/>
  <c r="E579" i="16"/>
  <c r="D579" i="16"/>
  <c r="U578" i="16"/>
  <c r="T578" i="16"/>
  <c r="P578" i="16"/>
  <c r="F578" i="16"/>
  <c r="E578" i="16"/>
  <c r="D578" i="16"/>
  <c r="U577" i="16"/>
  <c r="T577" i="16"/>
  <c r="P577" i="16"/>
  <c r="F577" i="16"/>
  <c r="E577" i="16"/>
  <c r="D577" i="16"/>
  <c r="U576" i="16"/>
  <c r="T576" i="16"/>
  <c r="P576" i="16"/>
  <c r="F576" i="16"/>
  <c r="E576" i="16"/>
  <c r="D576" i="16"/>
  <c r="V575" i="16"/>
  <c r="U575" i="16"/>
  <c r="T575" i="16"/>
  <c r="P575" i="16"/>
  <c r="F575" i="16"/>
  <c r="E575" i="16"/>
  <c r="D575" i="16"/>
  <c r="W574" i="16"/>
  <c r="U574" i="16"/>
  <c r="T574" i="16"/>
  <c r="V574" i="16" s="1"/>
  <c r="P574" i="16"/>
  <c r="F574" i="16"/>
  <c r="E574" i="16"/>
  <c r="D574" i="16"/>
  <c r="U573" i="16"/>
  <c r="T573" i="16"/>
  <c r="P573" i="16"/>
  <c r="F573" i="16"/>
  <c r="E573" i="16"/>
  <c r="D573" i="16"/>
  <c r="U572" i="16"/>
  <c r="T572" i="16"/>
  <c r="P572" i="16"/>
  <c r="F572" i="16"/>
  <c r="E572" i="16"/>
  <c r="D572" i="16"/>
  <c r="W571" i="16"/>
  <c r="V571" i="16"/>
  <c r="U571" i="16"/>
  <c r="T571" i="16"/>
  <c r="P571" i="16"/>
  <c r="F571" i="16"/>
  <c r="E571" i="16"/>
  <c r="D571" i="16"/>
  <c r="U570" i="16"/>
  <c r="V570" i="16" s="1"/>
  <c r="T570" i="16"/>
  <c r="P570" i="16"/>
  <c r="F570" i="16"/>
  <c r="E570" i="16"/>
  <c r="D570" i="16"/>
  <c r="V569" i="16"/>
  <c r="U569" i="16"/>
  <c r="T569" i="16"/>
  <c r="P569" i="16"/>
  <c r="F569" i="16"/>
  <c r="E569" i="16"/>
  <c r="D569" i="16"/>
  <c r="V568" i="16"/>
  <c r="W568" i="16" s="1"/>
  <c r="U568" i="16"/>
  <c r="T568" i="16"/>
  <c r="P568" i="16"/>
  <c r="F568" i="16"/>
  <c r="E568" i="16"/>
  <c r="D568" i="16"/>
  <c r="W567" i="16"/>
  <c r="U567" i="16"/>
  <c r="T567" i="16"/>
  <c r="V567" i="16" s="1"/>
  <c r="P567" i="16"/>
  <c r="F567" i="16"/>
  <c r="E567" i="16"/>
  <c r="D567" i="16"/>
  <c r="U566" i="16"/>
  <c r="T566" i="16"/>
  <c r="P566" i="16"/>
  <c r="F566" i="16"/>
  <c r="E566" i="16"/>
  <c r="D566" i="16"/>
  <c r="U565" i="16"/>
  <c r="V565" i="16" s="1"/>
  <c r="W565" i="16" s="1"/>
  <c r="T565" i="16"/>
  <c r="P565" i="16"/>
  <c r="F565" i="16"/>
  <c r="E565" i="16"/>
  <c r="D565" i="16"/>
  <c r="U564" i="16"/>
  <c r="T564" i="16"/>
  <c r="V564" i="16" s="1"/>
  <c r="P564" i="16"/>
  <c r="F564" i="16"/>
  <c r="E564" i="16"/>
  <c r="D564" i="16"/>
  <c r="U563" i="16"/>
  <c r="T563" i="16"/>
  <c r="P563" i="16"/>
  <c r="F563" i="16"/>
  <c r="E563" i="16"/>
  <c r="D563" i="16"/>
  <c r="U562" i="16"/>
  <c r="T562" i="16"/>
  <c r="P562" i="16"/>
  <c r="F562" i="16"/>
  <c r="E562" i="16"/>
  <c r="D562" i="16"/>
  <c r="V561" i="16"/>
  <c r="W561" i="16" s="1"/>
  <c r="U561" i="16"/>
  <c r="T561" i="16"/>
  <c r="P561" i="16"/>
  <c r="F561" i="16"/>
  <c r="E561" i="16"/>
  <c r="D561" i="16"/>
  <c r="V560" i="16"/>
  <c r="U560" i="16"/>
  <c r="T560" i="16"/>
  <c r="P560" i="16"/>
  <c r="F560" i="16"/>
  <c r="E560" i="16"/>
  <c r="D560" i="16"/>
  <c r="U559" i="16"/>
  <c r="T559" i="16"/>
  <c r="P559" i="16"/>
  <c r="F559" i="16"/>
  <c r="E559" i="16"/>
  <c r="D559" i="16"/>
  <c r="V558" i="16"/>
  <c r="U558" i="16"/>
  <c r="T558" i="16"/>
  <c r="P558" i="16"/>
  <c r="F558" i="16"/>
  <c r="E558" i="16"/>
  <c r="D558" i="16"/>
  <c r="U557" i="16"/>
  <c r="V557" i="16" s="1"/>
  <c r="T557" i="16"/>
  <c r="P557" i="16"/>
  <c r="F557" i="16"/>
  <c r="E557" i="16"/>
  <c r="D557" i="16"/>
  <c r="U556" i="16"/>
  <c r="T556" i="16"/>
  <c r="P556" i="16"/>
  <c r="F556" i="16"/>
  <c r="E556" i="16"/>
  <c r="D556" i="16"/>
  <c r="V555" i="16"/>
  <c r="U555" i="16"/>
  <c r="T555" i="16"/>
  <c r="P555" i="16"/>
  <c r="F555" i="16"/>
  <c r="E555" i="16"/>
  <c r="D555" i="16"/>
  <c r="U554" i="16"/>
  <c r="T554" i="16"/>
  <c r="P554" i="16"/>
  <c r="F554" i="16"/>
  <c r="E554" i="16"/>
  <c r="D554" i="16"/>
  <c r="U553" i="16"/>
  <c r="T553" i="16"/>
  <c r="P553" i="16"/>
  <c r="F553" i="16"/>
  <c r="E553" i="16"/>
  <c r="D553" i="16"/>
  <c r="U552" i="16"/>
  <c r="T552" i="16"/>
  <c r="P552" i="16"/>
  <c r="F552" i="16"/>
  <c r="E552" i="16"/>
  <c r="D552" i="16"/>
  <c r="U551" i="16"/>
  <c r="T551" i="16"/>
  <c r="V551" i="16" s="1"/>
  <c r="P551" i="16"/>
  <c r="F551" i="16"/>
  <c r="E551" i="16"/>
  <c r="D551" i="16"/>
  <c r="V550" i="16"/>
  <c r="W550" i="16" s="1"/>
  <c r="U550" i="16"/>
  <c r="T550" i="16"/>
  <c r="P550" i="16"/>
  <c r="F550" i="16"/>
  <c r="E550" i="16"/>
  <c r="D550" i="16"/>
  <c r="U549" i="16"/>
  <c r="T549" i="16"/>
  <c r="P549" i="16"/>
  <c r="F549" i="16"/>
  <c r="E549" i="16"/>
  <c r="D549" i="16"/>
  <c r="V548" i="16"/>
  <c r="U548" i="16"/>
  <c r="T548" i="16"/>
  <c r="P548" i="16"/>
  <c r="F548" i="16"/>
  <c r="E548" i="16"/>
  <c r="D548" i="16"/>
  <c r="U547" i="16"/>
  <c r="T547" i="16"/>
  <c r="P547" i="16"/>
  <c r="F547" i="16"/>
  <c r="E547" i="16"/>
  <c r="D547" i="16"/>
  <c r="W546" i="16"/>
  <c r="V546" i="16"/>
  <c r="U546" i="16"/>
  <c r="T546" i="16"/>
  <c r="P546" i="16"/>
  <c r="F546" i="16"/>
  <c r="E546" i="16"/>
  <c r="D546" i="16"/>
  <c r="U545" i="16"/>
  <c r="T545" i="16"/>
  <c r="P545" i="16"/>
  <c r="F545" i="16"/>
  <c r="E545" i="16"/>
  <c r="D545" i="16"/>
  <c r="U544" i="16"/>
  <c r="T544" i="16"/>
  <c r="P544" i="16"/>
  <c r="F544" i="16"/>
  <c r="E544" i="16"/>
  <c r="D544" i="16"/>
  <c r="V543" i="16"/>
  <c r="W543" i="16" s="1"/>
  <c r="U543" i="16"/>
  <c r="T543" i="16"/>
  <c r="P543" i="16"/>
  <c r="F543" i="16"/>
  <c r="E543" i="16"/>
  <c r="D543" i="16"/>
  <c r="U542" i="16"/>
  <c r="T542" i="16"/>
  <c r="P542" i="16"/>
  <c r="F542" i="16"/>
  <c r="E542" i="16"/>
  <c r="D542" i="16"/>
  <c r="U541" i="16"/>
  <c r="T541" i="16"/>
  <c r="P541" i="16"/>
  <c r="F541" i="16"/>
  <c r="E541" i="16"/>
  <c r="D541" i="16"/>
  <c r="U540" i="16"/>
  <c r="T540" i="16"/>
  <c r="P540" i="16"/>
  <c r="F540" i="16"/>
  <c r="E540" i="16"/>
  <c r="D540" i="16"/>
  <c r="U539" i="16"/>
  <c r="V539" i="16" s="1"/>
  <c r="T539" i="16"/>
  <c r="P539" i="16"/>
  <c r="F539" i="16"/>
  <c r="E539" i="16"/>
  <c r="D539" i="16"/>
  <c r="U538" i="16"/>
  <c r="T538" i="16"/>
  <c r="P538" i="16"/>
  <c r="F538" i="16"/>
  <c r="E538" i="16"/>
  <c r="D538" i="16"/>
  <c r="V537" i="16"/>
  <c r="W537" i="16" s="1"/>
  <c r="U537" i="16"/>
  <c r="T537" i="16"/>
  <c r="P537" i="16"/>
  <c r="F537" i="16"/>
  <c r="E537" i="16"/>
  <c r="D537" i="16"/>
  <c r="U536" i="16"/>
  <c r="V536" i="16" s="1"/>
  <c r="T536" i="16"/>
  <c r="P536" i="16"/>
  <c r="F536" i="16"/>
  <c r="E536" i="16"/>
  <c r="D536" i="16"/>
  <c r="W535" i="16"/>
  <c r="V535" i="16"/>
  <c r="U535" i="16"/>
  <c r="T535" i="16"/>
  <c r="P535" i="16"/>
  <c r="F535" i="16"/>
  <c r="E535" i="16"/>
  <c r="D535" i="16"/>
  <c r="U534" i="16"/>
  <c r="T534" i="16"/>
  <c r="P534" i="16"/>
  <c r="F534" i="16"/>
  <c r="E534" i="16"/>
  <c r="D534" i="16"/>
  <c r="U533" i="16"/>
  <c r="T533" i="16"/>
  <c r="P533" i="16"/>
  <c r="F533" i="16"/>
  <c r="E533" i="16"/>
  <c r="D533" i="16"/>
  <c r="V532" i="16"/>
  <c r="W532" i="16" s="1"/>
  <c r="U532" i="16"/>
  <c r="T532" i="16"/>
  <c r="P532" i="16"/>
  <c r="F532" i="16"/>
  <c r="E532" i="16"/>
  <c r="D532" i="16"/>
  <c r="W531" i="16"/>
  <c r="U531" i="16"/>
  <c r="T531" i="16"/>
  <c r="V531" i="16" s="1"/>
  <c r="P531" i="16"/>
  <c r="F531" i="16"/>
  <c r="E531" i="16"/>
  <c r="D531" i="16"/>
  <c r="U530" i="16"/>
  <c r="T530" i="16"/>
  <c r="P530" i="16"/>
  <c r="F530" i="16"/>
  <c r="E530" i="16"/>
  <c r="D530" i="16"/>
  <c r="U529" i="16"/>
  <c r="T529" i="16"/>
  <c r="P529" i="16"/>
  <c r="F529" i="16"/>
  <c r="E529" i="16"/>
  <c r="D529" i="16"/>
  <c r="U528" i="16"/>
  <c r="T528" i="16"/>
  <c r="P528" i="16"/>
  <c r="F528" i="16"/>
  <c r="E528" i="16"/>
  <c r="D528" i="16"/>
  <c r="U527" i="16"/>
  <c r="T527" i="16"/>
  <c r="P527" i="16"/>
  <c r="F527" i="16"/>
  <c r="E527" i="16"/>
  <c r="D527" i="16"/>
  <c r="V526" i="16"/>
  <c r="W526" i="16" s="1"/>
  <c r="U526" i="16"/>
  <c r="T526" i="16"/>
  <c r="P526" i="16"/>
  <c r="F526" i="16"/>
  <c r="E526" i="16"/>
  <c r="D526" i="16"/>
  <c r="V525" i="16"/>
  <c r="W525" i="16" s="1"/>
  <c r="U525" i="16"/>
  <c r="T525" i="16"/>
  <c r="P525" i="16"/>
  <c r="F525" i="16"/>
  <c r="E525" i="16"/>
  <c r="D525" i="16"/>
  <c r="V524" i="16"/>
  <c r="U524" i="16"/>
  <c r="T524" i="16"/>
  <c r="P524" i="16"/>
  <c r="F524" i="16"/>
  <c r="E524" i="16"/>
  <c r="D524" i="16"/>
  <c r="U523" i="16"/>
  <c r="T523" i="16"/>
  <c r="V523" i="16" s="1"/>
  <c r="P523" i="16"/>
  <c r="F523" i="16"/>
  <c r="E523" i="16"/>
  <c r="D523" i="16"/>
  <c r="U522" i="16"/>
  <c r="T522" i="16"/>
  <c r="P522" i="16"/>
  <c r="F522" i="16"/>
  <c r="E522" i="16"/>
  <c r="D522" i="16"/>
  <c r="U521" i="16"/>
  <c r="V521" i="16" s="1"/>
  <c r="T521" i="16"/>
  <c r="P521" i="16"/>
  <c r="F521" i="16"/>
  <c r="E521" i="16"/>
  <c r="D521" i="16"/>
  <c r="U520" i="16"/>
  <c r="T520" i="16"/>
  <c r="P520" i="16"/>
  <c r="F520" i="16"/>
  <c r="E520" i="16"/>
  <c r="D520" i="16"/>
  <c r="V519" i="16"/>
  <c r="U519" i="16"/>
  <c r="T519" i="16"/>
  <c r="P519" i="16"/>
  <c r="F519" i="16"/>
  <c r="E519" i="16"/>
  <c r="D519" i="16"/>
  <c r="U518" i="16"/>
  <c r="T518" i="16"/>
  <c r="P518" i="16"/>
  <c r="F518" i="16"/>
  <c r="E518" i="16"/>
  <c r="D518" i="16"/>
  <c r="V517" i="16"/>
  <c r="U517" i="16"/>
  <c r="T517" i="16"/>
  <c r="P517" i="16"/>
  <c r="F517" i="16"/>
  <c r="E517" i="16"/>
  <c r="D517" i="16"/>
  <c r="U516" i="16"/>
  <c r="T516" i="16"/>
  <c r="P516" i="16"/>
  <c r="F516" i="16"/>
  <c r="E516" i="16"/>
  <c r="D516" i="16"/>
  <c r="U515" i="16"/>
  <c r="T515" i="16"/>
  <c r="P515" i="16"/>
  <c r="F515" i="16"/>
  <c r="E515" i="16"/>
  <c r="D515" i="16"/>
  <c r="U514" i="16"/>
  <c r="V514" i="16" s="1"/>
  <c r="W514" i="16" s="1"/>
  <c r="T514" i="16"/>
  <c r="P514" i="16"/>
  <c r="F514" i="16"/>
  <c r="E514" i="16"/>
  <c r="D514" i="16"/>
  <c r="W513" i="16"/>
  <c r="U513" i="16"/>
  <c r="T513" i="16"/>
  <c r="V513" i="16" s="1"/>
  <c r="P513" i="16"/>
  <c r="F513" i="16"/>
  <c r="E513" i="16"/>
  <c r="D513" i="16"/>
  <c r="V512" i="16"/>
  <c r="U512" i="16"/>
  <c r="T512" i="16"/>
  <c r="P512" i="16"/>
  <c r="F512" i="16"/>
  <c r="E512" i="16"/>
  <c r="D512" i="16"/>
  <c r="U511" i="16"/>
  <c r="T511" i="16"/>
  <c r="V511" i="16" s="1"/>
  <c r="P511" i="16"/>
  <c r="F511" i="16"/>
  <c r="E511" i="16"/>
  <c r="D511" i="16"/>
  <c r="V510" i="16"/>
  <c r="W510" i="16" s="1"/>
  <c r="U510" i="16"/>
  <c r="T510" i="16"/>
  <c r="P510" i="16"/>
  <c r="F510" i="16"/>
  <c r="E510" i="16"/>
  <c r="D510" i="16"/>
  <c r="U509" i="16"/>
  <c r="T509" i="16"/>
  <c r="P509" i="16"/>
  <c r="F509" i="16"/>
  <c r="E509" i="16"/>
  <c r="D509" i="16"/>
  <c r="U508" i="16"/>
  <c r="T508" i="16"/>
  <c r="V508" i="16" s="1"/>
  <c r="P508" i="16"/>
  <c r="F508" i="16"/>
  <c r="E508" i="16"/>
  <c r="D508" i="16"/>
  <c r="V507" i="16"/>
  <c r="W507" i="16" s="1"/>
  <c r="U507" i="16"/>
  <c r="T507" i="16"/>
  <c r="P507" i="16"/>
  <c r="F507" i="16"/>
  <c r="E507" i="16"/>
  <c r="D507" i="16"/>
  <c r="U506" i="16"/>
  <c r="T506" i="16"/>
  <c r="P506" i="16"/>
  <c r="F506" i="16"/>
  <c r="E506" i="16"/>
  <c r="D506" i="16"/>
  <c r="U505" i="16"/>
  <c r="T505" i="16"/>
  <c r="P505" i="16"/>
  <c r="F505" i="16"/>
  <c r="E505" i="16"/>
  <c r="D505" i="16"/>
  <c r="U504" i="16"/>
  <c r="T504" i="16"/>
  <c r="P504" i="16"/>
  <c r="F504" i="16"/>
  <c r="E504" i="16"/>
  <c r="D504" i="16"/>
  <c r="U503" i="16"/>
  <c r="V503" i="16" s="1"/>
  <c r="T503" i="16"/>
  <c r="P503" i="16"/>
  <c r="F503" i="16"/>
  <c r="E503" i="16"/>
  <c r="D503" i="16"/>
  <c r="W502" i="16"/>
  <c r="U502" i="16"/>
  <c r="T502" i="16"/>
  <c r="V502" i="16" s="1"/>
  <c r="P502" i="16"/>
  <c r="F502" i="16"/>
  <c r="E502" i="16"/>
  <c r="D502" i="16"/>
  <c r="W501" i="16"/>
  <c r="U501" i="16"/>
  <c r="T501" i="16"/>
  <c r="V501" i="16" s="1"/>
  <c r="P501" i="16"/>
  <c r="F501" i="16"/>
  <c r="E501" i="16"/>
  <c r="D501" i="16"/>
  <c r="U500" i="16"/>
  <c r="V500" i="16" s="1"/>
  <c r="T500" i="16"/>
  <c r="P500" i="16"/>
  <c r="F500" i="16"/>
  <c r="E500" i="16"/>
  <c r="D500" i="16"/>
  <c r="W499" i="16"/>
  <c r="V499" i="16"/>
  <c r="U499" i="16"/>
  <c r="T499" i="16"/>
  <c r="P499" i="16"/>
  <c r="F499" i="16"/>
  <c r="E499" i="16"/>
  <c r="D499" i="16"/>
  <c r="U498" i="16"/>
  <c r="V498" i="16" s="1"/>
  <c r="T498" i="16"/>
  <c r="P498" i="16"/>
  <c r="F498" i="16"/>
  <c r="E498" i="16"/>
  <c r="D498" i="16"/>
  <c r="U497" i="16"/>
  <c r="T497" i="16"/>
  <c r="P497" i="16"/>
  <c r="F497" i="16"/>
  <c r="E497" i="16"/>
  <c r="D497" i="16"/>
  <c r="U496" i="16"/>
  <c r="V496" i="16" s="1"/>
  <c r="W496" i="16" s="1"/>
  <c r="T496" i="16"/>
  <c r="P496" i="16"/>
  <c r="F496" i="16"/>
  <c r="E496" i="16"/>
  <c r="D496" i="16"/>
  <c r="U495" i="16"/>
  <c r="T495" i="16"/>
  <c r="P495" i="16"/>
  <c r="F495" i="16"/>
  <c r="E495" i="16"/>
  <c r="D495" i="16"/>
  <c r="U494" i="16"/>
  <c r="T494" i="16"/>
  <c r="P494" i="16"/>
  <c r="F494" i="16"/>
  <c r="E494" i="16"/>
  <c r="D494" i="16"/>
  <c r="V493" i="16"/>
  <c r="W493" i="16" s="1"/>
  <c r="U493" i="16"/>
  <c r="T493" i="16"/>
  <c r="P493" i="16"/>
  <c r="F493" i="16"/>
  <c r="E493" i="16"/>
  <c r="D493" i="16"/>
  <c r="U492" i="16"/>
  <c r="T492" i="16"/>
  <c r="V492" i="16" s="1"/>
  <c r="P492" i="16"/>
  <c r="F492" i="16"/>
  <c r="E492" i="16"/>
  <c r="D492" i="16"/>
  <c r="U491" i="16"/>
  <c r="T491" i="16"/>
  <c r="P491" i="16"/>
  <c r="F491" i="16"/>
  <c r="E491" i="16"/>
  <c r="D491" i="16"/>
  <c r="U490" i="16"/>
  <c r="T490" i="16"/>
  <c r="P490" i="16"/>
  <c r="F490" i="16"/>
  <c r="E490" i="16"/>
  <c r="D490" i="16"/>
  <c r="U489" i="16"/>
  <c r="V489" i="16" s="1"/>
  <c r="W489" i="16" s="1"/>
  <c r="T489" i="16"/>
  <c r="P489" i="16"/>
  <c r="F489" i="16"/>
  <c r="E489" i="16"/>
  <c r="D489" i="16"/>
  <c r="V488" i="16"/>
  <c r="U488" i="16"/>
  <c r="T488" i="16"/>
  <c r="P488" i="16"/>
  <c r="F488" i="16"/>
  <c r="E488" i="16"/>
  <c r="D488" i="16"/>
  <c r="U487" i="16"/>
  <c r="T487" i="16"/>
  <c r="P487" i="16"/>
  <c r="F487" i="16"/>
  <c r="E487" i="16"/>
  <c r="D487" i="16"/>
  <c r="U486" i="16"/>
  <c r="T486" i="16"/>
  <c r="P486" i="16"/>
  <c r="F486" i="16"/>
  <c r="E486" i="16"/>
  <c r="D486" i="16"/>
  <c r="U485" i="16"/>
  <c r="V485" i="16" s="1"/>
  <c r="T485" i="16"/>
  <c r="P485" i="16"/>
  <c r="F485" i="16"/>
  <c r="E485" i="16"/>
  <c r="D485" i="16"/>
  <c r="U484" i="16"/>
  <c r="T484" i="16"/>
  <c r="P484" i="16"/>
  <c r="F484" i="16"/>
  <c r="E484" i="16"/>
  <c r="D484" i="16"/>
  <c r="V483" i="16"/>
  <c r="U483" i="16"/>
  <c r="T483" i="16"/>
  <c r="P483" i="16"/>
  <c r="F483" i="16"/>
  <c r="E483" i="16"/>
  <c r="D483" i="16"/>
  <c r="U482" i="16"/>
  <c r="T482" i="16"/>
  <c r="P482" i="16"/>
  <c r="F482" i="16"/>
  <c r="E482" i="16"/>
  <c r="D482" i="16"/>
  <c r="V481" i="16"/>
  <c r="U481" i="16"/>
  <c r="T481" i="16"/>
  <c r="P481" i="16"/>
  <c r="F481" i="16"/>
  <c r="E481" i="16"/>
  <c r="D481" i="16"/>
  <c r="U480" i="16"/>
  <c r="T480" i="16"/>
  <c r="P480" i="16"/>
  <c r="F480" i="16"/>
  <c r="E480" i="16"/>
  <c r="D480" i="16"/>
  <c r="V479" i="16"/>
  <c r="U479" i="16"/>
  <c r="T479" i="16"/>
  <c r="P479" i="16"/>
  <c r="F479" i="16"/>
  <c r="E479" i="16"/>
  <c r="D479" i="16"/>
  <c r="V478" i="16"/>
  <c r="W478" i="16" s="1"/>
  <c r="U478" i="16"/>
  <c r="T478" i="16"/>
  <c r="P478" i="16"/>
  <c r="F478" i="16"/>
  <c r="E478" i="16"/>
  <c r="D478" i="16"/>
  <c r="U477" i="16"/>
  <c r="T477" i="16"/>
  <c r="P477" i="16"/>
  <c r="F477" i="16"/>
  <c r="E477" i="16"/>
  <c r="D477" i="16"/>
  <c r="U476" i="16"/>
  <c r="T476" i="16"/>
  <c r="P476" i="16"/>
  <c r="F476" i="16"/>
  <c r="E476" i="16"/>
  <c r="D476" i="16"/>
  <c r="U475" i="16"/>
  <c r="T475" i="16"/>
  <c r="P475" i="16"/>
  <c r="F475" i="16"/>
  <c r="E475" i="16"/>
  <c r="D475" i="16"/>
  <c r="V474" i="16"/>
  <c r="W474" i="16" s="1"/>
  <c r="U474" i="16"/>
  <c r="T474" i="16"/>
  <c r="P474" i="16"/>
  <c r="F474" i="16"/>
  <c r="E474" i="16"/>
  <c r="D474" i="16"/>
  <c r="U473" i="16"/>
  <c r="T473" i="16"/>
  <c r="P473" i="16"/>
  <c r="F473" i="16"/>
  <c r="E473" i="16"/>
  <c r="D473" i="16"/>
  <c r="U472" i="16"/>
  <c r="T472" i="16"/>
  <c r="P472" i="16"/>
  <c r="F472" i="16"/>
  <c r="E472" i="16"/>
  <c r="D472" i="16"/>
  <c r="U471" i="16"/>
  <c r="V471" i="16" s="1"/>
  <c r="W471" i="16" s="1"/>
  <c r="T471" i="16"/>
  <c r="P471" i="16"/>
  <c r="F471" i="16"/>
  <c r="E471" i="16"/>
  <c r="D471" i="16"/>
  <c r="U470" i="16"/>
  <c r="T470" i="16"/>
  <c r="P470" i="16"/>
  <c r="F470" i="16"/>
  <c r="E470" i="16"/>
  <c r="D470" i="16"/>
  <c r="U469" i="16"/>
  <c r="T469" i="16"/>
  <c r="P469" i="16"/>
  <c r="F469" i="16"/>
  <c r="E469" i="16"/>
  <c r="D469" i="16"/>
  <c r="V468" i="16"/>
  <c r="W468" i="16" s="1"/>
  <c r="U468" i="16"/>
  <c r="T468" i="16"/>
  <c r="P468" i="16"/>
  <c r="F468" i="16"/>
  <c r="E468" i="16"/>
  <c r="D468" i="16"/>
  <c r="U467" i="16"/>
  <c r="V467" i="16" s="1"/>
  <c r="T467" i="16"/>
  <c r="P467" i="16"/>
  <c r="F467" i="16"/>
  <c r="E467" i="16"/>
  <c r="D467" i="16"/>
  <c r="U466" i="16"/>
  <c r="T466" i="16"/>
  <c r="P466" i="16"/>
  <c r="F466" i="16"/>
  <c r="E466" i="16"/>
  <c r="D466" i="16"/>
  <c r="W465" i="16"/>
  <c r="V465" i="16"/>
  <c r="U465" i="16"/>
  <c r="T465" i="16"/>
  <c r="P465" i="16"/>
  <c r="F465" i="16"/>
  <c r="E465" i="16"/>
  <c r="D465" i="16"/>
  <c r="V464" i="16"/>
  <c r="U464" i="16"/>
  <c r="T464" i="16"/>
  <c r="P464" i="16"/>
  <c r="F464" i="16"/>
  <c r="E464" i="16"/>
  <c r="D464" i="16"/>
  <c r="W463" i="16"/>
  <c r="V463" i="16"/>
  <c r="U463" i="16"/>
  <c r="T463" i="16"/>
  <c r="P463" i="16"/>
  <c r="F463" i="16"/>
  <c r="E463" i="16"/>
  <c r="D463" i="16"/>
  <c r="U462" i="16"/>
  <c r="T462" i="16"/>
  <c r="P462" i="16"/>
  <c r="F462" i="16"/>
  <c r="E462" i="16"/>
  <c r="D462" i="16"/>
  <c r="U461" i="16"/>
  <c r="V461" i="16" s="1"/>
  <c r="T461" i="16"/>
  <c r="P461" i="16"/>
  <c r="F461" i="16"/>
  <c r="E461" i="16"/>
  <c r="D461" i="16"/>
  <c r="W460" i="16"/>
  <c r="U460" i="16"/>
  <c r="V460" i="16" s="1"/>
  <c r="T460" i="16"/>
  <c r="P460" i="16"/>
  <c r="F460" i="16"/>
  <c r="E460" i="16"/>
  <c r="D460" i="16"/>
  <c r="U459" i="16"/>
  <c r="T459" i="16"/>
  <c r="V459" i="16" s="1"/>
  <c r="P459" i="16"/>
  <c r="F459" i="16"/>
  <c r="E459" i="16"/>
  <c r="D459" i="16"/>
  <c r="U458" i="16"/>
  <c r="T458" i="16"/>
  <c r="P458" i="16"/>
  <c r="F458" i="16"/>
  <c r="E458" i="16"/>
  <c r="D458" i="16"/>
  <c r="U457" i="16"/>
  <c r="T457" i="16"/>
  <c r="P457" i="16"/>
  <c r="F457" i="16"/>
  <c r="E457" i="16"/>
  <c r="D457" i="16"/>
  <c r="W456" i="16"/>
  <c r="V456" i="16"/>
  <c r="U456" i="16"/>
  <c r="T456" i="16"/>
  <c r="P456" i="16"/>
  <c r="F456" i="16"/>
  <c r="E456" i="16"/>
  <c r="D456" i="16"/>
  <c r="U455" i="16"/>
  <c r="T455" i="16"/>
  <c r="P455" i="16"/>
  <c r="F455" i="16"/>
  <c r="E455" i="16"/>
  <c r="D455" i="16"/>
  <c r="U454" i="16"/>
  <c r="T454" i="16"/>
  <c r="V454" i="16" s="1"/>
  <c r="W454" i="16" s="1"/>
  <c r="P454" i="16"/>
  <c r="F454" i="16"/>
  <c r="E454" i="16"/>
  <c r="D454" i="16"/>
  <c r="U453" i="16"/>
  <c r="V453" i="16" s="1"/>
  <c r="W453" i="16" s="1"/>
  <c r="T453" i="16"/>
  <c r="P453" i="16"/>
  <c r="F453" i="16"/>
  <c r="E453" i="16"/>
  <c r="D453" i="16"/>
  <c r="V452" i="16"/>
  <c r="U452" i="16"/>
  <c r="T452" i="16"/>
  <c r="P452" i="16"/>
  <c r="F452" i="16"/>
  <c r="E452" i="16"/>
  <c r="D452" i="16"/>
  <c r="U451" i="16"/>
  <c r="V451" i="16" s="1"/>
  <c r="T451" i="16"/>
  <c r="P451" i="16"/>
  <c r="F451" i="16"/>
  <c r="E451" i="16"/>
  <c r="D451" i="16"/>
  <c r="V450" i="16"/>
  <c r="W450" i="16" s="1"/>
  <c r="U450" i="16"/>
  <c r="T450" i="16"/>
  <c r="P450" i="16"/>
  <c r="F450" i="16"/>
  <c r="E450" i="16"/>
  <c r="D450" i="16"/>
  <c r="U449" i="16"/>
  <c r="V449" i="16" s="1"/>
  <c r="T449" i="16"/>
  <c r="P449" i="16"/>
  <c r="F449" i="16"/>
  <c r="E449" i="16"/>
  <c r="D449" i="16"/>
  <c r="U448" i="16"/>
  <c r="T448" i="16"/>
  <c r="P448" i="16"/>
  <c r="F448" i="16"/>
  <c r="E448" i="16"/>
  <c r="D448" i="16"/>
  <c r="V447" i="16"/>
  <c r="U447" i="16"/>
  <c r="T447" i="16"/>
  <c r="P447" i="16"/>
  <c r="F447" i="16"/>
  <c r="E447" i="16"/>
  <c r="D447" i="16"/>
  <c r="U446" i="16"/>
  <c r="T446" i="16"/>
  <c r="P446" i="16"/>
  <c r="F446" i="16"/>
  <c r="E446" i="16"/>
  <c r="D446" i="16"/>
  <c r="V445" i="16"/>
  <c r="W445" i="16" s="1"/>
  <c r="U445" i="16"/>
  <c r="T445" i="16"/>
  <c r="P445" i="16"/>
  <c r="F445" i="16"/>
  <c r="E445" i="16"/>
  <c r="D445" i="16"/>
  <c r="U444" i="16"/>
  <c r="T444" i="16"/>
  <c r="P444" i="16"/>
  <c r="F444" i="16"/>
  <c r="E444" i="16"/>
  <c r="D444" i="16"/>
  <c r="U443" i="16"/>
  <c r="T443" i="16"/>
  <c r="P443" i="16"/>
  <c r="F443" i="16"/>
  <c r="E443" i="16"/>
  <c r="D443" i="16"/>
  <c r="U442" i="16"/>
  <c r="V442" i="16" s="1"/>
  <c r="W442" i="16" s="1"/>
  <c r="T442" i="16"/>
  <c r="P442" i="16"/>
  <c r="F442" i="16"/>
  <c r="E442" i="16"/>
  <c r="D442" i="16"/>
  <c r="W441" i="16"/>
  <c r="U441" i="16"/>
  <c r="T441" i="16"/>
  <c r="V441" i="16" s="1"/>
  <c r="P441" i="16"/>
  <c r="F441" i="16"/>
  <c r="E441" i="16"/>
  <c r="D441" i="16"/>
  <c r="V440" i="16"/>
  <c r="U440" i="16"/>
  <c r="T440" i="16"/>
  <c r="P440" i="16"/>
  <c r="F440" i="16"/>
  <c r="E440" i="16"/>
  <c r="D440" i="16"/>
  <c r="U439" i="16"/>
  <c r="T439" i="16"/>
  <c r="P439" i="16"/>
  <c r="F439" i="16"/>
  <c r="E439" i="16"/>
  <c r="D439" i="16"/>
  <c r="V438" i="16"/>
  <c r="W438" i="16" s="1"/>
  <c r="U438" i="16"/>
  <c r="T438" i="16"/>
  <c r="P438" i="16"/>
  <c r="F438" i="16"/>
  <c r="E438" i="16"/>
  <c r="D438" i="16"/>
  <c r="U437" i="16"/>
  <c r="T437" i="16"/>
  <c r="P437" i="16"/>
  <c r="F437" i="16"/>
  <c r="E437" i="16"/>
  <c r="D437" i="16"/>
  <c r="U436" i="16"/>
  <c r="T436" i="16"/>
  <c r="P436" i="16"/>
  <c r="F436" i="16"/>
  <c r="E436" i="16"/>
  <c r="D436" i="16"/>
  <c r="V435" i="16"/>
  <c r="W435" i="16" s="1"/>
  <c r="U435" i="16"/>
  <c r="T435" i="16"/>
  <c r="P435" i="16"/>
  <c r="F435" i="16"/>
  <c r="E435" i="16"/>
  <c r="D435" i="16"/>
  <c r="U434" i="16"/>
  <c r="T434" i="16"/>
  <c r="P434" i="16"/>
  <c r="F434" i="16"/>
  <c r="E434" i="16"/>
  <c r="D434" i="16"/>
  <c r="U433" i="16"/>
  <c r="T433" i="16"/>
  <c r="P433" i="16"/>
  <c r="F433" i="16"/>
  <c r="E433" i="16"/>
  <c r="D433" i="16"/>
  <c r="U432" i="16"/>
  <c r="T432" i="16"/>
  <c r="P432" i="16"/>
  <c r="F432" i="16"/>
  <c r="E432" i="16"/>
  <c r="D432" i="16"/>
  <c r="U431" i="16"/>
  <c r="V431" i="16" s="1"/>
  <c r="T431" i="16"/>
  <c r="P431" i="16"/>
  <c r="F431" i="16"/>
  <c r="E431" i="16"/>
  <c r="D431" i="16"/>
  <c r="W430" i="16"/>
  <c r="U430" i="16"/>
  <c r="T430" i="16"/>
  <c r="V430" i="16" s="1"/>
  <c r="P430" i="16"/>
  <c r="F430" i="16"/>
  <c r="E430" i="16"/>
  <c r="D430" i="16"/>
  <c r="U429" i="16"/>
  <c r="T429" i="16"/>
  <c r="P429" i="16"/>
  <c r="F429" i="16"/>
  <c r="E429" i="16"/>
  <c r="D429" i="16"/>
  <c r="U428" i="16"/>
  <c r="T428" i="16"/>
  <c r="P428" i="16"/>
  <c r="F428" i="16"/>
  <c r="E428" i="16"/>
  <c r="D428" i="16"/>
  <c r="W427" i="16"/>
  <c r="V427" i="16"/>
  <c r="U427" i="16"/>
  <c r="T427" i="16"/>
  <c r="P427" i="16"/>
  <c r="F427" i="16"/>
  <c r="E427" i="16"/>
  <c r="D427" i="16"/>
  <c r="U426" i="16"/>
  <c r="V426" i="16" s="1"/>
  <c r="T426" i="16"/>
  <c r="P426" i="16"/>
  <c r="F426" i="16"/>
  <c r="E426" i="16"/>
  <c r="D426" i="16"/>
  <c r="V425" i="16"/>
  <c r="U425" i="16"/>
  <c r="T425" i="16"/>
  <c r="P425" i="16"/>
  <c r="F425" i="16"/>
  <c r="E425" i="16"/>
  <c r="D425" i="16"/>
  <c r="U424" i="16"/>
  <c r="V424" i="16" s="1"/>
  <c r="W424" i="16" s="1"/>
  <c r="T424" i="16"/>
  <c r="P424" i="16"/>
  <c r="F424" i="16"/>
  <c r="E424" i="16"/>
  <c r="D424" i="16"/>
  <c r="U423" i="16"/>
  <c r="T423" i="16"/>
  <c r="P423" i="16"/>
  <c r="F423" i="16"/>
  <c r="E423" i="16"/>
  <c r="D423" i="16"/>
  <c r="U422" i="16"/>
  <c r="T422" i="16"/>
  <c r="P422" i="16"/>
  <c r="F422" i="16"/>
  <c r="E422" i="16"/>
  <c r="D422" i="16"/>
  <c r="W421" i="16"/>
  <c r="V421" i="16"/>
  <c r="U421" i="16"/>
  <c r="T421" i="16"/>
  <c r="P421" i="16"/>
  <c r="F421" i="16"/>
  <c r="E421" i="16"/>
  <c r="D421" i="16"/>
  <c r="U420" i="16"/>
  <c r="T420" i="16"/>
  <c r="P420" i="16"/>
  <c r="F420" i="16"/>
  <c r="E420" i="16"/>
  <c r="D420" i="16"/>
  <c r="U419" i="16"/>
  <c r="T419" i="16"/>
  <c r="P419" i="16"/>
  <c r="F419" i="16"/>
  <c r="E419" i="16"/>
  <c r="D419" i="16"/>
  <c r="V418" i="16"/>
  <c r="U418" i="16"/>
  <c r="T418" i="16"/>
  <c r="P418" i="16"/>
  <c r="F418" i="16"/>
  <c r="E418" i="16"/>
  <c r="D418" i="16"/>
  <c r="U417" i="16"/>
  <c r="V417" i="16" s="1"/>
  <c r="W417" i="16" s="1"/>
  <c r="T417" i="16"/>
  <c r="P417" i="16"/>
  <c r="F417" i="16"/>
  <c r="E417" i="16"/>
  <c r="D417" i="16"/>
  <c r="V416" i="16"/>
  <c r="U416" i="16"/>
  <c r="T416" i="16"/>
  <c r="P416" i="16"/>
  <c r="F416" i="16"/>
  <c r="E416" i="16"/>
  <c r="D416" i="16"/>
  <c r="U415" i="16"/>
  <c r="T415" i="16"/>
  <c r="P415" i="16"/>
  <c r="F415" i="16"/>
  <c r="E415" i="16"/>
  <c r="D415" i="16"/>
  <c r="U414" i="16"/>
  <c r="T414" i="16"/>
  <c r="P414" i="16"/>
  <c r="F414" i="16"/>
  <c r="E414" i="16"/>
  <c r="D414" i="16"/>
  <c r="U413" i="16"/>
  <c r="V413" i="16" s="1"/>
  <c r="T413" i="16"/>
  <c r="P413" i="16"/>
  <c r="F413" i="16"/>
  <c r="E413" i="16"/>
  <c r="D413" i="16"/>
  <c r="U412" i="16"/>
  <c r="T412" i="16"/>
  <c r="P412" i="16"/>
  <c r="F412" i="16"/>
  <c r="E412" i="16"/>
  <c r="D412" i="16"/>
  <c r="V411" i="16"/>
  <c r="U411" i="16"/>
  <c r="T411" i="16"/>
  <c r="P411" i="16"/>
  <c r="F411" i="16"/>
  <c r="E411" i="16"/>
  <c r="D411" i="16"/>
  <c r="U410" i="16"/>
  <c r="T410" i="16"/>
  <c r="P410" i="16"/>
  <c r="F410" i="16"/>
  <c r="E410" i="16"/>
  <c r="D410" i="16"/>
  <c r="W409" i="16"/>
  <c r="U409" i="16"/>
  <c r="T409" i="16"/>
  <c r="V409" i="16" s="1"/>
  <c r="P409" i="16"/>
  <c r="F409" i="16"/>
  <c r="E409" i="16"/>
  <c r="D409" i="16"/>
  <c r="U408" i="16"/>
  <c r="T408" i="16"/>
  <c r="P408" i="16"/>
  <c r="F408" i="16"/>
  <c r="E408" i="16"/>
  <c r="D408" i="16"/>
  <c r="U407" i="16"/>
  <c r="T407" i="16"/>
  <c r="P407" i="16"/>
  <c r="F407" i="16"/>
  <c r="E407" i="16"/>
  <c r="D407" i="16"/>
  <c r="W406" i="16"/>
  <c r="V406" i="16"/>
  <c r="U406" i="16"/>
  <c r="T406" i="16"/>
  <c r="P406" i="16"/>
  <c r="F406" i="16"/>
  <c r="E406" i="16"/>
  <c r="D406" i="16"/>
  <c r="U405" i="16"/>
  <c r="T405" i="16"/>
  <c r="P405" i="16"/>
  <c r="F405" i="16"/>
  <c r="E405" i="16"/>
  <c r="D405" i="16"/>
  <c r="U404" i="16"/>
  <c r="V404" i="16" s="1"/>
  <c r="T404" i="16"/>
  <c r="P404" i="16"/>
  <c r="F404" i="16"/>
  <c r="E404" i="16"/>
  <c r="D404" i="16"/>
  <c r="U403" i="16"/>
  <c r="T403" i="16"/>
  <c r="V403" i="16" s="1"/>
  <c r="P403" i="16"/>
  <c r="F403" i="16"/>
  <c r="E403" i="16"/>
  <c r="D403" i="16"/>
  <c r="V402" i="16"/>
  <c r="W402" i="16" s="1"/>
  <c r="U402" i="16"/>
  <c r="T402" i="16"/>
  <c r="P402" i="16"/>
  <c r="F402" i="16"/>
  <c r="E402" i="16"/>
  <c r="D402" i="16"/>
  <c r="U401" i="16"/>
  <c r="T401" i="16"/>
  <c r="P401" i="16"/>
  <c r="F401" i="16"/>
  <c r="E401" i="16"/>
  <c r="D401" i="16"/>
  <c r="U400" i="16"/>
  <c r="T400" i="16"/>
  <c r="P400" i="16"/>
  <c r="F400" i="16"/>
  <c r="E400" i="16"/>
  <c r="D400" i="16"/>
  <c r="V399" i="16"/>
  <c r="W399" i="16" s="1"/>
  <c r="U399" i="16"/>
  <c r="T399" i="16"/>
  <c r="P399" i="16"/>
  <c r="F399" i="16"/>
  <c r="E399" i="16"/>
  <c r="D399" i="16"/>
  <c r="V398" i="16"/>
  <c r="U398" i="16"/>
  <c r="T398" i="16"/>
  <c r="P398" i="16"/>
  <c r="F398" i="16"/>
  <c r="E398" i="16"/>
  <c r="D398" i="16"/>
  <c r="U397" i="16"/>
  <c r="T397" i="16"/>
  <c r="P397" i="16"/>
  <c r="F397" i="16"/>
  <c r="E397" i="16"/>
  <c r="D397" i="16"/>
  <c r="U396" i="16"/>
  <c r="T396" i="16"/>
  <c r="P396" i="16"/>
  <c r="F396" i="16"/>
  <c r="E396" i="16"/>
  <c r="D396" i="16"/>
  <c r="U395" i="16"/>
  <c r="V395" i="16" s="1"/>
  <c r="T395" i="16"/>
  <c r="P395" i="16"/>
  <c r="F395" i="16"/>
  <c r="E395" i="16"/>
  <c r="D395" i="16"/>
  <c r="U394" i="16"/>
  <c r="T394" i="16"/>
  <c r="V394" i="16" s="1"/>
  <c r="P394" i="16"/>
  <c r="F394" i="16"/>
  <c r="E394" i="16"/>
  <c r="D394" i="16"/>
  <c r="U393" i="16"/>
  <c r="V393" i="16" s="1"/>
  <c r="W393" i="16" s="1"/>
  <c r="T393" i="16"/>
  <c r="P393" i="16"/>
  <c r="F393" i="16"/>
  <c r="E393" i="16"/>
  <c r="D393" i="16"/>
  <c r="V392" i="16"/>
  <c r="U392" i="16"/>
  <c r="T392" i="16"/>
  <c r="P392" i="16"/>
  <c r="F392" i="16"/>
  <c r="E392" i="16"/>
  <c r="D392" i="16"/>
  <c r="W391" i="16"/>
  <c r="V391" i="16"/>
  <c r="U391" i="16"/>
  <c r="T391" i="16"/>
  <c r="P391" i="16"/>
  <c r="F391" i="16"/>
  <c r="E391" i="16"/>
  <c r="D391" i="16"/>
  <c r="U390" i="16"/>
  <c r="T390" i="16"/>
  <c r="P390" i="16"/>
  <c r="F390" i="16"/>
  <c r="E390" i="16"/>
  <c r="D390" i="16"/>
  <c r="U389" i="16"/>
  <c r="T389" i="16"/>
  <c r="P389" i="16"/>
  <c r="F389" i="16"/>
  <c r="E389" i="16"/>
  <c r="D389" i="16"/>
  <c r="U388" i="16"/>
  <c r="V388" i="16" s="1"/>
  <c r="W388" i="16" s="1"/>
  <c r="T388" i="16"/>
  <c r="P388" i="16"/>
  <c r="F388" i="16"/>
  <c r="E388" i="16"/>
  <c r="D388" i="16"/>
  <c r="W387" i="16"/>
  <c r="U387" i="16"/>
  <c r="T387" i="16"/>
  <c r="V387" i="16" s="1"/>
  <c r="P387" i="16"/>
  <c r="F387" i="16"/>
  <c r="E387" i="16"/>
  <c r="D387" i="16"/>
  <c r="U386" i="16"/>
  <c r="T386" i="16"/>
  <c r="P386" i="16"/>
  <c r="F386" i="16"/>
  <c r="E386" i="16"/>
  <c r="D386" i="16"/>
  <c r="U385" i="16"/>
  <c r="T385" i="16"/>
  <c r="P385" i="16"/>
  <c r="F385" i="16"/>
  <c r="E385" i="16"/>
  <c r="D385" i="16"/>
  <c r="U384" i="16"/>
  <c r="T384" i="16"/>
  <c r="P384" i="16"/>
  <c r="F384" i="16"/>
  <c r="E384" i="16"/>
  <c r="D384" i="16"/>
  <c r="U383" i="16"/>
  <c r="T383" i="16"/>
  <c r="P383" i="16"/>
  <c r="F383" i="16"/>
  <c r="E383" i="16"/>
  <c r="D383" i="16"/>
  <c r="V382" i="16"/>
  <c r="W382" i="16" s="1"/>
  <c r="U382" i="16"/>
  <c r="T382" i="16"/>
  <c r="P382" i="16"/>
  <c r="F382" i="16"/>
  <c r="E382" i="16"/>
  <c r="D382" i="16"/>
  <c r="V381" i="16"/>
  <c r="W381" i="16" s="1"/>
  <c r="U381" i="16"/>
  <c r="T381" i="16"/>
  <c r="P381" i="16"/>
  <c r="F381" i="16"/>
  <c r="E381" i="16"/>
  <c r="D381" i="16"/>
  <c r="V380" i="16"/>
  <c r="U380" i="16"/>
  <c r="T380" i="16"/>
  <c r="P380" i="16"/>
  <c r="F380" i="16"/>
  <c r="E380" i="16"/>
  <c r="D380" i="16"/>
  <c r="U379" i="16"/>
  <c r="T379" i="16"/>
  <c r="P379" i="16"/>
  <c r="F379" i="16"/>
  <c r="E379" i="16"/>
  <c r="D379" i="16"/>
  <c r="U378" i="16"/>
  <c r="T378" i="16"/>
  <c r="P378" i="16"/>
  <c r="F378" i="16"/>
  <c r="E378" i="16"/>
  <c r="D378" i="16"/>
  <c r="V377" i="16"/>
  <c r="W377" i="16" s="1"/>
  <c r="U377" i="16"/>
  <c r="T377" i="16"/>
  <c r="P377" i="16"/>
  <c r="F377" i="16"/>
  <c r="E377" i="16"/>
  <c r="D377" i="16"/>
  <c r="U376" i="16"/>
  <c r="V376" i="16" s="1"/>
  <c r="T376" i="16"/>
  <c r="P376" i="16"/>
  <c r="F376" i="16"/>
  <c r="E376" i="16"/>
  <c r="D376" i="16"/>
  <c r="W375" i="16"/>
  <c r="V375" i="16"/>
  <c r="U375" i="16"/>
  <c r="T375" i="16"/>
  <c r="P375" i="16"/>
  <c r="F375" i="16"/>
  <c r="E375" i="16"/>
  <c r="D375" i="16"/>
  <c r="W374" i="16"/>
  <c r="V374" i="16"/>
  <c r="U374" i="16"/>
  <c r="T374" i="16"/>
  <c r="P374" i="16"/>
  <c r="F374" i="16"/>
  <c r="E374" i="16"/>
  <c r="D374" i="16"/>
  <c r="U373" i="16"/>
  <c r="T373" i="16"/>
  <c r="P373" i="16"/>
  <c r="F373" i="16"/>
  <c r="E373" i="16"/>
  <c r="D373" i="16"/>
  <c r="V372" i="16"/>
  <c r="W372" i="16" s="1"/>
  <c r="U372" i="16"/>
  <c r="T372" i="16"/>
  <c r="P372" i="16"/>
  <c r="F372" i="16"/>
  <c r="E372" i="16"/>
  <c r="D372" i="16"/>
  <c r="V371" i="16"/>
  <c r="W371" i="16" s="1"/>
  <c r="U371" i="16"/>
  <c r="T371" i="16"/>
  <c r="P371" i="16"/>
  <c r="F371" i="16"/>
  <c r="E371" i="16"/>
  <c r="D371" i="16"/>
  <c r="U370" i="16"/>
  <c r="T370" i="16"/>
  <c r="P370" i="16"/>
  <c r="F370" i="16"/>
  <c r="E370" i="16"/>
  <c r="D370" i="16"/>
  <c r="U369" i="16"/>
  <c r="V369" i="16" s="1"/>
  <c r="T369" i="16"/>
  <c r="P369" i="16"/>
  <c r="F369" i="16"/>
  <c r="E369" i="16"/>
  <c r="D369" i="16"/>
  <c r="V368" i="16"/>
  <c r="W368" i="16" s="1"/>
  <c r="U368" i="16"/>
  <c r="T368" i="16"/>
  <c r="P368" i="16"/>
  <c r="F368" i="16"/>
  <c r="E368" i="16"/>
  <c r="D368" i="16"/>
  <c r="V367" i="16"/>
  <c r="U367" i="16"/>
  <c r="T367" i="16"/>
  <c r="P367" i="16"/>
  <c r="F367" i="16"/>
  <c r="E367" i="16"/>
  <c r="D367" i="16"/>
  <c r="U366" i="16"/>
  <c r="T366" i="16"/>
  <c r="P366" i="16"/>
  <c r="F366" i="16"/>
  <c r="E366" i="16"/>
  <c r="D366" i="16"/>
  <c r="W365" i="16"/>
  <c r="V365" i="16"/>
  <c r="U365" i="16"/>
  <c r="T365" i="16"/>
  <c r="P365" i="16"/>
  <c r="F365" i="16"/>
  <c r="E365" i="16"/>
  <c r="D365" i="16"/>
  <c r="U364" i="16"/>
  <c r="V364" i="16" s="1"/>
  <c r="T364" i="16"/>
  <c r="P364" i="16"/>
  <c r="F364" i="16"/>
  <c r="E364" i="16"/>
  <c r="D364" i="16"/>
  <c r="U363" i="16"/>
  <c r="T363" i="16"/>
  <c r="P363" i="16"/>
  <c r="F363" i="16"/>
  <c r="E363" i="16"/>
  <c r="D363" i="16"/>
  <c r="V362" i="16"/>
  <c r="W362" i="16" s="1"/>
  <c r="U362" i="16"/>
  <c r="T362" i="16"/>
  <c r="P362" i="16"/>
  <c r="F362" i="16"/>
  <c r="E362" i="16"/>
  <c r="D362" i="16"/>
  <c r="U361" i="16"/>
  <c r="T361" i="16"/>
  <c r="P361" i="16"/>
  <c r="F361" i="16"/>
  <c r="E361" i="16"/>
  <c r="D361" i="16"/>
  <c r="V360" i="16"/>
  <c r="W360" i="16" s="1"/>
  <c r="U360" i="16"/>
  <c r="T360" i="16"/>
  <c r="P360" i="16"/>
  <c r="F360" i="16"/>
  <c r="E360" i="16"/>
  <c r="D360" i="16"/>
  <c r="V359" i="16"/>
  <c r="W359" i="16" s="1"/>
  <c r="U359" i="16"/>
  <c r="T359" i="16"/>
  <c r="P359" i="16"/>
  <c r="F359" i="16"/>
  <c r="E359" i="16"/>
  <c r="D359" i="16"/>
  <c r="U358" i="16"/>
  <c r="V358" i="16" s="1"/>
  <c r="T358" i="16"/>
  <c r="P358" i="16"/>
  <c r="F358" i="16"/>
  <c r="E358" i="16"/>
  <c r="D358" i="16"/>
  <c r="W357" i="16"/>
  <c r="V357" i="16"/>
  <c r="U357" i="16"/>
  <c r="T357" i="16"/>
  <c r="P357" i="16"/>
  <c r="F357" i="16"/>
  <c r="E357" i="16"/>
  <c r="D357" i="16"/>
  <c r="W356" i="16"/>
  <c r="V356" i="16"/>
  <c r="U356" i="16"/>
  <c r="T356" i="16"/>
  <c r="P356" i="16"/>
  <c r="F356" i="16"/>
  <c r="E356" i="16"/>
  <c r="D356" i="16"/>
  <c r="U355" i="16"/>
  <c r="T355" i="16"/>
  <c r="P355" i="16"/>
  <c r="F355" i="16"/>
  <c r="E355" i="16"/>
  <c r="D355" i="16"/>
  <c r="U354" i="16"/>
  <c r="V354" i="16" s="1"/>
  <c r="W354" i="16" s="1"/>
  <c r="T354" i="16"/>
  <c r="P354" i="16"/>
  <c r="F354" i="16"/>
  <c r="E354" i="16"/>
  <c r="D354" i="16"/>
  <c r="W353" i="16"/>
  <c r="V353" i="16"/>
  <c r="U353" i="16"/>
  <c r="T353" i="16"/>
  <c r="P353" i="16"/>
  <c r="F353" i="16"/>
  <c r="E353" i="16"/>
  <c r="D353" i="16"/>
  <c r="U352" i="16"/>
  <c r="T352" i="16"/>
  <c r="P352" i="16"/>
  <c r="F352" i="16"/>
  <c r="E352" i="16"/>
  <c r="D352" i="16"/>
  <c r="V351" i="16"/>
  <c r="U351" i="16"/>
  <c r="T351" i="16"/>
  <c r="P351" i="16"/>
  <c r="F351" i="16"/>
  <c r="E351" i="16"/>
  <c r="D351" i="16"/>
  <c r="V350" i="16"/>
  <c r="W350" i="16" s="1"/>
  <c r="U350" i="16"/>
  <c r="T350" i="16"/>
  <c r="P350" i="16"/>
  <c r="F350" i="16"/>
  <c r="E350" i="16"/>
  <c r="D350" i="16"/>
  <c r="V349" i="16"/>
  <c r="U349" i="16"/>
  <c r="T349" i="16"/>
  <c r="P349" i="16"/>
  <c r="F349" i="16"/>
  <c r="E349" i="16"/>
  <c r="D349" i="16"/>
  <c r="U348" i="16"/>
  <c r="T348" i="16"/>
  <c r="P348" i="16"/>
  <c r="F348" i="16"/>
  <c r="E348" i="16"/>
  <c r="D348" i="16"/>
  <c r="V347" i="16"/>
  <c r="W347" i="16" s="1"/>
  <c r="U347" i="16"/>
  <c r="T347" i="16"/>
  <c r="P347" i="16"/>
  <c r="F347" i="16"/>
  <c r="E347" i="16"/>
  <c r="D347" i="16"/>
  <c r="U346" i="16"/>
  <c r="V346" i="16" s="1"/>
  <c r="T346" i="16"/>
  <c r="P346" i="16"/>
  <c r="F346" i="16"/>
  <c r="E346" i="16"/>
  <c r="D346" i="16"/>
  <c r="U345" i="16"/>
  <c r="T345" i="16"/>
  <c r="P345" i="16"/>
  <c r="F345" i="16"/>
  <c r="E345" i="16"/>
  <c r="D345" i="16"/>
  <c r="V344" i="16"/>
  <c r="W344" i="16" s="1"/>
  <c r="U344" i="16"/>
  <c r="T344" i="16"/>
  <c r="P344" i="16"/>
  <c r="F344" i="16"/>
  <c r="E344" i="16"/>
  <c r="D344" i="16"/>
  <c r="U343" i="16"/>
  <c r="T343" i="16"/>
  <c r="P343" i="16"/>
  <c r="F343" i="16"/>
  <c r="E343" i="16"/>
  <c r="D343" i="16"/>
  <c r="U342" i="16"/>
  <c r="T342" i="16"/>
  <c r="P342" i="16"/>
  <c r="F342" i="16"/>
  <c r="E342" i="16"/>
  <c r="D342" i="16"/>
  <c r="V341" i="16"/>
  <c r="W341" i="16" s="1"/>
  <c r="U341" i="16"/>
  <c r="T341" i="16"/>
  <c r="P341" i="16"/>
  <c r="F341" i="16"/>
  <c r="E341" i="16"/>
  <c r="D341" i="16"/>
  <c r="U340" i="16"/>
  <c r="V340" i="16" s="1"/>
  <c r="T340" i="16"/>
  <c r="P340" i="16"/>
  <c r="F340" i="16"/>
  <c r="E340" i="16"/>
  <c r="D340" i="16"/>
  <c r="W339" i="16"/>
  <c r="V339" i="16"/>
  <c r="U339" i="16"/>
  <c r="T339" i="16"/>
  <c r="P339" i="16"/>
  <c r="F339" i="16"/>
  <c r="E339" i="16"/>
  <c r="D339" i="16"/>
  <c r="W338" i="16"/>
  <c r="V338" i="16"/>
  <c r="U338" i="16"/>
  <c r="T338" i="16"/>
  <c r="P338" i="16"/>
  <c r="F338" i="16"/>
  <c r="E338" i="16"/>
  <c r="D338" i="16"/>
  <c r="U337" i="16"/>
  <c r="T337" i="16"/>
  <c r="P337" i="16"/>
  <c r="F337" i="16"/>
  <c r="E337" i="16"/>
  <c r="D337" i="16"/>
  <c r="V336" i="16"/>
  <c r="W336" i="16" s="1"/>
  <c r="U336" i="16"/>
  <c r="T336" i="16"/>
  <c r="P336" i="16"/>
  <c r="F336" i="16"/>
  <c r="E336" i="16"/>
  <c r="D336" i="16"/>
  <c r="V335" i="16"/>
  <c r="W335" i="16" s="1"/>
  <c r="U335" i="16"/>
  <c r="T335" i="16"/>
  <c r="P335" i="16"/>
  <c r="F335" i="16"/>
  <c r="E335" i="16"/>
  <c r="D335" i="16"/>
  <c r="U334" i="16"/>
  <c r="T334" i="16"/>
  <c r="P334" i="16"/>
  <c r="F334" i="16"/>
  <c r="E334" i="16"/>
  <c r="D334" i="16"/>
  <c r="U333" i="16"/>
  <c r="T333" i="16"/>
  <c r="P333" i="16"/>
  <c r="F333" i="16"/>
  <c r="E333" i="16"/>
  <c r="D333" i="16"/>
  <c r="V332" i="16"/>
  <c r="W332" i="16" s="1"/>
  <c r="U332" i="16"/>
  <c r="T332" i="16"/>
  <c r="P332" i="16"/>
  <c r="F332" i="16"/>
  <c r="E332" i="16"/>
  <c r="D332" i="16"/>
  <c r="V331" i="16"/>
  <c r="U331" i="16"/>
  <c r="T331" i="16"/>
  <c r="P331" i="16"/>
  <c r="F331" i="16"/>
  <c r="E331" i="16"/>
  <c r="D331" i="16"/>
  <c r="U330" i="16"/>
  <c r="T330" i="16"/>
  <c r="P330" i="16"/>
  <c r="F330" i="16"/>
  <c r="E330" i="16"/>
  <c r="D330" i="16"/>
  <c r="V329" i="16"/>
  <c r="W329" i="16" s="1"/>
  <c r="U329" i="16"/>
  <c r="T329" i="16"/>
  <c r="P329" i="16"/>
  <c r="F329" i="16"/>
  <c r="E329" i="16"/>
  <c r="D329" i="16"/>
  <c r="U328" i="16"/>
  <c r="V328" i="16" s="1"/>
  <c r="T328" i="16"/>
  <c r="P328" i="16"/>
  <c r="F328" i="16"/>
  <c r="E328" i="16"/>
  <c r="D328" i="16"/>
  <c r="U327" i="16"/>
  <c r="T327" i="16"/>
  <c r="P327" i="16"/>
  <c r="F327" i="16"/>
  <c r="E327" i="16"/>
  <c r="D327" i="16"/>
  <c r="V326" i="16"/>
  <c r="W326" i="16" s="1"/>
  <c r="U326" i="16"/>
  <c r="T326" i="16"/>
  <c r="P326" i="16"/>
  <c r="F326" i="16"/>
  <c r="E326" i="16"/>
  <c r="D326" i="16"/>
  <c r="U325" i="16"/>
  <c r="T325" i="16"/>
  <c r="P325" i="16"/>
  <c r="F325" i="16"/>
  <c r="E325" i="16"/>
  <c r="D325" i="16"/>
  <c r="V324" i="16"/>
  <c r="W324" i="16" s="1"/>
  <c r="U324" i="16"/>
  <c r="T324" i="16"/>
  <c r="P324" i="16"/>
  <c r="F324" i="16"/>
  <c r="E324" i="16"/>
  <c r="D324" i="16"/>
  <c r="V323" i="16"/>
  <c r="W323" i="16" s="1"/>
  <c r="U323" i="16"/>
  <c r="T323" i="16"/>
  <c r="P323" i="16"/>
  <c r="F323" i="16"/>
  <c r="E323" i="16"/>
  <c r="D323" i="16"/>
  <c r="U322" i="16"/>
  <c r="V322" i="16" s="1"/>
  <c r="T322" i="16"/>
  <c r="P322" i="16"/>
  <c r="F322" i="16"/>
  <c r="E322" i="16"/>
  <c r="D322" i="16"/>
  <c r="U321" i="16"/>
  <c r="V321" i="16" s="1"/>
  <c r="W321" i="16" s="1"/>
  <c r="T321" i="16"/>
  <c r="P321" i="16"/>
  <c r="F321" i="16"/>
  <c r="E321" i="16"/>
  <c r="D321" i="16"/>
  <c r="W320" i="16"/>
  <c r="V320" i="16"/>
  <c r="U320" i="16"/>
  <c r="T320" i="16"/>
  <c r="P320" i="16"/>
  <c r="F320" i="16"/>
  <c r="E320" i="16"/>
  <c r="D320" i="16"/>
  <c r="U319" i="16"/>
  <c r="T319" i="16"/>
  <c r="P319" i="16"/>
  <c r="F319" i="16"/>
  <c r="E319" i="16"/>
  <c r="D319" i="16"/>
  <c r="V318" i="16"/>
  <c r="W318" i="16" s="1"/>
  <c r="U318" i="16"/>
  <c r="T318" i="16"/>
  <c r="P318" i="16"/>
  <c r="F318" i="16"/>
  <c r="E318" i="16"/>
  <c r="D318" i="16"/>
  <c r="W317" i="16"/>
  <c r="V317" i="16"/>
  <c r="U317" i="16"/>
  <c r="T317" i="16"/>
  <c r="P317" i="16"/>
  <c r="F317" i="16"/>
  <c r="E317" i="16"/>
  <c r="D317" i="16"/>
  <c r="U316" i="16"/>
  <c r="T316" i="16"/>
  <c r="P316" i="16"/>
  <c r="F316" i="16"/>
  <c r="E316" i="16"/>
  <c r="D316" i="16"/>
  <c r="U315" i="16"/>
  <c r="T315" i="16"/>
  <c r="P315" i="16"/>
  <c r="F315" i="16"/>
  <c r="E315" i="16"/>
  <c r="D315" i="16"/>
  <c r="V314" i="16"/>
  <c r="W314" i="16" s="1"/>
  <c r="U314" i="16"/>
  <c r="T314" i="16"/>
  <c r="P314" i="16"/>
  <c r="F314" i="16"/>
  <c r="E314" i="16"/>
  <c r="D314" i="16"/>
  <c r="V313" i="16"/>
  <c r="U313" i="16"/>
  <c r="T313" i="16"/>
  <c r="P313" i="16"/>
  <c r="F313" i="16"/>
  <c r="E313" i="16"/>
  <c r="D313" i="16"/>
  <c r="U312" i="16"/>
  <c r="T312" i="16"/>
  <c r="P312" i="16"/>
  <c r="F312" i="16"/>
  <c r="E312" i="16"/>
  <c r="D312" i="16"/>
  <c r="V311" i="16"/>
  <c r="W311" i="16" s="1"/>
  <c r="U311" i="16"/>
  <c r="T311" i="16"/>
  <c r="P311" i="16"/>
  <c r="F311" i="16"/>
  <c r="E311" i="16"/>
  <c r="D311" i="16"/>
  <c r="U310" i="16"/>
  <c r="V310" i="16" s="1"/>
  <c r="T310" i="16"/>
  <c r="P310" i="16"/>
  <c r="F310" i="16"/>
  <c r="E310" i="16"/>
  <c r="D310" i="16"/>
  <c r="U309" i="16"/>
  <c r="T309" i="16"/>
  <c r="P309" i="16"/>
  <c r="F309" i="16"/>
  <c r="E309" i="16"/>
  <c r="D309" i="16"/>
  <c r="V308" i="16"/>
  <c r="W308" i="16" s="1"/>
  <c r="U308" i="16"/>
  <c r="T308" i="16"/>
  <c r="P308" i="16"/>
  <c r="F308" i="16"/>
  <c r="E308" i="16"/>
  <c r="D308" i="16"/>
  <c r="U307" i="16"/>
  <c r="T307" i="16"/>
  <c r="P307" i="16"/>
  <c r="F307" i="16"/>
  <c r="E307" i="16"/>
  <c r="D307" i="16"/>
  <c r="U306" i="16"/>
  <c r="T306" i="16"/>
  <c r="P306" i="16"/>
  <c r="F306" i="16"/>
  <c r="E306" i="16"/>
  <c r="D306" i="16"/>
  <c r="V305" i="16"/>
  <c r="W305" i="16" s="1"/>
  <c r="U305" i="16"/>
  <c r="T305" i="16"/>
  <c r="P305" i="16"/>
  <c r="F305" i="16"/>
  <c r="E305" i="16"/>
  <c r="D305" i="16"/>
  <c r="U304" i="16"/>
  <c r="V304" i="16" s="1"/>
  <c r="T304" i="16"/>
  <c r="P304" i="16"/>
  <c r="F304" i="16"/>
  <c r="E304" i="16"/>
  <c r="D304" i="16"/>
  <c r="W303" i="16"/>
  <c r="U303" i="16"/>
  <c r="V303" i="16" s="1"/>
  <c r="T303" i="16"/>
  <c r="P303" i="16"/>
  <c r="F303" i="16"/>
  <c r="E303" i="16"/>
  <c r="D303" i="16"/>
  <c r="W302" i="16"/>
  <c r="V302" i="16"/>
  <c r="U302" i="16"/>
  <c r="T302" i="16"/>
  <c r="P302" i="16"/>
  <c r="F302" i="16"/>
  <c r="E302" i="16"/>
  <c r="D302" i="16"/>
  <c r="U301" i="16"/>
  <c r="T301" i="16"/>
  <c r="P301" i="16"/>
  <c r="F301" i="16"/>
  <c r="E301" i="16"/>
  <c r="D301" i="16"/>
  <c r="V300" i="16"/>
  <c r="W300" i="16" s="1"/>
  <c r="U300" i="16"/>
  <c r="T300" i="16"/>
  <c r="P300" i="16"/>
  <c r="F300" i="16"/>
  <c r="E300" i="16"/>
  <c r="D300" i="16"/>
  <c r="V299" i="16"/>
  <c r="W299" i="16" s="1"/>
  <c r="U299" i="16"/>
  <c r="T299" i="16"/>
  <c r="P299" i="16"/>
  <c r="F299" i="16"/>
  <c r="E299" i="16"/>
  <c r="D299" i="16"/>
  <c r="U298" i="16"/>
  <c r="T298" i="16"/>
  <c r="P298" i="16"/>
  <c r="F298" i="16"/>
  <c r="E298" i="16"/>
  <c r="D298" i="16"/>
  <c r="V297" i="16"/>
  <c r="U297" i="16"/>
  <c r="T297" i="16"/>
  <c r="P297" i="16"/>
  <c r="F297" i="16"/>
  <c r="E297" i="16"/>
  <c r="D297" i="16"/>
  <c r="V296" i="16"/>
  <c r="W296" i="16" s="1"/>
  <c r="U296" i="16"/>
  <c r="T296" i="16"/>
  <c r="P296" i="16"/>
  <c r="F296" i="16"/>
  <c r="E296" i="16"/>
  <c r="D296" i="16"/>
  <c r="V295" i="16"/>
  <c r="U295" i="16"/>
  <c r="T295" i="16"/>
  <c r="P295" i="16"/>
  <c r="F295" i="16"/>
  <c r="E295" i="16"/>
  <c r="D295" i="16"/>
  <c r="U294" i="16"/>
  <c r="T294" i="16"/>
  <c r="P294" i="16"/>
  <c r="F294" i="16"/>
  <c r="E294" i="16"/>
  <c r="D294" i="16"/>
  <c r="V293" i="16"/>
  <c r="W293" i="16" s="1"/>
  <c r="U293" i="16"/>
  <c r="T293" i="16"/>
  <c r="P293" i="16"/>
  <c r="F293" i="16"/>
  <c r="E293" i="16"/>
  <c r="D293" i="16"/>
  <c r="U292" i="16"/>
  <c r="V292" i="16" s="1"/>
  <c r="T292" i="16"/>
  <c r="P292" i="16"/>
  <c r="F292" i="16"/>
  <c r="E292" i="16"/>
  <c r="D292" i="16"/>
  <c r="U291" i="16"/>
  <c r="T291" i="16"/>
  <c r="P291" i="16"/>
  <c r="F291" i="16"/>
  <c r="E291" i="16"/>
  <c r="D291" i="16"/>
  <c r="V290" i="16"/>
  <c r="W290" i="16" s="1"/>
  <c r="U290" i="16"/>
  <c r="T290" i="16"/>
  <c r="P290" i="16"/>
  <c r="F290" i="16"/>
  <c r="E290" i="16"/>
  <c r="D290" i="16"/>
  <c r="U289" i="16"/>
  <c r="T289" i="16"/>
  <c r="P289" i="16"/>
  <c r="F289" i="16"/>
  <c r="E289" i="16"/>
  <c r="D289" i="16"/>
  <c r="V288" i="16"/>
  <c r="W288" i="16" s="1"/>
  <c r="U288" i="16"/>
  <c r="T288" i="16"/>
  <c r="P288" i="16"/>
  <c r="F288" i="16"/>
  <c r="E288" i="16"/>
  <c r="D288" i="16"/>
  <c r="V287" i="16"/>
  <c r="W287" i="16" s="1"/>
  <c r="U287" i="16"/>
  <c r="T287" i="16"/>
  <c r="P287" i="16"/>
  <c r="F287" i="16"/>
  <c r="E287" i="16"/>
  <c r="D287" i="16"/>
  <c r="U286" i="16"/>
  <c r="V286" i="16" s="1"/>
  <c r="T286" i="16"/>
  <c r="P286" i="16"/>
  <c r="F286" i="16"/>
  <c r="E286" i="16"/>
  <c r="D286" i="16"/>
  <c r="U285" i="16"/>
  <c r="V285" i="16" s="1"/>
  <c r="W285" i="16" s="1"/>
  <c r="T285" i="16"/>
  <c r="P285" i="16"/>
  <c r="F285" i="16"/>
  <c r="E285" i="16"/>
  <c r="D285" i="16"/>
  <c r="W284" i="16"/>
  <c r="V284" i="16"/>
  <c r="U284" i="16"/>
  <c r="T284" i="16"/>
  <c r="P284" i="16"/>
  <c r="F284" i="16"/>
  <c r="E284" i="16"/>
  <c r="D284" i="16"/>
  <c r="U283" i="16"/>
  <c r="T283" i="16"/>
  <c r="P283" i="16"/>
  <c r="F283" i="16"/>
  <c r="E283" i="16"/>
  <c r="D283" i="16"/>
  <c r="U282" i="16"/>
  <c r="V282" i="16" s="1"/>
  <c r="W282" i="16" s="1"/>
  <c r="T282" i="16"/>
  <c r="P282" i="16"/>
  <c r="F282" i="16"/>
  <c r="E282" i="16"/>
  <c r="D282" i="16"/>
  <c r="W281" i="16"/>
  <c r="V281" i="16"/>
  <c r="U281" i="16"/>
  <c r="T281" i="16"/>
  <c r="P281" i="16"/>
  <c r="F281" i="16"/>
  <c r="E281" i="16"/>
  <c r="D281" i="16"/>
  <c r="U280" i="16"/>
  <c r="T280" i="16"/>
  <c r="P280" i="16"/>
  <c r="F280" i="16"/>
  <c r="E280" i="16"/>
  <c r="D280" i="16"/>
  <c r="U279" i="16"/>
  <c r="V279" i="16" s="1"/>
  <c r="T279" i="16"/>
  <c r="P279" i="16"/>
  <c r="F279" i="16"/>
  <c r="E279" i="16"/>
  <c r="D279" i="16"/>
  <c r="V278" i="16"/>
  <c r="W278" i="16" s="1"/>
  <c r="U278" i="16"/>
  <c r="T278" i="16"/>
  <c r="P278" i="16"/>
  <c r="F278" i="16"/>
  <c r="E278" i="16"/>
  <c r="D278" i="16"/>
  <c r="V277" i="16"/>
  <c r="U277" i="16"/>
  <c r="T277" i="16"/>
  <c r="P277" i="16"/>
  <c r="F277" i="16"/>
  <c r="E277" i="16"/>
  <c r="D277" i="16"/>
  <c r="U276" i="16"/>
  <c r="T276" i="16"/>
  <c r="P276" i="16"/>
  <c r="F276" i="16"/>
  <c r="E276" i="16"/>
  <c r="D276" i="16"/>
  <c r="U275" i="16"/>
  <c r="V275" i="16" s="1"/>
  <c r="W275" i="16" s="1"/>
  <c r="T275" i="16"/>
  <c r="P275" i="16"/>
  <c r="F275" i="16"/>
  <c r="E275" i="16"/>
  <c r="D275" i="16"/>
  <c r="U274" i="16"/>
  <c r="V274" i="16" s="1"/>
  <c r="T274" i="16"/>
  <c r="P274" i="16"/>
  <c r="F274" i="16"/>
  <c r="E274" i="16"/>
  <c r="D274" i="16"/>
  <c r="U273" i="16"/>
  <c r="T273" i="16"/>
  <c r="P273" i="16"/>
  <c r="F273" i="16"/>
  <c r="E273" i="16"/>
  <c r="D273" i="16"/>
  <c r="V272" i="16"/>
  <c r="W272" i="16" s="1"/>
  <c r="U272" i="16"/>
  <c r="T272" i="16"/>
  <c r="P272" i="16"/>
  <c r="F272" i="16"/>
  <c r="E272" i="16"/>
  <c r="D272" i="16"/>
  <c r="U271" i="16"/>
  <c r="T271" i="16"/>
  <c r="P271" i="16"/>
  <c r="F271" i="16"/>
  <c r="E271" i="16"/>
  <c r="D271" i="16"/>
  <c r="U270" i="16"/>
  <c r="T270" i="16"/>
  <c r="P270" i="16"/>
  <c r="F270" i="16"/>
  <c r="E270" i="16"/>
  <c r="D270" i="16"/>
  <c r="U269" i="16"/>
  <c r="V269" i="16" s="1"/>
  <c r="W269" i="16" s="1"/>
  <c r="T269" i="16"/>
  <c r="P269" i="16"/>
  <c r="F269" i="16"/>
  <c r="E269" i="16"/>
  <c r="D269" i="16"/>
  <c r="U268" i="16"/>
  <c r="T268" i="16"/>
  <c r="P268" i="16"/>
  <c r="F268" i="16"/>
  <c r="E268" i="16"/>
  <c r="D268" i="16"/>
  <c r="V267" i="16"/>
  <c r="W267" i="16" s="1"/>
  <c r="U267" i="16"/>
  <c r="T267" i="16"/>
  <c r="P267" i="16"/>
  <c r="F267" i="16"/>
  <c r="E267" i="16"/>
  <c r="D267" i="16"/>
  <c r="U266" i="16"/>
  <c r="V266" i="16" s="1"/>
  <c r="W266" i="16" s="1"/>
  <c r="T266" i="16"/>
  <c r="P266" i="16"/>
  <c r="F266" i="16"/>
  <c r="E266" i="16"/>
  <c r="D266" i="16"/>
  <c r="U265" i="16"/>
  <c r="T265" i="16"/>
  <c r="P265" i="16"/>
  <c r="F265" i="16"/>
  <c r="E265" i="16"/>
  <c r="D265" i="16"/>
  <c r="U264" i="16"/>
  <c r="T264" i="16"/>
  <c r="P264" i="16"/>
  <c r="F264" i="16"/>
  <c r="E264" i="16"/>
  <c r="D264" i="16"/>
  <c r="V263" i="16"/>
  <c r="W263" i="16" s="1"/>
  <c r="U263" i="16"/>
  <c r="T263" i="16"/>
  <c r="P263" i="16"/>
  <c r="F263" i="16"/>
  <c r="E263" i="16"/>
  <c r="D263" i="16"/>
  <c r="U262" i="16"/>
  <c r="T262" i="16"/>
  <c r="P262" i="16"/>
  <c r="F262" i="16"/>
  <c r="E262" i="16"/>
  <c r="D262" i="16"/>
  <c r="U261" i="16"/>
  <c r="T261" i="16"/>
  <c r="P261" i="16"/>
  <c r="F261" i="16"/>
  <c r="E261" i="16"/>
  <c r="D261" i="16"/>
  <c r="U260" i="16"/>
  <c r="V260" i="16" s="1"/>
  <c r="W260" i="16" s="1"/>
  <c r="T260" i="16"/>
  <c r="P260" i="16"/>
  <c r="F260" i="16"/>
  <c r="E260" i="16"/>
  <c r="D260" i="16"/>
  <c r="V259" i="16"/>
  <c r="U259" i="16"/>
  <c r="T259" i="16"/>
  <c r="P259" i="16"/>
  <c r="F259" i="16"/>
  <c r="E259" i="16"/>
  <c r="D259" i="16"/>
  <c r="U258" i="16"/>
  <c r="T258" i="16"/>
  <c r="P258" i="16"/>
  <c r="F258" i="16"/>
  <c r="E258" i="16"/>
  <c r="D258" i="16"/>
  <c r="W257" i="16"/>
  <c r="V257" i="16"/>
  <c r="U257" i="16"/>
  <c r="T257" i="16"/>
  <c r="P257" i="16"/>
  <c r="F257" i="16"/>
  <c r="E257" i="16"/>
  <c r="D257" i="16"/>
  <c r="U256" i="16"/>
  <c r="V256" i="16" s="1"/>
  <c r="T256" i="16"/>
  <c r="P256" i="16"/>
  <c r="F256" i="16"/>
  <c r="E256" i="16"/>
  <c r="D256" i="16"/>
  <c r="U255" i="16"/>
  <c r="T255" i="16"/>
  <c r="V255" i="16" s="1"/>
  <c r="P255" i="16"/>
  <c r="F255" i="16"/>
  <c r="E255" i="16"/>
  <c r="D255" i="16"/>
  <c r="U254" i="16"/>
  <c r="V254" i="16" s="1"/>
  <c r="W254" i="16" s="1"/>
  <c r="T254" i="16"/>
  <c r="P254" i="16"/>
  <c r="F254" i="16"/>
  <c r="E254" i="16"/>
  <c r="D254" i="16"/>
  <c r="U253" i="16"/>
  <c r="V253" i="16" s="1"/>
  <c r="T253" i="16"/>
  <c r="P253" i="16"/>
  <c r="F253" i="16"/>
  <c r="E253" i="16"/>
  <c r="D253" i="16"/>
  <c r="W252" i="16"/>
  <c r="V252" i="16"/>
  <c r="U252" i="16"/>
  <c r="T252" i="16"/>
  <c r="P252" i="16"/>
  <c r="F252" i="16"/>
  <c r="E252" i="16"/>
  <c r="D252" i="16"/>
  <c r="U251" i="16"/>
  <c r="V251" i="16" s="1"/>
  <c r="W251" i="16" s="1"/>
  <c r="T251" i="16"/>
  <c r="P251" i="16"/>
  <c r="F251" i="16"/>
  <c r="E251" i="16"/>
  <c r="D251" i="16"/>
  <c r="U250" i="16"/>
  <c r="T250" i="16"/>
  <c r="P250" i="16"/>
  <c r="F250" i="16"/>
  <c r="E250" i="16"/>
  <c r="D250" i="16"/>
  <c r="U249" i="16"/>
  <c r="V249" i="16" s="1"/>
  <c r="W249" i="16" s="1"/>
  <c r="T249" i="16"/>
  <c r="P249" i="16"/>
  <c r="F249" i="16"/>
  <c r="E249" i="16"/>
  <c r="D249" i="16"/>
  <c r="W248" i="16"/>
  <c r="U248" i="16"/>
  <c r="V248" i="16" s="1"/>
  <c r="T248" i="16"/>
  <c r="P248" i="16"/>
  <c r="F248" i="16"/>
  <c r="E248" i="16"/>
  <c r="D248" i="16"/>
  <c r="U247" i="16"/>
  <c r="T247" i="16"/>
  <c r="P247" i="16"/>
  <c r="F247" i="16"/>
  <c r="E247" i="16"/>
  <c r="D247" i="16"/>
  <c r="U246" i="16"/>
  <c r="V246" i="16" s="1"/>
  <c r="W246" i="16" s="1"/>
  <c r="T246" i="16"/>
  <c r="P246" i="16"/>
  <c r="F246" i="16"/>
  <c r="E246" i="16"/>
  <c r="D246" i="16"/>
  <c r="U245" i="16"/>
  <c r="V245" i="16" s="1"/>
  <c r="W245" i="16" s="1"/>
  <c r="T245" i="16"/>
  <c r="P245" i="16"/>
  <c r="F245" i="16"/>
  <c r="E245" i="16"/>
  <c r="D245" i="16"/>
  <c r="U244" i="16"/>
  <c r="V244" i="16" s="1"/>
  <c r="T244" i="16"/>
  <c r="P244" i="16"/>
  <c r="F244" i="16"/>
  <c r="E244" i="16"/>
  <c r="D244" i="16"/>
  <c r="W243" i="16"/>
  <c r="U243" i="16"/>
  <c r="V243" i="16" s="1"/>
  <c r="T243" i="16"/>
  <c r="P243" i="16"/>
  <c r="F243" i="16"/>
  <c r="E243" i="16"/>
  <c r="D243" i="16"/>
  <c r="U242" i="16"/>
  <c r="V242" i="16" s="1"/>
  <c r="W242" i="16" s="1"/>
  <c r="T242" i="16"/>
  <c r="P242" i="16"/>
  <c r="F242" i="16"/>
  <c r="E242" i="16"/>
  <c r="D242" i="16"/>
  <c r="U241" i="16"/>
  <c r="T241" i="16"/>
  <c r="P241" i="16"/>
  <c r="F241" i="16"/>
  <c r="E241" i="16"/>
  <c r="D241" i="16"/>
  <c r="U240" i="16"/>
  <c r="V240" i="16" s="1"/>
  <c r="W240" i="16" s="1"/>
  <c r="T240" i="16"/>
  <c r="P240" i="16"/>
  <c r="F240" i="16"/>
  <c r="E240" i="16"/>
  <c r="D240" i="16"/>
  <c r="W239" i="16"/>
  <c r="U239" i="16"/>
  <c r="V239" i="16" s="1"/>
  <c r="T239" i="16"/>
  <c r="P239" i="16"/>
  <c r="F239" i="16"/>
  <c r="E239" i="16"/>
  <c r="D239" i="16"/>
  <c r="U238" i="16"/>
  <c r="T238" i="16"/>
  <c r="P238" i="16"/>
  <c r="F238" i="16"/>
  <c r="E238" i="16"/>
  <c r="D238" i="16"/>
  <c r="U237" i="16"/>
  <c r="V237" i="16" s="1"/>
  <c r="W237" i="16" s="1"/>
  <c r="T237" i="16"/>
  <c r="P237" i="16"/>
  <c r="F237" i="16"/>
  <c r="E237" i="16"/>
  <c r="D237" i="16"/>
  <c r="U236" i="16"/>
  <c r="V236" i="16" s="1"/>
  <c r="W236" i="16" s="1"/>
  <c r="T236" i="16"/>
  <c r="P236" i="16"/>
  <c r="F236" i="16"/>
  <c r="E236" i="16"/>
  <c r="D236" i="16"/>
  <c r="U235" i="16"/>
  <c r="V235" i="16" s="1"/>
  <c r="T235" i="16"/>
  <c r="P235" i="16"/>
  <c r="F235" i="16"/>
  <c r="E235" i="16"/>
  <c r="D235" i="16"/>
  <c r="W234" i="16"/>
  <c r="U234" i="16"/>
  <c r="V234" i="16" s="1"/>
  <c r="T234" i="16"/>
  <c r="P234" i="16"/>
  <c r="F234" i="16"/>
  <c r="E234" i="16"/>
  <c r="D234" i="16"/>
  <c r="U233" i="16"/>
  <c r="V233" i="16" s="1"/>
  <c r="W233" i="16" s="1"/>
  <c r="T233" i="16"/>
  <c r="P233" i="16"/>
  <c r="F233" i="16"/>
  <c r="E233" i="16"/>
  <c r="D233" i="16"/>
  <c r="U232" i="16"/>
  <c r="T232" i="16"/>
  <c r="P232" i="16"/>
  <c r="F232" i="16"/>
  <c r="E232" i="16"/>
  <c r="D232" i="16"/>
  <c r="U231" i="16"/>
  <c r="V231" i="16" s="1"/>
  <c r="W231" i="16" s="1"/>
  <c r="T231" i="16"/>
  <c r="P231" i="16"/>
  <c r="F231" i="16"/>
  <c r="E231" i="16"/>
  <c r="D231" i="16"/>
  <c r="W230" i="16"/>
  <c r="U230" i="16"/>
  <c r="V230" i="16" s="1"/>
  <c r="T230" i="16"/>
  <c r="P230" i="16"/>
  <c r="F230" i="16"/>
  <c r="E230" i="16"/>
  <c r="D230" i="16"/>
  <c r="U229" i="16"/>
  <c r="T229" i="16"/>
  <c r="P229" i="16"/>
  <c r="F229" i="16"/>
  <c r="E229" i="16"/>
  <c r="D229" i="16"/>
  <c r="U228" i="16"/>
  <c r="V228" i="16" s="1"/>
  <c r="W228" i="16" s="1"/>
  <c r="T228" i="16"/>
  <c r="P228" i="16"/>
  <c r="F228" i="16"/>
  <c r="E228" i="16"/>
  <c r="D228" i="16"/>
  <c r="U227" i="16"/>
  <c r="V227" i="16" s="1"/>
  <c r="W227" i="16" s="1"/>
  <c r="T227" i="16"/>
  <c r="P227" i="16"/>
  <c r="F227" i="16"/>
  <c r="E227" i="16"/>
  <c r="D227" i="16"/>
  <c r="U226" i="16"/>
  <c r="V226" i="16" s="1"/>
  <c r="T226" i="16"/>
  <c r="P226" i="16"/>
  <c r="F226" i="16"/>
  <c r="E226" i="16"/>
  <c r="D226" i="16"/>
  <c r="W225" i="16"/>
  <c r="U225" i="16"/>
  <c r="V225" i="16" s="1"/>
  <c r="T225" i="16"/>
  <c r="P225" i="16"/>
  <c r="F225" i="16"/>
  <c r="E225" i="16"/>
  <c r="D225" i="16"/>
  <c r="U224" i="16"/>
  <c r="V224" i="16" s="1"/>
  <c r="W224" i="16" s="1"/>
  <c r="T224" i="16"/>
  <c r="P224" i="16"/>
  <c r="F224" i="16"/>
  <c r="E224" i="16"/>
  <c r="D224" i="16"/>
  <c r="U223" i="16"/>
  <c r="T223" i="16"/>
  <c r="P223" i="16"/>
  <c r="F223" i="16"/>
  <c r="E223" i="16"/>
  <c r="D223" i="16"/>
  <c r="U222" i="16"/>
  <c r="V222" i="16" s="1"/>
  <c r="W222" i="16" s="1"/>
  <c r="T222" i="16"/>
  <c r="P222" i="16"/>
  <c r="F222" i="16"/>
  <c r="E222" i="16"/>
  <c r="D222" i="16"/>
  <c r="W221" i="16"/>
  <c r="U221" i="16"/>
  <c r="V221" i="16" s="1"/>
  <c r="T221" i="16"/>
  <c r="P221" i="16"/>
  <c r="F221" i="16"/>
  <c r="E221" i="16"/>
  <c r="D221" i="16"/>
  <c r="U220" i="16"/>
  <c r="T220" i="16"/>
  <c r="P220" i="16"/>
  <c r="F220" i="16"/>
  <c r="E220" i="16"/>
  <c r="D220" i="16"/>
  <c r="U219" i="16"/>
  <c r="V219" i="16" s="1"/>
  <c r="W219" i="16" s="1"/>
  <c r="T219" i="16"/>
  <c r="P219" i="16"/>
  <c r="F219" i="16"/>
  <c r="E219" i="16"/>
  <c r="D219" i="16"/>
  <c r="U218" i="16"/>
  <c r="V218" i="16" s="1"/>
  <c r="W218" i="16" s="1"/>
  <c r="T218" i="16"/>
  <c r="P218" i="16"/>
  <c r="F218" i="16"/>
  <c r="E218" i="16"/>
  <c r="D218" i="16"/>
  <c r="U217" i="16"/>
  <c r="V217" i="16" s="1"/>
  <c r="T217" i="16"/>
  <c r="P217" i="16"/>
  <c r="F217" i="16"/>
  <c r="E217" i="16"/>
  <c r="D217" i="16"/>
  <c r="W216" i="16"/>
  <c r="U216" i="16"/>
  <c r="V216" i="16" s="1"/>
  <c r="T216" i="16"/>
  <c r="P216" i="16"/>
  <c r="F216" i="16"/>
  <c r="E216" i="16"/>
  <c r="D216" i="16"/>
  <c r="U215" i="16"/>
  <c r="V215" i="16" s="1"/>
  <c r="W215" i="16" s="1"/>
  <c r="T215" i="16"/>
  <c r="P215" i="16"/>
  <c r="F215" i="16"/>
  <c r="E215" i="16"/>
  <c r="D215" i="16"/>
  <c r="U214" i="16"/>
  <c r="T214" i="16"/>
  <c r="P214" i="16"/>
  <c r="F214" i="16"/>
  <c r="E214" i="16"/>
  <c r="D214" i="16"/>
  <c r="U213" i="16"/>
  <c r="V213" i="16" s="1"/>
  <c r="W213" i="16" s="1"/>
  <c r="T213" i="16"/>
  <c r="P213" i="16"/>
  <c r="F213" i="16"/>
  <c r="E213" i="16"/>
  <c r="D213" i="16"/>
  <c r="W212" i="16"/>
  <c r="U212" i="16"/>
  <c r="V212" i="16" s="1"/>
  <c r="T212" i="16"/>
  <c r="P212" i="16"/>
  <c r="F212" i="16"/>
  <c r="E212" i="16"/>
  <c r="D212" i="16"/>
  <c r="U211" i="16"/>
  <c r="T211" i="16"/>
  <c r="P211" i="16"/>
  <c r="F211" i="16"/>
  <c r="E211" i="16"/>
  <c r="D211" i="16"/>
  <c r="U210" i="16"/>
  <c r="V210" i="16" s="1"/>
  <c r="W210" i="16" s="1"/>
  <c r="T210" i="16"/>
  <c r="P210" i="16"/>
  <c r="F210" i="16"/>
  <c r="E210" i="16"/>
  <c r="D210" i="16"/>
  <c r="U209" i="16"/>
  <c r="V209" i="16" s="1"/>
  <c r="W209" i="16" s="1"/>
  <c r="T209" i="16"/>
  <c r="P209" i="16"/>
  <c r="F209" i="16"/>
  <c r="E209" i="16"/>
  <c r="D209" i="16"/>
  <c r="V208" i="16"/>
  <c r="U208" i="16"/>
  <c r="T208" i="16"/>
  <c r="P208" i="16"/>
  <c r="F208" i="16"/>
  <c r="E208" i="16"/>
  <c r="D208" i="16"/>
  <c r="U207" i="16"/>
  <c r="V207" i="16" s="1"/>
  <c r="W207" i="16" s="1"/>
  <c r="T207" i="16"/>
  <c r="P207" i="16"/>
  <c r="F207" i="16"/>
  <c r="E207" i="16"/>
  <c r="D207" i="16"/>
  <c r="U206" i="16"/>
  <c r="V206" i="16" s="1"/>
  <c r="W206" i="16" s="1"/>
  <c r="T206" i="16"/>
  <c r="P206" i="16"/>
  <c r="F206" i="16"/>
  <c r="E206" i="16"/>
  <c r="D206" i="16"/>
  <c r="U205" i="16"/>
  <c r="T205" i="16"/>
  <c r="V205" i="16" s="1"/>
  <c r="P205" i="16"/>
  <c r="F205" i="16"/>
  <c r="E205" i="16"/>
  <c r="D205" i="16"/>
  <c r="U204" i="16"/>
  <c r="V204" i="16" s="1"/>
  <c r="W204" i="16" s="1"/>
  <c r="T204" i="16"/>
  <c r="P204" i="16"/>
  <c r="F204" i="16"/>
  <c r="E204" i="16"/>
  <c r="D204" i="16"/>
  <c r="W203" i="16"/>
  <c r="U203" i="16"/>
  <c r="V203" i="16" s="1"/>
  <c r="T203" i="16"/>
  <c r="P203" i="16"/>
  <c r="F203" i="16"/>
  <c r="E203" i="16"/>
  <c r="D203" i="16"/>
  <c r="U202" i="16"/>
  <c r="T202" i="16"/>
  <c r="P202" i="16"/>
  <c r="F202" i="16"/>
  <c r="E202" i="16"/>
  <c r="D202" i="16"/>
  <c r="U201" i="16"/>
  <c r="V201" i="16" s="1"/>
  <c r="W201" i="16" s="1"/>
  <c r="T201" i="16"/>
  <c r="P201" i="16"/>
  <c r="F201" i="16"/>
  <c r="E201" i="16"/>
  <c r="D201" i="16"/>
  <c r="U200" i="16"/>
  <c r="V200" i="16" s="1"/>
  <c r="W200" i="16" s="1"/>
  <c r="T200" i="16"/>
  <c r="P200" i="16"/>
  <c r="F200" i="16"/>
  <c r="E200" i="16"/>
  <c r="D200" i="16"/>
  <c r="V199" i="16"/>
  <c r="U199" i="16"/>
  <c r="T199" i="16"/>
  <c r="P199" i="16"/>
  <c r="F199" i="16"/>
  <c r="E199" i="16"/>
  <c r="D199" i="16"/>
  <c r="U198" i="16"/>
  <c r="V198" i="16" s="1"/>
  <c r="W198" i="16" s="1"/>
  <c r="T198" i="16"/>
  <c r="P198" i="16"/>
  <c r="F198" i="16"/>
  <c r="E198" i="16"/>
  <c r="D198" i="16"/>
  <c r="U197" i="16"/>
  <c r="V197" i="16" s="1"/>
  <c r="W197" i="16" s="1"/>
  <c r="T197" i="16"/>
  <c r="P197" i="16"/>
  <c r="F197" i="16"/>
  <c r="E197" i="16"/>
  <c r="D197" i="16"/>
  <c r="U196" i="16"/>
  <c r="T196" i="16"/>
  <c r="P196" i="16"/>
  <c r="F196" i="16"/>
  <c r="E196" i="16"/>
  <c r="D196" i="16"/>
  <c r="U195" i="16"/>
  <c r="V195" i="16" s="1"/>
  <c r="W195" i="16" s="1"/>
  <c r="T195" i="16"/>
  <c r="P195" i="16"/>
  <c r="F195" i="16"/>
  <c r="E195" i="16"/>
  <c r="D195" i="16"/>
  <c r="W194" i="16"/>
  <c r="U194" i="16"/>
  <c r="V194" i="16" s="1"/>
  <c r="T194" i="16"/>
  <c r="P194" i="16"/>
  <c r="F194" i="16"/>
  <c r="E194" i="16"/>
  <c r="D194" i="16"/>
  <c r="U193" i="16"/>
  <c r="T193" i="16"/>
  <c r="P193" i="16"/>
  <c r="F193" i="16"/>
  <c r="E193" i="16"/>
  <c r="D193" i="16"/>
  <c r="W192" i="16"/>
  <c r="V192" i="16"/>
  <c r="U192" i="16"/>
  <c r="T192" i="16"/>
  <c r="P192" i="16"/>
  <c r="F192" i="16"/>
  <c r="E192" i="16"/>
  <c r="D192" i="16"/>
  <c r="U191" i="16"/>
  <c r="V191" i="16" s="1"/>
  <c r="W191" i="16" s="1"/>
  <c r="T191" i="16"/>
  <c r="P191" i="16"/>
  <c r="F191" i="16"/>
  <c r="E191" i="16"/>
  <c r="D191" i="16"/>
  <c r="U190" i="16"/>
  <c r="V190" i="16" s="1"/>
  <c r="T190" i="16"/>
  <c r="P190" i="16"/>
  <c r="F190" i="16"/>
  <c r="E190" i="16"/>
  <c r="D190" i="16"/>
  <c r="U189" i="16"/>
  <c r="V189" i="16" s="1"/>
  <c r="W189" i="16" s="1"/>
  <c r="T189" i="16"/>
  <c r="P189" i="16"/>
  <c r="F189" i="16"/>
  <c r="E189" i="16"/>
  <c r="D189" i="16"/>
  <c r="U188" i="16"/>
  <c r="V188" i="16" s="1"/>
  <c r="W188" i="16" s="1"/>
  <c r="T188" i="16"/>
  <c r="P188" i="16"/>
  <c r="F188" i="16"/>
  <c r="E188" i="16"/>
  <c r="D188" i="16"/>
  <c r="U187" i="16"/>
  <c r="T187" i="16"/>
  <c r="P187" i="16"/>
  <c r="F187" i="16"/>
  <c r="E187" i="16"/>
  <c r="D187" i="16"/>
  <c r="U186" i="16"/>
  <c r="V186" i="16" s="1"/>
  <c r="W186" i="16" s="1"/>
  <c r="T186" i="16"/>
  <c r="P186" i="16"/>
  <c r="F186" i="16"/>
  <c r="E186" i="16"/>
  <c r="D186" i="16"/>
  <c r="W185" i="16"/>
  <c r="U185" i="16"/>
  <c r="V185" i="16" s="1"/>
  <c r="T185" i="16"/>
  <c r="P185" i="16"/>
  <c r="F185" i="16"/>
  <c r="E185" i="16"/>
  <c r="D185" i="16"/>
  <c r="U184" i="16"/>
  <c r="T184" i="16"/>
  <c r="P184" i="16"/>
  <c r="F184" i="16"/>
  <c r="E184" i="16"/>
  <c r="D184" i="16"/>
  <c r="U183" i="16"/>
  <c r="V183" i="16" s="1"/>
  <c r="W183" i="16" s="1"/>
  <c r="T183" i="16"/>
  <c r="P183" i="16"/>
  <c r="F183" i="16"/>
  <c r="E183" i="16"/>
  <c r="D183" i="16"/>
  <c r="U182" i="16"/>
  <c r="V182" i="16" s="1"/>
  <c r="W182" i="16" s="1"/>
  <c r="T182" i="16"/>
  <c r="P182" i="16"/>
  <c r="F182" i="16"/>
  <c r="E182" i="16"/>
  <c r="D182" i="16"/>
  <c r="U181" i="16"/>
  <c r="V181" i="16" s="1"/>
  <c r="T181" i="16"/>
  <c r="P181" i="16"/>
  <c r="F181" i="16"/>
  <c r="E181" i="16"/>
  <c r="D181" i="16"/>
  <c r="U180" i="16"/>
  <c r="V180" i="16" s="1"/>
  <c r="W180" i="16" s="1"/>
  <c r="T180" i="16"/>
  <c r="P180" i="16"/>
  <c r="F180" i="16"/>
  <c r="E180" i="16"/>
  <c r="D180" i="16"/>
  <c r="U179" i="16"/>
  <c r="V179" i="16" s="1"/>
  <c r="W179" i="16" s="1"/>
  <c r="T179" i="16"/>
  <c r="P179" i="16"/>
  <c r="F179" i="16"/>
  <c r="E179" i="16"/>
  <c r="D179" i="16"/>
  <c r="U178" i="16"/>
  <c r="T178" i="16"/>
  <c r="P178" i="16"/>
  <c r="F178" i="16"/>
  <c r="E178" i="16"/>
  <c r="D178" i="16"/>
  <c r="V177" i="16"/>
  <c r="W177" i="16" s="1"/>
  <c r="U177" i="16"/>
  <c r="T177" i="16"/>
  <c r="P177" i="16"/>
  <c r="F177" i="16"/>
  <c r="E177" i="16"/>
  <c r="D177" i="16"/>
  <c r="W176" i="16"/>
  <c r="U176" i="16"/>
  <c r="V176" i="16" s="1"/>
  <c r="T176" i="16"/>
  <c r="P176" i="16"/>
  <c r="F176" i="16"/>
  <c r="E176" i="16"/>
  <c r="D176" i="16"/>
  <c r="U175" i="16"/>
  <c r="T175" i="16"/>
  <c r="P175" i="16"/>
  <c r="F175" i="16"/>
  <c r="E175" i="16"/>
  <c r="D175" i="16"/>
  <c r="U174" i="16"/>
  <c r="V174" i="16" s="1"/>
  <c r="W174" i="16" s="1"/>
  <c r="T174" i="16"/>
  <c r="P174" i="16"/>
  <c r="F174" i="16"/>
  <c r="E174" i="16"/>
  <c r="D174" i="16"/>
  <c r="U173" i="16"/>
  <c r="V173" i="16" s="1"/>
  <c r="W173" i="16" s="1"/>
  <c r="T173" i="16"/>
  <c r="P173" i="16"/>
  <c r="F173" i="16"/>
  <c r="E173" i="16"/>
  <c r="D173" i="16"/>
  <c r="U172" i="16"/>
  <c r="V172" i="16" s="1"/>
  <c r="T172" i="16"/>
  <c r="P172" i="16"/>
  <c r="F172" i="16"/>
  <c r="E172" i="16"/>
  <c r="D172" i="16"/>
  <c r="U171" i="16"/>
  <c r="V171" i="16" s="1"/>
  <c r="W171" i="16" s="1"/>
  <c r="T171" i="16"/>
  <c r="P171" i="16"/>
  <c r="F171" i="16"/>
  <c r="E171" i="16"/>
  <c r="D171" i="16"/>
  <c r="U170" i="16"/>
  <c r="V170" i="16" s="1"/>
  <c r="W170" i="16" s="1"/>
  <c r="T170" i="16"/>
  <c r="P170" i="16"/>
  <c r="F170" i="16"/>
  <c r="E170" i="16"/>
  <c r="D170" i="16"/>
  <c r="V169" i="16"/>
  <c r="U169" i="16"/>
  <c r="T169" i="16"/>
  <c r="P169" i="16"/>
  <c r="F169" i="16"/>
  <c r="E169" i="16"/>
  <c r="D169" i="16"/>
  <c r="U168" i="16"/>
  <c r="V168" i="16" s="1"/>
  <c r="W168" i="16" s="1"/>
  <c r="T168" i="16"/>
  <c r="P168" i="16"/>
  <c r="F168" i="16"/>
  <c r="E168" i="16"/>
  <c r="D168" i="16"/>
  <c r="W167" i="16"/>
  <c r="U167" i="16"/>
  <c r="V167" i="16" s="1"/>
  <c r="T167" i="16"/>
  <c r="P167" i="16"/>
  <c r="F167" i="16"/>
  <c r="E167" i="16"/>
  <c r="D167" i="16"/>
  <c r="U166" i="16"/>
  <c r="T166" i="16"/>
  <c r="P166" i="16"/>
  <c r="F166" i="16"/>
  <c r="E166" i="16"/>
  <c r="D166" i="16"/>
  <c r="U165" i="16"/>
  <c r="V165" i="16" s="1"/>
  <c r="W165" i="16" s="1"/>
  <c r="T165" i="16"/>
  <c r="P165" i="16"/>
  <c r="F165" i="16"/>
  <c r="E165" i="16"/>
  <c r="D165" i="16"/>
  <c r="U164" i="16"/>
  <c r="V164" i="16" s="1"/>
  <c r="W164" i="16" s="1"/>
  <c r="T164" i="16"/>
  <c r="P164" i="16"/>
  <c r="F164" i="16"/>
  <c r="E164" i="16"/>
  <c r="D164" i="16"/>
  <c r="U163" i="16"/>
  <c r="V163" i="16" s="1"/>
  <c r="T163" i="16"/>
  <c r="P163" i="16"/>
  <c r="F163" i="16"/>
  <c r="E163" i="16"/>
  <c r="D163" i="16"/>
  <c r="U162" i="16"/>
  <c r="V162" i="16" s="1"/>
  <c r="W162" i="16" s="1"/>
  <c r="T162" i="16"/>
  <c r="P162" i="16"/>
  <c r="F162" i="16"/>
  <c r="E162" i="16"/>
  <c r="D162" i="16"/>
  <c r="W161" i="16"/>
  <c r="U161" i="16"/>
  <c r="V161" i="16" s="1"/>
  <c r="T161" i="16"/>
  <c r="P161" i="16"/>
  <c r="F161" i="16"/>
  <c r="E161" i="16"/>
  <c r="D161" i="16"/>
  <c r="U160" i="16"/>
  <c r="T160" i="16"/>
  <c r="P160" i="16"/>
  <c r="F160" i="16"/>
  <c r="E160" i="16"/>
  <c r="D160" i="16"/>
  <c r="U159" i="16"/>
  <c r="V159" i="16" s="1"/>
  <c r="W159" i="16" s="1"/>
  <c r="T159" i="16"/>
  <c r="P159" i="16"/>
  <c r="F159" i="16"/>
  <c r="E159" i="16"/>
  <c r="D159" i="16"/>
  <c r="W158" i="16"/>
  <c r="U158" i="16"/>
  <c r="V158" i="16" s="1"/>
  <c r="T158" i="16"/>
  <c r="P158" i="16"/>
  <c r="F158" i="16"/>
  <c r="E158" i="16"/>
  <c r="D158" i="16"/>
  <c r="U157" i="16"/>
  <c r="T157" i="16"/>
  <c r="P157" i="16"/>
  <c r="F157" i="16"/>
  <c r="E157" i="16"/>
  <c r="D157" i="16"/>
  <c r="U156" i="16"/>
  <c r="V156" i="16" s="1"/>
  <c r="W156" i="16" s="1"/>
  <c r="T156" i="16"/>
  <c r="P156" i="16"/>
  <c r="F156" i="16"/>
  <c r="E156" i="16"/>
  <c r="D156" i="16"/>
  <c r="U155" i="16"/>
  <c r="V155" i="16" s="1"/>
  <c r="W155" i="16" s="1"/>
  <c r="T155" i="16"/>
  <c r="P155" i="16"/>
  <c r="F155" i="16"/>
  <c r="E155" i="16"/>
  <c r="D155" i="16"/>
  <c r="V154" i="16"/>
  <c r="U154" i="16"/>
  <c r="T154" i="16"/>
  <c r="P154" i="16"/>
  <c r="F154" i="16"/>
  <c r="E154" i="16"/>
  <c r="D154" i="16"/>
  <c r="W153" i="16"/>
  <c r="U153" i="16"/>
  <c r="V153" i="16" s="1"/>
  <c r="T153" i="16"/>
  <c r="P153" i="16"/>
  <c r="F153" i="16"/>
  <c r="E153" i="16"/>
  <c r="D153" i="16"/>
  <c r="U152" i="16"/>
  <c r="V152" i="16" s="1"/>
  <c r="W152" i="16" s="1"/>
  <c r="T152" i="16"/>
  <c r="P152" i="16"/>
  <c r="F152" i="16"/>
  <c r="E152" i="16"/>
  <c r="D152" i="16"/>
  <c r="U151" i="16"/>
  <c r="T151" i="16"/>
  <c r="P151" i="16"/>
  <c r="F151" i="16"/>
  <c r="E151" i="16"/>
  <c r="D151" i="16"/>
  <c r="U150" i="16"/>
  <c r="V150" i="16" s="1"/>
  <c r="W150" i="16" s="1"/>
  <c r="T150" i="16"/>
  <c r="P150" i="16"/>
  <c r="F150" i="16"/>
  <c r="E150" i="16"/>
  <c r="D150" i="16"/>
  <c r="W149" i="16"/>
  <c r="U149" i="16"/>
  <c r="V149" i="16" s="1"/>
  <c r="T149" i="16"/>
  <c r="P149" i="16"/>
  <c r="F149" i="16"/>
  <c r="E149" i="16"/>
  <c r="D149" i="16"/>
  <c r="U148" i="16"/>
  <c r="T148" i="16"/>
  <c r="P148" i="16"/>
  <c r="F148" i="16"/>
  <c r="E148" i="16"/>
  <c r="D148" i="16"/>
  <c r="U147" i="16"/>
  <c r="V147" i="16" s="1"/>
  <c r="W147" i="16" s="1"/>
  <c r="T147" i="16"/>
  <c r="P147" i="16"/>
  <c r="F147" i="16"/>
  <c r="E147" i="16"/>
  <c r="D147" i="16"/>
  <c r="U146" i="16"/>
  <c r="V146" i="16" s="1"/>
  <c r="W146" i="16" s="1"/>
  <c r="T146" i="16"/>
  <c r="P146" i="16"/>
  <c r="F146" i="16"/>
  <c r="E146" i="16"/>
  <c r="D146" i="16"/>
  <c r="V145" i="16"/>
  <c r="U145" i="16"/>
  <c r="T145" i="16"/>
  <c r="P145" i="16"/>
  <c r="F145" i="16"/>
  <c r="E145" i="16"/>
  <c r="D145" i="16"/>
  <c r="W144" i="16"/>
  <c r="U144" i="16"/>
  <c r="V144" i="16" s="1"/>
  <c r="T144" i="16"/>
  <c r="P144" i="16"/>
  <c r="F144" i="16"/>
  <c r="E144" i="16"/>
  <c r="D144" i="16"/>
  <c r="U143" i="16"/>
  <c r="V143" i="16" s="1"/>
  <c r="W143" i="16" s="1"/>
  <c r="T143" i="16"/>
  <c r="P143" i="16"/>
  <c r="F143" i="16"/>
  <c r="E143" i="16"/>
  <c r="D143" i="16"/>
  <c r="U142" i="16"/>
  <c r="T142" i="16"/>
  <c r="P142" i="16"/>
  <c r="F142" i="16"/>
  <c r="E142" i="16"/>
  <c r="D142" i="16"/>
  <c r="U141" i="16"/>
  <c r="V141" i="16" s="1"/>
  <c r="W141" i="16" s="1"/>
  <c r="T141" i="16"/>
  <c r="P141" i="16"/>
  <c r="F141" i="16"/>
  <c r="E141" i="16"/>
  <c r="D141" i="16"/>
  <c r="W140" i="16"/>
  <c r="U140" i="16"/>
  <c r="V140" i="16" s="1"/>
  <c r="T140" i="16"/>
  <c r="P140" i="16"/>
  <c r="F140" i="16"/>
  <c r="E140" i="16"/>
  <c r="D140" i="16"/>
  <c r="U139" i="16"/>
  <c r="T139" i="16"/>
  <c r="P139" i="16"/>
  <c r="F139" i="16"/>
  <c r="E139" i="16"/>
  <c r="D139" i="16"/>
  <c r="U138" i="16"/>
  <c r="V138" i="16" s="1"/>
  <c r="W138" i="16" s="1"/>
  <c r="T138" i="16"/>
  <c r="P138" i="16"/>
  <c r="F138" i="16"/>
  <c r="E138" i="16"/>
  <c r="D138" i="16"/>
  <c r="U137" i="16"/>
  <c r="V137" i="16" s="1"/>
  <c r="W137" i="16" s="1"/>
  <c r="T137" i="16"/>
  <c r="P137" i="16"/>
  <c r="F137" i="16"/>
  <c r="E137" i="16"/>
  <c r="D137" i="16"/>
  <c r="U136" i="16"/>
  <c r="T136" i="16"/>
  <c r="V136" i="16" s="1"/>
  <c r="W136" i="16" s="1"/>
  <c r="P136" i="16"/>
  <c r="F136" i="16"/>
  <c r="E136" i="16"/>
  <c r="D136" i="16"/>
  <c r="U135" i="16"/>
  <c r="V135" i="16" s="1"/>
  <c r="W135" i="16" s="1"/>
  <c r="T135" i="16"/>
  <c r="P135" i="16"/>
  <c r="F135" i="16"/>
  <c r="E135" i="16"/>
  <c r="D135" i="16"/>
  <c r="U134" i="16"/>
  <c r="V134" i="16" s="1"/>
  <c r="W134" i="16" s="1"/>
  <c r="T134" i="16"/>
  <c r="P134" i="16"/>
  <c r="F134" i="16"/>
  <c r="E134" i="16"/>
  <c r="D134" i="16"/>
  <c r="W133" i="16"/>
  <c r="V133" i="16"/>
  <c r="U133" i="16"/>
  <c r="T133" i="16"/>
  <c r="P133" i="16"/>
  <c r="F133" i="16"/>
  <c r="E133" i="16"/>
  <c r="D133" i="16"/>
  <c r="U132" i="16"/>
  <c r="V132" i="16" s="1"/>
  <c r="W132" i="16" s="1"/>
  <c r="T132" i="16"/>
  <c r="P132" i="16"/>
  <c r="F132" i="16"/>
  <c r="E132" i="16"/>
  <c r="D132" i="16"/>
  <c r="U131" i="16"/>
  <c r="V131" i="16" s="1"/>
  <c r="W131" i="16" s="1"/>
  <c r="T131" i="16"/>
  <c r="P131" i="16"/>
  <c r="F131" i="16"/>
  <c r="E131" i="16"/>
  <c r="D131" i="16"/>
  <c r="U130" i="16"/>
  <c r="V130" i="16" s="1"/>
  <c r="W130" i="16" s="1"/>
  <c r="T130" i="16"/>
  <c r="P130" i="16"/>
  <c r="F130" i="16"/>
  <c r="E130" i="16"/>
  <c r="D130" i="16"/>
  <c r="U129" i="16"/>
  <c r="V129" i="16" s="1"/>
  <c r="W129" i="16" s="1"/>
  <c r="T129" i="16"/>
  <c r="P129" i="16"/>
  <c r="F129" i="16"/>
  <c r="E129" i="16"/>
  <c r="D129" i="16"/>
  <c r="U128" i="16"/>
  <c r="V128" i="16" s="1"/>
  <c r="W128" i="16" s="1"/>
  <c r="T128" i="16"/>
  <c r="P128" i="16"/>
  <c r="F128" i="16"/>
  <c r="E128" i="16"/>
  <c r="D128" i="16"/>
  <c r="U127" i="16"/>
  <c r="T127" i="16"/>
  <c r="V127" i="16" s="1"/>
  <c r="W127" i="16" s="1"/>
  <c r="P127" i="16"/>
  <c r="F127" i="16"/>
  <c r="E127" i="16"/>
  <c r="D127" i="16"/>
  <c r="V126" i="16"/>
  <c r="W126" i="16" s="1"/>
  <c r="U126" i="16"/>
  <c r="T126" i="16"/>
  <c r="P126" i="16"/>
  <c r="F126" i="16"/>
  <c r="E126" i="16"/>
  <c r="D126" i="16"/>
  <c r="U125" i="16"/>
  <c r="V125" i="16" s="1"/>
  <c r="W125" i="16" s="1"/>
  <c r="T125" i="16"/>
  <c r="P125" i="16"/>
  <c r="F125" i="16"/>
  <c r="E125" i="16"/>
  <c r="D125" i="16"/>
  <c r="U124" i="16"/>
  <c r="V124" i="16" s="1"/>
  <c r="W124" i="16" s="1"/>
  <c r="T124" i="16"/>
  <c r="P124" i="16"/>
  <c r="F124" i="16"/>
  <c r="E124" i="16"/>
  <c r="D124" i="16"/>
  <c r="V123" i="16"/>
  <c r="W123" i="16" s="1"/>
  <c r="U123" i="16"/>
  <c r="T123" i="16"/>
  <c r="P123" i="16"/>
  <c r="F123" i="16"/>
  <c r="E123" i="16"/>
  <c r="D123" i="16"/>
  <c r="W122" i="16"/>
  <c r="U122" i="16"/>
  <c r="V122" i="16" s="1"/>
  <c r="T122" i="16"/>
  <c r="P122" i="16"/>
  <c r="F122" i="16"/>
  <c r="E122" i="16"/>
  <c r="D122" i="16"/>
  <c r="U121" i="16"/>
  <c r="T121" i="16"/>
  <c r="V121" i="16" s="1"/>
  <c r="P121" i="16"/>
  <c r="F121" i="16"/>
  <c r="E121" i="16"/>
  <c r="D121" i="16"/>
  <c r="U120" i="16"/>
  <c r="V120" i="16" s="1"/>
  <c r="W120" i="16" s="1"/>
  <c r="T120" i="16"/>
  <c r="P120" i="16"/>
  <c r="F120" i="16"/>
  <c r="E120" i="16"/>
  <c r="D120" i="16"/>
  <c r="U119" i="16"/>
  <c r="V119" i="16" s="1"/>
  <c r="W119" i="16" s="1"/>
  <c r="T119" i="16"/>
  <c r="P119" i="16"/>
  <c r="F119" i="16"/>
  <c r="E119" i="16"/>
  <c r="D119" i="16"/>
  <c r="U118" i="16"/>
  <c r="T118" i="16"/>
  <c r="V118" i="16" s="1"/>
  <c r="P118" i="16"/>
  <c r="F118" i="16"/>
  <c r="E118" i="16"/>
  <c r="D118" i="16"/>
  <c r="U117" i="16"/>
  <c r="V117" i="16" s="1"/>
  <c r="W117" i="16" s="1"/>
  <c r="T117" i="16"/>
  <c r="P117" i="16"/>
  <c r="F117" i="16"/>
  <c r="E117" i="16"/>
  <c r="D117" i="16"/>
  <c r="U116" i="16"/>
  <c r="V116" i="16" s="1"/>
  <c r="W116" i="16" s="1"/>
  <c r="T116" i="16"/>
  <c r="P116" i="16"/>
  <c r="F116" i="16"/>
  <c r="E116" i="16"/>
  <c r="D116" i="16"/>
  <c r="U115" i="16"/>
  <c r="T115" i="16"/>
  <c r="V115" i="16" s="1"/>
  <c r="W115" i="16" s="1"/>
  <c r="P115" i="16"/>
  <c r="F115" i="16"/>
  <c r="E115" i="16"/>
  <c r="D115" i="16"/>
  <c r="U114" i="16"/>
  <c r="V114" i="16" s="1"/>
  <c r="W114" i="16" s="1"/>
  <c r="T114" i="16"/>
  <c r="P114" i="16"/>
  <c r="F114" i="16"/>
  <c r="E114" i="16"/>
  <c r="D114" i="16"/>
  <c r="U113" i="16"/>
  <c r="V113" i="16" s="1"/>
  <c r="W113" i="16" s="1"/>
  <c r="T113" i="16"/>
  <c r="P113" i="16"/>
  <c r="F113" i="16"/>
  <c r="E113" i="16"/>
  <c r="D113" i="16"/>
  <c r="U112" i="16"/>
  <c r="V112" i="16" s="1"/>
  <c r="W112" i="16" s="1"/>
  <c r="T112" i="16"/>
  <c r="P112" i="16"/>
  <c r="F112" i="16"/>
  <c r="E112" i="16"/>
  <c r="D112" i="16"/>
  <c r="U111" i="16"/>
  <c r="V111" i="16" s="1"/>
  <c r="W111" i="16" s="1"/>
  <c r="T111" i="16"/>
  <c r="P111" i="16"/>
  <c r="F111" i="16"/>
  <c r="E111" i="16"/>
  <c r="D111" i="16"/>
  <c r="U110" i="16"/>
  <c r="V110" i="16" s="1"/>
  <c r="W110" i="16" s="1"/>
  <c r="T110" i="16"/>
  <c r="P110" i="16"/>
  <c r="F110" i="16"/>
  <c r="E110" i="16"/>
  <c r="D110" i="16"/>
  <c r="U109" i="16"/>
  <c r="T109" i="16"/>
  <c r="P109" i="16"/>
  <c r="F109" i="16"/>
  <c r="E109" i="16"/>
  <c r="D109" i="16"/>
  <c r="W108" i="16"/>
  <c r="V108" i="16"/>
  <c r="U108" i="16"/>
  <c r="T108" i="16"/>
  <c r="P108" i="16"/>
  <c r="F108" i="16"/>
  <c r="E108" i="16"/>
  <c r="D108" i="16"/>
  <c r="U107" i="16"/>
  <c r="V107" i="16" s="1"/>
  <c r="W107" i="16" s="1"/>
  <c r="T107" i="16"/>
  <c r="P107" i="16"/>
  <c r="F107" i="16"/>
  <c r="E107" i="16"/>
  <c r="D107" i="16"/>
  <c r="U106" i="16"/>
  <c r="T106" i="16"/>
  <c r="P106" i="16"/>
  <c r="F106" i="16"/>
  <c r="E106" i="16"/>
  <c r="D106" i="16"/>
  <c r="U105" i="16"/>
  <c r="V105" i="16" s="1"/>
  <c r="W105" i="16" s="1"/>
  <c r="T105" i="16"/>
  <c r="P105" i="16"/>
  <c r="F105" i="16"/>
  <c r="E105" i="16"/>
  <c r="D105" i="16"/>
  <c r="W104" i="16"/>
  <c r="U104" i="16"/>
  <c r="V104" i="16" s="1"/>
  <c r="T104" i="16"/>
  <c r="P104" i="16"/>
  <c r="F104" i="16"/>
  <c r="E104" i="16"/>
  <c r="D104" i="16"/>
  <c r="U103" i="16"/>
  <c r="T103" i="16"/>
  <c r="P103" i="16"/>
  <c r="F103" i="16"/>
  <c r="E103" i="16"/>
  <c r="D103" i="16"/>
  <c r="V102" i="16"/>
  <c r="W102" i="16" s="1"/>
  <c r="U102" i="16"/>
  <c r="T102" i="16"/>
  <c r="P102" i="16"/>
  <c r="F102" i="16"/>
  <c r="E102" i="16"/>
  <c r="D102" i="16"/>
  <c r="W101" i="16"/>
  <c r="U101" i="16"/>
  <c r="V101" i="16" s="1"/>
  <c r="T101" i="16"/>
  <c r="P101" i="16"/>
  <c r="F101" i="16"/>
  <c r="E101" i="16"/>
  <c r="D101" i="16"/>
  <c r="U100" i="16"/>
  <c r="T100" i="16"/>
  <c r="V100" i="16" s="1"/>
  <c r="W100" i="16" s="1"/>
  <c r="P100" i="16"/>
  <c r="F100" i="16"/>
  <c r="E100" i="16"/>
  <c r="D100" i="16"/>
  <c r="U99" i="16"/>
  <c r="V99" i="16" s="1"/>
  <c r="W99" i="16" s="1"/>
  <c r="T99" i="16"/>
  <c r="P99" i="16"/>
  <c r="F99" i="16"/>
  <c r="E99" i="16"/>
  <c r="D99" i="16"/>
  <c r="U98" i="16"/>
  <c r="V98" i="16" s="1"/>
  <c r="W98" i="16" s="1"/>
  <c r="T98" i="16"/>
  <c r="P98" i="16"/>
  <c r="F98" i="16"/>
  <c r="E98" i="16"/>
  <c r="D98" i="16"/>
  <c r="V97" i="16"/>
  <c r="W97" i="16" s="1"/>
  <c r="U97" i="16"/>
  <c r="T97" i="16"/>
  <c r="P97" i="16"/>
  <c r="F97" i="16"/>
  <c r="E97" i="16"/>
  <c r="D97" i="16"/>
  <c r="V96" i="16"/>
  <c r="W96" i="16" s="1"/>
  <c r="U96" i="16"/>
  <c r="T96" i="16"/>
  <c r="P96" i="16"/>
  <c r="F96" i="16"/>
  <c r="E96" i="16"/>
  <c r="D96" i="16"/>
  <c r="U95" i="16"/>
  <c r="V95" i="16" s="1"/>
  <c r="W95" i="16" s="1"/>
  <c r="T95" i="16"/>
  <c r="P95" i="16"/>
  <c r="F95" i="16"/>
  <c r="E95" i="16"/>
  <c r="D95" i="16"/>
  <c r="U94" i="16"/>
  <c r="V94" i="16" s="1"/>
  <c r="W94" i="16" s="1"/>
  <c r="T94" i="16"/>
  <c r="P94" i="16"/>
  <c r="F94" i="16"/>
  <c r="E94" i="16"/>
  <c r="D94" i="16"/>
  <c r="U93" i="16"/>
  <c r="V93" i="16" s="1"/>
  <c r="W93" i="16" s="1"/>
  <c r="T93" i="16"/>
  <c r="P93" i="16"/>
  <c r="F93" i="16"/>
  <c r="E93" i="16"/>
  <c r="D93" i="16"/>
  <c r="U92" i="16"/>
  <c r="V92" i="16" s="1"/>
  <c r="W92" i="16" s="1"/>
  <c r="T92" i="16"/>
  <c r="P92" i="16"/>
  <c r="F92" i="16"/>
  <c r="E92" i="16"/>
  <c r="D92" i="16"/>
  <c r="V91" i="16"/>
  <c r="W91" i="16" s="1"/>
  <c r="U91" i="16"/>
  <c r="T91" i="16"/>
  <c r="P91" i="16"/>
  <c r="F91" i="16"/>
  <c r="E91" i="16"/>
  <c r="D91" i="16"/>
  <c r="V90" i="16"/>
  <c r="W90" i="16" s="1"/>
  <c r="U90" i="16"/>
  <c r="T90" i="16"/>
  <c r="P90" i="16"/>
  <c r="F90" i="16"/>
  <c r="E90" i="16"/>
  <c r="D90" i="16"/>
  <c r="U89" i="16"/>
  <c r="V89" i="16" s="1"/>
  <c r="W89" i="16" s="1"/>
  <c r="T89" i="16"/>
  <c r="P89" i="16"/>
  <c r="F89" i="16"/>
  <c r="E89" i="16"/>
  <c r="D89" i="16"/>
  <c r="U88" i="16"/>
  <c r="T88" i="16"/>
  <c r="P88" i="16"/>
  <c r="F88" i="16"/>
  <c r="E88" i="16"/>
  <c r="D88" i="16"/>
  <c r="U87" i="16"/>
  <c r="V87" i="16" s="1"/>
  <c r="W87" i="16" s="1"/>
  <c r="T87" i="16"/>
  <c r="P87" i="16"/>
  <c r="F87" i="16"/>
  <c r="E87" i="16"/>
  <c r="D87" i="16"/>
  <c r="W86" i="16"/>
  <c r="U86" i="16"/>
  <c r="V86" i="16" s="1"/>
  <c r="T86" i="16"/>
  <c r="P86" i="16"/>
  <c r="F86" i="16"/>
  <c r="E86" i="16"/>
  <c r="D86" i="16"/>
  <c r="U85" i="16"/>
  <c r="T85" i="16"/>
  <c r="V85" i="16" s="1"/>
  <c r="P85" i="16"/>
  <c r="F85" i="16"/>
  <c r="E85" i="16"/>
  <c r="D85" i="16"/>
  <c r="U84" i="16"/>
  <c r="V84" i="16" s="1"/>
  <c r="W84" i="16" s="1"/>
  <c r="T84" i="16"/>
  <c r="P84" i="16"/>
  <c r="F84" i="16"/>
  <c r="E84" i="16"/>
  <c r="D84" i="16"/>
  <c r="U83" i="16"/>
  <c r="V83" i="16" s="1"/>
  <c r="W83" i="16" s="1"/>
  <c r="T83" i="16"/>
  <c r="P83" i="16"/>
  <c r="F83" i="16"/>
  <c r="E83" i="16"/>
  <c r="D83" i="16"/>
  <c r="U82" i="16"/>
  <c r="T82" i="16"/>
  <c r="V82" i="16" s="1"/>
  <c r="P82" i="16"/>
  <c r="F82" i="16"/>
  <c r="E82" i="16"/>
  <c r="D82" i="16"/>
  <c r="U81" i="16"/>
  <c r="V81" i="16" s="1"/>
  <c r="W81" i="16" s="1"/>
  <c r="T81" i="16"/>
  <c r="P81" i="16"/>
  <c r="F81" i="16"/>
  <c r="E81" i="16"/>
  <c r="D81" i="16"/>
  <c r="U80" i="16"/>
  <c r="V80" i="16" s="1"/>
  <c r="W80" i="16" s="1"/>
  <c r="T80" i="16"/>
  <c r="P80" i="16"/>
  <c r="F80" i="16"/>
  <c r="E80" i="16"/>
  <c r="D80" i="16"/>
  <c r="V79" i="16"/>
  <c r="W79" i="16" s="1"/>
  <c r="U79" i="16"/>
  <c r="T79" i="16"/>
  <c r="P79" i="16"/>
  <c r="F79" i="16"/>
  <c r="E79" i="16"/>
  <c r="D79" i="16"/>
  <c r="U78" i="16"/>
  <c r="V78" i="16" s="1"/>
  <c r="W78" i="16" s="1"/>
  <c r="T78" i="16"/>
  <c r="P78" i="16"/>
  <c r="F78" i="16"/>
  <c r="E78" i="16"/>
  <c r="D78" i="16"/>
  <c r="W77" i="16"/>
  <c r="U77" i="16"/>
  <c r="V77" i="16" s="1"/>
  <c r="T77" i="16"/>
  <c r="P77" i="16"/>
  <c r="F77" i="16"/>
  <c r="E77" i="16"/>
  <c r="D77" i="16"/>
  <c r="U76" i="16"/>
  <c r="V76" i="16" s="1"/>
  <c r="W76" i="16" s="1"/>
  <c r="T76" i="16"/>
  <c r="P76" i="16"/>
  <c r="F76" i="16"/>
  <c r="E76" i="16"/>
  <c r="D76" i="16"/>
  <c r="U75" i="16"/>
  <c r="V75" i="16" s="1"/>
  <c r="W75" i="16" s="1"/>
  <c r="T75" i="16"/>
  <c r="P75" i="16"/>
  <c r="F75" i="16"/>
  <c r="E75" i="16"/>
  <c r="D75" i="16"/>
  <c r="U74" i="16"/>
  <c r="V74" i="16" s="1"/>
  <c r="W74" i="16" s="1"/>
  <c r="T74" i="16"/>
  <c r="P74" i="16"/>
  <c r="F74" i="16"/>
  <c r="E74" i="16"/>
  <c r="D74" i="16"/>
  <c r="U73" i="16"/>
  <c r="T73" i="16"/>
  <c r="P73" i="16"/>
  <c r="F73" i="16"/>
  <c r="E73" i="16"/>
  <c r="D73" i="16"/>
  <c r="V72" i="16"/>
  <c r="W72" i="16" s="1"/>
  <c r="U72" i="16"/>
  <c r="T72" i="16"/>
  <c r="P72" i="16"/>
  <c r="F72" i="16"/>
  <c r="E72" i="16"/>
  <c r="D72" i="16"/>
  <c r="U71" i="16"/>
  <c r="V71" i="16" s="1"/>
  <c r="W71" i="16" s="1"/>
  <c r="T71" i="16"/>
  <c r="P71" i="16"/>
  <c r="F71" i="16"/>
  <c r="E71" i="16"/>
  <c r="D71" i="16"/>
  <c r="U70" i="16"/>
  <c r="T70" i="16"/>
  <c r="P70" i="16"/>
  <c r="F70" i="16"/>
  <c r="E70" i="16"/>
  <c r="D70" i="16"/>
  <c r="U69" i="16"/>
  <c r="V69" i="16" s="1"/>
  <c r="W69" i="16" s="1"/>
  <c r="T69" i="16"/>
  <c r="P69" i="16"/>
  <c r="F69" i="16"/>
  <c r="E69" i="16"/>
  <c r="D69" i="16"/>
  <c r="W68" i="16"/>
  <c r="U68" i="16"/>
  <c r="V68" i="16" s="1"/>
  <c r="T68" i="16"/>
  <c r="P68" i="16"/>
  <c r="F68" i="16"/>
  <c r="E68" i="16"/>
  <c r="D68" i="16"/>
  <c r="U67" i="16"/>
  <c r="T67" i="16"/>
  <c r="P67" i="16"/>
  <c r="F67" i="16"/>
  <c r="E67" i="16"/>
  <c r="D67" i="16"/>
  <c r="U66" i="16"/>
  <c r="V66" i="16" s="1"/>
  <c r="W66" i="16" s="1"/>
  <c r="T66" i="16"/>
  <c r="P66" i="16"/>
  <c r="F66" i="16"/>
  <c r="E66" i="16"/>
  <c r="D66" i="16"/>
  <c r="W65" i="16"/>
  <c r="U65" i="16"/>
  <c r="V65" i="16" s="1"/>
  <c r="T65" i="16"/>
  <c r="P65" i="16"/>
  <c r="F65" i="16"/>
  <c r="E65" i="16"/>
  <c r="D65" i="16"/>
  <c r="U64" i="16"/>
  <c r="T64" i="16"/>
  <c r="V64" i="16" s="1"/>
  <c r="W64" i="16" s="1"/>
  <c r="P64" i="16"/>
  <c r="F64" i="16"/>
  <c r="E64" i="16"/>
  <c r="D64" i="16"/>
  <c r="U63" i="16"/>
  <c r="V63" i="16" s="1"/>
  <c r="W63" i="16" s="1"/>
  <c r="T63" i="16"/>
  <c r="P63" i="16"/>
  <c r="F63" i="16"/>
  <c r="E63" i="16"/>
  <c r="D63" i="16"/>
  <c r="U62" i="16"/>
  <c r="V62" i="16" s="1"/>
  <c r="W62" i="16" s="1"/>
  <c r="T62" i="16"/>
  <c r="P62" i="16"/>
  <c r="F62" i="16"/>
  <c r="E62" i="16"/>
  <c r="D62" i="16"/>
  <c r="V61" i="16"/>
  <c r="W61" i="16" s="1"/>
  <c r="U61" i="16"/>
  <c r="T61" i="16"/>
  <c r="P61" i="16"/>
  <c r="F61" i="16"/>
  <c r="E61" i="16"/>
  <c r="D61" i="16"/>
  <c r="V60" i="16"/>
  <c r="W60" i="16" s="1"/>
  <c r="U60" i="16"/>
  <c r="T60" i="16"/>
  <c r="P60" i="16"/>
  <c r="F60" i="16"/>
  <c r="E60" i="16"/>
  <c r="D60" i="16"/>
  <c r="U59" i="16"/>
  <c r="V59" i="16" s="1"/>
  <c r="W59" i="16" s="1"/>
  <c r="T59" i="16"/>
  <c r="P59" i="16"/>
  <c r="F59" i="16"/>
  <c r="E59" i="16"/>
  <c r="D59" i="16"/>
  <c r="U58" i="16"/>
  <c r="V58" i="16" s="1"/>
  <c r="W58" i="16" s="1"/>
  <c r="T58" i="16"/>
  <c r="P58" i="16"/>
  <c r="F58" i="16"/>
  <c r="E58" i="16"/>
  <c r="D58" i="16"/>
  <c r="U57" i="16"/>
  <c r="V57" i="16" s="1"/>
  <c r="W57" i="16" s="1"/>
  <c r="T57" i="16"/>
  <c r="P57" i="16"/>
  <c r="F57" i="16"/>
  <c r="E57" i="16"/>
  <c r="D57" i="16"/>
  <c r="U56" i="16"/>
  <c r="T56" i="16"/>
  <c r="V56" i="16" s="1"/>
  <c r="P56" i="16"/>
  <c r="F56" i="16"/>
  <c r="E56" i="16"/>
  <c r="D56" i="16"/>
  <c r="U55" i="16"/>
  <c r="V55" i="16" s="1"/>
  <c r="W55" i="16" s="1"/>
  <c r="T55" i="16"/>
  <c r="P55" i="16"/>
  <c r="F55" i="16"/>
  <c r="E55" i="16"/>
  <c r="D55" i="16"/>
  <c r="W54" i="16"/>
  <c r="V54" i="16"/>
  <c r="U54" i="16"/>
  <c r="T54" i="16"/>
  <c r="P54" i="16"/>
  <c r="F54" i="16"/>
  <c r="E54" i="16"/>
  <c r="D54" i="16"/>
  <c r="U53" i="16"/>
  <c r="T53" i="16"/>
  <c r="V53" i="16" s="1"/>
  <c r="P53" i="16"/>
  <c r="F53" i="16"/>
  <c r="E53" i="16"/>
  <c r="D53" i="16"/>
  <c r="U52" i="16"/>
  <c r="T52" i="16"/>
  <c r="V52" i="16" s="1"/>
  <c r="P52" i="16"/>
  <c r="F52" i="16"/>
  <c r="E52" i="16"/>
  <c r="D52" i="16"/>
  <c r="U51" i="16"/>
  <c r="V51" i="16" s="1"/>
  <c r="W51" i="16" s="1"/>
  <c r="T51" i="16"/>
  <c r="P51" i="16"/>
  <c r="F51" i="16"/>
  <c r="E51" i="16"/>
  <c r="D51" i="16"/>
  <c r="W50" i="16"/>
  <c r="U50" i="16"/>
  <c r="T50" i="16"/>
  <c r="V50" i="16" s="1"/>
  <c r="P50" i="16"/>
  <c r="F50" i="16"/>
  <c r="E50" i="16"/>
  <c r="D50" i="16"/>
  <c r="V49" i="16"/>
  <c r="U49" i="16"/>
  <c r="T49" i="16"/>
  <c r="P49" i="16"/>
  <c r="F49" i="16"/>
  <c r="E49" i="16"/>
  <c r="D49" i="16"/>
  <c r="U48" i="16"/>
  <c r="V48" i="16" s="1"/>
  <c r="W48" i="16" s="1"/>
  <c r="T48" i="16"/>
  <c r="P48" i="16"/>
  <c r="F48" i="16"/>
  <c r="E48" i="16"/>
  <c r="D48" i="16"/>
  <c r="U47" i="16"/>
  <c r="T47" i="16"/>
  <c r="P47" i="16"/>
  <c r="F47" i="16"/>
  <c r="E47" i="16"/>
  <c r="D47" i="16"/>
  <c r="U46" i="16"/>
  <c r="T46" i="16"/>
  <c r="V46" i="16" s="1"/>
  <c r="P46" i="16"/>
  <c r="F46" i="16"/>
  <c r="E46" i="16"/>
  <c r="D46" i="16"/>
  <c r="U45" i="16"/>
  <c r="V45" i="16" s="1"/>
  <c r="W45" i="16" s="1"/>
  <c r="T45" i="16"/>
  <c r="P45" i="16"/>
  <c r="F45" i="16"/>
  <c r="E45" i="16"/>
  <c r="D45" i="16"/>
  <c r="U44" i="16"/>
  <c r="T44" i="16"/>
  <c r="V44" i="16" s="1"/>
  <c r="P44" i="16"/>
  <c r="F44" i="16"/>
  <c r="E44" i="16"/>
  <c r="D44" i="16"/>
  <c r="V43" i="16"/>
  <c r="W43" i="16" s="1"/>
  <c r="U43" i="16"/>
  <c r="T43" i="16"/>
  <c r="P43" i="16"/>
  <c r="F43" i="16"/>
  <c r="E43" i="16"/>
  <c r="D43" i="16"/>
  <c r="U42" i="16"/>
  <c r="V42" i="16" s="1"/>
  <c r="W42" i="16" s="1"/>
  <c r="T42" i="16"/>
  <c r="P42" i="16"/>
  <c r="F42" i="16"/>
  <c r="E42" i="16"/>
  <c r="D42" i="16"/>
  <c r="U41" i="16"/>
  <c r="T41" i="16"/>
  <c r="P41" i="16"/>
  <c r="F41" i="16"/>
  <c r="E41" i="16"/>
  <c r="D41" i="16"/>
  <c r="U40" i="16"/>
  <c r="V40" i="16" s="1"/>
  <c r="W40" i="16" s="1"/>
  <c r="T40" i="16"/>
  <c r="P40" i="16"/>
  <c r="F40" i="16"/>
  <c r="E40" i="16"/>
  <c r="D40" i="16"/>
  <c r="U39" i="16"/>
  <c r="V39" i="16" s="1"/>
  <c r="W39" i="16" s="1"/>
  <c r="T39" i="16"/>
  <c r="P39" i="16"/>
  <c r="F39" i="16"/>
  <c r="E39" i="16"/>
  <c r="D39" i="16"/>
  <c r="U38" i="16"/>
  <c r="T38" i="16"/>
  <c r="V38" i="16" s="1"/>
  <c r="P38" i="16"/>
  <c r="F38" i="16"/>
  <c r="E38" i="16"/>
  <c r="D38" i="16"/>
  <c r="U37" i="16"/>
  <c r="T37" i="16"/>
  <c r="P37" i="16"/>
  <c r="F37" i="16"/>
  <c r="E37" i="16"/>
  <c r="D37" i="16"/>
  <c r="V36" i="16"/>
  <c r="W36" i="16" s="1"/>
  <c r="U36" i="16"/>
  <c r="T36" i="16"/>
  <c r="P36" i="16"/>
  <c r="F36" i="16"/>
  <c r="E36" i="16"/>
  <c r="D36" i="16"/>
  <c r="U35" i="16"/>
  <c r="T35" i="16"/>
  <c r="P35" i="16"/>
  <c r="F35" i="16"/>
  <c r="E35" i="16"/>
  <c r="D35" i="16"/>
  <c r="U34" i="16"/>
  <c r="T34" i="16"/>
  <c r="P34" i="16"/>
  <c r="F34" i="16"/>
  <c r="E34" i="16"/>
  <c r="D34" i="16"/>
  <c r="U33" i="16"/>
  <c r="V33" i="16" s="1"/>
  <c r="W33" i="16" s="1"/>
  <c r="T33" i="16"/>
  <c r="P33" i="16"/>
  <c r="F33" i="16"/>
  <c r="E33" i="16"/>
  <c r="D33" i="16"/>
  <c r="U32" i="16"/>
  <c r="T32" i="16"/>
  <c r="V32" i="16" s="1"/>
  <c r="P32" i="16"/>
  <c r="F32" i="16"/>
  <c r="E32" i="16"/>
  <c r="D32" i="16"/>
  <c r="U31" i="16"/>
  <c r="T31" i="16"/>
  <c r="P31" i="16"/>
  <c r="F31" i="16"/>
  <c r="E31" i="16"/>
  <c r="D31" i="16"/>
  <c r="U30" i="16"/>
  <c r="V30" i="16" s="1"/>
  <c r="W30" i="16" s="1"/>
  <c r="T30" i="16"/>
  <c r="P30" i="16"/>
  <c r="F30" i="16"/>
  <c r="E30" i="16"/>
  <c r="D30" i="16"/>
  <c r="U29" i="16"/>
  <c r="T29" i="16"/>
  <c r="P29" i="16"/>
  <c r="F29" i="16"/>
  <c r="E29" i="16"/>
  <c r="D29" i="16"/>
  <c r="W28" i="16"/>
  <c r="U28" i="16"/>
  <c r="T28" i="16"/>
  <c r="V28" i="16" s="1"/>
  <c r="P28" i="16"/>
  <c r="F28" i="16"/>
  <c r="E28" i="16"/>
  <c r="D28" i="16"/>
  <c r="U27" i="16"/>
  <c r="V27" i="16" s="1"/>
  <c r="W27" i="16" s="1"/>
  <c r="T27" i="16"/>
  <c r="P27" i="16"/>
  <c r="F27" i="16"/>
  <c r="E27" i="16"/>
  <c r="D27" i="16"/>
  <c r="U26" i="16"/>
  <c r="T26" i="16"/>
  <c r="P26" i="16"/>
  <c r="F26" i="16"/>
  <c r="E26" i="16"/>
  <c r="D26" i="16"/>
  <c r="V25" i="16"/>
  <c r="W25" i="16" s="1"/>
  <c r="U25" i="16"/>
  <c r="T25" i="16"/>
  <c r="P25" i="16"/>
  <c r="F25" i="16"/>
  <c r="E25" i="16"/>
  <c r="D25" i="16"/>
  <c r="U24" i="16"/>
  <c r="V24" i="16" s="1"/>
  <c r="W24" i="16" s="1"/>
  <c r="T24" i="16"/>
  <c r="P24" i="16"/>
  <c r="F24" i="16"/>
  <c r="E24" i="16"/>
  <c r="D24" i="16"/>
  <c r="U23" i="16"/>
  <c r="T23" i="16"/>
  <c r="P23" i="16"/>
  <c r="F23" i="16"/>
  <c r="E23" i="16"/>
  <c r="D23" i="16"/>
  <c r="W22" i="16"/>
  <c r="V22" i="16"/>
  <c r="U22" i="16"/>
  <c r="T22" i="16"/>
  <c r="P22" i="16"/>
  <c r="F22" i="16"/>
  <c r="E22" i="16"/>
  <c r="D22" i="16"/>
  <c r="U21" i="16"/>
  <c r="V21" i="16" s="1"/>
  <c r="W21" i="16" s="1"/>
  <c r="T21" i="16"/>
  <c r="P21" i="16"/>
  <c r="F21" i="16"/>
  <c r="E21" i="16"/>
  <c r="D21" i="16"/>
  <c r="U20" i="16"/>
  <c r="T20" i="16"/>
  <c r="V20" i="16" s="1"/>
  <c r="P20" i="16"/>
  <c r="F20" i="16"/>
  <c r="E20" i="16"/>
  <c r="D20" i="16"/>
  <c r="U19" i="16"/>
  <c r="T19" i="16"/>
  <c r="P19" i="16"/>
  <c r="F19" i="16"/>
  <c r="E19" i="16"/>
  <c r="D19" i="16"/>
  <c r="V18" i="16"/>
  <c r="W18" i="16" s="1"/>
  <c r="U18" i="16"/>
  <c r="T18" i="16"/>
  <c r="P18" i="16"/>
  <c r="F18" i="16"/>
  <c r="E18" i="16"/>
  <c r="D18" i="16"/>
  <c r="U17" i="16"/>
  <c r="T17" i="16"/>
  <c r="V17" i="16" s="1"/>
  <c r="P17" i="16"/>
  <c r="F17" i="16"/>
  <c r="E17" i="16"/>
  <c r="D17" i="16"/>
  <c r="U16" i="16"/>
  <c r="T16" i="16"/>
  <c r="P16" i="16"/>
  <c r="F16" i="16"/>
  <c r="E16" i="16"/>
  <c r="D16" i="16"/>
  <c r="U15" i="16"/>
  <c r="V15" i="16" s="1"/>
  <c r="W15" i="16" s="1"/>
  <c r="T15" i="16"/>
  <c r="P15" i="16"/>
  <c r="F15" i="16"/>
  <c r="E15" i="16"/>
  <c r="D15" i="16"/>
  <c r="W14" i="16"/>
  <c r="U14" i="16"/>
  <c r="T14" i="16"/>
  <c r="V14" i="16" s="1"/>
  <c r="P14" i="16"/>
  <c r="F14" i="16"/>
  <c r="E14" i="16"/>
  <c r="D14" i="16"/>
  <c r="U13" i="16"/>
  <c r="V13" i="16" s="1"/>
  <c r="T13" i="16"/>
  <c r="P13" i="16"/>
  <c r="F13" i="16"/>
  <c r="E13" i="16"/>
  <c r="D13" i="16"/>
  <c r="U12" i="16"/>
  <c r="V12" i="16" s="1"/>
  <c r="W12" i="16" s="1"/>
  <c r="T12" i="16"/>
  <c r="P12" i="16"/>
  <c r="F12" i="16"/>
  <c r="E12" i="16"/>
  <c r="D12" i="16"/>
  <c r="U11" i="16"/>
  <c r="T11" i="16"/>
  <c r="P11" i="16"/>
  <c r="F11" i="16"/>
  <c r="E11" i="16"/>
  <c r="D11" i="16"/>
  <c r="U10" i="16"/>
  <c r="T10" i="16"/>
  <c r="V10" i="16" s="1"/>
  <c r="P10" i="16"/>
  <c r="F10" i="16"/>
  <c r="E10" i="16"/>
  <c r="D10" i="16"/>
  <c r="U9" i="16"/>
  <c r="V9" i="16" s="1"/>
  <c r="W9" i="16" s="1"/>
  <c r="T9" i="16"/>
  <c r="P9" i="16"/>
  <c r="F9" i="16"/>
  <c r="E9" i="16"/>
  <c r="D9" i="16"/>
  <c r="U8" i="16"/>
  <c r="T8" i="16"/>
  <c r="V8" i="16" s="1"/>
  <c r="P8" i="16"/>
  <c r="F8" i="16"/>
  <c r="E8" i="16"/>
  <c r="D8" i="16"/>
  <c r="U7" i="16"/>
  <c r="T7" i="16"/>
  <c r="V7" i="16" s="1"/>
  <c r="P7" i="16"/>
  <c r="F7" i="16"/>
  <c r="E7" i="16"/>
  <c r="D7" i="16"/>
  <c r="U6" i="16"/>
  <c r="V6" i="16" s="1"/>
  <c r="W6" i="16" s="1"/>
  <c r="T6" i="16"/>
  <c r="P6" i="16"/>
  <c r="F6" i="16"/>
  <c r="E6" i="16"/>
  <c r="D6" i="16"/>
  <c r="U5" i="16"/>
  <c r="T5" i="16"/>
  <c r="P5" i="16"/>
  <c r="F5" i="16"/>
  <c r="E5" i="16"/>
  <c r="D5" i="16"/>
  <c r="V4" i="16"/>
  <c r="W4" i="16" s="1"/>
  <c r="U4" i="16"/>
  <c r="T4" i="16"/>
  <c r="P4" i="16"/>
  <c r="F4" i="16"/>
  <c r="E4" i="16"/>
  <c r="D4" i="16"/>
  <c r="W3" i="16"/>
  <c r="U3" i="16"/>
  <c r="V3" i="16" s="1"/>
  <c r="T3" i="16"/>
  <c r="P3" i="16"/>
  <c r="F3" i="16"/>
  <c r="E3" i="16"/>
  <c r="D3" i="16"/>
  <c r="U2" i="16"/>
  <c r="T2" i="16"/>
  <c r="V2" i="16" s="1"/>
  <c r="P2" i="16"/>
  <c r="F2" i="16"/>
  <c r="E2" i="16"/>
  <c r="D2" i="16"/>
  <c r="U1" i="16"/>
  <c r="T1" i="16"/>
  <c r="P1" i="16"/>
  <c r="F1" i="16"/>
  <c r="E1" i="16"/>
  <c r="D1" i="16"/>
  <c r="E11" i="13"/>
  <c r="O24" i="26"/>
  <c r="O23" i="26"/>
  <c r="P23" i="26"/>
  <c r="G24" i="26"/>
  <c r="G23" i="26"/>
  <c r="F24" i="26"/>
  <c r="F23" i="26"/>
  <c r="H24" i="26"/>
  <c r="H23" i="26"/>
  <c r="U2" i="23"/>
  <c r="M24" i="26"/>
  <c r="N24" i="26" s="1"/>
  <c r="M23" i="26"/>
  <c r="K23" i="26"/>
  <c r="L23" i="26"/>
  <c r="N23" i="26" s="1"/>
  <c r="L24" i="26"/>
  <c r="K24" i="26"/>
  <c r="P24" i="26" s="1"/>
  <c r="H5" i="26" a="1"/>
  <c r="H5" i="26" s="1"/>
  <c r="V633" i="23"/>
  <c r="U633" i="23"/>
  <c r="Q633" i="23"/>
  <c r="G633" i="23"/>
  <c r="F633" i="23"/>
  <c r="D633" i="23"/>
  <c r="V632" i="23"/>
  <c r="U632" i="23"/>
  <c r="Q632" i="23"/>
  <c r="G632" i="23"/>
  <c r="F632" i="23"/>
  <c r="D632" i="23"/>
  <c r="V631" i="23"/>
  <c r="U631" i="23"/>
  <c r="Q631" i="23"/>
  <c r="G631" i="23"/>
  <c r="F631" i="23"/>
  <c r="D631" i="23"/>
  <c r="V630" i="23"/>
  <c r="U630" i="23"/>
  <c r="X630" i="23" s="1"/>
  <c r="Q630" i="23"/>
  <c r="G630" i="23"/>
  <c r="F630" i="23"/>
  <c r="D630" i="23"/>
  <c r="V629" i="23"/>
  <c r="U629" i="23"/>
  <c r="X629" i="23" s="1"/>
  <c r="Q629" i="23"/>
  <c r="G629" i="23"/>
  <c r="F629" i="23"/>
  <c r="D629" i="23"/>
  <c r="V628" i="23"/>
  <c r="U628" i="23"/>
  <c r="X628" i="23" s="1"/>
  <c r="Q628" i="23"/>
  <c r="G628" i="23"/>
  <c r="F628" i="23"/>
  <c r="D628" i="23"/>
  <c r="V627" i="23"/>
  <c r="U627" i="23"/>
  <c r="Q627" i="23"/>
  <c r="G627" i="23"/>
  <c r="F627" i="23"/>
  <c r="D627" i="23"/>
  <c r="V626" i="23"/>
  <c r="U626" i="23"/>
  <c r="Q626" i="23"/>
  <c r="G626" i="23"/>
  <c r="F626" i="23"/>
  <c r="D626" i="23"/>
  <c r="V625" i="23"/>
  <c r="U625" i="23"/>
  <c r="Q625" i="23"/>
  <c r="G625" i="23"/>
  <c r="F625" i="23"/>
  <c r="D625" i="23"/>
  <c r="V624" i="23"/>
  <c r="U624" i="23"/>
  <c r="X624" i="23" s="1"/>
  <c r="Q624" i="23"/>
  <c r="G624" i="23"/>
  <c r="F624" i="23"/>
  <c r="D624" i="23"/>
  <c r="W623" i="23"/>
  <c r="V623" i="23"/>
  <c r="U623" i="23"/>
  <c r="X623" i="23" s="1"/>
  <c r="Q623" i="23"/>
  <c r="G623" i="23"/>
  <c r="F623" i="23"/>
  <c r="D623" i="23"/>
  <c r="V622" i="23"/>
  <c r="U622" i="23"/>
  <c r="Q622" i="23"/>
  <c r="G622" i="23"/>
  <c r="F622" i="23"/>
  <c r="D622" i="23"/>
  <c r="V621" i="23"/>
  <c r="U621" i="23"/>
  <c r="Q621" i="23"/>
  <c r="G621" i="23"/>
  <c r="F621" i="23"/>
  <c r="D621" i="23"/>
  <c r="V620" i="23"/>
  <c r="U620" i="23"/>
  <c r="Q620" i="23"/>
  <c r="G620" i="23"/>
  <c r="F620" i="23"/>
  <c r="D620" i="23"/>
  <c r="W619" i="23"/>
  <c r="V619" i="23"/>
  <c r="U619" i="23"/>
  <c r="X619" i="23" s="1"/>
  <c r="Q619" i="23"/>
  <c r="G619" i="23"/>
  <c r="F619" i="23"/>
  <c r="D619" i="23"/>
  <c r="V618" i="23"/>
  <c r="U618" i="23"/>
  <c r="Q618" i="23"/>
  <c r="G618" i="23"/>
  <c r="F618" i="23"/>
  <c r="D618" i="23"/>
  <c r="V617" i="23"/>
  <c r="U617" i="23"/>
  <c r="Q617" i="23"/>
  <c r="G617" i="23"/>
  <c r="F617" i="23"/>
  <c r="D617" i="23"/>
  <c r="X616" i="23"/>
  <c r="V616" i="23"/>
  <c r="W616" i="23" s="1"/>
  <c r="U616" i="23"/>
  <c r="Q616" i="23"/>
  <c r="G616" i="23"/>
  <c r="F616" i="23"/>
  <c r="D616" i="23"/>
  <c r="V615" i="23"/>
  <c r="U615" i="23"/>
  <c r="X615" i="23" s="1"/>
  <c r="Q615" i="23"/>
  <c r="G615" i="23"/>
  <c r="F615" i="23"/>
  <c r="D615" i="23"/>
  <c r="V614" i="23"/>
  <c r="U614" i="23"/>
  <c r="Q614" i="23"/>
  <c r="G614" i="23"/>
  <c r="F614" i="23"/>
  <c r="D614" i="23"/>
  <c r="W613" i="23"/>
  <c r="V613" i="23"/>
  <c r="U613" i="23"/>
  <c r="X613" i="23" s="1"/>
  <c r="Q613" i="23"/>
  <c r="G613" i="23"/>
  <c r="F613" i="23"/>
  <c r="D613" i="23"/>
  <c r="V612" i="23"/>
  <c r="U612" i="23"/>
  <c r="X612" i="23" s="1"/>
  <c r="Q612" i="23"/>
  <c r="G612" i="23"/>
  <c r="F612" i="23"/>
  <c r="D612" i="23"/>
  <c r="V611" i="23"/>
  <c r="U611" i="23"/>
  <c r="Q611" i="23"/>
  <c r="G611" i="23"/>
  <c r="F611" i="23"/>
  <c r="D611" i="23"/>
  <c r="X610" i="23"/>
  <c r="V610" i="23"/>
  <c r="U610" i="23"/>
  <c r="Q610" i="23"/>
  <c r="G610" i="23"/>
  <c r="F610" i="23"/>
  <c r="D610" i="23"/>
  <c r="V609" i="23"/>
  <c r="W609" i="23" s="1"/>
  <c r="U609" i="23"/>
  <c r="X609" i="23" s="1"/>
  <c r="Q609" i="23"/>
  <c r="G609" i="23"/>
  <c r="F609" i="23"/>
  <c r="D609" i="23"/>
  <c r="X608" i="23"/>
  <c r="V608" i="23"/>
  <c r="U608" i="23"/>
  <c r="W608" i="23" s="1"/>
  <c r="Q608" i="23"/>
  <c r="G608" i="23"/>
  <c r="F608" i="23"/>
  <c r="D608" i="23"/>
  <c r="V607" i="23"/>
  <c r="U607" i="23"/>
  <c r="Q607" i="23"/>
  <c r="G607" i="23"/>
  <c r="F607" i="23"/>
  <c r="D607" i="23"/>
  <c r="V606" i="23"/>
  <c r="U606" i="23"/>
  <c r="Q606" i="23"/>
  <c r="G606" i="23"/>
  <c r="F606" i="23"/>
  <c r="D606" i="23"/>
  <c r="V605" i="23"/>
  <c r="U605" i="23"/>
  <c r="Q605" i="23"/>
  <c r="G605" i="23"/>
  <c r="F605" i="23"/>
  <c r="D605" i="23"/>
  <c r="V604" i="23"/>
  <c r="U604" i="23"/>
  <c r="W604" i="23" s="1"/>
  <c r="Q604" i="23"/>
  <c r="G604" i="23"/>
  <c r="F604" i="23"/>
  <c r="D604" i="23"/>
  <c r="V603" i="23"/>
  <c r="U603" i="23"/>
  <c r="Q603" i="23"/>
  <c r="G603" i="23"/>
  <c r="F603" i="23"/>
  <c r="D603" i="23"/>
  <c r="V602" i="23"/>
  <c r="U602" i="23"/>
  <c r="W602" i="23" s="1"/>
  <c r="Q602" i="23"/>
  <c r="G602" i="23"/>
  <c r="F602" i="23"/>
  <c r="D602" i="23"/>
  <c r="V601" i="23"/>
  <c r="U601" i="23"/>
  <c r="Q601" i="23"/>
  <c r="G601" i="23"/>
  <c r="F601" i="23"/>
  <c r="D601" i="23"/>
  <c r="V600" i="23"/>
  <c r="U600" i="23"/>
  <c r="Q600" i="23"/>
  <c r="G600" i="23"/>
  <c r="F600" i="23"/>
  <c r="D600" i="23"/>
  <c r="V599" i="23"/>
  <c r="U599" i="23"/>
  <c r="Q599" i="23"/>
  <c r="G599" i="23"/>
  <c r="F599" i="23"/>
  <c r="D599" i="23"/>
  <c r="V598" i="23"/>
  <c r="U598" i="23"/>
  <c r="Q598" i="23"/>
  <c r="G598" i="23"/>
  <c r="F598" i="23"/>
  <c r="D598" i="23"/>
  <c r="V597" i="23"/>
  <c r="W597" i="23" s="1"/>
  <c r="U597" i="23"/>
  <c r="Q597" i="23"/>
  <c r="G597" i="23"/>
  <c r="F597" i="23"/>
  <c r="D597" i="23"/>
  <c r="V596" i="23"/>
  <c r="W596" i="23" s="1"/>
  <c r="U596" i="23"/>
  <c r="Q596" i="23"/>
  <c r="G596" i="23"/>
  <c r="F596" i="23"/>
  <c r="D596" i="23"/>
  <c r="V595" i="23"/>
  <c r="W595" i="23" s="1"/>
  <c r="X595" i="23" s="1"/>
  <c r="U595" i="23"/>
  <c r="Q595" i="23"/>
  <c r="G595" i="23"/>
  <c r="F595" i="23"/>
  <c r="D595" i="23"/>
  <c r="V594" i="23"/>
  <c r="W594" i="23" s="1"/>
  <c r="U594" i="23"/>
  <c r="Q594" i="23"/>
  <c r="G594" i="23"/>
  <c r="F594" i="23"/>
  <c r="D594" i="23"/>
  <c r="V593" i="23"/>
  <c r="U593" i="23"/>
  <c r="Q593" i="23"/>
  <c r="G593" i="23"/>
  <c r="F593" i="23"/>
  <c r="D593" i="23"/>
  <c r="V592" i="23"/>
  <c r="U592" i="23"/>
  <c r="Q592" i="23"/>
  <c r="G592" i="23"/>
  <c r="F592" i="23"/>
  <c r="D592" i="23"/>
  <c r="V591" i="23"/>
  <c r="U591" i="23"/>
  <c r="Q591" i="23"/>
  <c r="G591" i="23"/>
  <c r="F591" i="23"/>
  <c r="D591" i="23"/>
  <c r="V590" i="23"/>
  <c r="U590" i="23"/>
  <c r="W590" i="23" s="1"/>
  <c r="X590" i="23" s="1"/>
  <c r="Q590" i="23"/>
  <c r="G590" i="23"/>
  <c r="F590" i="23"/>
  <c r="D590" i="23"/>
  <c r="V589" i="23"/>
  <c r="U589" i="23"/>
  <c r="Q589" i="23"/>
  <c r="G589" i="23"/>
  <c r="F589" i="23"/>
  <c r="D589" i="23"/>
  <c r="V588" i="23"/>
  <c r="U588" i="23"/>
  <c r="Q588" i="23"/>
  <c r="G588" i="23"/>
  <c r="F588" i="23"/>
  <c r="D588" i="23"/>
  <c r="V587" i="23"/>
  <c r="U587" i="23"/>
  <c r="Q587" i="23"/>
  <c r="G587" i="23"/>
  <c r="F587" i="23"/>
  <c r="D587" i="23"/>
  <c r="V586" i="23"/>
  <c r="U586" i="23"/>
  <c r="W586" i="23" s="1"/>
  <c r="Q586" i="23"/>
  <c r="G586" i="23"/>
  <c r="F586" i="23"/>
  <c r="D586" i="23"/>
  <c r="V585" i="23"/>
  <c r="W585" i="23" s="1"/>
  <c r="U585" i="23"/>
  <c r="Q585" i="23"/>
  <c r="G585" i="23"/>
  <c r="F585" i="23"/>
  <c r="D585" i="23"/>
  <c r="V584" i="23"/>
  <c r="U584" i="23"/>
  <c r="W584" i="23" s="1"/>
  <c r="Q584" i="23"/>
  <c r="G584" i="23"/>
  <c r="F584" i="23"/>
  <c r="D584" i="23"/>
  <c r="V583" i="23"/>
  <c r="U583" i="23"/>
  <c r="W583" i="23" s="1"/>
  <c r="X583" i="23" s="1"/>
  <c r="Q583" i="23"/>
  <c r="G583" i="23"/>
  <c r="F583" i="23"/>
  <c r="D583" i="23"/>
  <c r="V582" i="23"/>
  <c r="U582" i="23"/>
  <c r="Q582" i="23"/>
  <c r="G582" i="23"/>
  <c r="F582" i="23"/>
  <c r="D582" i="23"/>
  <c r="V581" i="23"/>
  <c r="U581" i="23"/>
  <c r="W581" i="23" s="1"/>
  <c r="Q581" i="23"/>
  <c r="G581" i="23"/>
  <c r="F581" i="23"/>
  <c r="D581" i="23"/>
  <c r="V580" i="23"/>
  <c r="W580" i="23" s="1"/>
  <c r="X580" i="23" s="1"/>
  <c r="U580" i="23"/>
  <c r="Q580" i="23"/>
  <c r="G580" i="23"/>
  <c r="F580" i="23"/>
  <c r="D580" i="23"/>
  <c r="V579" i="23"/>
  <c r="U579" i="23"/>
  <c r="Q579" i="23"/>
  <c r="G579" i="23"/>
  <c r="F579" i="23"/>
  <c r="D579" i="23"/>
  <c r="V578" i="23"/>
  <c r="U578" i="23"/>
  <c r="Q578" i="23"/>
  <c r="G578" i="23"/>
  <c r="F578" i="23"/>
  <c r="D578" i="23"/>
  <c r="W577" i="23"/>
  <c r="X577" i="23" s="1"/>
  <c r="V577" i="23"/>
  <c r="U577" i="23"/>
  <c r="Q577" i="23"/>
  <c r="G577" i="23"/>
  <c r="F577" i="23"/>
  <c r="D577" i="23"/>
  <c r="V576" i="23"/>
  <c r="U576" i="23"/>
  <c r="Q576" i="23"/>
  <c r="G576" i="23"/>
  <c r="F576" i="23"/>
  <c r="D576" i="23"/>
  <c r="V575" i="23"/>
  <c r="U575" i="23"/>
  <c r="Q575" i="23"/>
  <c r="G575" i="23"/>
  <c r="F575" i="23"/>
  <c r="D575" i="23"/>
  <c r="V574" i="23"/>
  <c r="U574" i="23"/>
  <c r="Q574" i="23"/>
  <c r="G574" i="23"/>
  <c r="F574" i="23"/>
  <c r="D574" i="23"/>
  <c r="V573" i="23"/>
  <c r="U573" i="23"/>
  <c r="Q573" i="23"/>
  <c r="G573" i="23"/>
  <c r="F573" i="23"/>
  <c r="D573" i="23"/>
  <c r="W572" i="23"/>
  <c r="X572" i="23" s="1"/>
  <c r="V572" i="23"/>
  <c r="U572" i="23"/>
  <c r="Q572" i="23"/>
  <c r="G572" i="23"/>
  <c r="F572" i="23"/>
  <c r="D572" i="23"/>
  <c r="V571" i="23"/>
  <c r="U571" i="23"/>
  <c r="Q571" i="23"/>
  <c r="G571" i="23"/>
  <c r="F571" i="23"/>
  <c r="D571" i="23"/>
  <c r="V570" i="23"/>
  <c r="U570" i="23"/>
  <c r="W570" i="23" s="1"/>
  <c r="Q570" i="23"/>
  <c r="G570" i="23"/>
  <c r="F570" i="23"/>
  <c r="D570" i="23"/>
  <c r="V569" i="23"/>
  <c r="U569" i="23"/>
  <c r="W569" i="23" s="1"/>
  <c r="X569" i="23" s="1"/>
  <c r="Q569" i="23"/>
  <c r="G569" i="23"/>
  <c r="F569" i="23"/>
  <c r="D569" i="23"/>
  <c r="V568" i="23"/>
  <c r="U568" i="23"/>
  <c r="Q568" i="23"/>
  <c r="G568" i="23"/>
  <c r="F568" i="23"/>
  <c r="D568" i="23"/>
  <c r="V567" i="23"/>
  <c r="U567" i="23"/>
  <c r="Q567" i="23"/>
  <c r="G567" i="23"/>
  <c r="F567" i="23"/>
  <c r="D567" i="23"/>
  <c r="V566" i="23"/>
  <c r="U566" i="23"/>
  <c r="Q566" i="23"/>
  <c r="G566" i="23"/>
  <c r="F566" i="23"/>
  <c r="D566" i="23"/>
  <c r="V565" i="23"/>
  <c r="U565" i="23"/>
  <c r="W565" i="23" s="1"/>
  <c r="X565" i="23" s="1"/>
  <c r="Q565" i="23"/>
  <c r="G565" i="23"/>
  <c r="F565" i="23"/>
  <c r="D565" i="23"/>
  <c r="V564" i="23"/>
  <c r="U564" i="23"/>
  <c r="Q564" i="23"/>
  <c r="G564" i="23"/>
  <c r="F564" i="23"/>
  <c r="D564" i="23"/>
  <c r="V563" i="23"/>
  <c r="U563" i="23"/>
  <c r="Q563" i="23"/>
  <c r="G563" i="23"/>
  <c r="F563" i="23"/>
  <c r="D563" i="23"/>
  <c r="V562" i="23"/>
  <c r="U562" i="23"/>
  <c r="Q562" i="23"/>
  <c r="G562" i="23"/>
  <c r="F562" i="23"/>
  <c r="D562" i="23"/>
  <c r="V561" i="23"/>
  <c r="W561" i="23" s="1"/>
  <c r="U561" i="23"/>
  <c r="Q561" i="23"/>
  <c r="G561" i="23"/>
  <c r="F561" i="23"/>
  <c r="D561" i="23"/>
  <c r="V560" i="23"/>
  <c r="U560" i="23"/>
  <c r="Q560" i="23"/>
  <c r="G560" i="23"/>
  <c r="F560" i="23"/>
  <c r="D560" i="23"/>
  <c r="V559" i="23"/>
  <c r="U559" i="23"/>
  <c r="Q559" i="23"/>
  <c r="G559" i="23"/>
  <c r="F559" i="23"/>
  <c r="D559" i="23"/>
  <c r="W558" i="23"/>
  <c r="V558" i="23"/>
  <c r="U558" i="23"/>
  <c r="Q558" i="23"/>
  <c r="G558" i="23"/>
  <c r="F558" i="23"/>
  <c r="D558" i="23"/>
  <c r="V557" i="23"/>
  <c r="U557" i="23"/>
  <c r="Q557" i="23"/>
  <c r="G557" i="23"/>
  <c r="F557" i="23"/>
  <c r="D557" i="23"/>
  <c r="V556" i="23"/>
  <c r="U556" i="23"/>
  <c r="W556" i="23" s="1"/>
  <c r="Q556" i="23"/>
  <c r="G556" i="23"/>
  <c r="F556" i="23"/>
  <c r="D556" i="23"/>
  <c r="V555" i="23"/>
  <c r="U555" i="23"/>
  <c r="Q555" i="23"/>
  <c r="G555" i="23"/>
  <c r="F555" i="23"/>
  <c r="D555" i="23"/>
  <c r="V554" i="23"/>
  <c r="U554" i="23"/>
  <c r="Q554" i="23"/>
  <c r="G554" i="23"/>
  <c r="F554" i="23"/>
  <c r="D554" i="23"/>
  <c r="V553" i="23"/>
  <c r="U553" i="23"/>
  <c r="Q553" i="23"/>
  <c r="G553" i="23"/>
  <c r="F553" i="23"/>
  <c r="D553" i="23"/>
  <c r="V552" i="23"/>
  <c r="U552" i="23"/>
  <c r="Q552" i="23"/>
  <c r="G552" i="23"/>
  <c r="F552" i="23"/>
  <c r="D552" i="23"/>
  <c r="W551" i="23"/>
  <c r="X551" i="23" s="1"/>
  <c r="V551" i="23"/>
  <c r="U551" i="23"/>
  <c r="Q551" i="23"/>
  <c r="G551" i="23"/>
  <c r="F551" i="23"/>
  <c r="D551" i="23"/>
  <c r="V550" i="23"/>
  <c r="U550" i="23"/>
  <c r="W550" i="23" s="1"/>
  <c r="Q550" i="23"/>
  <c r="G550" i="23"/>
  <c r="F550" i="23"/>
  <c r="D550" i="23"/>
  <c r="V549" i="23"/>
  <c r="W549" i="23" s="1"/>
  <c r="U549" i="23"/>
  <c r="Q549" i="23"/>
  <c r="G549" i="23"/>
  <c r="F549" i="23"/>
  <c r="D549" i="23"/>
  <c r="V548" i="23"/>
  <c r="U548" i="23"/>
  <c r="Q548" i="23"/>
  <c r="G548" i="23"/>
  <c r="F548" i="23"/>
  <c r="D548" i="23"/>
  <c r="V547" i="23"/>
  <c r="U547" i="23"/>
  <c r="W547" i="23" s="1"/>
  <c r="X547" i="23" s="1"/>
  <c r="Q547" i="23"/>
  <c r="G547" i="23"/>
  <c r="F547" i="23"/>
  <c r="D547" i="23"/>
  <c r="V546" i="23"/>
  <c r="U546" i="23"/>
  <c r="Q546" i="23"/>
  <c r="G546" i="23"/>
  <c r="F546" i="23"/>
  <c r="D546" i="23"/>
  <c r="V545" i="23"/>
  <c r="U545" i="23"/>
  <c r="Q545" i="23"/>
  <c r="G545" i="23"/>
  <c r="F545" i="23"/>
  <c r="D545" i="23"/>
  <c r="V544" i="23"/>
  <c r="U544" i="23"/>
  <c r="Q544" i="23"/>
  <c r="G544" i="23"/>
  <c r="F544" i="23"/>
  <c r="D544" i="23"/>
  <c r="V543" i="23"/>
  <c r="U543" i="23"/>
  <c r="W543" i="23" s="1"/>
  <c r="Q543" i="23"/>
  <c r="G543" i="23"/>
  <c r="F543" i="23"/>
  <c r="D543" i="23"/>
  <c r="V542" i="23"/>
  <c r="U542" i="23"/>
  <c r="Q542" i="23"/>
  <c r="G542" i="23"/>
  <c r="F542" i="23"/>
  <c r="D542" i="23"/>
  <c r="X541" i="23"/>
  <c r="V541" i="23"/>
  <c r="U541" i="23"/>
  <c r="W541" i="23" s="1"/>
  <c r="Q541" i="23"/>
  <c r="G541" i="23"/>
  <c r="F541" i="23"/>
  <c r="D541" i="23"/>
  <c r="V540" i="23"/>
  <c r="U540" i="23"/>
  <c r="Q540" i="23"/>
  <c r="G540" i="23"/>
  <c r="F540" i="23"/>
  <c r="D540" i="23"/>
  <c r="V539" i="23"/>
  <c r="U539" i="23"/>
  <c r="W539" i="23" s="1"/>
  <c r="Q539" i="23"/>
  <c r="G539" i="23"/>
  <c r="F539" i="23"/>
  <c r="D539" i="23"/>
  <c r="V538" i="23"/>
  <c r="U538" i="23"/>
  <c r="Q538" i="23"/>
  <c r="G538" i="23"/>
  <c r="F538" i="23"/>
  <c r="D538" i="23"/>
  <c r="V537" i="23"/>
  <c r="U537" i="23"/>
  <c r="Q537" i="23"/>
  <c r="G537" i="23"/>
  <c r="F537" i="23"/>
  <c r="D537" i="23"/>
  <c r="W536" i="23"/>
  <c r="V536" i="23"/>
  <c r="U536" i="23"/>
  <c r="X536" i="23" s="1"/>
  <c r="Q536" i="23"/>
  <c r="G536" i="23"/>
  <c r="F536" i="23"/>
  <c r="D536" i="23"/>
  <c r="V535" i="23"/>
  <c r="U535" i="23"/>
  <c r="Q535" i="23"/>
  <c r="G535" i="23"/>
  <c r="F535" i="23"/>
  <c r="D535" i="23"/>
  <c r="V534" i="23"/>
  <c r="U534" i="23"/>
  <c r="Q534" i="23"/>
  <c r="G534" i="23"/>
  <c r="F534" i="23"/>
  <c r="D534" i="23"/>
  <c r="V533" i="23"/>
  <c r="U533" i="23"/>
  <c r="Q533" i="23"/>
  <c r="G533" i="23"/>
  <c r="F533" i="23"/>
  <c r="D533" i="23"/>
  <c r="V532" i="23"/>
  <c r="U532" i="23"/>
  <c r="Q532" i="23"/>
  <c r="G532" i="23"/>
  <c r="F532" i="23"/>
  <c r="D532" i="23"/>
  <c r="V531" i="23"/>
  <c r="U531" i="23"/>
  <c r="Q531" i="23"/>
  <c r="G531" i="23"/>
  <c r="F531" i="23"/>
  <c r="D531" i="23"/>
  <c r="V530" i="23"/>
  <c r="U530" i="23"/>
  <c r="Q530" i="23"/>
  <c r="G530" i="23"/>
  <c r="F530" i="23"/>
  <c r="D530" i="23"/>
  <c r="V529" i="23"/>
  <c r="U529" i="23"/>
  <c r="W529" i="23" s="1"/>
  <c r="X529" i="23" s="1"/>
  <c r="Q529" i="23"/>
  <c r="G529" i="23"/>
  <c r="F529" i="23"/>
  <c r="D529" i="23"/>
  <c r="V528" i="23"/>
  <c r="U528" i="23"/>
  <c r="Q528" i="23"/>
  <c r="G528" i="23"/>
  <c r="F528" i="23"/>
  <c r="D528" i="23"/>
  <c r="V527" i="23"/>
  <c r="U527" i="23"/>
  <c r="W527" i="23" s="1"/>
  <c r="X527" i="23" s="1"/>
  <c r="Q527" i="23"/>
  <c r="G527" i="23"/>
  <c r="F527" i="23"/>
  <c r="D527" i="23"/>
  <c r="V526" i="23"/>
  <c r="U526" i="23"/>
  <c r="Q526" i="23"/>
  <c r="G526" i="23"/>
  <c r="F526" i="23"/>
  <c r="D526" i="23"/>
  <c r="V525" i="23"/>
  <c r="W525" i="23" s="1"/>
  <c r="U525" i="23"/>
  <c r="Q525" i="23"/>
  <c r="G525" i="23"/>
  <c r="F525" i="23"/>
  <c r="D525" i="23"/>
  <c r="V524" i="23"/>
  <c r="W524" i="23" s="1"/>
  <c r="U524" i="23"/>
  <c r="Q524" i="23"/>
  <c r="G524" i="23"/>
  <c r="F524" i="23"/>
  <c r="D524" i="23"/>
  <c r="X523" i="23"/>
  <c r="V523" i="23"/>
  <c r="U523" i="23"/>
  <c r="W523" i="23" s="1"/>
  <c r="Q523" i="23"/>
  <c r="G523" i="23"/>
  <c r="F523" i="23"/>
  <c r="D523" i="23"/>
  <c r="V522" i="23"/>
  <c r="U522" i="23"/>
  <c r="Q522" i="23"/>
  <c r="G522" i="23"/>
  <c r="F522" i="23"/>
  <c r="D522" i="23"/>
  <c r="V521" i="23"/>
  <c r="U521" i="23"/>
  <c r="Q521" i="23"/>
  <c r="G521" i="23"/>
  <c r="F521" i="23"/>
  <c r="D521" i="23"/>
  <c r="V520" i="23"/>
  <c r="U520" i="23"/>
  <c r="Q520" i="23"/>
  <c r="G520" i="23"/>
  <c r="F520" i="23"/>
  <c r="D520" i="23"/>
  <c r="V519" i="23"/>
  <c r="U519" i="23"/>
  <c r="Q519" i="23"/>
  <c r="G519" i="23"/>
  <c r="F519" i="23"/>
  <c r="D519" i="23"/>
  <c r="V518" i="23"/>
  <c r="U518" i="23"/>
  <c r="Q518" i="23"/>
  <c r="G518" i="23"/>
  <c r="F518" i="23"/>
  <c r="D518" i="23"/>
  <c r="V517" i="23"/>
  <c r="U517" i="23"/>
  <c r="Q517" i="23"/>
  <c r="G517" i="23"/>
  <c r="F517" i="23"/>
  <c r="D517" i="23"/>
  <c r="V516" i="23"/>
  <c r="U516" i="23"/>
  <c r="Q516" i="23"/>
  <c r="G516" i="23"/>
  <c r="F516" i="23"/>
  <c r="D516" i="23"/>
  <c r="V515" i="23"/>
  <c r="U515" i="23"/>
  <c r="Q515" i="23"/>
  <c r="G515" i="23"/>
  <c r="F515" i="23"/>
  <c r="D515" i="23"/>
  <c r="V514" i="23"/>
  <c r="U514" i="23"/>
  <c r="W514" i="23" s="1"/>
  <c r="Q514" i="23"/>
  <c r="G514" i="23"/>
  <c r="F514" i="23"/>
  <c r="D514" i="23"/>
  <c r="V513" i="23"/>
  <c r="W513" i="23" s="1"/>
  <c r="U513" i="23"/>
  <c r="Q513" i="23"/>
  <c r="G513" i="23"/>
  <c r="F513" i="23"/>
  <c r="D513" i="23"/>
  <c r="V512" i="23"/>
  <c r="U512" i="23"/>
  <c r="W512" i="23" s="1"/>
  <c r="X512" i="23" s="1"/>
  <c r="Q512" i="23"/>
  <c r="G512" i="23"/>
  <c r="F512" i="23"/>
  <c r="D512" i="23"/>
  <c r="V511" i="23"/>
  <c r="U511" i="23"/>
  <c r="W511" i="23" s="1"/>
  <c r="X511" i="23" s="1"/>
  <c r="Q511" i="23"/>
  <c r="G511" i="23"/>
  <c r="F511" i="23"/>
  <c r="D511" i="23"/>
  <c r="V510" i="23"/>
  <c r="U510" i="23"/>
  <c r="Q510" i="23"/>
  <c r="G510" i="23"/>
  <c r="F510" i="23"/>
  <c r="D510" i="23"/>
  <c r="V509" i="23"/>
  <c r="U509" i="23"/>
  <c r="Q509" i="23"/>
  <c r="G509" i="23"/>
  <c r="F509" i="23"/>
  <c r="D509" i="23"/>
  <c r="W508" i="23"/>
  <c r="X508" i="23" s="1"/>
  <c r="V508" i="23"/>
  <c r="U508" i="23"/>
  <c r="Q508" i="23"/>
  <c r="G508" i="23"/>
  <c r="F508" i="23"/>
  <c r="D508" i="23"/>
  <c r="V507" i="23"/>
  <c r="U507" i="23"/>
  <c r="Q507" i="23"/>
  <c r="G507" i="23"/>
  <c r="F507" i="23"/>
  <c r="D507" i="23"/>
  <c r="V506" i="23"/>
  <c r="U506" i="23"/>
  <c r="Q506" i="23"/>
  <c r="G506" i="23"/>
  <c r="F506" i="23"/>
  <c r="D506" i="23"/>
  <c r="V505" i="23"/>
  <c r="U505" i="23"/>
  <c r="Q505" i="23"/>
  <c r="G505" i="23"/>
  <c r="F505" i="23"/>
  <c r="D505" i="23"/>
  <c r="V504" i="23"/>
  <c r="U504" i="23"/>
  <c r="Q504" i="23"/>
  <c r="G504" i="23"/>
  <c r="F504" i="23"/>
  <c r="D504" i="23"/>
  <c r="V503" i="23"/>
  <c r="U503" i="23"/>
  <c r="Q503" i="23"/>
  <c r="G503" i="23"/>
  <c r="F503" i="23"/>
  <c r="D503" i="23"/>
  <c r="X502" i="23"/>
  <c r="V502" i="23"/>
  <c r="U502" i="23"/>
  <c r="W502" i="23" s="1"/>
  <c r="Q502" i="23"/>
  <c r="G502" i="23"/>
  <c r="F502" i="23"/>
  <c r="D502" i="23"/>
  <c r="V501" i="23"/>
  <c r="U501" i="23"/>
  <c r="W501" i="23" s="1"/>
  <c r="Q501" i="23"/>
  <c r="G501" i="23"/>
  <c r="F501" i="23"/>
  <c r="D501" i="23"/>
  <c r="V500" i="23"/>
  <c r="U500" i="23"/>
  <c r="W500" i="23" s="1"/>
  <c r="X500" i="23" s="1"/>
  <c r="Q500" i="23"/>
  <c r="G500" i="23"/>
  <c r="F500" i="23"/>
  <c r="D500" i="23"/>
  <c r="V499" i="23"/>
  <c r="U499" i="23"/>
  <c r="Q499" i="23"/>
  <c r="G499" i="23"/>
  <c r="F499" i="23"/>
  <c r="D499" i="23"/>
  <c r="V498" i="23"/>
  <c r="U498" i="23"/>
  <c r="Q498" i="23"/>
  <c r="G498" i="23"/>
  <c r="F498" i="23"/>
  <c r="D498" i="23"/>
  <c r="V497" i="23"/>
  <c r="U497" i="23"/>
  <c r="Q497" i="23"/>
  <c r="G497" i="23"/>
  <c r="F497" i="23"/>
  <c r="D497" i="23"/>
  <c r="V496" i="23"/>
  <c r="U496" i="23"/>
  <c r="Q496" i="23"/>
  <c r="G496" i="23"/>
  <c r="F496" i="23"/>
  <c r="D496" i="23"/>
  <c r="V495" i="23"/>
  <c r="U495" i="23"/>
  <c r="Q495" i="23"/>
  <c r="G495" i="23"/>
  <c r="F495" i="23"/>
  <c r="D495" i="23"/>
  <c r="V494" i="23"/>
  <c r="U494" i="23"/>
  <c r="Q494" i="23"/>
  <c r="G494" i="23"/>
  <c r="F494" i="23"/>
  <c r="D494" i="23"/>
  <c r="V493" i="23"/>
  <c r="U493" i="23"/>
  <c r="Q493" i="23"/>
  <c r="G493" i="23"/>
  <c r="F493" i="23"/>
  <c r="D493" i="23"/>
  <c r="V492" i="23"/>
  <c r="U492" i="23"/>
  <c r="Q492" i="23"/>
  <c r="G492" i="23"/>
  <c r="F492" i="23"/>
  <c r="D492" i="23"/>
  <c r="V491" i="23"/>
  <c r="U491" i="23"/>
  <c r="Q491" i="23"/>
  <c r="G491" i="23"/>
  <c r="F491" i="23"/>
  <c r="D491" i="23"/>
  <c r="W490" i="23"/>
  <c r="V490" i="23"/>
  <c r="U490" i="23"/>
  <c r="X490" i="23" s="1"/>
  <c r="Q490" i="23"/>
  <c r="G490" i="23"/>
  <c r="F490" i="23"/>
  <c r="D490" i="23"/>
  <c r="V489" i="23"/>
  <c r="W489" i="23" s="1"/>
  <c r="U489" i="23"/>
  <c r="Q489" i="23"/>
  <c r="G489" i="23"/>
  <c r="F489" i="23"/>
  <c r="D489" i="23"/>
  <c r="V488" i="23"/>
  <c r="U488" i="23"/>
  <c r="Q488" i="23"/>
  <c r="G488" i="23"/>
  <c r="F488" i="23"/>
  <c r="D488" i="23"/>
  <c r="V487" i="23"/>
  <c r="U487" i="23"/>
  <c r="Q487" i="23"/>
  <c r="G487" i="23"/>
  <c r="F487" i="23"/>
  <c r="D487" i="23"/>
  <c r="V486" i="23"/>
  <c r="W486" i="23" s="1"/>
  <c r="U486" i="23"/>
  <c r="Q486" i="23"/>
  <c r="G486" i="23"/>
  <c r="F486" i="23"/>
  <c r="D486" i="23"/>
  <c r="V485" i="23"/>
  <c r="U485" i="23"/>
  <c r="Q485" i="23"/>
  <c r="G485" i="23"/>
  <c r="F485" i="23"/>
  <c r="D485" i="23"/>
  <c r="V484" i="23"/>
  <c r="U484" i="23"/>
  <c r="W484" i="23" s="1"/>
  <c r="Q484" i="23"/>
  <c r="G484" i="23"/>
  <c r="F484" i="23"/>
  <c r="D484" i="23"/>
  <c r="V483" i="23"/>
  <c r="U483" i="23"/>
  <c r="Q483" i="23"/>
  <c r="G483" i="23"/>
  <c r="F483" i="23"/>
  <c r="D483" i="23"/>
  <c r="V482" i="23"/>
  <c r="U482" i="23"/>
  <c r="W482" i="23" s="1"/>
  <c r="Q482" i="23"/>
  <c r="G482" i="23"/>
  <c r="F482" i="23"/>
  <c r="D482" i="23"/>
  <c r="V481" i="23"/>
  <c r="U481" i="23"/>
  <c r="Q481" i="23"/>
  <c r="G481" i="23"/>
  <c r="F481" i="23"/>
  <c r="D481" i="23"/>
  <c r="V480" i="23"/>
  <c r="U480" i="23"/>
  <c r="Q480" i="23"/>
  <c r="G480" i="23"/>
  <c r="F480" i="23"/>
  <c r="D480" i="23"/>
  <c r="V479" i="23"/>
  <c r="U479" i="23"/>
  <c r="W479" i="23" s="1"/>
  <c r="X479" i="23" s="1"/>
  <c r="Q479" i="23"/>
  <c r="G479" i="23"/>
  <c r="F479" i="23"/>
  <c r="D479" i="23"/>
  <c r="V478" i="23"/>
  <c r="U478" i="23"/>
  <c r="Q478" i="23"/>
  <c r="G478" i="23"/>
  <c r="F478" i="23"/>
  <c r="D478" i="23"/>
  <c r="V477" i="23"/>
  <c r="U477" i="23"/>
  <c r="Q477" i="23"/>
  <c r="G477" i="23"/>
  <c r="F477" i="23"/>
  <c r="D477" i="23"/>
  <c r="V476" i="23"/>
  <c r="U476" i="23"/>
  <c r="Q476" i="23"/>
  <c r="G476" i="23"/>
  <c r="F476" i="23"/>
  <c r="D476" i="23"/>
  <c r="W475" i="23"/>
  <c r="V475" i="23"/>
  <c r="U475" i="23"/>
  <c r="X475" i="23" s="1"/>
  <c r="Q475" i="23"/>
  <c r="G475" i="23"/>
  <c r="F475" i="23"/>
  <c r="D475" i="23"/>
  <c r="V474" i="23"/>
  <c r="U474" i="23"/>
  <c r="Q474" i="23"/>
  <c r="G474" i="23"/>
  <c r="F474" i="23"/>
  <c r="D474" i="23"/>
  <c r="V473" i="23"/>
  <c r="U473" i="23"/>
  <c r="Q473" i="23"/>
  <c r="G473" i="23"/>
  <c r="F473" i="23"/>
  <c r="D473" i="23"/>
  <c r="V472" i="23"/>
  <c r="U472" i="23"/>
  <c r="Q472" i="23"/>
  <c r="G472" i="23"/>
  <c r="F472" i="23"/>
  <c r="D472" i="23"/>
  <c r="V471" i="23"/>
  <c r="U471" i="23"/>
  <c r="W471" i="23" s="1"/>
  <c r="Q471" i="23"/>
  <c r="G471" i="23"/>
  <c r="F471" i="23"/>
  <c r="D471" i="23"/>
  <c r="V470" i="23"/>
  <c r="U470" i="23"/>
  <c r="Q470" i="23"/>
  <c r="G470" i="23"/>
  <c r="F470" i="23"/>
  <c r="D470" i="23"/>
  <c r="V469" i="23"/>
  <c r="U469" i="23"/>
  <c r="W469" i="23" s="1"/>
  <c r="X469" i="23" s="1"/>
  <c r="Q469" i="23"/>
  <c r="G469" i="23"/>
  <c r="F469" i="23"/>
  <c r="D469" i="23"/>
  <c r="V468" i="23"/>
  <c r="U468" i="23"/>
  <c r="Q468" i="23"/>
  <c r="G468" i="23"/>
  <c r="F468" i="23"/>
  <c r="D468" i="23"/>
  <c r="V467" i="23"/>
  <c r="U467" i="23"/>
  <c r="Q467" i="23"/>
  <c r="G467" i="23"/>
  <c r="F467" i="23"/>
  <c r="D467" i="23"/>
  <c r="V466" i="23"/>
  <c r="U466" i="23"/>
  <c r="W466" i="23" s="1"/>
  <c r="Q466" i="23"/>
  <c r="G466" i="23"/>
  <c r="F466" i="23"/>
  <c r="D466" i="23"/>
  <c r="V465" i="23"/>
  <c r="U465" i="23"/>
  <c r="Q465" i="23"/>
  <c r="G465" i="23"/>
  <c r="F465" i="23"/>
  <c r="D465" i="23"/>
  <c r="V464" i="23"/>
  <c r="U464" i="23"/>
  <c r="Q464" i="23"/>
  <c r="G464" i="23"/>
  <c r="F464" i="23"/>
  <c r="D464" i="23"/>
  <c r="V463" i="23"/>
  <c r="W463" i="23" s="1"/>
  <c r="U463" i="23"/>
  <c r="Q463" i="23"/>
  <c r="G463" i="23"/>
  <c r="F463" i="23"/>
  <c r="D463" i="23"/>
  <c r="W462" i="23"/>
  <c r="V462" i="23"/>
  <c r="U462" i="23"/>
  <c r="Q462" i="23"/>
  <c r="G462" i="23"/>
  <c r="F462" i="23"/>
  <c r="D462" i="23"/>
  <c r="V461" i="23"/>
  <c r="U461" i="23"/>
  <c r="Q461" i="23"/>
  <c r="G461" i="23"/>
  <c r="F461" i="23"/>
  <c r="D461" i="23"/>
  <c r="V460" i="23"/>
  <c r="U460" i="23"/>
  <c r="Q460" i="23"/>
  <c r="G460" i="23"/>
  <c r="F460" i="23"/>
  <c r="D460" i="23"/>
  <c r="V459" i="23"/>
  <c r="U459" i="23"/>
  <c r="Q459" i="23"/>
  <c r="G459" i="23"/>
  <c r="F459" i="23"/>
  <c r="D459" i="23"/>
  <c r="V458" i="23"/>
  <c r="U458" i="23"/>
  <c r="W458" i="23" s="1"/>
  <c r="Q458" i="23"/>
  <c r="G458" i="23"/>
  <c r="F458" i="23"/>
  <c r="D458" i="23"/>
  <c r="V457" i="23"/>
  <c r="W457" i="23" s="1"/>
  <c r="X457" i="23" s="1"/>
  <c r="U457" i="23"/>
  <c r="Q457" i="23"/>
  <c r="G457" i="23"/>
  <c r="F457" i="23"/>
  <c r="D457" i="23"/>
  <c r="V456" i="23"/>
  <c r="U456" i="23"/>
  <c r="Q456" i="23"/>
  <c r="G456" i="23"/>
  <c r="F456" i="23"/>
  <c r="D456" i="23"/>
  <c r="V455" i="23"/>
  <c r="U455" i="23"/>
  <c r="Q455" i="23"/>
  <c r="G455" i="23"/>
  <c r="F455" i="23"/>
  <c r="D455" i="23"/>
  <c r="V454" i="23"/>
  <c r="U454" i="23"/>
  <c r="Q454" i="23"/>
  <c r="G454" i="23"/>
  <c r="F454" i="23"/>
  <c r="D454" i="23"/>
  <c r="W453" i="23"/>
  <c r="V453" i="23"/>
  <c r="U453" i="23"/>
  <c r="Q453" i="23"/>
  <c r="G453" i="23"/>
  <c r="F453" i="23"/>
  <c r="D453" i="23"/>
  <c r="V452" i="23"/>
  <c r="U452" i="23"/>
  <c r="Q452" i="23"/>
  <c r="G452" i="23"/>
  <c r="F452" i="23"/>
  <c r="D452" i="23"/>
  <c r="V451" i="23"/>
  <c r="W451" i="23" s="1"/>
  <c r="X451" i="23" s="1"/>
  <c r="U451" i="23"/>
  <c r="Q451" i="23"/>
  <c r="G451" i="23"/>
  <c r="F451" i="23"/>
  <c r="D451" i="23"/>
  <c r="V450" i="23"/>
  <c r="U450" i="23"/>
  <c r="Q450" i="23"/>
  <c r="G450" i="23"/>
  <c r="F450" i="23"/>
  <c r="D450" i="23"/>
  <c r="V449" i="23"/>
  <c r="U449" i="23"/>
  <c r="Q449" i="23"/>
  <c r="G449" i="23"/>
  <c r="F449" i="23"/>
  <c r="D449" i="23"/>
  <c r="V448" i="23"/>
  <c r="U448" i="23"/>
  <c r="Q448" i="23"/>
  <c r="G448" i="23"/>
  <c r="F448" i="23"/>
  <c r="D448" i="23"/>
  <c r="V447" i="23"/>
  <c r="U447" i="23"/>
  <c r="Q447" i="23"/>
  <c r="G447" i="23"/>
  <c r="F447" i="23"/>
  <c r="D447" i="23"/>
  <c r="V446" i="23"/>
  <c r="U446" i="23"/>
  <c r="W446" i="23" s="1"/>
  <c r="X446" i="23" s="1"/>
  <c r="Q446" i="23"/>
  <c r="G446" i="23"/>
  <c r="F446" i="23"/>
  <c r="D446" i="23"/>
  <c r="V445" i="23"/>
  <c r="U445" i="23"/>
  <c r="Q445" i="23"/>
  <c r="G445" i="23"/>
  <c r="F445" i="23"/>
  <c r="D445" i="23"/>
  <c r="V444" i="23"/>
  <c r="U444" i="23"/>
  <c r="Q444" i="23"/>
  <c r="G444" i="23"/>
  <c r="F444" i="23"/>
  <c r="D444" i="23"/>
  <c r="W443" i="23"/>
  <c r="V443" i="23"/>
  <c r="U443" i="23"/>
  <c r="X443" i="23" s="1"/>
  <c r="Q443" i="23"/>
  <c r="G443" i="23"/>
  <c r="F443" i="23"/>
  <c r="D443" i="23"/>
  <c r="V442" i="23"/>
  <c r="U442" i="23"/>
  <c r="Q442" i="23"/>
  <c r="G442" i="23"/>
  <c r="F442" i="23"/>
  <c r="D442" i="23"/>
  <c r="V441" i="23"/>
  <c r="U441" i="23"/>
  <c r="Q441" i="23"/>
  <c r="G441" i="23"/>
  <c r="F441" i="23"/>
  <c r="D441" i="23"/>
  <c r="V440" i="23"/>
  <c r="U440" i="23"/>
  <c r="W440" i="23" s="1"/>
  <c r="Q440" i="23"/>
  <c r="G440" i="23"/>
  <c r="F440" i="23"/>
  <c r="D440" i="23"/>
  <c r="V439" i="23"/>
  <c r="U439" i="23"/>
  <c r="W439" i="23" s="1"/>
  <c r="X439" i="23" s="1"/>
  <c r="Q439" i="23"/>
  <c r="G439" i="23"/>
  <c r="F439" i="23"/>
  <c r="D439" i="23"/>
  <c r="V438" i="23"/>
  <c r="U438" i="23"/>
  <c r="Q438" i="23"/>
  <c r="G438" i="23"/>
  <c r="F438" i="23"/>
  <c r="D438" i="23"/>
  <c r="V437" i="23"/>
  <c r="W437" i="23" s="1"/>
  <c r="U437" i="23"/>
  <c r="Q437" i="23"/>
  <c r="G437" i="23"/>
  <c r="F437" i="23"/>
  <c r="D437" i="23"/>
  <c r="V436" i="23"/>
  <c r="W436" i="23" s="1"/>
  <c r="X436" i="23" s="1"/>
  <c r="U436" i="23"/>
  <c r="Q436" i="23"/>
  <c r="G436" i="23"/>
  <c r="F436" i="23"/>
  <c r="D436" i="23"/>
  <c r="V435" i="23"/>
  <c r="U435" i="23"/>
  <c r="Q435" i="23"/>
  <c r="G435" i="23"/>
  <c r="F435" i="23"/>
  <c r="D435" i="23"/>
  <c r="V434" i="23"/>
  <c r="U434" i="23"/>
  <c r="Q434" i="23"/>
  <c r="G434" i="23"/>
  <c r="F434" i="23"/>
  <c r="D434" i="23"/>
  <c r="V433" i="23"/>
  <c r="U433" i="23"/>
  <c r="Q433" i="23"/>
  <c r="G433" i="23"/>
  <c r="F433" i="23"/>
  <c r="D433" i="23"/>
  <c r="V432" i="23"/>
  <c r="W432" i="23" s="1"/>
  <c r="U432" i="23"/>
  <c r="Q432" i="23"/>
  <c r="G432" i="23"/>
  <c r="F432" i="23"/>
  <c r="D432" i="23"/>
  <c r="V431" i="23"/>
  <c r="U431" i="23"/>
  <c r="W431" i="23" s="1"/>
  <c r="Q431" i="23"/>
  <c r="G431" i="23"/>
  <c r="F431" i="23"/>
  <c r="D431" i="23"/>
  <c r="V430" i="23"/>
  <c r="U430" i="23"/>
  <c r="Q430" i="23"/>
  <c r="G430" i="23"/>
  <c r="F430" i="23"/>
  <c r="D430" i="23"/>
  <c r="V429" i="23"/>
  <c r="U429" i="23"/>
  <c r="Q429" i="23"/>
  <c r="G429" i="23"/>
  <c r="F429" i="23"/>
  <c r="D429" i="23"/>
  <c r="W428" i="23"/>
  <c r="X428" i="23" s="1"/>
  <c r="V428" i="23"/>
  <c r="U428" i="23"/>
  <c r="Q428" i="23"/>
  <c r="G428" i="23"/>
  <c r="F428" i="23"/>
  <c r="D428" i="23"/>
  <c r="V427" i="23"/>
  <c r="U427" i="23"/>
  <c r="Q427" i="23"/>
  <c r="G427" i="23"/>
  <c r="F427" i="23"/>
  <c r="D427" i="23"/>
  <c r="V426" i="23"/>
  <c r="U426" i="23"/>
  <c r="W426" i="23" s="1"/>
  <c r="Q426" i="23"/>
  <c r="G426" i="23"/>
  <c r="F426" i="23"/>
  <c r="D426" i="23"/>
  <c r="V425" i="23"/>
  <c r="W425" i="23" s="1"/>
  <c r="X425" i="23" s="1"/>
  <c r="U425" i="23"/>
  <c r="Q425" i="23"/>
  <c r="G425" i="23"/>
  <c r="F425" i="23"/>
  <c r="D425" i="23"/>
  <c r="V424" i="23"/>
  <c r="U424" i="23"/>
  <c r="Q424" i="23"/>
  <c r="G424" i="23"/>
  <c r="F424" i="23"/>
  <c r="D424" i="23"/>
  <c r="V423" i="23"/>
  <c r="U423" i="23"/>
  <c r="Q423" i="23"/>
  <c r="G423" i="23"/>
  <c r="F423" i="23"/>
  <c r="D423" i="23"/>
  <c r="V422" i="23"/>
  <c r="W422" i="23" s="1"/>
  <c r="X422" i="23" s="1"/>
  <c r="U422" i="23"/>
  <c r="Q422" i="23"/>
  <c r="G422" i="23"/>
  <c r="F422" i="23"/>
  <c r="D422" i="23"/>
  <c r="V421" i="23"/>
  <c r="U421" i="23"/>
  <c r="Q421" i="23"/>
  <c r="G421" i="23"/>
  <c r="F421" i="23"/>
  <c r="D421" i="23"/>
  <c r="V420" i="23"/>
  <c r="U420" i="23"/>
  <c r="Q420" i="23"/>
  <c r="G420" i="23"/>
  <c r="F420" i="23"/>
  <c r="D420" i="23"/>
  <c r="V419" i="23"/>
  <c r="W419" i="23" s="1"/>
  <c r="U419" i="23"/>
  <c r="Q419" i="23"/>
  <c r="G419" i="23"/>
  <c r="F419" i="23"/>
  <c r="D419" i="23"/>
  <c r="V418" i="23"/>
  <c r="U418" i="23"/>
  <c r="Q418" i="23"/>
  <c r="G418" i="23"/>
  <c r="F418" i="23"/>
  <c r="D418" i="23"/>
  <c r="V417" i="23"/>
  <c r="U417" i="23"/>
  <c r="W417" i="23" s="1"/>
  <c r="Q417" i="23"/>
  <c r="G417" i="23"/>
  <c r="F417" i="23"/>
  <c r="D417" i="23"/>
  <c r="V416" i="23"/>
  <c r="U416" i="23"/>
  <c r="Q416" i="23"/>
  <c r="G416" i="23"/>
  <c r="F416" i="23"/>
  <c r="D416" i="23"/>
  <c r="V415" i="23"/>
  <c r="U415" i="23"/>
  <c r="Q415" i="23"/>
  <c r="G415" i="23"/>
  <c r="F415" i="23"/>
  <c r="D415" i="23"/>
  <c r="V414" i="23"/>
  <c r="U414" i="23"/>
  <c r="Q414" i="23"/>
  <c r="G414" i="23"/>
  <c r="F414" i="23"/>
  <c r="D414" i="23"/>
  <c r="V413" i="23"/>
  <c r="U413" i="23"/>
  <c r="Q413" i="23"/>
  <c r="G413" i="23"/>
  <c r="F413" i="23"/>
  <c r="D413" i="23"/>
  <c r="V412" i="23"/>
  <c r="W412" i="23" s="1"/>
  <c r="U412" i="23"/>
  <c r="Q412" i="23"/>
  <c r="G412" i="23"/>
  <c r="F412" i="23"/>
  <c r="D412" i="23"/>
  <c r="V411" i="23"/>
  <c r="U411" i="23"/>
  <c r="Q411" i="23"/>
  <c r="G411" i="23"/>
  <c r="F411" i="23"/>
  <c r="D411" i="23"/>
  <c r="V410" i="23"/>
  <c r="U410" i="23"/>
  <c r="Q410" i="23"/>
  <c r="G410" i="23"/>
  <c r="F410" i="23"/>
  <c r="D410" i="23"/>
  <c r="V409" i="23"/>
  <c r="U409" i="23"/>
  <c r="Q409" i="23"/>
  <c r="G409" i="23"/>
  <c r="F409" i="23"/>
  <c r="D409" i="23"/>
  <c r="V408" i="23"/>
  <c r="U408" i="23"/>
  <c r="Q408" i="23"/>
  <c r="G408" i="23"/>
  <c r="F408" i="23"/>
  <c r="D408" i="23"/>
  <c r="V407" i="23"/>
  <c r="U407" i="23"/>
  <c r="W407" i="23" s="1"/>
  <c r="X407" i="23" s="1"/>
  <c r="Q407" i="23"/>
  <c r="G407" i="23"/>
  <c r="F407" i="23"/>
  <c r="D407" i="23"/>
  <c r="V406" i="23"/>
  <c r="U406" i="23"/>
  <c r="Q406" i="23"/>
  <c r="G406" i="23"/>
  <c r="F406" i="23"/>
  <c r="D406" i="23"/>
  <c r="V405" i="23"/>
  <c r="U405" i="23"/>
  <c r="W405" i="23" s="1"/>
  <c r="Q405" i="23"/>
  <c r="G405" i="23"/>
  <c r="F405" i="23"/>
  <c r="D405" i="23"/>
  <c r="V404" i="23"/>
  <c r="U404" i="23"/>
  <c r="W404" i="23" s="1"/>
  <c r="Q404" i="23"/>
  <c r="G404" i="23"/>
  <c r="F404" i="23"/>
  <c r="D404" i="23"/>
  <c r="V403" i="23"/>
  <c r="U403" i="23"/>
  <c r="W403" i="23" s="1"/>
  <c r="X403" i="23" s="1"/>
  <c r="Q403" i="23"/>
  <c r="G403" i="23"/>
  <c r="F403" i="23"/>
  <c r="D403" i="23"/>
  <c r="V402" i="23"/>
  <c r="U402" i="23"/>
  <c r="Q402" i="23"/>
  <c r="G402" i="23"/>
  <c r="F402" i="23"/>
  <c r="D402" i="23"/>
  <c r="V401" i="23"/>
  <c r="U401" i="23"/>
  <c r="Q401" i="23"/>
  <c r="G401" i="23"/>
  <c r="F401" i="23"/>
  <c r="D401" i="23"/>
  <c r="V400" i="23"/>
  <c r="U400" i="23"/>
  <c r="W400" i="23" s="1"/>
  <c r="X400" i="23" s="1"/>
  <c r="Q400" i="23"/>
  <c r="G400" i="23"/>
  <c r="F400" i="23"/>
  <c r="D400" i="23"/>
  <c r="V399" i="23"/>
  <c r="U399" i="23"/>
  <c r="Q399" i="23"/>
  <c r="G399" i="23"/>
  <c r="F399" i="23"/>
  <c r="D399" i="23"/>
  <c r="V398" i="23"/>
  <c r="U398" i="23"/>
  <c r="Q398" i="23"/>
  <c r="G398" i="23"/>
  <c r="F398" i="23"/>
  <c r="D398" i="23"/>
  <c r="V397" i="23"/>
  <c r="U397" i="23"/>
  <c r="Q397" i="23"/>
  <c r="G397" i="23"/>
  <c r="F397" i="23"/>
  <c r="D397" i="23"/>
  <c r="V396" i="23"/>
  <c r="U396" i="23"/>
  <c r="Q396" i="23"/>
  <c r="G396" i="23"/>
  <c r="F396" i="23"/>
  <c r="D396" i="23"/>
  <c r="V395" i="23"/>
  <c r="U395" i="23"/>
  <c r="W395" i="23" s="1"/>
  <c r="Q395" i="23"/>
  <c r="G395" i="23"/>
  <c r="F395" i="23"/>
  <c r="D395" i="23"/>
  <c r="V394" i="23"/>
  <c r="W394" i="23" s="1"/>
  <c r="X394" i="23" s="1"/>
  <c r="U394" i="23"/>
  <c r="Q394" i="23"/>
  <c r="G394" i="23"/>
  <c r="F394" i="23"/>
  <c r="D394" i="23"/>
  <c r="W393" i="23"/>
  <c r="V393" i="23"/>
  <c r="U393" i="23"/>
  <c r="Q393" i="23"/>
  <c r="G393" i="23"/>
  <c r="F393" i="23"/>
  <c r="D393" i="23"/>
  <c r="V392" i="23"/>
  <c r="U392" i="23"/>
  <c r="Q392" i="23"/>
  <c r="G392" i="23"/>
  <c r="F392" i="23"/>
  <c r="D392" i="23"/>
  <c r="V391" i="23"/>
  <c r="U391" i="23"/>
  <c r="Q391" i="23"/>
  <c r="G391" i="23"/>
  <c r="F391" i="23"/>
  <c r="D391" i="23"/>
  <c r="V390" i="23"/>
  <c r="U390" i="23"/>
  <c r="W390" i="23" s="1"/>
  <c r="Q390" i="23"/>
  <c r="G390" i="23"/>
  <c r="F390" i="23"/>
  <c r="D390" i="23"/>
  <c r="V389" i="23"/>
  <c r="W389" i="23" s="1"/>
  <c r="X389" i="23" s="1"/>
  <c r="U389" i="23"/>
  <c r="Q389" i="23"/>
  <c r="G389" i="23"/>
  <c r="F389" i="23"/>
  <c r="D389" i="23"/>
  <c r="V388" i="23"/>
  <c r="U388" i="23"/>
  <c r="W388" i="23" s="1"/>
  <c r="Q388" i="23"/>
  <c r="G388" i="23"/>
  <c r="F388" i="23"/>
  <c r="D388" i="23"/>
  <c r="V387" i="23"/>
  <c r="U387" i="23"/>
  <c r="Q387" i="23"/>
  <c r="G387" i="23"/>
  <c r="F387" i="23"/>
  <c r="D387" i="23"/>
  <c r="V386" i="23"/>
  <c r="U386" i="23"/>
  <c r="Q386" i="23"/>
  <c r="G386" i="23"/>
  <c r="F386" i="23"/>
  <c r="D386" i="23"/>
  <c r="V385" i="23"/>
  <c r="U385" i="23"/>
  <c r="Q385" i="23"/>
  <c r="G385" i="23"/>
  <c r="F385" i="23"/>
  <c r="D385" i="23"/>
  <c r="V384" i="23"/>
  <c r="U384" i="23"/>
  <c r="Q384" i="23"/>
  <c r="G384" i="23"/>
  <c r="F384" i="23"/>
  <c r="D384" i="23"/>
  <c r="V383" i="23"/>
  <c r="W383" i="23" s="1"/>
  <c r="X383" i="23" s="1"/>
  <c r="U383" i="23"/>
  <c r="Q383" i="23"/>
  <c r="G383" i="23"/>
  <c r="F383" i="23"/>
  <c r="D383" i="23"/>
  <c r="W382" i="23"/>
  <c r="X382" i="23" s="1"/>
  <c r="V382" i="23"/>
  <c r="U382" i="23"/>
  <c r="Q382" i="23"/>
  <c r="G382" i="23"/>
  <c r="F382" i="23"/>
  <c r="D382" i="23"/>
  <c r="V381" i="23"/>
  <c r="U381" i="23"/>
  <c r="W381" i="23" s="1"/>
  <c r="Q381" i="23"/>
  <c r="G381" i="23"/>
  <c r="F381" i="23"/>
  <c r="D381" i="23"/>
  <c r="V380" i="23"/>
  <c r="U380" i="23"/>
  <c r="Q380" i="23"/>
  <c r="G380" i="23"/>
  <c r="F380" i="23"/>
  <c r="D380" i="23"/>
  <c r="V379" i="23"/>
  <c r="U379" i="23"/>
  <c r="W379" i="23" s="1"/>
  <c r="Q379" i="23"/>
  <c r="G379" i="23"/>
  <c r="F379" i="23"/>
  <c r="D379" i="23"/>
  <c r="W378" i="23"/>
  <c r="X378" i="23" s="1"/>
  <c r="V378" i="23"/>
  <c r="U378" i="23"/>
  <c r="Q378" i="23"/>
  <c r="G378" i="23"/>
  <c r="F378" i="23"/>
  <c r="D378" i="23"/>
  <c r="V377" i="23"/>
  <c r="U377" i="23"/>
  <c r="Q377" i="23"/>
  <c r="G377" i="23"/>
  <c r="F377" i="23"/>
  <c r="D377" i="23"/>
  <c r="V376" i="23"/>
  <c r="U376" i="23"/>
  <c r="Q376" i="23"/>
  <c r="G376" i="23"/>
  <c r="F376" i="23"/>
  <c r="D376" i="23"/>
  <c r="V375" i="23"/>
  <c r="U375" i="23"/>
  <c r="Q375" i="23"/>
  <c r="G375" i="23"/>
  <c r="F375" i="23"/>
  <c r="D375" i="23"/>
  <c r="V374" i="23"/>
  <c r="W374" i="23" s="1"/>
  <c r="U374" i="23"/>
  <c r="Q374" i="23"/>
  <c r="G374" i="23"/>
  <c r="F374" i="23"/>
  <c r="D374" i="23"/>
  <c r="V373" i="23"/>
  <c r="U373" i="23"/>
  <c r="Q373" i="23"/>
  <c r="G373" i="23"/>
  <c r="F373" i="23"/>
  <c r="D373" i="23"/>
  <c r="W372" i="23"/>
  <c r="X372" i="23" s="1"/>
  <c r="V372" i="23"/>
  <c r="U372" i="23"/>
  <c r="Q372" i="23"/>
  <c r="G372" i="23"/>
  <c r="F372" i="23"/>
  <c r="D372" i="23"/>
  <c r="V371" i="23"/>
  <c r="U371" i="23"/>
  <c r="Q371" i="23"/>
  <c r="G371" i="23"/>
  <c r="F371" i="23"/>
  <c r="D371" i="23"/>
  <c r="V370" i="23"/>
  <c r="U370" i="23"/>
  <c r="Q370" i="23"/>
  <c r="G370" i="23"/>
  <c r="F370" i="23"/>
  <c r="D370" i="23"/>
  <c r="W369" i="23"/>
  <c r="V369" i="23"/>
  <c r="U369" i="23"/>
  <c r="X369" i="23" s="1"/>
  <c r="Q369" i="23"/>
  <c r="G369" i="23"/>
  <c r="F369" i="23"/>
  <c r="D369" i="23"/>
  <c r="V368" i="23"/>
  <c r="U368" i="23"/>
  <c r="Q368" i="23"/>
  <c r="G368" i="23"/>
  <c r="F368" i="23"/>
  <c r="D368" i="23"/>
  <c r="V367" i="23"/>
  <c r="U367" i="23"/>
  <c r="Q367" i="23"/>
  <c r="G367" i="23"/>
  <c r="F367" i="23"/>
  <c r="D367" i="23"/>
  <c r="V366" i="23"/>
  <c r="U366" i="23"/>
  <c r="W366" i="23" s="1"/>
  <c r="X366" i="23" s="1"/>
  <c r="Q366" i="23"/>
  <c r="G366" i="23"/>
  <c r="F366" i="23"/>
  <c r="D366" i="23"/>
  <c r="V365" i="23"/>
  <c r="W365" i="23" s="1"/>
  <c r="U365" i="23"/>
  <c r="Q365" i="23"/>
  <c r="G365" i="23"/>
  <c r="F365" i="23"/>
  <c r="D365" i="23"/>
  <c r="V364" i="23"/>
  <c r="U364" i="23"/>
  <c r="W364" i="23" s="1"/>
  <c r="Q364" i="23"/>
  <c r="G364" i="23"/>
  <c r="F364" i="23"/>
  <c r="D364" i="23"/>
  <c r="W363" i="23"/>
  <c r="V363" i="23"/>
  <c r="U363" i="23"/>
  <c r="X363" i="23" s="1"/>
  <c r="Q363" i="23"/>
  <c r="G363" i="23"/>
  <c r="F363" i="23"/>
  <c r="D363" i="23"/>
  <c r="V362" i="23"/>
  <c r="U362" i="23"/>
  <c r="Q362" i="23"/>
  <c r="G362" i="23"/>
  <c r="F362" i="23"/>
  <c r="D362" i="23"/>
  <c r="V361" i="23"/>
  <c r="U361" i="23"/>
  <c r="W361" i="23" s="1"/>
  <c r="X361" i="23" s="1"/>
  <c r="Q361" i="23"/>
  <c r="G361" i="23"/>
  <c r="F361" i="23"/>
  <c r="D361" i="23"/>
  <c r="W360" i="23"/>
  <c r="X360" i="23" s="1"/>
  <c r="V360" i="23"/>
  <c r="U360" i="23"/>
  <c r="Q360" i="23"/>
  <c r="G360" i="23"/>
  <c r="F360" i="23"/>
  <c r="D360" i="23"/>
  <c r="V359" i="23"/>
  <c r="U359" i="23"/>
  <c r="Q359" i="23"/>
  <c r="G359" i="23"/>
  <c r="F359" i="23"/>
  <c r="D359" i="23"/>
  <c r="V358" i="23"/>
  <c r="U358" i="23"/>
  <c r="Q358" i="23"/>
  <c r="G358" i="23"/>
  <c r="F358" i="23"/>
  <c r="D358" i="23"/>
  <c r="V357" i="23"/>
  <c r="U357" i="23"/>
  <c r="W357" i="23" s="1"/>
  <c r="Q357" i="23"/>
  <c r="G357" i="23"/>
  <c r="F357" i="23"/>
  <c r="D357" i="23"/>
  <c r="V356" i="23"/>
  <c r="U356" i="23"/>
  <c r="Q356" i="23"/>
  <c r="G356" i="23"/>
  <c r="F356" i="23"/>
  <c r="D356" i="23"/>
  <c r="W355" i="23"/>
  <c r="X355" i="23" s="1"/>
  <c r="V355" i="23"/>
  <c r="U355" i="23"/>
  <c r="Q355" i="23"/>
  <c r="G355" i="23"/>
  <c r="F355" i="23"/>
  <c r="D355" i="23"/>
  <c r="V354" i="23"/>
  <c r="U354" i="23"/>
  <c r="W354" i="23" s="1"/>
  <c r="X354" i="23" s="1"/>
  <c r="Q354" i="23"/>
  <c r="G354" i="23"/>
  <c r="F354" i="23"/>
  <c r="D354" i="23"/>
  <c r="V353" i="23"/>
  <c r="U353" i="23"/>
  <c r="Q353" i="23"/>
  <c r="G353" i="23"/>
  <c r="F353" i="23"/>
  <c r="D353" i="23"/>
  <c r="V352" i="23"/>
  <c r="U352" i="23"/>
  <c r="Q352" i="23"/>
  <c r="G352" i="23"/>
  <c r="F352" i="23"/>
  <c r="D352" i="23"/>
  <c r="V351" i="23"/>
  <c r="W351" i="23" s="1"/>
  <c r="X351" i="23" s="1"/>
  <c r="U351" i="23"/>
  <c r="Q351" i="23"/>
  <c r="G351" i="23"/>
  <c r="F351" i="23"/>
  <c r="D351" i="23"/>
  <c r="V350" i="23"/>
  <c r="U350" i="23"/>
  <c r="W350" i="23" s="1"/>
  <c r="Q350" i="23"/>
  <c r="G350" i="23"/>
  <c r="F350" i="23"/>
  <c r="D350" i="23"/>
  <c r="V349" i="23"/>
  <c r="U349" i="23"/>
  <c r="W349" i="23" s="1"/>
  <c r="Q349" i="23"/>
  <c r="G349" i="23"/>
  <c r="F349" i="23"/>
  <c r="D349" i="23"/>
  <c r="V348" i="23"/>
  <c r="W348" i="23" s="1"/>
  <c r="X348" i="23" s="1"/>
  <c r="U348" i="23"/>
  <c r="Q348" i="23"/>
  <c r="G348" i="23"/>
  <c r="F348" i="23"/>
  <c r="D348" i="23"/>
  <c r="V347" i="23"/>
  <c r="W347" i="23" s="1"/>
  <c r="U347" i="23"/>
  <c r="Q347" i="23"/>
  <c r="G347" i="23"/>
  <c r="F347" i="23"/>
  <c r="D347" i="23"/>
  <c r="X346" i="23"/>
  <c r="V346" i="23"/>
  <c r="U346" i="23"/>
  <c r="W346" i="23" s="1"/>
  <c r="Q346" i="23"/>
  <c r="G346" i="23"/>
  <c r="F346" i="23"/>
  <c r="D346" i="23"/>
  <c r="V345" i="23"/>
  <c r="U345" i="23"/>
  <c r="W345" i="23" s="1"/>
  <c r="X345" i="23" s="1"/>
  <c r="Q345" i="23"/>
  <c r="G345" i="23"/>
  <c r="F345" i="23"/>
  <c r="D345" i="23"/>
  <c r="V344" i="23"/>
  <c r="U344" i="23"/>
  <c r="Q344" i="23"/>
  <c r="G344" i="23"/>
  <c r="F344" i="23"/>
  <c r="D344" i="23"/>
  <c r="V343" i="23"/>
  <c r="U343" i="23"/>
  <c r="Q343" i="23"/>
  <c r="G343" i="23"/>
  <c r="F343" i="23"/>
  <c r="D343" i="23"/>
  <c r="W342" i="23"/>
  <c r="X342" i="23" s="1"/>
  <c r="V342" i="23"/>
  <c r="U342" i="23"/>
  <c r="Q342" i="23"/>
  <c r="G342" i="23"/>
  <c r="F342" i="23"/>
  <c r="D342" i="23"/>
  <c r="V341" i="23"/>
  <c r="U341" i="23"/>
  <c r="W341" i="23" s="1"/>
  <c r="Q341" i="23"/>
  <c r="G341" i="23"/>
  <c r="F341" i="23"/>
  <c r="D341" i="23"/>
  <c r="V340" i="23"/>
  <c r="W340" i="23" s="1"/>
  <c r="X340" i="23" s="1"/>
  <c r="U340" i="23"/>
  <c r="Q340" i="23"/>
  <c r="G340" i="23"/>
  <c r="F340" i="23"/>
  <c r="D340" i="23"/>
  <c r="V339" i="23"/>
  <c r="W339" i="23" s="1"/>
  <c r="X339" i="23" s="1"/>
  <c r="U339" i="23"/>
  <c r="Q339" i="23"/>
  <c r="G339" i="23"/>
  <c r="F339" i="23"/>
  <c r="D339" i="23"/>
  <c r="V338" i="23"/>
  <c r="W338" i="23" s="1"/>
  <c r="U338" i="23"/>
  <c r="Q338" i="23"/>
  <c r="G338" i="23"/>
  <c r="F338" i="23"/>
  <c r="D338" i="23"/>
  <c r="V337" i="23"/>
  <c r="U337" i="23"/>
  <c r="Q337" i="23"/>
  <c r="G337" i="23"/>
  <c r="F337" i="23"/>
  <c r="D337" i="23"/>
  <c r="W336" i="23"/>
  <c r="X336" i="23" s="1"/>
  <c r="V336" i="23"/>
  <c r="U336" i="23"/>
  <c r="Q336" i="23"/>
  <c r="G336" i="23"/>
  <c r="F336" i="23"/>
  <c r="D336" i="23"/>
  <c r="V335" i="23"/>
  <c r="U335" i="23"/>
  <c r="Q335" i="23"/>
  <c r="G335" i="23"/>
  <c r="F335" i="23"/>
  <c r="D335" i="23"/>
  <c r="V334" i="23"/>
  <c r="U334" i="23"/>
  <c r="W334" i="23" s="1"/>
  <c r="Q334" i="23"/>
  <c r="G334" i="23"/>
  <c r="F334" i="23"/>
  <c r="D334" i="23"/>
  <c r="V333" i="23"/>
  <c r="W333" i="23" s="1"/>
  <c r="X333" i="23" s="1"/>
  <c r="U333" i="23"/>
  <c r="Q333" i="23"/>
  <c r="G333" i="23"/>
  <c r="F333" i="23"/>
  <c r="D333" i="23"/>
  <c r="V332" i="23"/>
  <c r="U332" i="23"/>
  <c r="Q332" i="23"/>
  <c r="G332" i="23"/>
  <c r="F332" i="23"/>
  <c r="D332" i="23"/>
  <c r="V331" i="23"/>
  <c r="U331" i="23"/>
  <c r="Q331" i="23"/>
  <c r="G331" i="23"/>
  <c r="F331" i="23"/>
  <c r="D331" i="23"/>
  <c r="V330" i="23"/>
  <c r="U330" i="23"/>
  <c r="W330" i="23" s="1"/>
  <c r="X330" i="23" s="1"/>
  <c r="Q330" i="23"/>
  <c r="G330" i="23"/>
  <c r="F330" i="23"/>
  <c r="D330" i="23"/>
  <c r="V329" i="23"/>
  <c r="U329" i="23"/>
  <c r="Q329" i="23"/>
  <c r="G329" i="23"/>
  <c r="F329" i="23"/>
  <c r="D329" i="23"/>
  <c r="V328" i="23"/>
  <c r="U328" i="23"/>
  <c r="Q328" i="23"/>
  <c r="G328" i="23"/>
  <c r="F328" i="23"/>
  <c r="D328" i="23"/>
  <c r="V327" i="23"/>
  <c r="U327" i="23"/>
  <c r="W327" i="23" s="1"/>
  <c r="X327" i="23" s="1"/>
  <c r="Q327" i="23"/>
  <c r="G327" i="23"/>
  <c r="F327" i="23"/>
  <c r="D327" i="23"/>
  <c r="V326" i="23"/>
  <c r="U326" i="23"/>
  <c r="Q326" i="23"/>
  <c r="G326" i="23"/>
  <c r="F326" i="23"/>
  <c r="D326" i="23"/>
  <c r="V325" i="23"/>
  <c r="U325" i="23"/>
  <c r="W325" i="23" s="1"/>
  <c r="X325" i="23" s="1"/>
  <c r="Q325" i="23"/>
  <c r="G325" i="23"/>
  <c r="F325" i="23"/>
  <c r="D325" i="23"/>
  <c r="V324" i="23"/>
  <c r="W324" i="23" s="1"/>
  <c r="X324" i="23" s="1"/>
  <c r="U324" i="23"/>
  <c r="Q324" i="23"/>
  <c r="G324" i="23"/>
  <c r="F324" i="23"/>
  <c r="D324" i="23"/>
  <c r="V323" i="23"/>
  <c r="U323" i="23"/>
  <c r="W323" i="23" s="1"/>
  <c r="Q323" i="23"/>
  <c r="G323" i="23"/>
  <c r="F323" i="23"/>
  <c r="D323" i="23"/>
  <c r="V322" i="23"/>
  <c r="U322" i="23"/>
  <c r="Q322" i="23"/>
  <c r="G322" i="23"/>
  <c r="F322" i="23"/>
  <c r="D322" i="23"/>
  <c r="W321" i="23"/>
  <c r="X321" i="23" s="1"/>
  <c r="V321" i="23"/>
  <c r="U321" i="23"/>
  <c r="Q321" i="23"/>
  <c r="G321" i="23"/>
  <c r="F321" i="23"/>
  <c r="D321" i="23"/>
  <c r="V320" i="23"/>
  <c r="U320" i="23"/>
  <c r="Q320" i="23"/>
  <c r="G320" i="23"/>
  <c r="F320" i="23"/>
  <c r="D320" i="23"/>
  <c r="V319" i="23"/>
  <c r="U319" i="23"/>
  <c r="W319" i="23" s="1"/>
  <c r="X319" i="23" s="1"/>
  <c r="Q319" i="23"/>
  <c r="G319" i="23"/>
  <c r="F319" i="23"/>
  <c r="D319" i="23"/>
  <c r="V318" i="23"/>
  <c r="U318" i="23"/>
  <c r="W318" i="23" s="1"/>
  <c r="X318" i="23" s="1"/>
  <c r="Q318" i="23"/>
  <c r="G318" i="23"/>
  <c r="F318" i="23"/>
  <c r="D318" i="23"/>
  <c r="V317" i="23"/>
  <c r="U317" i="23"/>
  <c r="Q317" i="23"/>
  <c r="G317" i="23"/>
  <c r="F317" i="23"/>
  <c r="D317" i="23"/>
  <c r="V316" i="23"/>
  <c r="U316" i="23"/>
  <c r="W316" i="23" s="1"/>
  <c r="X316" i="23" s="1"/>
  <c r="Q316" i="23"/>
  <c r="G316" i="23"/>
  <c r="F316" i="23"/>
  <c r="D316" i="23"/>
  <c r="V315" i="23"/>
  <c r="U315" i="23"/>
  <c r="W315" i="23" s="1"/>
  <c r="X315" i="23" s="1"/>
  <c r="Q315" i="23"/>
  <c r="G315" i="23"/>
  <c r="F315" i="23"/>
  <c r="D315" i="23"/>
  <c r="V314" i="23"/>
  <c r="W314" i="23" s="1"/>
  <c r="U314" i="23"/>
  <c r="Q314" i="23"/>
  <c r="G314" i="23"/>
  <c r="F314" i="23"/>
  <c r="D314" i="23"/>
  <c r="V313" i="23"/>
  <c r="U313" i="23"/>
  <c r="Q313" i="23"/>
  <c r="G313" i="23"/>
  <c r="F313" i="23"/>
  <c r="D313" i="23"/>
  <c r="W312" i="23"/>
  <c r="X312" i="23" s="1"/>
  <c r="V312" i="23"/>
  <c r="U312" i="23"/>
  <c r="Q312" i="23"/>
  <c r="G312" i="23"/>
  <c r="F312" i="23"/>
  <c r="D312" i="23"/>
  <c r="V311" i="23"/>
  <c r="U311" i="23"/>
  <c r="W311" i="23" s="1"/>
  <c r="Q311" i="23"/>
  <c r="G311" i="23"/>
  <c r="F311" i="23"/>
  <c r="D311" i="23"/>
  <c r="V310" i="23"/>
  <c r="U310" i="23"/>
  <c r="Q310" i="23"/>
  <c r="G310" i="23"/>
  <c r="F310" i="23"/>
  <c r="D310" i="23"/>
  <c r="V309" i="23"/>
  <c r="U309" i="23"/>
  <c r="W309" i="23" s="1"/>
  <c r="X309" i="23" s="1"/>
  <c r="Q309" i="23"/>
  <c r="G309" i="23"/>
  <c r="F309" i="23"/>
  <c r="D309" i="23"/>
  <c r="V308" i="23"/>
  <c r="U308" i="23"/>
  <c r="W308" i="23" s="1"/>
  <c r="Q308" i="23"/>
  <c r="G308" i="23"/>
  <c r="F308" i="23"/>
  <c r="D308" i="23"/>
  <c r="V307" i="23"/>
  <c r="U307" i="23"/>
  <c r="Q307" i="23"/>
  <c r="G307" i="23"/>
  <c r="F307" i="23"/>
  <c r="D307" i="23"/>
  <c r="V306" i="23"/>
  <c r="W306" i="23" s="1"/>
  <c r="X306" i="23" s="1"/>
  <c r="U306" i="23"/>
  <c r="Q306" i="23"/>
  <c r="G306" i="23"/>
  <c r="F306" i="23"/>
  <c r="D306" i="23"/>
  <c r="V305" i="23"/>
  <c r="U305" i="23"/>
  <c r="W305" i="23" s="1"/>
  <c r="Q305" i="23"/>
  <c r="G305" i="23"/>
  <c r="F305" i="23"/>
  <c r="D305" i="23"/>
  <c r="V304" i="23"/>
  <c r="U304" i="23"/>
  <c r="Q304" i="23"/>
  <c r="G304" i="23"/>
  <c r="F304" i="23"/>
  <c r="D304" i="23"/>
  <c r="W303" i="23"/>
  <c r="X303" i="23" s="1"/>
  <c r="V303" i="23"/>
  <c r="U303" i="23"/>
  <c r="Q303" i="23"/>
  <c r="G303" i="23"/>
  <c r="F303" i="23"/>
  <c r="D303" i="23"/>
  <c r="V302" i="23"/>
  <c r="U302" i="23"/>
  <c r="Q302" i="23"/>
  <c r="G302" i="23"/>
  <c r="F302" i="23"/>
  <c r="D302" i="23"/>
  <c r="V301" i="23"/>
  <c r="U301" i="23"/>
  <c r="W301" i="23" s="1"/>
  <c r="X301" i="23" s="1"/>
  <c r="Q301" i="23"/>
  <c r="G301" i="23"/>
  <c r="F301" i="23"/>
  <c r="D301" i="23"/>
  <c r="V300" i="23"/>
  <c r="U300" i="23"/>
  <c r="W300" i="23" s="1"/>
  <c r="X300" i="23" s="1"/>
  <c r="Q300" i="23"/>
  <c r="G300" i="23"/>
  <c r="F300" i="23"/>
  <c r="D300" i="23"/>
  <c r="V299" i="23"/>
  <c r="U299" i="23"/>
  <c r="Q299" i="23"/>
  <c r="G299" i="23"/>
  <c r="F299" i="23"/>
  <c r="D299" i="23"/>
  <c r="V298" i="23"/>
  <c r="U298" i="23"/>
  <c r="Q298" i="23"/>
  <c r="G298" i="23"/>
  <c r="F298" i="23"/>
  <c r="D298" i="23"/>
  <c r="W297" i="23"/>
  <c r="X297" i="23" s="1"/>
  <c r="V297" i="23"/>
  <c r="U297" i="23"/>
  <c r="Q297" i="23"/>
  <c r="G297" i="23"/>
  <c r="F297" i="23"/>
  <c r="D297" i="23"/>
  <c r="V296" i="23"/>
  <c r="U296" i="23"/>
  <c r="Q296" i="23"/>
  <c r="G296" i="23"/>
  <c r="F296" i="23"/>
  <c r="D296" i="23"/>
  <c r="V295" i="23"/>
  <c r="U295" i="23"/>
  <c r="Q295" i="23"/>
  <c r="G295" i="23"/>
  <c r="F295" i="23"/>
  <c r="D295" i="23"/>
  <c r="V294" i="23"/>
  <c r="U294" i="23"/>
  <c r="W294" i="23" s="1"/>
  <c r="X294" i="23" s="1"/>
  <c r="Q294" i="23"/>
  <c r="G294" i="23"/>
  <c r="F294" i="23"/>
  <c r="D294" i="23"/>
  <c r="V293" i="23"/>
  <c r="W293" i="23" s="1"/>
  <c r="U293" i="23"/>
  <c r="Q293" i="23"/>
  <c r="G293" i="23"/>
  <c r="F293" i="23"/>
  <c r="D293" i="23"/>
  <c r="V292" i="23"/>
  <c r="U292" i="23"/>
  <c r="W292" i="23" s="1"/>
  <c r="Q292" i="23"/>
  <c r="G292" i="23"/>
  <c r="F292" i="23"/>
  <c r="D292" i="23"/>
  <c r="W291" i="23"/>
  <c r="V291" i="23"/>
  <c r="U291" i="23"/>
  <c r="X291" i="23" s="1"/>
  <c r="Q291" i="23"/>
  <c r="G291" i="23"/>
  <c r="F291" i="23"/>
  <c r="D291" i="23"/>
  <c r="V290" i="23"/>
  <c r="U290" i="23"/>
  <c r="W290" i="23" s="1"/>
  <c r="Q290" i="23"/>
  <c r="G290" i="23"/>
  <c r="F290" i="23"/>
  <c r="D290" i="23"/>
  <c r="V289" i="23"/>
  <c r="U289" i="23"/>
  <c r="W289" i="23" s="1"/>
  <c r="X289" i="23" s="1"/>
  <c r="Q289" i="23"/>
  <c r="G289" i="23"/>
  <c r="F289" i="23"/>
  <c r="D289" i="23"/>
  <c r="W288" i="23"/>
  <c r="X288" i="23" s="1"/>
  <c r="V288" i="23"/>
  <c r="U288" i="23"/>
  <c r="Q288" i="23"/>
  <c r="G288" i="23"/>
  <c r="F288" i="23"/>
  <c r="D288" i="23"/>
  <c r="V287" i="23"/>
  <c r="U287" i="23"/>
  <c r="W287" i="23" s="1"/>
  <c r="Q287" i="23"/>
  <c r="G287" i="23"/>
  <c r="F287" i="23"/>
  <c r="D287" i="23"/>
  <c r="V286" i="23"/>
  <c r="W286" i="23" s="1"/>
  <c r="X286" i="23" s="1"/>
  <c r="U286" i="23"/>
  <c r="Q286" i="23"/>
  <c r="G286" i="23"/>
  <c r="F286" i="23"/>
  <c r="D286" i="23"/>
  <c r="V285" i="23"/>
  <c r="W285" i="23" s="1"/>
  <c r="X285" i="23" s="1"/>
  <c r="U285" i="23"/>
  <c r="Q285" i="23"/>
  <c r="G285" i="23"/>
  <c r="F285" i="23"/>
  <c r="D285" i="23"/>
  <c r="V284" i="23"/>
  <c r="U284" i="23"/>
  <c r="Q284" i="23"/>
  <c r="G284" i="23"/>
  <c r="F284" i="23"/>
  <c r="D284" i="23"/>
  <c r="W283" i="23"/>
  <c r="X283" i="23" s="1"/>
  <c r="V283" i="23"/>
  <c r="U283" i="23"/>
  <c r="Q283" i="23"/>
  <c r="G283" i="23"/>
  <c r="F283" i="23"/>
  <c r="D283" i="23"/>
  <c r="V282" i="23"/>
  <c r="U282" i="23"/>
  <c r="W282" i="23" s="1"/>
  <c r="X282" i="23" s="1"/>
  <c r="Q282" i="23"/>
  <c r="G282" i="23"/>
  <c r="F282" i="23"/>
  <c r="D282" i="23"/>
  <c r="V281" i="23"/>
  <c r="U281" i="23"/>
  <c r="Q281" i="23"/>
  <c r="G281" i="23"/>
  <c r="F281" i="23"/>
  <c r="D281" i="23"/>
  <c r="V280" i="23"/>
  <c r="U280" i="23"/>
  <c r="W280" i="23" s="1"/>
  <c r="Q280" i="23"/>
  <c r="G280" i="23"/>
  <c r="F280" i="23"/>
  <c r="D280" i="23"/>
  <c r="V279" i="23"/>
  <c r="W279" i="23" s="1"/>
  <c r="X279" i="23" s="1"/>
  <c r="U279" i="23"/>
  <c r="Q279" i="23"/>
  <c r="G279" i="23"/>
  <c r="F279" i="23"/>
  <c r="D279" i="23"/>
  <c r="V278" i="23"/>
  <c r="U278" i="23"/>
  <c r="W278" i="23" s="1"/>
  <c r="Q278" i="23"/>
  <c r="G278" i="23"/>
  <c r="F278" i="23"/>
  <c r="D278" i="23"/>
  <c r="V277" i="23"/>
  <c r="U277" i="23"/>
  <c r="Q277" i="23"/>
  <c r="G277" i="23"/>
  <c r="F277" i="23"/>
  <c r="D277" i="23"/>
  <c r="V276" i="23"/>
  <c r="W276" i="23" s="1"/>
  <c r="X276" i="23" s="1"/>
  <c r="U276" i="23"/>
  <c r="Q276" i="23"/>
  <c r="G276" i="23"/>
  <c r="F276" i="23"/>
  <c r="D276" i="23"/>
  <c r="W275" i="23"/>
  <c r="V275" i="23"/>
  <c r="U275" i="23"/>
  <c r="Q275" i="23"/>
  <c r="G275" i="23"/>
  <c r="F275" i="23"/>
  <c r="D275" i="23"/>
  <c r="V274" i="23"/>
  <c r="U274" i="23"/>
  <c r="W274" i="23" s="1"/>
  <c r="Q274" i="23"/>
  <c r="G274" i="23"/>
  <c r="F274" i="23"/>
  <c r="D274" i="23"/>
  <c r="V273" i="23"/>
  <c r="U273" i="23"/>
  <c r="W273" i="23" s="1"/>
  <c r="X273" i="23" s="1"/>
  <c r="Q273" i="23"/>
  <c r="G273" i="23"/>
  <c r="F273" i="23"/>
  <c r="D273" i="23"/>
  <c r="V272" i="23"/>
  <c r="U272" i="23"/>
  <c r="Q272" i="23"/>
  <c r="G272" i="23"/>
  <c r="F272" i="23"/>
  <c r="D272" i="23"/>
  <c r="V271" i="23"/>
  <c r="U271" i="23"/>
  <c r="W271" i="23" s="1"/>
  <c r="Q271" i="23"/>
  <c r="G271" i="23"/>
  <c r="F271" i="23"/>
  <c r="D271" i="23"/>
  <c r="V270" i="23"/>
  <c r="W270" i="23" s="1"/>
  <c r="X270" i="23" s="1"/>
  <c r="U270" i="23"/>
  <c r="Q270" i="23"/>
  <c r="G270" i="23"/>
  <c r="F270" i="23"/>
  <c r="D270" i="23"/>
  <c r="V269" i="23"/>
  <c r="U269" i="23"/>
  <c r="Q269" i="23"/>
  <c r="G269" i="23"/>
  <c r="F269" i="23"/>
  <c r="D269" i="23"/>
  <c r="V268" i="23"/>
  <c r="W268" i="23" s="1"/>
  <c r="X268" i="23" s="1"/>
  <c r="U268" i="23"/>
  <c r="Q268" i="23"/>
  <c r="G268" i="23"/>
  <c r="F268" i="23"/>
  <c r="D268" i="23"/>
  <c r="V267" i="23"/>
  <c r="W267" i="23" s="1"/>
  <c r="X267" i="23" s="1"/>
  <c r="U267" i="23"/>
  <c r="Q267" i="23"/>
  <c r="G267" i="23"/>
  <c r="F267" i="23"/>
  <c r="D267" i="23"/>
  <c r="V266" i="23"/>
  <c r="W266" i="23" s="1"/>
  <c r="U266" i="23"/>
  <c r="Q266" i="23"/>
  <c r="G266" i="23"/>
  <c r="F266" i="23"/>
  <c r="D266" i="23"/>
  <c r="X265" i="23"/>
  <c r="V265" i="23"/>
  <c r="U265" i="23"/>
  <c r="W265" i="23" s="1"/>
  <c r="Q265" i="23"/>
  <c r="G265" i="23"/>
  <c r="F265" i="23"/>
  <c r="D265" i="23"/>
  <c r="V264" i="23"/>
  <c r="U264" i="23"/>
  <c r="Q264" i="23"/>
  <c r="G264" i="23"/>
  <c r="F264" i="23"/>
  <c r="D264" i="23"/>
  <c r="V263" i="23"/>
  <c r="U263" i="23"/>
  <c r="Q263" i="23"/>
  <c r="G263" i="23"/>
  <c r="F263" i="23"/>
  <c r="D263" i="23"/>
  <c r="V262" i="23"/>
  <c r="U262" i="23"/>
  <c r="Q262" i="23"/>
  <c r="G262" i="23"/>
  <c r="F262" i="23"/>
  <c r="D262" i="23"/>
  <c r="V261" i="23"/>
  <c r="W261" i="23" s="1"/>
  <c r="X261" i="23" s="1"/>
  <c r="U261" i="23"/>
  <c r="Q261" i="23"/>
  <c r="G261" i="23"/>
  <c r="F261" i="23"/>
  <c r="D261" i="23"/>
  <c r="V260" i="23"/>
  <c r="U260" i="23"/>
  <c r="Q260" i="23"/>
  <c r="G260" i="23"/>
  <c r="F260" i="23"/>
  <c r="D260" i="23"/>
  <c r="V259" i="23"/>
  <c r="U259" i="23"/>
  <c r="Q259" i="23"/>
  <c r="G259" i="23"/>
  <c r="F259" i="23"/>
  <c r="D259" i="23"/>
  <c r="V258" i="23"/>
  <c r="U258" i="23"/>
  <c r="W258" i="23" s="1"/>
  <c r="X258" i="23" s="1"/>
  <c r="Q258" i="23"/>
  <c r="G258" i="23"/>
  <c r="F258" i="23"/>
  <c r="D258" i="23"/>
  <c r="V257" i="23"/>
  <c r="W257" i="23" s="1"/>
  <c r="U257" i="23"/>
  <c r="Q257" i="23"/>
  <c r="G257" i="23"/>
  <c r="F257" i="23"/>
  <c r="D257" i="23"/>
  <c r="X256" i="23"/>
  <c r="V256" i="23"/>
  <c r="U256" i="23"/>
  <c r="W256" i="23" s="1"/>
  <c r="Q256" i="23"/>
  <c r="G256" i="23"/>
  <c r="F256" i="23"/>
  <c r="D256" i="23"/>
  <c r="V255" i="23"/>
  <c r="U255" i="23"/>
  <c r="Q255" i="23"/>
  <c r="G255" i="23"/>
  <c r="F255" i="23"/>
  <c r="D255" i="23"/>
  <c r="V254" i="23"/>
  <c r="U254" i="23"/>
  <c r="Q254" i="23"/>
  <c r="G254" i="23"/>
  <c r="F254" i="23"/>
  <c r="D254" i="23"/>
  <c r="V253" i="23"/>
  <c r="U253" i="23"/>
  <c r="W253" i="23" s="1"/>
  <c r="X253" i="23" s="1"/>
  <c r="Q253" i="23"/>
  <c r="G253" i="23"/>
  <c r="F253" i="23"/>
  <c r="D253" i="23"/>
  <c r="V252" i="23"/>
  <c r="U252" i="23"/>
  <c r="W252" i="23" s="1"/>
  <c r="X252" i="23" s="1"/>
  <c r="Q252" i="23"/>
  <c r="G252" i="23"/>
  <c r="F252" i="23"/>
  <c r="D252" i="23"/>
  <c r="V251" i="23"/>
  <c r="U251" i="23"/>
  <c r="Q251" i="23"/>
  <c r="G251" i="23"/>
  <c r="F251" i="23"/>
  <c r="D251" i="23"/>
  <c r="V250" i="23"/>
  <c r="U250" i="23"/>
  <c r="Q250" i="23"/>
  <c r="G250" i="23"/>
  <c r="F250" i="23"/>
  <c r="D250" i="23"/>
  <c r="W249" i="23"/>
  <c r="V249" i="23"/>
  <c r="U249" i="23"/>
  <c r="X249" i="23" s="1"/>
  <c r="Q249" i="23"/>
  <c r="G249" i="23"/>
  <c r="F249" i="23"/>
  <c r="D249" i="23"/>
  <c r="V248" i="23"/>
  <c r="U248" i="23"/>
  <c r="Q248" i="23"/>
  <c r="G248" i="23"/>
  <c r="F248" i="23"/>
  <c r="D248" i="23"/>
  <c r="W247" i="23"/>
  <c r="V247" i="23"/>
  <c r="U247" i="23"/>
  <c r="X247" i="23" s="1"/>
  <c r="Q247" i="23"/>
  <c r="G247" i="23"/>
  <c r="F247" i="23"/>
  <c r="D247" i="23"/>
  <c r="V246" i="23"/>
  <c r="U246" i="23"/>
  <c r="W246" i="23" s="1"/>
  <c r="Q246" i="23"/>
  <c r="G246" i="23"/>
  <c r="F246" i="23"/>
  <c r="D246" i="23"/>
  <c r="V245" i="23"/>
  <c r="U245" i="23"/>
  <c r="Q245" i="23"/>
  <c r="G245" i="23"/>
  <c r="F245" i="23"/>
  <c r="D245" i="23"/>
  <c r="V244" i="23"/>
  <c r="W244" i="23" s="1"/>
  <c r="X244" i="23" s="1"/>
  <c r="U244" i="23"/>
  <c r="Q244" i="23"/>
  <c r="G244" i="23"/>
  <c r="F244" i="23"/>
  <c r="D244" i="23"/>
  <c r="V243" i="23"/>
  <c r="U243" i="23"/>
  <c r="W243" i="23" s="1"/>
  <c r="X243" i="23" s="1"/>
  <c r="Q243" i="23"/>
  <c r="G243" i="23"/>
  <c r="F243" i="23"/>
  <c r="D243" i="23"/>
  <c r="V242" i="23"/>
  <c r="U242" i="23"/>
  <c r="Q242" i="23"/>
  <c r="G242" i="23"/>
  <c r="F242" i="23"/>
  <c r="D242" i="23"/>
  <c r="V241" i="23"/>
  <c r="W241" i="23" s="1"/>
  <c r="X241" i="23" s="1"/>
  <c r="U241" i="23"/>
  <c r="Q241" i="23"/>
  <c r="G241" i="23"/>
  <c r="F241" i="23"/>
  <c r="D241" i="23"/>
  <c r="V240" i="23"/>
  <c r="W240" i="23" s="1"/>
  <c r="X240" i="23" s="1"/>
  <c r="U240" i="23"/>
  <c r="Q240" i="23"/>
  <c r="G240" i="23"/>
  <c r="F240" i="23"/>
  <c r="D240" i="23"/>
  <c r="V239" i="23"/>
  <c r="U239" i="23"/>
  <c r="Q239" i="23"/>
  <c r="G239" i="23"/>
  <c r="F239" i="23"/>
  <c r="D239" i="23"/>
  <c r="V238" i="23"/>
  <c r="W238" i="23" s="1"/>
  <c r="X238" i="23" s="1"/>
  <c r="U238" i="23"/>
  <c r="Q238" i="23"/>
  <c r="G238" i="23"/>
  <c r="F238" i="23"/>
  <c r="D238" i="23"/>
  <c r="V237" i="23"/>
  <c r="W237" i="23" s="1"/>
  <c r="X237" i="23" s="1"/>
  <c r="U237" i="23"/>
  <c r="Q237" i="23"/>
  <c r="G237" i="23"/>
  <c r="F237" i="23"/>
  <c r="D237" i="23"/>
  <c r="V236" i="23"/>
  <c r="U236" i="23"/>
  <c r="Q236" i="23"/>
  <c r="G236" i="23"/>
  <c r="F236" i="23"/>
  <c r="D236" i="23"/>
  <c r="V235" i="23"/>
  <c r="W235" i="23" s="1"/>
  <c r="X235" i="23" s="1"/>
  <c r="U235" i="23"/>
  <c r="Q235" i="23"/>
  <c r="G235" i="23"/>
  <c r="F235" i="23"/>
  <c r="D235" i="23"/>
  <c r="V234" i="23"/>
  <c r="U234" i="23"/>
  <c r="Q234" i="23"/>
  <c r="G234" i="23"/>
  <c r="F234" i="23"/>
  <c r="D234" i="23"/>
  <c r="V233" i="23"/>
  <c r="U233" i="23"/>
  <c r="W233" i="23" s="1"/>
  <c r="Q233" i="23"/>
  <c r="G233" i="23"/>
  <c r="F233" i="23"/>
  <c r="D233" i="23"/>
  <c r="V232" i="23"/>
  <c r="U232" i="23"/>
  <c r="Q232" i="23"/>
  <c r="G232" i="23"/>
  <c r="F232" i="23"/>
  <c r="D232" i="23"/>
  <c r="W231" i="23"/>
  <c r="V231" i="23"/>
  <c r="U231" i="23"/>
  <c r="X231" i="23" s="1"/>
  <c r="Q231" i="23"/>
  <c r="G231" i="23"/>
  <c r="F231" i="23"/>
  <c r="D231" i="23"/>
  <c r="V230" i="23"/>
  <c r="W230" i="23" s="1"/>
  <c r="U230" i="23"/>
  <c r="Q230" i="23"/>
  <c r="G230" i="23"/>
  <c r="F230" i="23"/>
  <c r="D230" i="23"/>
  <c r="V229" i="23"/>
  <c r="W229" i="23" s="1"/>
  <c r="X229" i="23" s="1"/>
  <c r="U229" i="23"/>
  <c r="Q229" i="23"/>
  <c r="G229" i="23"/>
  <c r="F229" i="23"/>
  <c r="D229" i="23"/>
  <c r="V228" i="23"/>
  <c r="W228" i="23" s="1"/>
  <c r="X228" i="23" s="1"/>
  <c r="U228" i="23"/>
  <c r="Q228" i="23"/>
  <c r="G228" i="23"/>
  <c r="F228" i="23"/>
  <c r="D228" i="23"/>
  <c r="V227" i="23"/>
  <c r="U227" i="23"/>
  <c r="Q227" i="23"/>
  <c r="G227" i="23"/>
  <c r="F227" i="23"/>
  <c r="D227" i="23"/>
  <c r="V226" i="23"/>
  <c r="U226" i="23"/>
  <c r="W226" i="23" s="1"/>
  <c r="X226" i="23" s="1"/>
  <c r="Q226" i="23"/>
  <c r="G226" i="23"/>
  <c r="F226" i="23"/>
  <c r="D226" i="23"/>
  <c r="V225" i="23"/>
  <c r="W225" i="23" s="1"/>
  <c r="X225" i="23" s="1"/>
  <c r="U225" i="23"/>
  <c r="Q225" i="23"/>
  <c r="G225" i="23"/>
  <c r="F225" i="23"/>
  <c r="D225" i="23"/>
  <c r="V224" i="23"/>
  <c r="U224" i="23"/>
  <c r="Q224" i="23"/>
  <c r="G224" i="23"/>
  <c r="F224" i="23"/>
  <c r="D224" i="23"/>
  <c r="V223" i="23"/>
  <c r="W223" i="23" s="1"/>
  <c r="X223" i="23" s="1"/>
  <c r="U223" i="23"/>
  <c r="Q223" i="23"/>
  <c r="G223" i="23"/>
  <c r="F223" i="23"/>
  <c r="D223" i="23"/>
  <c r="V222" i="23"/>
  <c r="W222" i="23" s="1"/>
  <c r="X222" i="23" s="1"/>
  <c r="U222" i="23"/>
  <c r="Q222" i="23"/>
  <c r="G222" i="23"/>
  <c r="F222" i="23"/>
  <c r="D222" i="23"/>
  <c r="W221" i="23"/>
  <c r="V221" i="23"/>
  <c r="U221" i="23"/>
  <c r="Q221" i="23"/>
  <c r="G221" i="23"/>
  <c r="F221" i="23"/>
  <c r="D221" i="23"/>
  <c r="V220" i="23"/>
  <c r="U220" i="23"/>
  <c r="Q220" i="23"/>
  <c r="G220" i="23"/>
  <c r="F220" i="23"/>
  <c r="D220" i="23"/>
  <c r="V219" i="23"/>
  <c r="W219" i="23" s="1"/>
  <c r="X219" i="23" s="1"/>
  <c r="U219" i="23"/>
  <c r="Q219" i="23"/>
  <c r="G219" i="23"/>
  <c r="F219" i="23"/>
  <c r="D219" i="23"/>
  <c r="V218" i="23"/>
  <c r="U218" i="23"/>
  <c r="Q218" i="23"/>
  <c r="G218" i="23"/>
  <c r="F218" i="23"/>
  <c r="D218" i="23"/>
  <c r="W217" i="23"/>
  <c r="X217" i="23" s="1"/>
  <c r="V217" i="23"/>
  <c r="U217" i="23"/>
  <c r="Q217" i="23"/>
  <c r="G217" i="23"/>
  <c r="F217" i="23"/>
  <c r="D217" i="23"/>
  <c r="V216" i="23"/>
  <c r="U216" i="23"/>
  <c r="Q216" i="23"/>
  <c r="G216" i="23"/>
  <c r="F216" i="23"/>
  <c r="D216" i="23"/>
  <c r="V215" i="23"/>
  <c r="U215" i="23"/>
  <c r="Q215" i="23"/>
  <c r="G215" i="23"/>
  <c r="F215" i="23"/>
  <c r="D215" i="23"/>
  <c r="V214" i="23"/>
  <c r="U214" i="23"/>
  <c r="Q214" i="23"/>
  <c r="G214" i="23"/>
  <c r="F214" i="23"/>
  <c r="D214" i="23"/>
  <c r="V213" i="23"/>
  <c r="W213" i="23" s="1"/>
  <c r="X213" i="23" s="1"/>
  <c r="U213" i="23"/>
  <c r="Q213" i="23"/>
  <c r="G213" i="23"/>
  <c r="F213" i="23"/>
  <c r="D213" i="23"/>
  <c r="V212" i="23"/>
  <c r="U212" i="23"/>
  <c r="W212" i="23" s="1"/>
  <c r="Q212" i="23"/>
  <c r="G212" i="23"/>
  <c r="F212" i="23"/>
  <c r="D212" i="23"/>
  <c r="V211" i="23"/>
  <c r="U211" i="23"/>
  <c r="Q211" i="23"/>
  <c r="G211" i="23"/>
  <c r="F211" i="23"/>
  <c r="D211" i="23"/>
  <c r="V210" i="23"/>
  <c r="U210" i="23"/>
  <c r="Q210" i="23"/>
  <c r="G210" i="23"/>
  <c r="F210" i="23"/>
  <c r="D210" i="23"/>
  <c r="V209" i="23"/>
  <c r="U209" i="23"/>
  <c r="Q209" i="23"/>
  <c r="G209" i="23"/>
  <c r="F209" i="23"/>
  <c r="D209" i="23"/>
  <c r="V208" i="23"/>
  <c r="W208" i="23" s="1"/>
  <c r="X208" i="23" s="1"/>
  <c r="U208" i="23"/>
  <c r="Q208" i="23"/>
  <c r="G208" i="23"/>
  <c r="F208" i="23"/>
  <c r="D208" i="23"/>
  <c r="V207" i="23"/>
  <c r="U207" i="23"/>
  <c r="Q207" i="23"/>
  <c r="G207" i="23"/>
  <c r="F207" i="23"/>
  <c r="D207" i="23"/>
  <c r="V206" i="23"/>
  <c r="U206" i="23"/>
  <c r="Q206" i="23"/>
  <c r="G206" i="23"/>
  <c r="F206" i="23"/>
  <c r="D206" i="23"/>
  <c r="V205" i="23"/>
  <c r="U205" i="23"/>
  <c r="Q205" i="23"/>
  <c r="G205" i="23"/>
  <c r="F205" i="23"/>
  <c r="D205" i="23"/>
  <c r="V204" i="23"/>
  <c r="U204" i="23"/>
  <c r="Q204" i="23"/>
  <c r="G204" i="23"/>
  <c r="F204" i="23"/>
  <c r="D204" i="23"/>
  <c r="V203" i="23"/>
  <c r="U203" i="23"/>
  <c r="Q203" i="23"/>
  <c r="G203" i="23"/>
  <c r="F203" i="23"/>
  <c r="D203" i="23"/>
  <c r="V202" i="23"/>
  <c r="U202" i="23"/>
  <c r="Q202" i="23"/>
  <c r="G202" i="23"/>
  <c r="F202" i="23"/>
  <c r="D202" i="23"/>
  <c r="V201" i="23"/>
  <c r="U201" i="23"/>
  <c r="Q201" i="23"/>
  <c r="G201" i="23"/>
  <c r="F201" i="23"/>
  <c r="D201" i="23"/>
  <c r="V200" i="23"/>
  <c r="W200" i="23" s="1"/>
  <c r="U200" i="23"/>
  <c r="Q200" i="23"/>
  <c r="G200" i="23"/>
  <c r="F200" i="23"/>
  <c r="D200" i="23"/>
  <c r="V199" i="23"/>
  <c r="U199" i="23"/>
  <c r="Q199" i="23"/>
  <c r="G199" i="23"/>
  <c r="F199" i="23"/>
  <c r="D199" i="23"/>
  <c r="V198" i="23"/>
  <c r="W198" i="23" s="1"/>
  <c r="X198" i="23" s="1"/>
  <c r="U198" i="23"/>
  <c r="Q198" i="23"/>
  <c r="G198" i="23"/>
  <c r="F198" i="23"/>
  <c r="D198" i="23"/>
  <c r="V197" i="23"/>
  <c r="U197" i="23"/>
  <c r="Q197" i="23"/>
  <c r="G197" i="23"/>
  <c r="F197" i="23"/>
  <c r="D197" i="23"/>
  <c r="V196" i="23"/>
  <c r="W196" i="23" s="1"/>
  <c r="X196" i="23" s="1"/>
  <c r="U196" i="23"/>
  <c r="Q196" i="23"/>
  <c r="G196" i="23"/>
  <c r="F196" i="23"/>
  <c r="D196" i="23"/>
  <c r="V195" i="23"/>
  <c r="U195" i="23"/>
  <c r="Q195" i="23"/>
  <c r="G195" i="23"/>
  <c r="F195" i="23"/>
  <c r="D195" i="23"/>
  <c r="V194" i="23"/>
  <c r="U194" i="23"/>
  <c r="W194" i="23" s="1"/>
  <c r="Q194" i="23"/>
  <c r="G194" i="23"/>
  <c r="F194" i="23"/>
  <c r="D194" i="23"/>
  <c r="V193" i="23"/>
  <c r="U193" i="23"/>
  <c r="Q193" i="23"/>
  <c r="G193" i="23"/>
  <c r="F193" i="23"/>
  <c r="D193" i="23"/>
  <c r="V192" i="23"/>
  <c r="U192" i="23"/>
  <c r="Q192" i="23"/>
  <c r="G192" i="23"/>
  <c r="F192" i="23"/>
  <c r="D192" i="23"/>
  <c r="V191" i="23"/>
  <c r="U191" i="23"/>
  <c r="Q191" i="23"/>
  <c r="G191" i="23"/>
  <c r="F191" i="23"/>
  <c r="D191" i="23"/>
  <c r="V190" i="23"/>
  <c r="W190" i="23" s="1"/>
  <c r="X190" i="23" s="1"/>
  <c r="U190" i="23"/>
  <c r="Q190" i="23"/>
  <c r="G190" i="23"/>
  <c r="F190" i="23"/>
  <c r="D190" i="23"/>
  <c r="V189" i="23"/>
  <c r="U189" i="23"/>
  <c r="Q189" i="23"/>
  <c r="G189" i="23"/>
  <c r="F189" i="23"/>
  <c r="D189" i="23"/>
  <c r="V188" i="23"/>
  <c r="U188" i="23"/>
  <c r="W188" i="23" s="1"/>
  <c r="Q188" i="23"/>
  <c r="G188" i="23"/>
  <c r="F188" i="23"/>
  <c r="D188" i="23"/>
  <c r="W187" i="23"/>
  <c r="X187" i="23" s="1"/>
  <c r="V187" i="23"/>
  <c r="U187" i="23"/>
  <c r="Q187" i="23"/>
  <c r="G187" i="23"/>
  <c r="F187" i="23"/>
  <c r="D187" i="23"/>
  <c r="V186" i="23"/>
  <c r="U186" i="23"/>
  <c r="Q186" i="23"/>
  <c r="G186" i="23"/>
  <c r="F186" i="23"/>
  <c r="D186" i="23"/>
  <c r="V185" i="23"/>
  <c r="U185" i="23"/>
  <c r="Q185" i="23"/>
  <c r="G185" i="23"/>
  <c r="F185" i="23"/>
  <c r="D185" i="23"/>
  <c r="V184" i="23"/>
  <c r="U184" i="23"/>
  <c r="Q184" i="23"/>
  <c r="G184" i="23"/>
  <c r="F184" i="23"/>
  <c r="D184" i="23"/>
  <c r="V183" i="23"/>
  <c r="U183" i="23"/>
  <c r="Q183" i="23"/>
  <c r="G183" i="23"/>
  <c r="F183" i="23"/>
  <c r="D183" i="23"/>
  <c r="V182" i="23"/>
  <c r="U182" i="23"/>
  <c r="Q182" i="23"/>
  <c r="G182" i="23"/>
  <c r="F182" i="23"/>
  <c r="D182" i="23"/>
  <c r="V181" i="23"/>
  <c r="U181" i="23"/>
  <c r="Q181" i="23"/>
  <c r="G181" i="23"/>
  <c r="F181" i="23"/>
  <c r="D181" i="23"/>
  <c r="V180" i="23"/>
  <c r="U180" i="23"/>
  <c r="Q180" i="23"/>
  <c r="G180" i="23"/>
  <c r="F180" i="23"/>
  <c r="D180" i="23"/>
  <c r="V179" i="23"/>
  <c r="U179" i="23"/>
  <c r="Q179" i="23"/>
  <c r="G179" i="23"/>
  <c r="F179" i="23"/>
  <c r="D179" i="23"/>
  <c r="V178" i="23"/>
  <c r="U178" i="23"/>
  <c r="Q178" i="23"/>
  <c r="G178" i="23"/>
  <c r="F178" i="23"/>
  <c r="D178" i="23"/>
  <c r="V177" i="23"/>
  <c r="U177" i="23"/>
  <c r="Q177" i="23"/>
  <c r="G177" i="23"/>
  <c r="F177" i="23"/>
  <c r="D177" i="23"/>
  <c r="V176" i="23"/>
  <c r="W176" i="23" s="1"/>
  <c r="U176" i="23"/>
  <c r="Q176" i="23"/>
  <c r="G176" i="23"/>
  <c r="F176" i="23"/>
  <c r="D176" i="23"/>
  <c r="W175" i="23"/>
  <c r="X175" i="23" s="1"/>
  <c r="V175" i="23"/>
  <c r="U175" i="23"/>
  <c r="Q175" i="23"/>
  <c r="G175" i="23"/>
  <c r="F175" i="23"/>
  <c r="D175" i="23"/>
  <c r="V174" i="23"/>
  <c r="U174" i="23"/>
  <c r="Q174" i="23"/>
  <c r="G174" i="23"/>
  <c r="F174" i="23"/>
  <c r="D174" i="23"/>
  <c r="V173" i="23"/>
  <c r="U173" i="23"/>
  <c r="Q173" i="23"/>
  <c r="G173" i="23"/>
  <c r="F173" i="23"/>
  <c r="D173" i="23"/>
  <c r="V172" i="23"/>
  <c r="W172" i="23" s="1"/>
  <c r="X172" i="23" s="1"/>
  <c r="U172" i="23"/>
  <c r="Q172" i="23"/>
  <c r="G172" i="23"/>
  <c r="F172" i="23"/>
  <c r="D172" i="23"/>
  <c r="V171" i="23"/>
  <c r="W171" i="23" s="1"/>
  <c r="X171" i="23" s="1"/>
  <c r="U171" i="23"/>
  <c r="Q171" i="23"/>
  <c r="G171" i="23"/>
  <c r="F171" i="23"/>
  <c r="D171" i="23"/>
  <c r="V170" i="23"/>
  <c r="U170" i="23"/>
  <c r="Q170" i="23"/>
  <c r="G170" i="23"/>
  <c r="F170" i="23"/>
  <c r="D170" i="23"/>
  <c r="V169" i="23"/>
  <c r="U169" i="23"/>
  <c r="W169" i="23" s="1"/>
  <c r="X169" i="23" s="1"/>
  <c r="Q169" i="23"/>
  <c r="G169" i="23"/>
  <c r="F169" i="23"/>
  <c r="D169" i="23"/>
  <c r="V168" i="23"/>
  <c r="U168" i="23"/>
  <c r="Q168" i="23"/>
  <c r="G168" i="23"/>
  <c r="F168" i="23"/>
  <c r="D168" i="23"/>
  <c r="V167" i="23"/>
  <c r="U167" i="23"/>
  <c r="W167" i="23" s="1"/>
  <c r="Q167" i="23"/>
  <c r="G167" i="23"/>
  <c r="F167" i="23"/>
  <c r="D167" i="23"/>
  <c r="V166" i="23"/>
  <c r="U166" i="23"/>
  <c r="Q166" i="23"/>
  <c r="G166" i="23"/>
  <c r="F166" i="23"/>
  <c r="D166" i="23"/>
  <c r="V165" i="23"/>
  <c r="W165" i="23" s="1"/>
  <c r="X165" i="23" s="1"/>
  <c r="U165" i="23"/>
  <c r="Q165" i="23"/>
  <c r="G165" i="23"/>
  <c r="F165" i="23"/>
  <c r="D165" i="23"/>
  <c r="V164" i="23"/>
  <c r="U164" i="23"/>
  <c r="Q164" i="23"/>
  <c r="G164" i="23"/>
  <c r="F164" i="23"/>
  <c r="D164" i="23"/>
  <c r="V163" i="23"/>
  <c r="W163" i="23" s="1"/>
  <c r="X163" i="23" s="1"/>
  <c r="U163" i="23"/>
  <c r="Q163" i="23"/>
  <c r="G163" i="23"/>
  <c r="F163" i="23"/>
  <c r="D163" i="23"/>
  <c r="V162" i="23"/>
  <c r="W162" i="23" s="1"/>
  <c r="X162" i="23" s="1"/>
  <c r="U162" i="23"/>
  <c r="Q162" i="23"/>
  <c r="G162" i="23"/>
  <c r="F162" i="23"/>
  <c r="D162" i="23"/>
  <c r="V161" i="23"/>
  <c r="U161" i="23"/>
  <c r="Q161" i="23"/>
  <c r="G161" i="23"/>
  <c r="F161" i="23"/>
  <c r="D161" i="23"/>
  <c r="V160" i="23"/>
  <c r="W160" i="23" s="1"/>
  <c r="X160" i="23" s="1"/>
  <c r="U160" i="23"/>
  <c r="Q160" i="23"/>
  <c r="G160" i="23"/>
  <c r="F160" i="23"/>
  <c r="D160" i="23"/>
  <c r="V159" i="23"/>
  <c r="W159" i="23" s="1"/>
  <c r="X159" i="23" s="1"/>
  <c r="U159" i="23"/>
  <c r="Q159" i="23"/>
  <c r="G159" i="23"/>
  <c r="F159" i="23"/>
  <c r="D159" i="23"/>
  <c r="W158" i="23"/>
  <c r="V158" i="23"/>
  <c r="U158" i="23"/>
  <c r="Q158" i="23"/>
  <c r="G158" i="23"/>
  <c r="F158" i="23"/>
  <c r="D158" i="23"/>
  <c r="W157" i="23"/>
  <c r="V157" i="23"/>
  <c r="U157" i="23"/>
  <c r="X157" i="23" s="1"/>
  <c r="Q157" i="23"/>
  <c r="G157" i="23"/>
  <c r="F157" i="23"/>
  <c r="D157" i="23"/>
  <c r="V156" i="23"/>
  <c r="U156" i="23"/>
  <c r="Q156" i="23"/>
  <c r="G156" i="23"/>
  <c r="F156" i="23"/>
  <c r="D156" i="23"/>
  <c r="V155" i="23"/>
  <c r="U155" i="23"/>
  <c r="Q155" i="23"/>
  <c r="G155" i="23"/>
  <c r="F155" i="23"/>
  <c r="D155" i="23"/>
  <c r="V154" i="23"/>
  <c r="U154" i="23"/>
  <c r="W154" i="23" s="1"/>
  <c r="Q154" i="23"/>
  <c r="G154" i="23"/>
  <c r="F154" i="23"/>
  <c r="D154" i="23"/>
  <c r="V153" i="23"/>
  <c r="U153" i="23"/>
  <c r="Q153" i="23"/>
  <c r="G153" i="23"/>
  <c r="F153" i="23"/>
  <c r="D153" i="23"/>
  <c r="V152" i="23"/>
  <c r="U152" i="23"/>
  <c r="Q152" i="23"/>
  <c r="G152" i="23"/>
  <c r="F152" i="23"/>
  <c r="D152" i="23"/>
  <c r="V151" i="23"/>
  <c r="U151" i="23"/>
  <c r="Q151" i="23"/>
  <c r="G151" i="23"/>
  <c r="F151" i="23"/>
  <c r="D151" i="23"/>
  <c r="V150" i="23"/>
  <c r="U150" i="23"/>
  <c r="Q150" i="23"/>
  <c r="G150" i="23"/>
  <c r="F150" i="23"/>
  <c r="D150" i="23"/>
  <c r="V149" i="23"/>
  <c r="U149" i="23"/>
  <c r="Q149" i="23"/>
  <c r="G149" i="23"/>
  <c r="F149" i="23"/>
  <c r="D149" i="23"/>
  <c r="W148" i="23"/>
  <c r="V148" i="23"/>
  <c r="U148" i="23"/>
  <c r="X148" i="23" s="1"/>
  <c r="Q148" i="23"/>
  <c r="G148" i="23"/>
  <c r="F148" i="23"/>
  <c r="D148" i="23"/>
  <c r="V147" i="23"/>
  <c r="U147" i="23"/>
  <c r="W147" i="23" s="1"/>
  <c r="X147" i="23" s="1"/>
  <c r="Q147" i="23"/>
  <c r="G147" i="23"/>
  <c r="F147" i="23"/>
  <c r="D147" i="23"/>
  <c r="V146" i="23"/>
  <c r="U146" i="23"/>
  <c r="Q146" i="23"/>
  <c r="G146" i="23"/>
  <c r="F146" i="23"/>
  <c r="D146" i="23"/>
  <c r="V145" i="23"/>
  <c r="U145" i="23"/>
  <c r="Q145" i="23"/>
  <c r="G145" i="23"/>
  <c r="F145" i="23"/>
  <c r="D145" i="23"/>
  <c r="V144" i="23"/>
  <c r="W144" i="23" s="1"/>
  <c r="X144" i="23" s="1"/>
  <c r="U144" i="23"/>
  <c r="Q144" i="23"/>
  <c r="G144" i="23"/>
  <c r="F144" i="23"/>
  <c r="D144" i="23"/>
  <c r="V143" i="23"/>
  <c r="U143" i="23"/>
  <c r="W143" i="23" s="1"/>
  <c r="Q143" i="23"/>
  <c r="G143" i="23"/>
  <c r="F143" i="23"/>
  <c r="D143" i="23"/>
  <c r="V142" i="23"/>
  <c r="U142" i="23"/>
  <c r="Q142" i="23"/>
  <c r="G142" i="23"/>
  <c r="F142" i="23"/>
  <c r="D142" i="23"/>
  <c r="V141" i="23"/>
  <c r="U141" i="23"/>
  <c r="Q141" i="23"/>
  <c r="G141" i="23"/>
  <c r="F141" i="23"/>
  <c r="D141" i="23"/>
  <c r="V140" i="23"/>
  <c r="U140" i="23"/>
  <c r="Q140" i="23"/>
  <c r="G140" i="23"/>
  <c r="F140" i="23"/>
  <c r="D140" i="23"/>
  <c r="V139" i="23"/>
  <c r="U139" i="23"/>
  <c r="Q139" i="23"/>
  <c r="G139" i="23"/>
  <c r="F139" i="23"/>
  <c r="D139" i="23"/>
  <c r="V138" i="23"/>
  <c r="W138" i="23" s="1"/>
  <c r="X138" i="23" s="1"/>
  <c r="U138" i="23"/>
  <c r="Q138" i="23"/>
  <c r="G138" i="23"/>
  <c r="F138" i="23"/>
  <c r="D138" i="23"/>
  <c r="V137" i="23"/>
  <c r="U137" i="23"/>
  <c r="Q137" i="23"/>
  <c r="G137" i="23"/>
  <c r="F137" i="23"/>
  <c r="D137" i="23"/>
  <c r="V136" i="23"/>
  <c r="W136" i="23" s="1"/>
  <c r="X136" i="23" s="1"/>
  <c r="U136" i="23"/>
  <c r="Q136" i="23"/>
  <c r="G136" i="23"/>
  <c r="F136" i="23"/>
  <c r="D136" i="23"/>
  <c r="V135" i="23"/>
  <c r="U135" i="23"/>
  <c r="Q135" i="23"/>
  <c r="G135" i="23"/>
  <c r="F135" i="23"/>
  <c r="D135" i="23"/>
  <c r="V134" i="23"/>
  <c r="W134" i="23" s="1"/>
  <c r="X134" i="23" s="1"/>
  <c r="U134" i="23"/>
  <c r="Q134" i="23"/>
  <c r="G134" i="23"/>
  <c r="F134" i="23"/>
  <c r="D134" i="23"/>
  <c r="V133" i="23"/>
  <c r="U133" i="23"/>
  <c r="Q133" i="23"/>
  <c r="G133" i="23"/>
  <c r="F133" i="23"/>
  <c r="D133" i="23"/>
  <c r="V132" i="23"/>
  <c r="U132" i="23"/>
  <c r="Q132" i="23"/>
  <c r="G132" i="23"/>
  <c r="F132" i="23"/>
  <c r="D132" i="23"/>
  <c r="V131" i="23"/>
  <c r="U131" i="23"/>
  <c r="Q131" i="23"/>
  <c r="G131" i="23"/>
  <c r="F131" i="23"/>
  <c r="D131" i="23"/>
  <c r="V130" i="23"/>
  <c r="U130" i="23"/>
  <c r="Q130" i="23"/>
  <c r="G130" i="23"/>
  <c r="F130" i="23"/>
  <c r="D130" i="23"/>
  <c r="V129" i="23"/>
  <c r="U129" i="23"/>
  <c r="Q129" i="23"/>
  <c r="G129" i="23"/>
  <c r="F129" i="23"/>
  <c r="D129" i="23"/>
  <c r="V128" i="23"/>
  <c r="U128" i="23"/>
  <c r="Q128" i="23"/>
  <c r="G128" i="23"/>
  <c r="F128" i="23"/>
  <c r="D128" i="23"/>
  <c r="V127" i="23"/>
  <c r="W127" i="23" s="1"/>
  <c r="X127" i="23" s="1"/>
  <c r="U127" i="23"/>
  <c r="Q127" i="23"/>
  <c r="G127" i="23"/>
  <c r="F127" i="23"/>
  <c r="D127" i="23"/>
  <c r="V126" i="23"/>
  <c r="W126" i="23" s="1"/>
  <c r="X126" i="23" s="1"/>
  <c r="U126" i="23"/>
  <c r="Q126" i="23"/>
  <c r="G126" i="23"/>
  <c r="F126" i="23"/>
  <c r="D126" i="23"/>
  <c r="V125" i="23"/>
  <c r="W125" i="23" s="1"/>
  <c r="X125" i="23" s="1"/>
  <c r="U125" i="23"/>
  <c r="Q125" i="23"/>
  <c r="G125" i="23"/>
  <c r="F125" i="23"/>
  <c r="D125" i="23"/>
  <c r="V124" i="23"/>
  <c r="W124" i="23" s="1"/>
  <c r="X124" i="23" s="1"/>
  <c r="U124" i="23"/>
  <c r="Q124" i="23"/>
  <c r="G124" i="23"/>
  <c r="F124" i="23"/>
  <c r="D124" i="23"/>
  <c r="V123" i="23"/>
  <c r="W123" i="23" s="1"/>
  <c r="X123" i="23" s="1"/>
  <c r="U123" i="23"/>
  <c r="Q123" i="23"/>
  <c r="G123" i="23"/>
  <c r="F123" i="23"/>
  <c r="D123" i="23"/>
  <c r="V122" i="23"/>
  <c r="W122" i="23" s="1"/>
  <c r="X122" i="23" s="1"/>
  <c r="U122" i="23"/>
  <c r="Q122" i="23"/>
  <c r="G122" i="23"/>
  <c r="F122" i="23"/>
  <c r="D122" i="23"/>
  <c r="V121" i="23"/>
  <c r="U121" i="23"/>
  <c r="Q121" i="23"/>
  <c r="G121" i="23"/>
  <c r="F121" i="23"/>
  <c r="D121" i="23"/>
  <c r="V120" i="23"/>
  <c r="U120" i="23"/>
  <c r="Q120" i="23"/>
  <c r="G120" i="23"/>
  <c r="F120" i="23"/>
  <c r="D120" i="23"/>
  <c r="V119" i="23"/>
  <c r="U119" i="23"/>
  <c r="Q119" i="23"/>
  <c r="G119" i="23"/>
  <c r="F119" i="23"/>
  <c r="D119" i="23"/>
  <c r="V118" i="23"/>
  <c r="U118" i="23"/>
  <c r="Q118" i="23"/>
  <c r="G118" i="23"/>
  <c r="F118" i="23"/>
  <c r="D118" i="23"/>
  <c r="V117" i="23"/>
  <c r="U117" i="23"/>
  <c r="Q117" i="23"/>
  <c r="G117" i="23"/>
  <c r="F117" i="23"/>
  <c r="D117" i="23"/>
  <c r="V116" i="23"/>
  <c r="U116" i="23"/>
  <c r="Q116" i="23"/>
  <c r="G116" i="23"/>
  <c r="F116" i="23"/>
  <c r="D116" i="23"/>
  <c r="V115" i="23"/>
  <c r="W115" i="23" s="1"/>
  <c r="U115" i="23"/>
  <c r="X115" i="23" s="1"/>
  <c r="Q115" i="23"/>
  <c r="G115" i="23"/>
  <c r="F115" i="23"/>
  <c r="D115" i="23"/>
  <c r="V114" i="23"/>
  <c r="U114" i="23"/>
  <c r="Q114" i="23"/>
  <c r="G114" i="23"/>
  <c r="F114" i="23"/>
  <c r="D114" i="23"/>
  <c r="V113" i="23"/>
  <c r="W113" i="23" s="1"/>
  <c r="X113" i="23" s="1"/>
  <c r="U113" i="23"/>
  <c r="Q113" i="23"/>
  <c r="G113" i="23"/>
  <c r="F113" i="23"/>
  <c r="D113" i="23"/>
  <c r="V112" i="23"/>
  <c r="U112" i="23"/>
  <c r="Q112" i="23"/>
  <c r="G112" i="23"/>
  <c r="F112" i="23"/>
  <c r="D112" i="23"/>
  <c r="V111" i="23"/>
  <c r="W111" i="23" s="1"/>
  <c r="X111" i="23" s="1"/>
  <c r="U111" i="23"/>
  <c r="Q111" i="23"/>
  <c r="G111" i="23"/>
  <c r="F111" i="23"/>
  <c r="D111" i="23"/>
  <c r="V110" i="23"/>
  <c r="U110" i="23"/>
  <c r="Q110" i="23"/>
  <c r="G110" i="23"/>
  <c r="F110" i="23"/>
  <c r="D110" i="23"/>
  <c r="V109" i="23"/>
  <c r="U109" i="23"/>
  <c r="Q109" i="23"/>
  <c r="G109" i="23"/>
  <c r="F109" i="23"/>
  <c r="D109" i="23"/>
  <c r="V108" i="23"/>
  <c r="U108" i="23"/>
  <c r="Q108" i="23"/>
  <c r="G108" i="23"/>
  <c r="F108" i="23"/>
  <c r="D108" i="23"/>
  <c r="V107" i="23"/>
  <c r="U107" i="23"/>
  <c r="Q107" i="23"/>
  <c r="G107" i="23"/>
  <c r="F107" i="23"/>
  <c r="D107" i="23"/>
  <c r="V106" i="23"/>
  <c r="U106" i="23"/>
  <c r="Q106" i="23"/>
  <c r="G106" i="23"/>
  <c r="F106" i="23"/>
  <c r="D106" i="23"/>
  <c r="V105" i="23"/>
  <c r="U105" i="23"/>
  <c r="Q105" i="23"/>
  <c r="G105" i="23"/>
  <c r="F105" i="23"/>
  <c r="D105" i="23"/>
  <c r="V104" i="23"/>
  <c r="U104" i="23"/>
  <c r="Q104" i="23"/>
  <c r="G104" i="23"/>
  <c r="F104" i="23"/>
  <c r="D104" i="23"/>
  <c r="V103" i="23"/>
  <c r="W103" i="23" s="1"/>
  <c r="X103" i="23" s="1"/>
  <c r="U103" i="23"/>
  <c r="Q103" i="23"/>
  <c r="G103" i="23"/>
  <c r="F103" i="23"/>
  <c r="D103" i="23"/>
  <c r="V102" i="23"/>
  <c r="U102" i="23"/>
  <c r="Q102" i="23"/>
  <c r="G102" i="23"/>
  <c r="F102" i="23"/>
  <c r="D102" i="23"/>
  <c r="V101" i="23"/>
  <c r="W101" i="23" s="1"/>
  <c r="X101" i="23" s="1"/>
  <c r="U101" i="23"/>
  <c r="Q101" i="23"/>
  <c r="G101" i="23"/>
  <c r="F101" i="23"/>
  <c r="D101" i="23"/>
  <c r="V100" i="23"/>
  <c r="U100" i="23"/>
  <c r="Q100" i="23"/>
  <c r="G100" i="23"/>
  <c r="F100" i="23"/>
  <c r="D100" i="23"/>
  <c r="V99" i="23"/>
  <c r="W99" i="23" s="1"/>
  <c r="X99" i="23" s="1"/>
  <c r="U99" i="23"/>
  <c r="Q99" i="23"/>
  <c r="G99" i="23"/>
  <c r="F99" i="23"/>
  <c r="D99" i="23"/>
  <c r="V98" i="23"/>
  <c r="U98" i="23"/>
  <c r="Q98" i="23"/>
  <c r="G98" i="23"/>
  <c r="F98" i="23"/>
  <c r="D98" i="23"/>
  <c r="V97" i="23"/>
  <c r="U97" i="23"/>
  <c r="Q97" i="23"/>
  <c r="G97" i="23"/>
  <c r="F97" i="23"/>
  <c r="D97" i="23"/>
  <c r="V96" i="23"/>
  <c r="U96" i="23"/>
  <c r="Q96" i="23"/>
  <c r="G96" i="23"/>
  <c r="F96" i="23"/>
  <c r="D96" i="23"/>
  <c r="V95" i="23"/>
  <c r="U95" i="23"/>
  <c r="Q95" i="23"/>
  <c r="G95" i="23"/>
  <c r="F95" i="23"/>
  <c r="D95" i="23"/>
  <c r="V94" i="23"/>
  <c r="U94" i="23"/>
  <c r="Q94" i="23"/>
  <c r="G94" i="23"/>
  <c r="F94" i="23"/>
  <c r="D94" i="23"/>
  <c r="V93" i="23"/>
  <c r="U93" i="23"/>
  <c r="Q93" i="23"/>
  <c r="G93" i="23"/>
  <c r="F93" i="23"/>
  <c r="D93" i="23"/>
  <c r="V92" i="23"/>
  <c r="U92" i="23"/>
  <c r="Q92" i="23"/>
  <c r="G92" i="23"/>
  <c r="F92" i="23"/>
  <c r="D92" i="23"/>
  <c r="V91" i="23"/>
  <c r="W91" i="23" s="1"/>
  <c r="U91" i="23"/>
  <c r="X91" i="23" s="1"/>
  <c r="Q91" i="23"/>
  <c r="G91" i="23"/>
  <c r="F91" i="23"/>
  <c r="D91" i="23"/>
  <c r="V90" i="23"/>
  <c r="W90" i="23" s="1"/>
  <c r="X90" i="23" s="1"/>
  <c r="U90" i="23"/>
  <c r="Q90" i="23"/>
  <c r="G90" i="23"/>
  <c r="F90" i="23"/>
  <c r="D90" i="23"/>
  <c r="V89" i="23"/>
  <c r="W89" i="23" s="1"/>
  <c r="X89" i="23" s="1"/>
  <c r="U89" i="23"/>
  <c r="Q89" i="23"/>
  <c r="G89" i="23"/>
  <c r="F89" i="23"/>
  <c r="D89" i="23"/>
  <c r="V88" i="23"/>
  <c r="W88" i="23" s="1"/>
  <c r="X88" i="23" s="1"/>
  <c r="U88" i="23"/>
  <c r="Q88" i="23"/>
  <c r="G88" i="23"/>
  <c r="F88" i="23"/>
  <c r="D88" i="23"/>
  <c r="V87" i="23"/>
  <c r="W87" i="23" s="1"/>
  <c r="X87" i="23" s="1"/>
  <c r="U87" i="23"/>
  <c r="Q87" i="23"/>
  <c r="G87" i="23"/>
  <c r="F87" i="23"/>
  <c r="D87" i="23"/>
  <c r="V86" i="23"/>
  <c r="W86" i="23" s="1"/>
  <c r="X86" i="23" s="1"/>
  <c r="U86" i="23"/>
  <c r="Q86" i="23"/>
  <c r="G86" i="23"/>
  <c r="F86" i="23"/>
  <c r="D86" i="23"/>
  <c r="V85" i="23"/>
  <c r="U85" i="23"/>
  <c r="Q85" i="23"/>
  <c r="G85" i="23"/>
  <c r="F85" i="23"/>
  <c r="D85" i="23"/>
  <c r="V84" i="23"/>
  <c r="U84" i="23"/>
  <c r="Q84" i="23"/>
  <c r="G84" i="23"/>
  <c r="F84" i="23"/>
  <c r="D84" i="23"/>
  <c r="V83" i="23"/>
  <c r="U83" i="23"/>
  <c r="Q83" i="23"/>
  <c r="G83" i="23"/>
  <c r="F83" i="23"/>
  <c r="D83" i="23"/>
  <c r="V82" i="23"/>
  <c r="U82" i="23"/>
  <c r="Q82" i="23"/>
  <c r="G82" i="23"/>
  <c r="F82" i="23"/>
  <c r="D82" i="23"/>
  <c r="V81" i="23"/>
  <c r="U81" i="23"/>
  <c r="Q81" i="23"/>
  <c r="G81" i="23"/>
  <c r="F81" i="23"/>
  <c r="D81" i="23"/>
  <c r="V80" i="23"/>
  <c r="U80" i="23"/>
  <c r="Q80" i="23"/>
  <c r="G80" i="23"/>
  <c r="F80" i="23"/>
  <c r="D80" i="23"/>
  <c r="V79" i="23"/>
  <c r="U79" i="23"/>
  <c r="Q79" i="23"/>
  <c r="G79" i="23"/>
  <c r="F79" i="23"/>
  <c r="D79" i="23"/>
  <c r="V78" i="23"/>
  <c r="W78" i="23" s="1"/>
  <c r="X78" i="23" s="1"/>
  <c r="U78" i="23"/>
  <c r="Q78" i="23"/>
  <c r="G78" i="23"/>
  <c r="F78" i="23"/>
  <c r="D78" i="23"/>
  <c r="V77" i="23"/>
  <c r="U77" i="23"/>
  <c r="Q77" i="23"/>
  <c r="G77" i="23"/>
  <c r="F77" i="23"/>
  <c r="D77" i="23"/>
  <c r="V76" i="23"/>
  <c r="W76" i="23" s="1"/>
  <c r="X76" i="23" s="1"/>
  <c r="U76" i="23"/>
  <c r="Q76" i="23"/>
  <c r="G76" i="23"/>
  <c r="F76" i="23"/>
  <c r="D76" i="23"/>
  <c r="V75" i="23"/>
  <c r="U75" i="23"/>
  <c r="Q75" i="23"/>
  <c r="G75" i="23"/>
  <c r="F75" i="23"/>
  <c r="D75" i="23"/>
  <c r="V74" i="23"/>
  <c r="W74" i="23" s="1"/>
  <c r="X74" i="23" s="1"/>
  <c r="U74" i="23"/>
  <c r="Q74" i="23"/>
  <c r="G74" i="23"/>
  <c r="F74" i="23"/>
  <c r="D74" i="23"/>
  <c r="V73" i="23"/>
  <c r="U73" i="23"/>
  <c r="Q73" i="23"/>
  <c r="G73" i="23"/>
  <c r="F73" i="23"/>
  <c r="D73" i="23"/>
  <c r="V72" i="23"/>
  <c r="U72" i="23"/>
  <c r="Q72" i="23"/>
  <c r="G72" i="23"/>
  <c r="F72" i="23"/>
  <c r="D72" i="23"/>
  <c r="V71" i="23"/>
  <c r="U71" i="23"/>
  <c r="Q71" i="23"/>
  <c r="G71" i="23"/>
  <c r="F71" i="23"/>
  <c r="D71" i="23"/>
  <c r="V70" i="23"/>
  <c r="U70" i="23"/>
  <c r="Q70" i="23"/>
  <c r="G70" i="23"/>
  <c r="F70" i="23"/>
  <c r="D70" i="23"/>
  <c r="V69" i="23"/>
  <c r="U69" i="23"/>
  <c r="Q69" i="23"/>
  <c r="G69" i="23"/>
  <c r="F69" i="23"/>
  <c r="D69" i="23"/>
  <c r="V68" i="23"/>
  <c r="U68" i="23"/>
  <c r="Q68" i="23"/>
  <c r="G68" i="23"/>
  <c r="F68" i="23"/>
  <c r="D68" i="23"/>
  <c r="V67" i="23"/>
  <c r="U67" i="23"/>
  <c r="Q67" i="23"/>
  <c r="G67" i="23"/>
  <c r="F67" i="23"/>
  <c r="D67" i="23"/>
  <c r="V66" i="23"/>
  <c r="W66" i="23" s="1"/>
  <c r="X66" i="23" s="1"/>
  <c r="U66" i="23"/>
  <c r="Q66" i="23"/>
  <c r="G66" i="23"/>
  <c r="F66" i="23"/>
  <c r="D66" i="23"/>
  <c r="V65" i="23"/>
  <c r="U65" i="23"/>
  <c r="Q65" i="23"/>
  <c r="G65" i="23"/>
  <c r="F65" i="23"/>
  <c r="D65" i="23"/>
  <c r="V64" i="23"/>
  <c r="W64" i="23" s="1"/>
  <c r="X64" i="23" s="1"/>
  <c r="U64" i="23"/>
  <c r="Q64" i="23"/>
  <c r="G64" i="23"/>
  <c r="F64" i="23"/>
  <c r="D64" i="23"/>
  <c r="V63" i="23"/>
  <c r="U63" i="23"/>
  <c r="Q63" i="23"/>
  <c r="G63" i="23"/>
  <c r="F63" i="23"/>
  <c r="D63" i="23"/>
  <c r="V62" i="23"/>
  <c r="W62" i="23" s="1"/>
  <c r="X62" i="23" s="1"/>
  <c r="U62" i="23"/>
  <c r="Q62" i="23"/>
  <c r="G62" i="23"/>
  <c r="F62" i="23"/>
  <c r="D62" i="23"/>
  <c r="V61" i="23"/>
  <c r="U61" i="23"/>
  <c r="Q61" i="23"/>
  <c r="G61" i="23"/>
  <c r="F61" i="23"/>
  <c r="D61" i="23"/>
  <c r="V60" i="23"/>
  <c r="U60" i="23"/>
  <c r="Q60" i="23"/>
  <c r="G60" i="23"/>
  <c r="F60" i="23"/>
  <c r="D60" i="23"/>
  <c r="V59" i="23"/>
  <c r="U59" i="23"/>
  <c r="Q59" i="23"/>
  <c r="G59" i="23"/>
  <c r="F59" i="23"/>
  <c r="D59" i="23"/>
  <c r="V58" i="23"/>
  <c r="U58" i="23"/>
  <c r="Q58" i="23"/>
  <c r="G58" i="23"/>
  <c r="F58" i="23"/>
  <c r="D58" i="23"/>
  <c r="V57" i="23"/>
  <c r="U57" i="23"/>
  <c r="Q57" i="23"/>
  <c r="G57" i="23"/>
  <c r="F57" i="23"/>
  <c r="D57" i="23"/>
  <c r="V56" i="23"/>
  <c r="U56" i="23"/>
  <c r="Q56" i="23"/>
  <c r="G56" i="23"/>
  <c r="F56" i="23"/>
  <c r="D56" i="23"/>
  <c r="V55" i="23"/>
  <c r="W55" i="23" s="1"/>
  <c r="X55" i="23" s="1"/>
  <c r="U55" i="23"/>
  <c r="Q55" i="23"/>
  <c r="G55" i="23"/>
  <c r="F55" i="23"/>
  <c r="D55" i="23"/>
  <c r="V54" i="23"/>
  <c r="W54" i="23" s="1"/>
  <c r="X54" i="23" s="1"/>
  <c r="U54" i="23"/>
  <c r="Q54" i="23"/>
  <c r="G54" i="23"/>
  <c r="F54" i="23"/>
  <c r="D54" i="23"/>
  <c r="V53" i="23"/>
  <c r="W53" i="23" s="1"/>
  <c r="X53" i="23" s="1"/>
  <c r="U53" i="23"/>
  <c r="Q53" i="23"/>
  <c r="G53" i="23"/>
  <c r="F53" i="23"/>
  <c r="D53" i="23"/>
  <c r="V52" i="23"/>
  <c r="W52" i="23" s="1"/>
  <c r="X52" i="23" s="1"/>
  <c r="U52" i="23"/>
  <c r="Q52" i="23"/>
  <c r="G52" i="23"/>
  <c r="F52" i="23"/>
  <c r="D52" i="23"/>
  <c r="V51" i="23"/>
  <c r="W51" i="23" s="1"/>
  <c r="X51" i="23" s="1"/>
  <c r="U51" i="23"/>
  <c r="Q51" i="23"/>
  <c r="G51" i="23"/>
  <c r="F51" i="23"/>
  <c r="D51" i="23"/>
  <c r="V50" i="23"/>
  <c r="W50" i="23" s="1"/>
  <c r="X50" i="23" s="1"/>
  <c r="U50" i="23"/>
  <c r="Q50" i="23"/>
  <c r="G50" i="23"/>
  <c r="F50" i="23"/>
  <c r="D50" i="23"/>
  <c r="V49" i="23"/>
  <c r="U49" i="23"/>
  <c r="Q49" i="23"/>
  <c r="G49" i="23"/>
  <c r="F49" i="23"/>
  <c r="D49" i="23"/>
  <c r="V48" i="23"/>
  <c r="U48" i="23"/>
  <c r="Q48" i="23"/>
  <c r="G48" i="23"/>
  <c r="F48" i="23"/>
  <c r="D48" i="23"/>
  <c r="V47" i="23"/>
  <c r="U47" i="23"/>
  <c r="Q47" i="23"/>
  <c r="G47" i="23"/>
  <c r="F47" i="23"/>
  <c r="D47" i="23"/>
  <c r="V46" i="23"/>
  <c r="U46" i="23"/>
  <c r="Q46" i="23"/>
  <c r="G46" i="23"/>
  <c r="F46" i="23"/>
  <c r="D46" i="23"/>
  <c r="V45" i="23"/>
  <c r="U45" i="23"/>
  <c r="Q45" i="23"/>
  <c r="G45" i="23"/>
  <c r="F45" i="23"/>
  <c r="D45" i="23"/>
  <c r="V44" i="23"/>
  <c r="U44" i="23"/>
  <c r="Q44" i="23"/>
  <c r="G44" i="23"/>
  <c r="F44" i="23"/>
  <c r="D44" i="23"/>
  <c r="V43" i="23"/>
  <c r="W43" i="23" s="1"/>
  <c r="U43" i="23"/>
  <c r="X43" i="23" s="1"/>
  <c r="Q43" i="23"/>
  <c r="G43" i="23"/>
  <c r="F43" i="23"/>
  <c r="D43" i="23"/>
  <c r="V42" i="23"/>
  <c r="U42" i="23"/>
  <c r="Q42" i="23"/>
  <c r="G42" i="23"/>
  <c r="F42" i="23"/>
  <c r="D42" i="23"/>
  <c r="V41" i="23"/>
  <c r="W41" i="23" s="1"/>
  <c r="X41" i="23" s="1"/>
  <c r="U41" i="23"/>
  <c r="Q41" i="23"/>
  <c r="G41" i="23"/>
  <c r="F41" i="23"/>
  <c r="D41" i="23"/>
  <c r="V40" i="23"/>
  <c r="U40" i="23"/>
  <c r="Q40" i="23"/>
  <c r="G40" i="23"/>
  <c r="F40" i="23"/>
  <c r="D40" i="23"/>
  <c r="V39" i="23"/>
  <c r="W39" i="23" s="1"/>
  <c r="X39" i="23" s="1"/>
  <c r="U39" i="23"/>
  <c r="Q39" i="23"/>
  <c r="G39" i="23"/>
  <c r="F39" i="23"/>
  <c r="D39" i="23"/>
  <c r="V38" i="23"/>
  <c r="U38" i="23"/>
  <c r="Q38" i="23"/>
  <c r="G38" i="23"/>
  <c r="F38" i="23"/>
  <c r="D38" i="23"/>
  <c r="V37" i="23"/>
  <c r="U37" i="23"/>
  <c r="Q37" i="23"/>
  <c r="G37" i="23"/>
  <c r="F37" i="23"/>
  <c r="D37" i="23"/>
  <c r="V36" i="23"/>
  <c r="U36" i="23"/>
  <c r="Q36" i="23"/>
  <c r="G36" i="23"/>
  <c r="F36" i="23"/>
  <c r="D36" i="23"/>
  <c r="V35" i="23"/>
  <c r="U35" i="23"/>
  <c r="Q35" i="23"/>
  <c r="G35" i="23"/>
  <c r="F35" i="23"/>
  <c r="D35" i="23"/>
  <c r="V34" i="23"/>
  <c r="U34" i="23"/>
  <c r="Q34" i="23"/>
  <c r="G34" i="23"/>
  <c r="F34" i="23"/>
  <c r="D34" i="23"/>
  <c r="V33" i="23"/>
  <c r="U33" i="23"/>
  <c r="Q33" i="23"/>
  <c r="G33" i="23"/>
  <c r="F33" i="23"/>
  <c r="D33" i="23"/>
  <c r="V32" i="23"/>
  <c r="U32" i="23"/>
  <c r="Q32" i="23"/>
  <c r="G32" i="23"/>
  <c r="F32" i="23"/>
  <c r="D32" i="23"/>
  <c r="V31" i="23"/>
  <c r="W31" i="23" s="1"/>
  <c r="X31" i="23" s="1"/>
  <c r="U31" i="23"/>
  <c r="Q31" i="23"/>
  <c r="G31" i="23"/>
  <c r="F31" i="23"/>
  <c r="D31" i="23"/>
  <c r="V30" i="23"/>
  <c r="U30" i="23"/>
  <c r="Q30" i="23"/>
  <c r="G30" i="23"/>
  <c r="F30" i="23"/>
  <c r="D30" i="23"/>
  <c r="V29" i="23"/>
  <c r="W29" i="23" s="1"/>
  <c r="X29" i="23" s="1"/>
  <c r="U29" i="23"/>
  <c r="Q29" i="23"/>
  <c r="G29" i="23"/>
  <c r="F29" i="23"/>
  <c r="D29" i="23"/>
  <c r="V28" i="23"/>
  <c r="U28" i="23"/>
  <c r="Q28" i="23"/>
  <c r="G28" i="23"/>
  <c r="F28" i="23"/>
  <c r="D28" i="23"/>
  <c r="V27" i="23"/>
  <c r="W27" i="23" s="1"/>
  <c r="X27" i="23" s="1"/>
  <c r="U27" i="23"/>
  <c r="Q27" i="23"/>
  <c r="G27" i="23"/>
  <c r="F27" i="23"/>
  <c r="D27" i="23"/>
  <c r="V26" i="23"/>
  <c r="U26" i="23"/>
  <c r="Q26" i="23"/>
  <c r="G26" i="23"/>
  <c r="F26" i="23"/>
  <c r="D26" i="23"/>
  <c r="V25" i="23"/>
  <c r="U25" i="23"/>
  <c r="Q25" i="23"/>
  <c r="G25" i="23"/>
  <c r="F25" i="23"/>
  <c r="D25" i="23"/>
  <c r="V24" i="23"/>
  <c r="U24" i="23"/>
  <c r="Q24" i="23"/>
  <c r="G24" i="23"/>
  <c r="F24" i="23"/>
  <c r="D24" i="23"/>
  <c r="V23" i="23"/>
  <c r="U23" i="23"/>
  <c r="Q23" i="23"/>
  <c r="G23" i="23"/>
  <c r="F23" i="23"/>
  <c r="D23" i="23"/>
  <c r="V22" i="23"/>
  <c r="U22" i="23"/>
  <c r="Q22" i="23"/>
  <c r="G22" i="23"/>
  <c r="F22" i="23"/>
  <c r="D22" i="23"/>
  <c r="V21" i="23"/>
  <c r="U21" i="23"/>
  <c r="Q21" i="23"/>
  <c r="G21" i="23"/>
  <c r="F21" i="23"/>
  <c r="D21" i="23"/>
  <c r="V20" i="23"/>
  <c r="W20" i="23" s="1"/>
  <c r="X20" i="23" s="1"/>
  <c r="U20" i="23"/>
  <c r="Q20" i="23"/>
  <c r="G20" i="23"/>
  <c r="F20" i="23"/>
  <c r="D20" i="23"/>
  <c r="V19" i="23"/>
  <c r="W19" i="23" s="1"/>
  <c r="X19" i="23" s="1"/>
  <c r="U19" i="23"/>
  <c r="Q19" i="23"/>
  <c r="G19" i="23"/>
  <c r="F19" i="23"/>
  <c r="D19" i="23"/>
  <c r="V18" i="23"/>
  <c r="W18" i="23" s="1"/>
  <c r="X18" i="23" s="1"/>
  <c r="U18" i="23"/>
  <c r="Q18" i="23"/>
  <c r="G18" i="23"/>
  <c r="F18" i="23"/>
  <c r="D18" i="23"/>
  <c r="V17" i="23"/>
  <c r="W17" i="23" s="1"/>
  <c r="X17" i="23" s="1"/>
  <c r="U17" i="23"/>
  <c r="Q17" i="23"/>
  <c r="G17" i="23"/>
  <c r="F17" i="23"/>
  <c r="D17" i="23"/>
  <c r="V16" i="23"/>
  <c r="U16" i="23"/>
  <c r="Q16" i="23"/>
  <c r="G16" i="23"/>
  <c r="F16" i="23"/>
  <c r="D16" i="23"/>
  <c r="W15" i="23"/>
  <c r="X15" i="23" s="1"/>
  <c r="V15" i="23"/>
  <c r="U15" i="23"/>
  <c r="Q15" i="23"/>
  <c r="G15" i="23"/>
  <c r="F15" i="23"/>
  <c r="D15" i="23"/>
  <c r="V14" i="23"/>
  <c r="U14" i="23"/>
  <c r="Q14" i="23"/>
  <c r="G14" i="23"/>
  <c r="F14" i="23"/>
  <c r="D14" i="23"/>
  <c r="V13" i="23"/>
  <c r="U13" i="23"/>
  <c r="W13" i="23" s="1"/>
  <c r="Q13" i="23"/>
  <c r="G13" i="23"/>
  <c r="F13" i="23"/>
  <c r="D13" i="23"/>
  <c r="V12" i="23"/>
  <c r="U12" i="23"/>
  <c r="Q12" i="23"/>
  <c r="G12" i="23"/>
  <c r="F12" i="23"/>
  <c r="D12" i="23"/>
  <c r="V11" i="23"/>
  <c r="U11" i="23"/>
  <c r="W11" i="23" s="1"/>
  <c r="X11" i="23" s="1"/>
  <c r="Q11" i="23"/>
  <c r="G11" i="23"/>
  <c r="F11" i="23"/>
  <c r="D11" i="23"/>
  <c r="V10" i="23"/>
  <c r="U10" i="23"/>
  <c r="Q10" i="23"/>
  <c r="G10" i="23"/>
  <c r="F10" i="23"/>
  <c r="D10" i="23"/>
  <c r="V9" i="23"/>
  <c r="U9" i="23"/>
  <c r="Q9" i="23"/>
  <c r="G9" i="23"/>
  <c r="F9" i="23"/>
  <c r="D9" i="23"/>
  <c r="V8" i="23"/>
  <c r="W8" i="23" s="1"/>
  <c r="X8" i="23" s="1"/>
  <c r="U8" i="23"/>
  <c r="Q8" i="23"/>
  <c r="G8" i="23"/>
  <c r="F8" i="23"/>
  <c r="D8" i="23"/>
  <c r="V7" i="23"/>
  <c r="U7" i="23"/>
  <c r="Q7" i="23"/>
  <c r="G7" i="23"/>
  <c r="F7" i="23"/>
  <c r="D7" i="23"/>
  <c r="W6" i="23"/>
  <c r="X6" i="23" s="1"/>
  <c r="V6" i="23"/>
  <c r="U6" i="23"/>
  <c r="Q6" i="23"/>
  <c r="G6" i="23"/>
  <c r="F6" i="23"/>
  <c r="D6" i="23"/>
  <c r="V5" i="23"/>
  <c r="U5" i="23"/>
  <c r="Q5" i="23"/>
  <c r="G5" i="23"/>
  <c r="F5" i="23"/>
  <c r="D5" i="23"/>
  <c r="V4" i="23"/>
  <c r="U4" i="23"/>
  <c r="Q4" i="23"/>
  <c r="G4" i="23"/>
  <c r="F4" i="23"/>
  <c r="D4" i="23"/>
  <c r="V3" i="23"/>
  <c r="U3" i="23"/>
  <c r="Q3" i="23"/>
  <c r="G3" i="23"/>
  <c r="F3" i="23"/>
  <c r="D3" i="23"/>
  <c r="V2" i="23"/>
  <c r="Q2" i="23"/>
  <c r="G2" i="23"/>
  <c r="F2" i="23"/>
  <c r="D2" i="23"/>
  <c r="U633" i="21"/>
  <c r="T633" i="21"/>
  <c r="P633" i="21"/>
  <c r="F633" i="21"/>
  <c r="E633" i="21"/>
  <c r="D633" i="21"/>
  <c r="U632" i="21"/>
  <c r="T632" i="21"/>
  <c r="W632" i="21" s="1"/>
  <c r="P632" i="21"/>
  <c r="F632" i="21"/>
  <c r="E632" i="21"/>
  <c r="D632" i="21"/>
  <c r="U631" i="21"/>
  <c r="T631" i="21"/>
  <c r="P631" i="21"/>
  <c r="F631" i="21"/>
  <c r="E631" i="21"/>
  <c r="D631" i="21"/>
  <c r="U630" i="21"/>
  <c r="T630" i="21"/>
  <c r="W630" i="21" s="1"/>
  <c r="P630" i="21"/>
  <c r="F630" i="21"/>
  <c r="E630" i="21"/>
  <c r="D630" i="21"/>
  <c r="U629" i="21"/>
  <c r="T629" i="21"/>
  <c r="W629" i="21" s="1"/>
  <c r="P629" i="21"/>
  <c r="F629" i="21"/>
  <c r="E629" i="21"/>
  <c r="D629" i="21"/>
  <c r="U628" i="21"/>
  <c r="T628" i="21"/>
  <c r="P628" i="21"/>
  <c r="F628" i="21"/>
  <c r="E628" i="21"/>
  <c r="D628" i="21"/>
  <c r="U627" i="21"/>
  <c r="T627" i="21"/>
  <c r="W627" i="21" s="1"/>
  <c r="P627" i="21"/>
  <c r="F627" i="21"/>
  <c r="E627" i="21"/>
  <c r="D627" i="21"/>
  <c r="U626" i="21"/>
  <c r="T626" i="21"/>
  <c r="W626" i="21" s="1"/>
  <c r="P626" i="21"/>
  <c r="F626" i="21"/>
  <c r="E626" i="21"/>
  <c r="D626" i="21"/>
  <c r="U625" i="21"/>
  <c r="T625" i="21"/>
  <c r="P625" i="21"/>
  <c r="F625" i="21"/>
  <c r="E625" i="21"/>
  <c r="D625" i="21"/>
  <c r="U624" i="21"/>
  <c r="T624" i="21"/>
  <c r="W624" i="21" s="1"/>
  <c r="P624" i="21"/>
  <c r="F624" i="21"/>
  <c r="E624" i="21"/>
  <c r="D624" i="21"/>
  <c r="U623" i="21"/>
  <c r="T623" i="21"/>
  <c r="W623" i="21" s="1"/>
  <c r="P623" i="21"/>
  <c r="F623" i="21"/>
  <c r="E623" i="21"/>
  <c r="D623" i="21"/>
  <c r="U622" i="21"/>
  <c r="T622" i="21"/>
  <c r="P622" i="21"/>
  <c r="F622" i="21"/>
  <c r="E622" i="21"/>
  <c r="D622" i="21"/>
  <c r="U621" i="21"/>
  <c r="T621" i="21"/>
  <c r="W621" i="21" s="1"/>
  <c r="P621" i="21"/>
  <c r="F621" i="21"/>
  <c r="E621" i="21"/>
  <c r="D621" i="21"/>
  <c r="U620" i="21"/>
  <c r="T620" i="21"/>
  <c r="W620" i="21" s="1"/>
  <c r="P620" i="21"/>
  <c r="F620" i="21"/>
  <c r="E620" i="21"/>
  <c r="D620" i="21"/>
  <c r="U619" i="21"/>
  <c r="T619" i="21"/>
  <c r="P619" i="21"/>
  <c r="F619" i="21"/>
  <c r="E619" i="21"/>
  <c r="D619" i="21"/>
  <c r="U618" i="21"/>
  <c r="T618" i="21"/>
  <c r="W618" i="21" s="1"/>
  <c r="P618" i="21"/>
  <c r="F618" i="21"/>
  <c r="E618" i="21"/>
  <c r="D618" i="21"/>
  <c r="U617" i="21"/>
  <c r="T617" i="21"/>
  <c r="W617" i="21" s="1"/>
  <c r="P617" i="21"/>
  <c r="F617" i="21"/>
  <c r="E617" i="21"/>
  <c r="D617" i="21"/>
  <c r="U616" i="21"/>
  <c r="T616" i="21"/>
  <c r="P616" i="21"/>
  <c r="F616" i="21"/>
  <c r="E616" i="21"/>
  <c r="D616" i="21"/>
  <c r="U615" i="21"/>
  <c r="T615" i="21"/>
  <c r="W615" i="21" s="1"/>
  <c r="P615" i="21"/>
  <c r="F615" i="21"/>
  <c r="E615" i="21"/>
  <c r="D615" i="21"/>
  <c r="U614" i="21"/>
  <c r="T614" i="21"/>
  <c r="W614" i="21" s="1"/>
  <c r="P614" i="21"/>
  <c r="F614" i="21"/>
  <c r="E614" i="21"/>
  <c r="D614" i="21"/>
  <c r="U613" i="21"/>
  <c r="T613" i="21"/>
  <c r="P613" i="21"/>
  <c r="F613" i="21"/>
  <c r="E613" i="21"/>
  <c r="D613" i="21"/>
  <c r="U612" i="21"/>
  <c r="T612" i="21"/>
  <c r="W612" i="21" s="1"/>
  <c r="P612" i="21"/>
  <c r="F612" i="21"/>
  <c r="E612" i="21"/>
  <c r="D612" i="21"/>
  <c r="U611" i="21"/>
  <c r="T611" i="21"/>
  <c r="W611" i="21" s="1"/>
  <c r="P611" i="21"/>
  <c r="F611" i="21"/>
  <c r="E611" i="21"/>
  <c r="D611" i="21"/>
  <c r="U610" i="21"/>
  <c r="T610" i="21"/>
  <c r="P610" i="21"/>
  <c r="F610" i="21"/>
  <c r="E610" i="21"/>
  <c r="D610" i="21"/>
  <c r="U609" i="21"/>
  <c r="T609" i="21"/>
  <c r="W609" i="21" s="1"/>
  <c r="P609" i="21"/>
  <c r="F609" i="21"/>
  <c r="E609" i="21"/>
  <c r="D609" i="21"/>
  <c r="U608" i="21"/>
  <c r="T608" i="21"/>
  <c r="W608" i="21" s="1"/>
  <c r="P608" i="21"/>
  <c r="F608" i="21"/>
  <c r="E608" i="21"/>
  <c r="D608" i="21"/>
  <c r="U607" i="21"/>
  <c r="T607" i="21"/>
  <c r="P607" i="21"/>
  <c r="F607" i="21"/>
  <c r="E607" i="21"/>
  <c r="D607" i="21"/>
  <c r="U606" i="21"/>
  <c r="T606" i="21"/>
  <c r="P606" i="21"/>
  <c r="F606" i="21"/>
  <c r="E606" i="21"/>
  <c r="D606" i="21"/>
  <c r="U605" i="21"/>
  <c r="T605" i="21"/>
  <c r="P605" i="21"/>
  <c r="F605" i="21"/>
  <c r="E605" i="21"/>
  <c r="D605" i="21"/>
  <c r="U604" i="21"/>
  <c r="T604" i="21"/>
  <c r="P604" i="21"/>
  <c r="F604" i="21"/>
  <c r="E604" i="21"/>
  <c r="D604" i="21"/>
  <c r="U603" i="21"/>
  <c r="T603" i="21"/>
  <c r="P603" i="21"/>
  <c r="F603" i="21"/>
  <c r="E603" i="21"/>
  <c r="D603" i="21"/>
  <c r="U602" i="21"/>
  <c r="T602" i="21"/>
  <c r="P602" i="21"/>
  <c r="F602" i="21"/>
  <c r="E602" i="21"/>
  <c r="D602" i="21"/>
  <c r="U601" i="21"/>
  <c r="T601" i="21"/>
  <c r="P601" i="21"/>
  <c r="F601" i="21"/>
  <c r="E601" i="21"/>
  <c r="D601" i="21"/>
  <c r="U600" i="21"/>
  <c r="T600" i="21"/>
  <c r="P600" i="21"/>
  <c r="F600" i="21"/>
  <c r="E600" i="21"/>
  <c r="D600" i="21"/>
  <c r="U599" i="21"/>
  <c r="T599" i="21"/>
  <c r="P599" i="21"/>
  <c r="F599" i="21"/>
  <c r="E599" i="21"/>
  <c r="D599" i="21"/>
  <c r="U598" i="21"/>
  <c r="T598" i="21"/>
  <c r="P598" i="21"/>
  <c r="F598" i="21"/>
  <c r="E598" i="21"/>
  <c r="D598" i="21"/>
  <c r="U597" i="21"/>
  <c r="T597" i="21"/>
  <c r="P597" i="21"/>
  <c r="F597" i="21"/>
  <c r="E597" i="21"/>
  <c r="D597" i="21"/>
  <c r="U596" i="21"/>
  <c r="T596" i="21"/>
  <c r="P596" i="21"/>
  <c r="F596" i="21"/>
  <c r="E596" i="21"/>
  <c r="D596" i="21"/>
  <c r="U595" i="21"/>
  <c r="T595" i="21"/>
  <c r="P595" i="21"/>
  <c r="F595" i="21"/>
  <c r="E595" i="21"/>
  <c r="D595" i="21"/>
  <c r="U594" i="21"/>
  <c r="T594" i="21"/>
  <c r="P594" i="21"/>
  <c r="F594" i="21"/>
  <c r="E594" i="21"/>
  <c r="D594" i="21"/>
  <c r="U593" i="21"/>
  <c r="T593" i="21"/>
  <c r="P593" i="21"/>
  <c r="F593" i="21"/>
  <c r="E593" i="21"/>
  <c r="D593" i="21"/>
  <c r="U592" i="21"/>
  <c r="T592" i="21"/>
  <c r="P592" i="21"/>
  <c r="F592" i="21"/>
  <c r="E592" i="21"/>
  <c r="D592" i="21"/>
  <c r="U591" i="21"/>
  <c r="T591" i="21"/>
  <c r="P591" i="21"/>
  <c r="F591" i="21"/>
  <c r="E591" i="21"/>
  <c r="D591" i="21"/>
  <c r="U590" i="21"/>
  <c r="T590" i="21"/>
  <c r="P590" i="21"/>
  <c r="F590" i="21"/>
  <c r="E590" i="21"/>
  <c r="D590" i="21"/>
  <c r="U589" i="21"/>
  <c r="T589" i="21"/>
  <c r="P589" i="21"/>
  <c r="F589" i="21"/>
  <c r="E589" i="21"/>
  <c r="D589" i="21"/>
  <c r="U588" i="21"/>
  <c r="T588" i="21"/>
  <c r="P588" i="21"/>
  <c r="F588" i="21"/>
  <c r="E588" i="21"/>
  <c r="D588" i="21"/>
  <c r="U587" i="21"/>
  <c r="T587" i="21"/>
  <c r="P587" i="21"/>
  <c r="F587" i="21"/>
  <c r="E587" i="21"/>
  <c r="D587" i="21"/>
  <c r="U586" i="21"/>
  <c r="T586" i="21"/>
  <c r="P586" i="21"/>
  <c r="F586" i="21"/>
  <c r="E586" i="21"/>
  <c r="D586" i="21"/>
  <c r="U585" i="21"/>
  <c r="T585" i="21"/>
  <c r="P585" i="21"/>
  <c r="F585" i="21"/>
  <c r="E585" i="21"/>
  <c r="D585" i="21"/>
  <c r="U584" i="21"/>
  <c r="T584" i="21"/>
  <c r="P584" i="21"/>
  <c r="F584" i="21"/>
  <c r="E584" i="21"/>
  <c r="D584" i="21"/>
  <c r="U583" i="21"/>
  <c r="T583" i="21"/>
  <c r="P583" i="21"/>
  <c r="F583" i="21"/>
  <c r="E583" i="21"/>
  <c r="D583" i="21"/>
  <c r="U582" i="21"/>
  <c r="T582" i="21"/>
  <c r="P582" i="21"/>
  <c r="F582" i="21"/>
  <c r="E582" i="21"/>
  <c r="D582" i="21"/>
  <c r="U581" i="21"/>
  <c r="T581" i="21"/>
  <c r="P581" i="21"/>
  <c r="F581" i="21"/>
  <c r="E581" i="21"/>
  <c r="D581" i="21"/>
  <c r="U580" i="21"/>
  <c r="T580" i="21"/>
  <c r="P580" i="21"/>
  <c r="F580" i="21"/>
  <c r="E580" i="21"/>
  <c r="D580" i="21"/>
  <c r="U579" i="21"/>
  <c r="T579" i="21"/>
  <c r="P579" i="21"/>
  <c r="F579" i="21"/>
  <c r="E579" i="21"/>
  <c r="D579" i="21"/>
  <c r="U578" i="21"/>
  <c r="T578" i="21"/>
  <c r="P578" i="21"/>
  <c r="F578" i="21"/>
  <c r="E578" i="21"/>
  <c r="D578" i="21"/>
  <c r="U577" i="21"/>
  <c r="T577" i="21"/>
  <c r="P577" i="21"/>
  <c r="F577" i="21"/>
  <c r="E577" i="21"/>
  <c r="D577" i="21"/>
  <c r="U576" i="21"/>
  <c r="T576" i="21"/>
  <c r="P576" i="21"/>
  <c r="F576" i="21"/>
  <c r="E576" i="21"/>
  <c r="D576" i="21"/>
  <c r="U575" i="21"/>
  <c r="T575" i="21"/>
  <c r="P575" i="21"/>
  <c r="F575" i="21"/>
  <c r="E575" i="21"/>
  <c r="D575" i="21"/>
  <c r="U574" i="21"/>
  <c r="T574" i="21"/>
  <c r="P574" i="21"/>
  <c r="F574" i="21"/>
  <c r="E574" i="21"/>
  <c r="D574" i="21"/>
  <c r="U573" i="21"/>
  <c r="T573" i="21"/>
  <c r="P573" i="21"/>
  <c r="F573" i="21"/>
  <c r="E573" i="21"/>
  <c r="D573" i="21"/>
  <c r="U572" i="21"/>
  <c r="T572" i="21"/>
  <c r="P572" i="21"/>
  <c r="F572" i="21"/>
  <c r="E572" i="21"/>
  <c r="D572" i="21"/>
  <c r="U571" i="21"/>
  <c r="T571" i="21"/>
  <c r="P571" i="21"/>
  <c r="F571" i="21"/>
  <c r="E571" i="21"/>
  <c r="D571" i="21"/>
  <c r="U570" i="21"/>
  <c r="T570" i="21"/>
  <c r="P570" i="21"/>
  <c r="F570" i="21"/>
  <c r="E570" i="21"/>
  <c r="D570" i="21"/>
  <c r="U569" i="21"/>
  <c r="T569" i="21"/>
  <c r="P569" i="21"/>
  <c r="F569" i="21"/>
  <c r="E569" i="21"/>
  <c r="D569" i="21"/>
  <c r="U568" i="21"/>
  <c r="T568" i="21"/>
  <c r="P568" i="21"/>
  <c r="F568" i="21"/>
  <c r="E568" i="21"/>
  <c r="D568" i="21"/>
  <c r="U567" i="21"/>
  <c r="T567" i="21"/>
  <c r="P567" i="21"/>
  <c r="F567" i="21"/>
  <c r="E567" i="21"/>
  <c r="D567" i="21"/>
  <c r="U566" i="21"/>
  <c r="T566" i="21"/>
  <c r="P566" i="21"/>
  <c r="F566" i="21"/>
  <c r="E566" i="21"/>
  <c r="D566" i="21"/>
  <c r="U565" i="21"/>
  <c r="T565" i="21"/>
  <c r="P565" i="21"/>
  <c r="F565" i="21"/>
  <c r="E565" i="21"/>
  <c r="D565" i="21"/>
  <c r="U564" i="21"/>
  <c r="T564" i="21"/>
  <c r="P564" i="21"/>
  <c r="F564" i="21"/>
  <c r="E564" i="21"/>
  <c r="D564" i="21"/>
  <c r="U563" i="21"/>
  <c r="T563" i="21"/>
  <c r="P563" i="21"/>
  <c r="F563" i="21"/>
  <c r="E563" i="21"/>
  <c r="D563" i="21"/>
  <c r="U562" i="21"/>
  <c r="T562" i="21"/>
  <c r="P562" i="21"/>
  <c r="F562" i="21"/>
  <c r="E562" i="21"/>
  <c r="D562" i="21"/>
  <c r="U561" i="21"/>
  <c r="T561" i="21"/>
  <c r="P561" i="21"/>
  <c r="F561" i="21"/>
  <c r="E561" i="21"/>
  <c r="D561" i="21"/>
  <c r="U560" i="21"/>
  <c r="T560" i="21"/>
  <c r="P560" i="21"/>
  <c r="F560" i="21"/>
  <c r="E560" i="21"/>
  <c r="D560" i="21"/>
  <c r="U559" i="21"/>
  <c r="T559" i="21"/>
  <c r="P559" i="21"/>
  <c r="F559" i="21"/>
  <c r="E559" i="21"/>
  <c r="D559" i="21"/>
  <c r="U558" i="21"/>
  <c r="T558" i="21"/>
  <c r="P558" i="21"/>
  <c r="F558" i="21"/>
  <c r="E558" i="21"/>
  <c r="D558" i="21"/>
  <c r="U557" i="21"/>
  <c r="T557" i="21"/>
  <c r="P557" i="21"/>
  <c r="F557" i="21"/>
  <c r="E557" i="21"/>
  <c r="D557" i="21"/>
  <c r="U556" i="21"/>
  <c r="T556" i="21"/>
  <c r="P556" i="21"/>
  <c r="F556" i="21"/>
  <c r="E556" i="21"/>
  <c r="D556" i="21"/>
  <c r="U555" i="21"/>
  <c r="T555" i="21"/>
  <c r="P555" i="21"/>
  <c r="F555" i="21"/>
  <c r="E555" i="21"/>
  <c r="D555" i="21"/>
  <c r="U554" i="21"/>
  <c r="T554" i="21"/>
  <c r="P554" i="21"/>
  <c r="F554" i="21"/>
  <c r="E554" i="21"/>
  <c r="D554" i="21"/>
  <c r="U553" i="21"/>
  <c r="T553" i="21"/>
  <c r="P553" i="21"/>
  <c r="F553" i="21"/>
  <c r="E553" i="21"/>
  <c r="D553" i="21"/>
  <c r="U552" i="21"/>
  <c r="T552" i="21"/>
  <c r="P552" i="21"/>
  <c r="F552" i="21"/>
  <c r="E552" i="21"/>
  <c r="D552" i="21"/>
  <c r="U551" i="21"/>
  <c r="T551" i="21"/>
  <c r="P551" i="21"/>
  <c r="F551" i="21"/>
  <c r="E551" i="21"/>
  <c r="D551" i="21"/>
  <c r="U550" i="21"/>
  <c r="T550" i="21"/>
  <c r="P550" i="21"/>
  <c r="F550" i="21"/>
  <c r="E550" i="21"/>
  <c r="D550" i="21"/>
  <c r="U549" i="21"/>
  <c r="T549" i="21"/>
  <c r="P549" i="21"/>
  <c r="F549" i="21"/>
  <c r="E549" i="21"/>
  <c r="D549" i="21"/>
  <c r="U548" i="21"/>
  <c r="T548" i="21"/>
  <c r="P548" i="21"/>
  <c r="F548" i="21"/>
  <c r="E548" i="21"/>
  <c r="D548" i="21"/>
  <c r="U547" i="21"/>
  <c r="T547" i="21"/>
  <c r="P547" i="21"/>
  <c r="F547" i="21"/>
  <c r="E547" i="21"/>
  <c r="D547" i="21"/>
  <c r="U546" i="21"/>
  <c r="T546" i="21"/>
  <c r="P546" i="21"/>
  <c r="F546" i="21"/>
  <c r="E546" i="21"/>
  <c r="D546" i="21"/>
  <c r="U545" i="21"/>
  <c r="T545" i="21"/>
  <c r="P545" i="21"/>
  <c r="F545" i="21"/>
  <c r="E545" i="21"/>
  <c r="D545" i="21"/>
  <c r="U544" i="21"/>
  <c r="T544" i="21"/>
  <c r="P544" i="21"/>
  <c r="F544" i="21"/>
  <c r="E544" i="21"/>
  <c r="D544" i="21"/>
  <c r="U543" i="21"/>
  <c r="T543" i="21"/>
  <c r="P543" i="21"/>
  <c r="F543" i="21"/>
  <c r="E543" i="21"/>
  <c r="D543" i="21"/>
  <c r="U542" i="21"/>
  <c r="T542" i="21"/>
  <c r="P542" i="21"/>
  <c r="F542" i="21"/>
  <c r="E542" i="21"/>
  <c r="D542" i="21"/>
  <c r="U541" i="21"/>
  <c r="T541" i="21"/>
  <c r="P541" i="21"/>
  <c r="F541" i="21"/>
  <c r="E541" i="21"/>
  <c r="D541" i="21"/>
  <c r="U540" i="21"/>
  <c r="T540" i="21"/>
  <c r="P540" i="21"/>
  <c r="F540" i="21"/>
  <c r="E540" i="21"/>
  <c r="D540" i="21"/>
  <c r="U539" i="21"/>
  <c r="T539" i="21"/>
  <c r="P539" i="21"/>
  <c r="F539" i="21"/>
  <c r="E539" i="21"/>
  <c r="D539" i="21"/>
  <c r="U538" i="21"/>
  <c r="T538" i="21"/>
  <c r="P538" i="21"/>
  <c r="F538" i="21"/>
  <c r="E538" i="21"/>
  <c r="D538" i="21"/>
  <c r="U537" i="21"/>
  <c r="T537" i="21"/>
  <c r="P537" i="21"/>
  <c r="F537" i="21"/>
  <c r="E537" i="21"/>
  <c r="D537" i="21"/>
  <c r="U536" i="21"/>
  <c r="T536" i="21"/>
  <c r="P536" i="21"/>
  <c r="F536" i="21"/>
  <c r="E536" i="21"/>
  <c r="D536" i="21"/>
  <c r="U535" i="21"/>
  <c r="T535" i="21"/>
  <c r="P535" i="21"/>
  <c r="F535" i="21"/>
  <c r="E535" i="21"/>
  <c r="D535" i="21"/>
  <c r="U534" i="21"/>
  <c r="T534" i="21"/>
  <c r="P534" i="21"/>
  <c r="F534" i="21"/>
  <c r="E534" i="21"/>
  <c r="D534" i="21"/>
  <c r="U533" i="21"/>
  <c r="T533" i="21"/>
  <c r="P533" i="21"/>
  <c r="F533" i="21"/>
  <c r="E533" i="21"/>
  <c r="D533" i="21"/>
  <c r="U532" i="21"/>
  <c r="T532" i="21"/>
  <c r="P532" i="21"/>
  <c r="F532" i="21"/>
  <c r="E532" i="21"/>
  <c r="D532" i="21"/>
  <c r="U531" i="21"/>
  <c r="T531" i="21"/>
  <c r="P531" i="21"/>
  <c r="F531" i="21"/>
  <c r="E531" i="21"/>
  <c r="D531" i="21"/>
  <c r="U530" i="21"/>
  <c r="T530" i="21"/>
  <c r="P530" i="21"/>
  <c r="F530" i="21"/>
  <c r="E530" i="21"/>
  <c r="D530" i="21"/>
  <c r="U529" i="21"/>
  <c r="T529" i="21"/>
  <c r="P529" i="21"/>
  <c r="F529" i="21"/>
  <c r="E529" i="21"/>
  <c r="D529" i="21"/>
  <c r="U528" i="21"/>
  <c r="T528" i="21"/>
  <c r="P528" i="21"/>
  <c r="F528" i="21"/>
  <c r="E528" i="21"/>
  <c r="D528" i="21"/>
  <c r="U527" i="21"/>
  <c r="T527" i="21"/>
  <c r="P527" i="21"/>
  <c r="F527" i="21"/>
  <c r="E527" i="21"/>
  <c r="D527" i="21"/>
  <c r="U526" i="21"/>
  <c r="T526" i="21"/>
  <c r="P526" i="21"/>
  <c r="F526" i="21"/>
  <c r="E526" i="21"/>
  <c r="D526" i="21"/>
  <c r="U525" i="21"/>
  <c r="T525" i="21"/>
  <c r="P525" i="21"/>
  <c r="F525" i="21"/>
  <c r="E525" i="21"/>
  <c r="D525" i="21"/>
  <c r="U524" i="21"/>
  <c r="T524" i="21"/>
  <c r="P524" i="21"/>
  <c r="F524" i="21"/>
  <c r="E524" i="21"/>
  <c r="D524" i="21"/>
  <c r="U523" i="21"/>
  <c r="T523" i="21"/>
  <c r="P523" i="21"/>
  <c r="F523" i="21"/>
  <c r="E523" i="21"/>
  <c r="D523" i="21"/>
  <c r="U522" i="21"/>
  <c r="T522" i="21"/>
  <c r="P522" i="21"/>
  <c r="F522" i="21"/>
  <c r="E522" i="21"/>
  <c r="D522" i="21"/>
  <c r="U521" i="21"/>
  <c r="T521" i="21"/>
  <c r="P521" i="21"/>
  <c r="F521" i="21"/>
  <c r="E521" i="21"/>
  <c r="D521" i="21"/>
  <c r="U520" i="21"/>
  <c r="T520" i="21"/>
  <c r="P520" i="21"/>
  <c r="F520" i="21"/>
  <c r="E520" i="21"/>
  <c r="D520" i="21"/>
  <c r="U519" i="21"/>
  <c r="T519" i="21"/>
  <c r="P519" i="21"/>
  <c r="F519" i="21"/>
  <c r="E519" i="21"/>
  <c r="D519" i="21"/>
  <c r="U518" i="21"/>
  <c r="T518" i="21"/>
  <c r="P518" i="21"/>
  <c r="F518" i="21"/>
  <c r="E518" i="21"/>
  <c r="D518" i="21"/>
  <c r="U517" i="21"/>
  <c r="T517" i="21"/>
  <c r="P517" i="21"/>
  <c r="F517" i="21"/>
  <c r="E517" i="21"/>
  <c r="D517" i="21"/>
  <c r="U516" i="21"/>
  <c r="T516" i="21"/>
  <c r="P516" i="21"/>
  <c r="F516" i="21"/>
  <c r="E516" i="21"/>
  <c r="D516" i="21"/>
  <c r="U515" i="21"/>
  <c r="T515" i="21"/>
  <c r="P515" i="21"/>
  <c r="F515" i="21"/>
  <c r="E515" i="21"/>
  <c r="D515" i="21"/>
  <c r="U514" i="21"/>
  <c r="T514" i="21"/>
  <c r="P514" i="21"/>
  <c r="F514" i="21"/>
  <c r="E514" i="21"/>
  <c r="D514" i="21"/>
  <c r="U513" i="21"/>
  <c r="T513" i="21"/>
  <c r="P513" i="21"/>
  <c r="F513" i="21"/>
  <c r="E513" i="21"/>
  <c r="D513" i="21"/>
  <c r="U512" i="21"/>
  <c r="T512" i="21"/>
  <c r="P512" i="21"/>
  <c r="F512" i="21"/>
  <c r="E512" i="21"/>
  <c r="D512" i="21"/>
  <c r="U511" i="21"/>
  <c r="T511" i="21"/>
  <c r="P511" i="21"/>
  <c r="F511" i="21"/>
  <c r="E511" i="21"/>
  <c r="D511" i="21"/>
  <c r="U510" i="21"/>
  <c r="T510" i="21"/>
  <c r="P510" i="21"/>
  <c r="F510" i="21"/>
  <c r="E510" i="21"/>
  <c r="D510" i="21"/>
  <c r="U509" i="21"/>
  <c r="T509" i="21"/>
  <c r="P509" i="21"/>
  <c r="F509" i="21"/>
  <c r="E509" i="21"/>
  <c r="D509" i="21"/>
  <c r="U508" i="21"/>
  <c r="T508" i="21"/>
  <c r="P508" i="21"/>
  <c r="F508" i="21"/>
  <c r="E508" i="21"/>
  <c r="D508" i="21"/>
  <c r="U507" i="21"/>
  <c r="T507" i="21"/>
  <c r="P507" i="21"/>
  <c r="F507" i="21"/>
  <c r="E507" i="21"/>
  <c r="D507" i="21"/>
  <c r="U506" i="21"/>
  <c r="T506" i="21"/>
  <c r="P506" i="21"/>
  <c r="F506" i="21"/>
  <c r="E506" i="21"/>
  <c r="D506" i="21"/>
  <c r="U505" i="21"/>
  <c r="T505" i="21"/>
  <c r="P505" i="21"/>
  <c r="F505" i="21"/>
  <c r="E505" i="21"/>
  <c r="D505" i="21"/>
  <c r="U504" i="21"/>
  <c r="T504" i="21"/>
  <c r="P504" i="21"/>
  <c r="F504" i="21"/>
  <c r="E504" i="21"/>
  <c r="D504" i="21"/>
  <c r="U503" i="21"/>
  <c r="T503" i="21"/>
  <c r="P503" i="21"/>
  <c r="F503" i="21"/>
  <c r="E503" i="21"/>
  <c r="D503" i="21"/>
  <c r="U502" i="21"/>
  <c r="T502" i="21"/>
  <c r="P502" i="21"/>
  <c r="F502" i="21"/>
  <c r="E502" i="21"/>
  <c r="D502" i="21"/>
  <c r="U501" i="21"/>
  <c r="T501" i="21"/>
  <c r="P501" i="21"/>
  <c r="F501" i="21"/>
  <c r="E501" i="21"/>
  <c r="D501" i="21"/>
  <c r="U500" i="21"/>
  <c r="T500" i="21"/>
  <c r="P500" i="21"/>
  <c r="F500" i="21"/>
  <c r="E500" i="21"/>
  <c r="D500" i="21"/>
  <c r="U499" i="21"/>
  <c r="T499" i="21"/>
  <c r="P499" i="21"/>
  <c r="F499" i="21"/>
  <c r="E499" i="21"/>
  <c r="D499" i="21"/>
  <c r="U498" i="21"/>
  <c r="T498" i="21"/>
  <c r="P498" i="21"/>
  <c r="F498" i="21"/>
  <c r="E498" i="21"/>
  <c r="D498" i="21"/>
  <c r="U497" i="21"/>
  <c r="T497" i="21"/>
  <c r="P497" i="21"/>
  <c r="F497" i="21"/>
  <c r="E497" i="21"/>
  <c r="D497" i="21"/>
  <c r="U496" i="21"/>
  <c r="T496" i="21"/>
  <c r="P496" i="21"/>
  <c r="F496" i="21"/>
  <c r="E496" i="21"/>
  <c r="D496" i="21"/>
  <c r="U495" i="21"/>
  <c r="T495" i="21"/>
  <c r="P495" i="21"/>
  <c r="F495" i="21"/>
  <c r="E495" i="21"/>
  <c r="D495" i="21"/>
  <c r="U494" i="21"/>
  <c r="T494" i="21"/>
  <c r="P494" i="21"/>
  <c r="F494" i="21"/>
  <c r="E494" i="21"/>
  <c r="D494" i="21"/>
  <c r="U493" i="21"/>
  <c r="T493" i="21"/>
  <c r="P493" i="21"/>
  <c r="F493" i="21"/>
  <c r="E493" i="21"/>
  <c r="D493" i="21"/>
  <c r="U492" i="21"/>
  <c r="T492" i="21"/>
  <c r="P492" i="21"/>
  <c r="F492" i="21"/>
  <c r="E492" i="21"/>
  <c r="D492" i="21"/>
  <c r="U491" i="21"/>
  <c r="T491" i="21"/>
  <c r="P491" i="21"/>
  <c r="F491" i="21"/>
  <c r="E491" i="21"/>
  <c r="D491" i="21"/>
  <c r="U490" i="21"/>
  <c r="T490" i="21"/>
  <c r="P490" i="21"/>
  <c r="F490" i="21"/>
  <c r="E490" i="21"/>
  <c r="D490" i="21"/>
  <c r="U489" i="21"/>
  <c r="T489" i="21"/>
  <c r="P489" i="21"/>
  <c r="F489" i="21"/>
  <c r="E489" i="21"/>
  <c r="D489" i="21"/>
  <c r="U488" i="21"/>
  <c r="T488" i="21"/>
  <c r="P488" i="21"/>
  <c r="F488" i="21"/>
  <c r="E488" i="21"/>
  <c r="D488" i="21"/>
  <c r="U487" i="21"/>
  <c r="T487" i="21"/>
  <c r="P487" i="21"/>
  <c r="F487" i="21"/>
  <c r="E487" i="21"/>
  <c r="D487" i="21"/>
  <c r="U486" i="21"/>
  <c r="T486" i="21"/>
  <c r="P486" i="21"/>
  <c r="F486" i="21"/>
  <c r="E486" i="21"/>
  <c r="D486" i="21"/>
  <c r="U485" i="21"/>
  <c r="T485" i="21"/>
  <c r="P485" i="21"/>
  <c r="F485" i="21"/>
  <c r="E485" i="21"/>
  <c r="D485" i="21"/>
  <c r="U484" i="21"/>
  <c r="T484" i="21"/>
  <c r="P484" i="21"/>
  <c r="F484" i="21"/>
  <c r="E484" i="21"/>
  <c r="D484" i="21"/>
  <c r="U483" i="21"/>
  <c r="T483" i="21"/>
  <c r="P483" i="21"/>
  <c r="F483" i="21"/>
  <c r="E483" i="21"/>
  <c r="D483" i="21"/>
  <c r="U482" i="21"/>
  <c r="T482" i="21"/>
  <c r="P482" i="21"/>
  <c r="F482" i="21"/>
  <c r="E482" i="21"/>
  <c r="D482" i="21"/>
  <c r="U481" i="21"/>
  <c r="T481" i="21"/>
  <c r="P481" i="21"/>
  <c r="F481" i="21"/>
  <c r="E481" i="21"/>
  <c r="D481" i="21"/>
  <c r="U480" i="21"/>
  <c r="T480" i="21"/>
  <c r="P480" i="21"/>
  <c r="F480" i="21"/>
  <c r="E480" i="21"/>
  <c r="D480" i="21"/>
  <c r="U479" i="21"/>
  <c r="T479" i="21"/>
  <c r="P479" i="21"/>
  <c r="F479" i="21"/>
  <c r="E479" i="21"/>
  <c r="D479" i="21"/>
  <c r="U478" i="21"/>
  <c r="T478" i="21"/>
  <c r="P478" i="21"/>
  <c r="F478" i="21"/>
  <c r="E478" i="21"/>
  <c r="D478" i="21"/>
  <c r="U477" i="21"/>
  <c r="T477" i="21"/>
  <c r="P477" i="21"/>
  <c r="F477" i="21"/>
  <c r="E477" i="21"/>
  <c r="D477" i="21"/>
  <c r="U476" i="21"/>
  <c r="T476" i="21"/>
  <c r="P476" i="21"/>
  <c r="F476" i="21"/>
  <c r="E476" i="21"/>
  <c r="D476" i="21"/>
  <c r="U475" i="21"/>
  <c r="T475" i="21"/>
  <c r="P475" i="21"/>
  <c r="F475" i="21"/>
  <c r="E475" i="21"/>
  <c r="D475" i="21"/>
  <c r="U474" i="21"/>
  <c r="T474" i="21"/>
  <c r="P474" i="21"/>
  <c r="F474" i="21"/>
  <c r="E474" i="21"/>
  <c r="D474" i="21"/>
  <c r="U473" i="21"/>
  <c r="T473" i="21"/>
  <c r="P473" i="21"/>
  <c r="F473" i="21"/>
  <c r="E473" i="21"/>
  <c r="D473" i="21"/>
  <c r="U472" i="21"/>
  <c r="T472" i="21"/>
  <c r="P472" i="21"/>
  <c r="F472" i="21"/>
  <c r="E472" i="21"/>
  <c r="D472" i="21"/>
  <c r="U471" i="21"/>
  <c r="T471" i="21"/>
  <c r="P471" i="21"/>
  <c r="F471" i="21"/>
  <c r="E471" i="21"/>
  <c r="D471" i="21"/>
  <c r="U470" i="21"/>
  <c r="T470" i="21"/>
  <c r="P470" i="21"/>
  <c r="F470" i="21"/>
  <c r="E470" i="21"/>
  <c r="D470" i="21"/>
  <c r="U469" i="21"/>
  <c r="T469" i="21"/>
  <c r="P469" i="21"/>
  <c r="F469" i="21"/>
  <c r="E469" i="21"/>
  <c r="D469" i="21"/>
  <c r="U468" i="21"/>
  <c r="T468" i="21"/>
  <c r="P468" i="21"/>
  <c r="F468" i="21"/>
  <c r="E468" i="21"/>
  <c r="D468" i="21"/>
  <c r="U467" i="21"/>
  <c r="T467" i="21"/>
  <c r="P467" i="21"/>
  <c r="F467" i="21"/>
  <c r="E467" i="21"/>
  <c r="D467" i="21"/>
  <c r="U466" i="21"/>
  <c r="T466" i="21"/>
  <c r="P466" i="21"/>
  <c r="F466" i="21"/>
  <c r="E466" i="21"/>
  <c r="D466" i="21"/>
  <c r="U465" i="21"/>
  <c r="T465" i="21"/>
  <c r="P465" i="21"/>
  <c r="F465" i="21"/>
  <c r="E465" i="21"/>
  <c r="D465" i="21"/>
  <c r="U464" i="21"/>
  <c r="T464" i="21"/>
  <c r="P464" i="21"/>
  <c r="F464" i="21"/>
  <c r="E464" i="21"/>
  <c r="D464" i="21"/>
  <c r="U463" i="21"/>
  <c r="T463" i="21"/>
  <c r="P463" i="21"/>
  <c r="F463" i="21"/>
  <c r="E463" i="21"/>
  <c r="D463" i="21"/>
  <c r="U462" i="21"/>
  <c r="T462" i="21"/>
  <c r="P462" i="21"/>
  <c r="F462" i="21"/>
  <c r="E462" i="21"/>
  <c r="D462" i="21"/>
  <c r="U461" i="21"/>
  <c r="T461" i="21"/>
  <c r="P461" i="21"/>
  <c r="F461" i="21"/>
  <c r="E461" i="21"/>
  <c r="D461" i="21"/>
  <c r="U460" i="21"/>
  <c r="T460" i="21"/>
  <c r="P460" i="21"/>
  <c r="F460" i="21"/>
  <c r="E460" i="21"/>
  <c r="D460" i="21"/>
  <c r="U459" i="21"/>
  <c r="T459" i="21"/>
  <c r="P459" i="21"/>
  <c r="F459" i="21"/>
  <c r="E459" i="21"/>
  <c r="D459" i="21"/>
  <c r="U458" i="21"/>
  <c r="T458" i="21"/>
  <c r="P458" i="21"/>
  <c r="F458" i="21"/>
  <c r="E458" i="21"/>
  <c r="D458" i="21"/>
  <c r="U457" i="21"/>
  <c r="T457" i="21"/>
  <c r="P457" i="21"/>
  <c r="F457" i="21"/>
  <c r="E457" i="21"/>
  <c r="D457" i="21"/>
  <c r="U456" i="21"/>
  <c r="T456" i="21"/>
  <c r="P456" i="21"/>
  <c r="F456" i="21"/>
  <c r="E456" i="21"/>
  <c r="D456" i="21"/>
  <c r="U455" i="21"/>
  <c r="T455" i="21"/>
  <c r="P455" i="21"/>
  <c r="F455" i="21"/>
  <c r="E455" i="21"/>
  <c r="D455" i="21"/>
  <c r="U454" i="21"/>
  <c r="T454" i="21"/>
  <c r="P454" i="21"/>
  <c r="F454" i="21"/>
  <c r="E454" i="21"/>
  <c r="D454" i="21"/>
  <c r="U453" i="21"/>
  <c r="T453" i="21"/>
  <c r="P453" i="21"/>
  <c r="F453" i="21"/>
  <c r="E453" i="21"/>
  <c r="D453" i="21"/>
  <c r="U452" i="21"/>
  <c r="T452" i="21"/>
  <c r="P452" i="21"/>
  <c r="F452" i="21"/>
  <c r="E452" i="21"/>
  <c r="D452" i="21"/>
  <c r="U451" i="21"/>
  <c r="T451" i="21"/>
  <c r="P451" i="21"/>
  <c r="F451" i="21"/>
  <c r="E451" i="21"/>
  <c r="D451" i="21"/>
  <c r="U450" i="21"/>
  <c r="T450" i="21"/>
  <c r="P450" i="21"/>
  <c r="F450" i="21"/>
  <c r="E450" i="21"/>
  <c r="D450" i="21"/>
  <c r="U449" i="21"/>
  <c r="T449" i="21"/>
  <c r="P449" i="21"/>
  <c r="F449" i="21"/>
  <c r="E449" i="21"/>
  <c r="D449" i="21"/>
  <c r="U448" i="21"/>
  <c r="T448" i="21"/>
  <c r="P448" i="21"/>
  <c r="F448" i="21"/>
  <c r="E448" i="21"/>
  <c r="D448" i="21"/>
  <c r="U447" i="21"/>
  <c r="T447" i="21"/>
  <c r="P447" i="21"/>
  <c r="F447" i="21"/>
  <c r="E447" i="21"/>
  <c r="D447" i="21"/>
  <c r="U446" i="21"/>
  <c r="T446" i="21"/>
  <c r="P446" i="21"/>
  <c r="F446" i="21"/>
  <c r="E446" i="21"/>
  <c r="D446" i="21"/>
  <c r="U445" i="21"/>
  <c r="T445" i="21"/>
  <c r="P445" i="21"/>
  <c r="F445" i="21"/>
  <c r="E445" i="21"/>
  <c r="D445" i="21"/>
  <c r="U444" i="21"/>
  <c r="T444" i="21"/>
  <c r="P444" i="21"/>
  <c r="F444" i="21"/>
  <c r="E444" i="21"/>
  <c r="D444" i="21"/>
  <c r="U443" i="21"/>
  <c r="T443" i="21"/>
  <c r="P443" i="21"/>
  <c r="F443" i="21"/>
  <c r="E443" i="21"/>
  <c r="D443" i="21"/>
  <c r="U442" i="21"/>
  <c r="T442" i="21"/>
  <c r="P442" i="21"/>
  <c r="F442" i="21"/>
  <c r="E442" i="21"/>
  <c r="D442" i="21"/>
  <c r="U441" i="21"/>
  <c r="T441" i="21"/>
  <c r="P441" i="21"/>
  <c r="F441" i="21"/>
  <c r="E441" i="21"/>
  <c r="D441" i="21"/>
  <c r="U440" i="21"/>
  <c r="T440" i="21"/>
  <c r="P440" i="21"/>
  <c r="F440" i="21"/>
  <c r="E440" i="21"/>
  <c r="D440" i="21"/>
  <c r="U439" i="21"/>
  <c r="T439" i="21"/>
  <c r="P439" i="21"/>
  <c r="F439" i="21"/>
  <c r="E439" i="21"/>
  <c r="D439" i="21"/>
  <c r="U438" i="21"/>
  <c r="T438" i="21"/>
  <c r="P438" i="21"/>
  <c r="F438" i="21"/>
  <c r="E438" i="21"/>
  <c r="D438" i="21"/>
  <c r="U437" i="21"/>
  <c r="T437" i="21"/>
  <c r="P437" i="21"/>
  <c r="F437" i="21"/>
  <c r="E437" i="21"/>
  <c r="D437" i="21"/>
  <c r="U436" i="21"/>
  <c r="T436" i="21"/>
  <c r="P436" i="21"/>
  <c r="F436" i="21"/>
  <c r="E436" i="21"/>
  <c r="D436" i="21"/>
  <c r="U435" i="21"/>
  <c r="T435" i="21"/>
  <c r="P435" i="21"/>
  <c r="F435" i="21"/>
  <c r="E435" i="21"/>
  <c r="D435" i="21"/>
  <c r="U434" i="21"/>
  <c r="T434" i="21"/>
  <c r="P434" i="21"/>
  <c r="F434" i="21"/>
  <c r="E434" i="21"/>
  <c r="D434" i="21"/>
  <c r="U433" i="21"/>
  <c r="T433" i="21"/>
  <c r="P433" i="21"/>
  <c r="F433" i="21"/>
  <c r="E433" i="21"/>
  <c r="D433" i="21"/>
  <c r="U432" i="21"/>
  <c r="T432" i="21"/>
  <c r="P432" i="21"/>
  <c r="F432" i="21"/>
  <c r="E432" i="21"/>
  <c r="D432" i="21"/>
  <c r="U431" i="21"/>
  <c r="T431" i="21"/>
  <c r="P431" i="21"/>
  <c r="F431" i="21"/>
  <c r="E431" i="21"/>
  <c r="D431" i="21"/>
  <c r="U430" i="21"/>
  <c r="T430" i="21"/>
  <c r="P430" i="21"/>
  <c r="F430" i="21"/>
  <c r="E430" i="21"/>
  <c r="D430" i="21"/>
  <c r="U429" i="21"/>
  <c r="T429" i="21"/>
  <c r="P429" i="21"/>
  <c r="F429" i="21"/>
  <c r="E429" i="21"/>
  <c r="D429" i="21"/>
  <c r="U428" i="21"/>
  <c r="T428" i="21"/>
  <c r="P428" i="21"/>
  <c r="F428" i="21"/>
  <c r="E428" i="21"/>
  <c r="D428" i="21"/>
  <c r="U427" i="21"/>
  <c r="T427" i="21"/>
  <c r="P427" i="21"/>
  <c r="F427" i="21"/>
  <c r="E427" i="21"/>
  <c r="D427" i="21"/>
  <c r="U426" i="21"/>
  <c r="T426" i="21"/>
  <c r="P426" i="21"/>
  <c r="F426" i="21"/>
  <c r="E426" i="21"/>
  <c r="D426" i="21"/>
  <c r="U425" i="21"/>
  <c r="T425" i="21"/>
  <c r="P425" i="21"/>
  <c r="F425" i="21"/>
  <c r="E425" i="21"/>
  <c r="D425" i="21"/>
  <c r="U424" i="21"/>
  <c r="T424" i="21"/>
  <c r="P424" i="21"/>
  <c r="F424" i="21"/>
  <c r="E424" i="21"/>
  <c r="D424" i="21"/>
  <c r="U423" i="21"/>
  <c r="T423" i="21"/>
  <c r="P423" i="21"/>
  <c r="F423" i="21"/>
  <c r="E423" i="21"/>
  <c r="D423" i="21"/>
  <c r="U422" i="21"/>
  <c r="T422" i="21"/>
  <c r="P422" i="21"/>
  <c r="F422" i="21"/>
  <c r="E422" i="21"/>
  <c r="D422" i="21"/>
  <c r="U421" i="21"/>
  <c r="T421" i="21"/>
  <c r="P421" i="21"/>
  <c r="F421" i="21"/>
  <c r="E421" i="21"/>
  <c r="D421" i="21"/>
  <c r="U420" i="21"/>
  <c r="T420" i="21"/>
  <c r="P420" i="21"/>
  <c r="F420" i="21"/>
  <c r="E420" i="21"/>
  <c r="D420" i="21"/>
  <c r="U419" i="21"/>
  <c r="T419" i="21"/>
  <c r="P419" i="21"/>
  <c r="F419" i="21"/>
  <c r="E419" i="21"/>
  <c r="D419" i="21"/>
  <c r="U418" i="21"/>
  <c r="T418" i="21"/>
  <c r="P418" i="21"/>
  <c r="F418" i="21"/>
  <c r="E418" i="21"/>
  <c r="D418" i="21"/>
  <c r="U417" i="21"/>
  <c r="T417" i="21"/>
  <c r="P417" i="21"/>
  <c r="F417" i="21"/>
  <c r="E417" i="21"/>
  <c r="D417" i="21"/>
  <c r="U416" i="21"/>
  <c r="T416" i="21"/>
  <c r="P416" i="21"/>
  <c r="F416" i="21"/>
  <c r="E416" i="21"/>
  <c r="D416" i="21"/>
  <c r="U415" i="21"/>
  <c r="T415" i="21"/>
  <c r="P415" i="21"/>
  <c r="F415" i="21"/>
  <c r="E415" i="21"/>
  <c r="D415" i="21"/>
  <c r="U414" i="21"/>
  <c r="T414" i="21"/>
  <c r="P414" i="21"/>
  <c r="F414" i="21"/>
  <c r="E414" i="21"/>
  <c r="D414" i="21"/>
  <c r="U413" i="21"/>
  <c r="T413" i="21"/>
  <c r="P413" i="21"/>
  <c r="F413" i="21"/>
  <c r="E413" i="21"/>
  <c r="D413" i="21"/>
  <c r="U412" i="21"/>
  <c r="T412" i="21"/>
  <c r="P412" i="21"/>
  <c r="F412" i="21"/>
  <c r="E412" i="21"/>
  <c r="D412" i="21"/>
  <c r="U411" i="21"/>
  <c r="T411" i="21"/>
  <c r="P411" i="21"/>
  <c r="F411" i="21"/>
  <c r="E411" i="21"/>
  <c r="D411" i="21"/>
  <c r="U410" i="21"/>
  <c r="T410" i="21"/>
  <c r="P410" i="21"/>
  <c r="F410" i="21"/>
  <c r="E410" i="21"/>
  <c r="D410" i="21"/>
  <c r="U409" i="21"/>
  <c r="T409" i="21"/>
  <c r="P409" i="21"/>
  <c r="F409" i="21"/>
  <c r="E409" i="21"/>
  <c r="D409" i="21"/>
  <c r="U408" i="21"/>
  <c r="T408" i="21"/>
  <c r="P408" i="21"/>
  <c r="F408" i="21"/>
  <c r="E408" i="21"/>
  <c r="D408" i="21"/>
  <c r="U407" i="21"/>
  <c r="T407" i="21"/>
  <c r="P407" i="21"/>
  <c r="F407" i="21"/>
  <c r="E407" i="21"/>
  <c r="D407" i="21"/>
  <c r="U406" i="21"/>
  <c r="T406" i="21"/>
  <c r="P406" i="21"/>
  <c r="F406" i="21"/>
  <c r="E406" i="21"/>
  <c r="D406" i="21"/>
  <c r="U405" i="21"/>
  <c r="T405" i="21"/>
  <c r="P405" i="21"/>
  <c r="F405" i="21"/>
  <c r="E405" i="21"/>
  <c r="D405" i="21"/>
  <c r="U404" i="21"/>
  <c r="T404" i="21"/>
  <c r="P404" i="21"/>
  <c r="F404" i="21"/>
  <c r="E404" i="21"/>
  <c r="D404" i="21"/>
  <c r="U403" i="21"/>
  <c r="T403" i="21"/>
  <c r="P403" i="21"/>
  <c r="F403" i="21"/>
  <c r="E403" i="21"/>
  <c r="D403" i="21"/>
  <c r="U402" i="21"/>
  <c r="T402" i="21"/>
  <c r="P402" i="21"/>
  <c r="F402" i="21"/>
  <c r="E402" i="21"/>
  <c r="D402" i="21"/>
  <c r="U401" i="21"/>
  <c r="T401" i="21"/>
  <c r="P401" i="21"/>
  <c r="F401" i="21"/>
  <c r="E401" i="21"/>
  <c r="D401" i="21"/>
  <c r="U400" i="21"/>
  <c r="T400" i="21"/>
  <c r="P400" i="21"/>
  <c r="F400" i="21"/>
  <c r="E400" i="21"/>
  <c r="D400" i="21"/>
  <c r="U399" i="21"/>
  <c r="T399" i="21"/>
  <c r="P399" i="21"/>
  <c r="F399" i="21"/>
  <c r="E399" i="21"/>
  <c r="D399" i="21"/>
  <c r="U398" i="21"/>
  <c r="T398" i="21"/>
  <c r="P398" i="21"/>
  <c r="F398" i="21"/>
  <c r="E398" i="21"/>
  <c r="D398" i="21"/>
  <c r="U397" i="21"/>
  <c r="T397" i="21"/>
  <c r="P397" i="21"/>
  <c r="F397" i="21"/>
  <c r="E397" i="21"/>
  <c r="D397" i="21"/>
  <c r="U396" i="21"/>
  <c r="T396" i="21"/>
  <c r="P396" i="21"/>
  <c r="F396" i="21"/>
  <c r="E396" i="21"/>
  <c r="D396" i="21"/>
  <c r="U395" i="21"/>
  <c r="T395" i="21"/>
  <c r="P395" i="21"/>
  <c r="F395" i="21"/>
  <c r="E395" i="21"/>
  <c r="D395" i="21"/>
  <c r="U394" i="21"/>
  <c r="T394" i="21"/>
  <c r="P394" i="21"/>
  <c r="F394" i="21"/>
  <c r="E394" i="21"/>
  <c r="D394" i="21"/>
  <c r="U393" i="21"/>
  <c r="T393" i="21"/>
  <c r="P393" i="21"/>
  <c r="F393" i="21"/>
  <c r="E393" i="21"/>
  <c r="D393" i="21"/>
  <c r="U392" i="21"/>
  <c r="T392" i="21"/>
  <c r="P392" i="21"/>
  <c r="F392" i="21"/>
  <c r="E392" i="21"/>
  <c r="D392" i="21"/>
  <c r="U391" i="21"/>
  <c r="T391" i="21"/>
  <c r="P391" i="21"/>
  <c r="F391" i="21"/>
  <c r="E391" i="21"/>
  <c r="D391" i="21"/>
  <c r="U390" i="21"/>
  <c r="T390" i="21"/>
  <c r="P390" i="21"/>
  <c r="F390" i="21"/>
  <c r="E390" i="21"/>
  <c r="D390" i="21"/>
  <c r="U389" i="21"/>
  <c r="T389" i="21"/>
  <c r="P389" i="21"/>
  <c r="F389" i="21"/>
  <c r="E389" i="21"/>
  <c r="D389" i="21"/>
  <c r="U388" i="21"/>
  <c r="T388" i="21"/>
  <c r="P388" i="21"/>
  <c r="F388" i="21"/>
  <c r="E388" i="21"/>
  <c r="D388" i="21"/>
  <c r="U387" i="21"/>
  <c r="T387" i="21"/>
  <c r="P387" i="21"/>
  <c r="F387" i="21"/>
  <c r="E387" i="21"/>
  <c r="D387" i="21"/>
  <c r="U386" i="21"/>
  <c r="T386" i="21"/>
  <c r="P386" i="21"/>
  <c r="F386" i="21"/>
  <c r="E386" i="21"/>
  <c r="D386" i="21"/>
  <c r="U385" i="21"/>
  <c r="T385" i="21"/>
  <c r="P385" i="21"/>
  <c r="F385" i="21"/>
  <c r="E385" i="21"/>
  <c r="D385" i="21"/>
  <c r="U384" i="21"/>
  <c r="T384" i="21"/>
  <c r="P384" i="21"/>
  <c r="F384" i="21"/>
  <c r="E384" i="21"/>
  <c r="D384" i="21"/>
  <c r="U383" i="21"/>
  <c r="T383" i="21"/>
  <c r="P383" i="21"/>
  <c r="F383" i="21"/>
  <c r="E383" i="21"/>
  <c r="D383" i="21"/>
  <c r="U382" i="21"/>
  <c r="T382" i="21"/>
  <c r="P382" i="21"/>
  <c r="F382" i="21"/>
  <c r="E382" i="21"/>
  <c r="D382" i="21"/>
  <c r="U381" i="21"/>
  <c r="T381" i="21"/>
  <c r="P381" i="21"/>
  <c r="F381" i="21"/>
  <c r="E381" i="21"/>
  <c r="D381" i="21"/>
  <c r="U380" i="21"/>
  <c r="T380" i="21"/>
  <c r="P380" i="21"/>
  <c r="F380" i="21"/>
  <c r="E380" i="21"/>
  <c r="D380" i="21"/>
  <c r="U379" i="21"/>
  <c r="T379" i="21"/>
  <c r="P379" i="21"/>
  <c r="F379" i="21"/>
  <c r="E379" i="21"/>
  <c r="D379" i="21"/>
  <c r="U378" i="21"/>
  <c r="T378" i="21"/>
  <c r="P378" i="21"/>
  <c r="F378" i="21"/>
  <c r="E378" i="21"/>
  <c r="D378" i="21"/>
  <c r="U377" i="21"/>
  <c r="T377" i="21"/>
  <c r="P377" i="21"/>
  <c r="F377" i="21"/>
  <c r="E377" i="21"/>
  <c r="D377" i="21"/>
  <c r="U376" i="21"/>
  <c r="T376" i="21"/>
  <c r="P376" i="21"/>
  <c r="F376" i="21"/>
  <c r="E376" i="21"/>
  <c r="D376" i="21"/>
  <c r="U375" i="21"/>
  <c r="T375" i="21"/>
  <c r="P375" i="21"/>
  <c r="F375" i="21"/>
  <c r="E375" i="21"/>
  <c r="D375" i="21"/>
  <c r="U374" i="21"/>
  <c r="T374" i="21"/>
  <c r="P374" i="21"/>
  <c r="F374" i="21"/>
  <c r="E374" i="21"/>
  <c r="D374" i="21"/>
  <c r="U373" i="21"/>
  <c r="T373" i="21"/>
  <c r="P373" i="21"/>
  <c r="F373" i="21"/>
  <c r="E373" i="21"/>
  <c r="D373" i="21"/>
  <c r="U372" i="21"/>
  <c r="T372" i="21"/>
  <c r="P372" i="21"/>
  <c r="F372" i="21"/>
  <c r="E372" i="21"/>
  <c r="D372" i="21"/>
  <c r="U371" i="21"/>
  <c r="T371" i="21"/>
  <c r="P371" i="21"/>
  <c r="F371" i="21"/>
  <c r="E371" i="21"/>
  <c r="D371" i="21"/>
  <c r="U370" i="21"/>
  <c r="T370" i="21"/>
  <c r="P370" i="21"/>
  <c r="F370" i="21"/>
  <c r="E370" i="21"/>
  <c r="D370" i="21"/>
  <c r="U369" i="21"/>
  <c r="T369" i="21"/>
  <c r="P369" i="21"/>
  <c r="F369" i="21"/>
  <c r="E369" i="21"/>
  <c r="D369" i="21"/>
  <c r="U368" i="21"/>
  <c r="T368" i="21"/>
  <c r="P368" i="21"/>
  <c r="F368" i="21"/>
  <c r="E368" i="21"/>
  <c r="D368" i="21"/>
  <c r="U367" i="21"/>
  <c r="T367" i="21"/>
  <c r="P367" i="21"/>
  <c r="F367" i="21"/>
  <c r="E367" i="21"/>
  <c r="D367" i="21"/>
  <c r="U366" i="21"/>
  <c r="T366" i="21"/>
  <c r="P366" i="21"/>
  <c r="F366" i="21"/>
  <c r="E366" i="21"/>
  <c r="D366" i="21"/>
  <c r="U365" i="21"/>
  <c r="T365" i="21"/>
  <c r="P365" i="21"/>
  <c r="F365" i="21"/>
  <c r="E365" i="21"/>
  <c r="D365" i="21"/>
  <c r="U364" i="21"/>
  <c r="T364" i="21"/>
  <c r="P364" i="21"/>
  <c r="F364" i="21"/>
  <c r="E364" i="21"/>
  <c r="D364" i="21"/>
  <c r="U363" i="21"/>
  <c r="T363" i="21"/>
  <c r="P363" i="21"/>
  <c r="F363" i="21"/>
  <c r="E363" i="21"/>
  <c r="D363" i="21"/>
  <c r="U362" i="21"/>
  <c r="T362" i="21"/>
  <c r="P362" i="21"/>
  <c r="F362" i="21"/>
  <c r="E362" i="21"/>
  <c r="D362" i="21"/>
  <c r="U361" i="21"/>
  <c r="T361" i="21"/>
  <c r="P361" i="21"/>
  <c r="F361" i="21"/>
  <c r="E361" i="21"/>
  <c r="D361" i="21"/>
  <c r="U360" i="21"/>
  <c r="T360" i="21"/>
  <c r="P360" i="21"/>
  <c r="F360" i="21"/>
  <c r="E360" i="21"/>
  <c r="D360" i="21"/>
  <c r="U359" i="21"/>
  <c r="T359" i="21"/>
  <c r="P359" i="21"/>
  <c r="F359" i="21"/>
  <c r="E359" i="21"/>
  <c r="D359" i="21"/>
  <c r="U358" i="21"/>
  <c r="T358" i="21"/>
  <c r="P358" i="21"/>
  <c r="F358" i="21"/>
  <c r="E358" i="21"/>
  <c r="D358" i="21"/>
  <c r="U357" i="21"/>
  <c r="T357" i="21"/>
  <c r="P357" i="21"/>
  <c r="F357" i="21"/>
  <c r="E357" i="21"/>
  <c r="D357" i="21"/>
  <c r="U356" i="21"/>
  <c r="T356" i="21"/>
  <c r="P356" i="21"/>
  <c r="F356" i="21"/>
  <c r="E356" i="21"/>
  <c r="D356" i="21"/>
  <c r="U355" i="21"/>
  <c r="T355" i="21"/>
  <c r="P355" i="21"/>
  <c r="F355" i="21"/>
  <c r="E355" i="21"/>
  <c r="D355" i="21"/>
  <c r="U354" i="21"/>
  <c r="T354" i="21"/>
  <c r="P354" i="21"/>
  <c r="F354" i="21"/>
  <c r="E354" i="21"/>
  <c r="D354" i="21"/>
  <c r="U353" i="21"/>
  <c r="T353" i="21"/>
  <c r="P353" i="21"/>
  <c r="F353" i="21"/>
  <c r="E353" i="21"/>
  <c r="D353" i="21"/>
  <c r="U352" i="21"/>
  <c r="T352" i="21"/>
  <c r="P352" i="21"/>
  <c r="F352" i="21"/>
  <c r="E352" i="21"/>
  <c r="D352" i="21"/>
  <c r="U351" i="21"/>
  <c r="T351" i="21"/>
  <c r="P351" i="21"/>
  <c r="F351" i="21"/>
  <c r="E351" i="21"/>
  <c r="D351" i="21"/>
  <c r="U350" i="21"/>
  <c r="T350" i="21"/>
  <c r="P350" i="21"/>
  <c r="F350" i="21"/>
  <c r="E350" i="21"/>
  <c r="D350" i="21"/>
  <c r="U349" i="21"/>
  <c r="T349" i="21"/>
  <c r="P349" i="21"/>
  <c r="F349" i="21"/>
  <c r="E349" i="21"/>
  <c r="D349" i="21"/>
  <c r="U348" i="21"/>
  <c r="T348" i="21"/>
  <c r="P348" i="21"/>
  <c r="F348" i="21"/>
  <c r="E348" i="21"/>
  <c r="D348" i="21"/>
  <c r="U347" i="21"/>
  <c r="T347" i="21"/>
  <c r="P347" i="21"/>
  <c r="F347" i="21"/>
  <c r="E347" i="21"/>
  <c r="D347" i="21"/>
  <c r="U346" i="21"/>
  <c r="T346" i="21"/>
  <c r="P346" i="21"/>
  <c r="F346" i="21"/>
  <c r="E346" i="21"/>
  <c r="D346" i="21"/>
  <c r="U345" i="21"/>
  <c r="T345" i="21"/>
  <c r="P345" i="21"/>
  <c r="F345" i="21"/>
  <c r="E345" i="21"/>
  <c r="D345" i="21"/>
  <c r="U344" i="21"/>
  <c r="T344" i="21"/>
  <c r="P344" i="21"/>
  <c r="F344" i="21"/>
  <c r="E344" i="21"/>
  <c r="D344" i="21"/>
  <c r="U343" i="21"/>
  <c r="T343" i="21"/>
  <c r="P343" i="21"/>
  <c r="F343" i="21"/>
  <c r="E343" i="21"/>
  <c r="D343" i="21"/>
  <c r="U342" i="21"/>
  <c r="T342" i="21"/>
  <c r="P342" i="21"/>
  <c r="F342" i="21"/>
  <c r="E342" i="21"/>
  <c r="D342" i="21"/>
  <c r="U341" i="21"/>
  <c r="T341" i="21"/>
  <c r="P341" i="21"/>
  <c r="F341" i="21"/>
  <c r="E341" i="21"/>
  <c r="D341" i="21"/>
  <c r="U340" i="21"/>
  <c r="T340" i="21"/>
  <c r="P340" i="21"/>
  <c r="F340" i="21"/>
  <c r="E340" i="21"/>
  <c r="D340" i="21"/>
  <c r="U339" i="21"/>
  <c r="T339" i="21"/>
  <c r="P339" i="21"/>
  <c r="F339" i="21"/>
  <c r="E339" i="21"/>
  <c r="D339" i="21"/>
  <c r="U338" i="21"/>
  <c r="T338" i="21"/>
  <c r="P338" i="21"/>
  <c r="F338" i="21"/>
  <c r="E338" i="21"/>
  <c r="D338" i="21"/>
  <c r="U337" i="21"/>
  <c r="T337" i="21"/>
  <c r="P337" i="21"/>
  <c r="F337" i="21"/>
  <c r="E337" i="21"/>
  <c r="D337" i="21"/>
  <c r="U336" i="21"/>
  <c r="T336" i="21"/>
  <c r="P336" i="21"/>
  <c r="F336" i="21"/>
  <c r="E336" i="21"/>
  <c r="D336" i="21"/>
  <c r="U335" i="21"/>
  <c r="T335" i="21"/>
  <c r="P335" i="21"/>
  <c r="F335" i="21"/>
  <c r="E335" i="21"/>
  <c r="D335" i="21"/>
  <c r="U334" i="21"/>
  <c r="T334" i="21"/>
  <c r="P334" i="21"/>
  <c r="F334" i="21"/>
  <c r="E334" i="21"/>
  <c r="D334" i="21"/>
  <c r="U333" i="21"/>
  <c r="T333" i="21"/>
  <c r="P333" i="21"/>
  <c r="F333" i="21"/>
  <c r="E333" i="21"/>
  <c r="D333" i="21"/>
  <c r="U332" i="21"/>
  <c r="T332" i="21"/>
  <c r="P332" i="21"/>
  <c r="F332" i="21"/>
  <c r="E332" i="21"/>
  <c r="D332" i="21"/>
  <c r="U331" i="21"/>
  <c r="T331" i="21"/>
  <c r="P331" i="21"/>
  <c r="F331" i="21"/>
  <c r="E331" i="21"/>
  <c r="D331" i="21"/>
  <c r="U330" i="21"/>
  <c r="T330" i="21"/>
  <c r="P330" i="21"/>
  <c r="F330" i="21"/>
  <c r="E330" i="21"/>
  <c r="D330" i="21"/>
  <c r="U329" i="21"/>
  <c r="T329" i="21"/>
  <c r="P329" i="21"/>
  <c r="F329" i="21"/>
  <c r="E329" i="21"/>
  <c r="D329" i="21"/>
  <c r="U328" i="21"/>
  <c r="T328" i="21"/>
  <c r="P328" i="21"/>
  <c r="F328" i="21"/>
  <c r="E328" i="21"/>
  <c r="D328" i="21"/>
  <c r="U327" i="21"/>
  <c r="T327" i="21"/>
  <c r="P327" i="21"/>
  <c r="F327" i="21"/>
  <c r="E327" i="21"/>
  <c r="D327" i="21"/>
  <c r="U326" i="21"/>
  <c r="T326" i="21"/>
  <c r="P326" i="21"/>
  <c r="F326" i="21"/>
  <c r="E326" i="21"/>
  <c r="D326" i="21"/>
  <c r="U325" i="21"/>
  <c r="T325" i="21"/>
  <c r="P325" i="21"/>
  <c r="F325" i="21"/>
  <c r="E325" i="21"/>
  <c r="D325" i="21"/>
  <c r="U324" i="21"/>
  <c r="T324" i="21"/>
  <c r="P324" i="21"/>
  <c r="F324" i="21"/>
  <c r="E324" i="21"/>
  <c r="D324" i="21"/>
  <c r="U323" i="21"/>
  <c r="T323" i="21"/>
  <c r="P323" i="21"/>
  <c r="F323" i="21"/>
  <c r="E323" i="21"/>
  <c r="D323" i="21"/>
  <c r="U322" i="21"/>
  <c r="T322" i="21"/>
  <c r="P322" i="21"/>
  <c r="F322" i="21"/>
  <c r="E322" i="21"/>
  <c r="D322" i="21"/>
  <c r="U321" i="21"/>
  <c r="T321" i="21"/>
  <c r="P321" i="21"/>
  <c r="F321" i="21"/>
  <c r="E321" i="21"/>
  <c r="D321" i="21"/>
  <c r="U320" i="21"/>
  <c r="T320" i="21"/>
  <c r="P320" i="21"/>
  <c r="F320" i="21"/>
  <c r="E320" i="21"/>
  <c r="D320" i="21"/>
  <c r="U319" i="21"/>
  <c r="T319" i="21"/>
  <c r="P319" i="21"/>
  <c r="F319" i="21"/>
  <c r="E319" i="21"/>
  <c r="D319" i="21"/>
  <c r="U318" i="21"/>
  <c r="T318" i="21"/>
  <c r="P318" i="21"/>
  <c r="F318" i="21"/>
  <c r="E318" i="21"/>
  <c r="D318" i="21"/>
  <c r="U317" i="21"/>
  <c r="T317" i="21"/>
  <c r="P317" i="21"/>
  <c r="F317" i="21"/>
  <c r="E317" i="21"/>
  <c r="D317" i="21"/>
  <c r="U316" i="21"/>
  <c r="T316" i="21"/>
  <c r="P316" i="21"/>
  <c r="F316" i="21"/>
  <c r="E316" i="21"/>
  <c r="D316" i="21"/>
  <c r="U315" i="21"/>
  <c r="T315" i="21"/>
  <c r="P315" i="21"/>
  <c r="F315" i="21"/>
  <c r="E315" i="21"/>
  <c r="D315" i="21"/>
  <c r="U314" i="21"/>
  <c r="T314" i="21"/>
  <c r="P314" i="21"/>
  <c r="F314" i="21"/>
  <c r="E314" i="21"/>
  <c r="D314" i="21"/>
  <c r="U313" i="21"/>
  <c r="T313" i="21"/>
  <c r="P313" i="21"/>
  <c r="F313" i="21"/>
  <c r="E313" i="21"/>
  <c r="D313" i="21"/>
  <c r="U312" i="21"/>
  <c r="T312" i="21"/>
  <c r="P312" i="21"/>
  <c r="F312" i="21"/>
  <c r="E312" i="21"/>
  <c r="D312" i="21"/>
  <c r="U311" i="21"/>
  <c r="T311" i="21"/>
  <c r="P311" i="21"/>
  <c r="F311" i="21"/>
  <c r="E311" i="21"/>
  <c r="D311" i="21"/>
  <c r="U310" i="21"/>
  <c r="T310" i="21"/>
  <c r="P310" i="21"/>
  <c r="F310" i="21"/>
  <c r="E310" i="21"/>
  <c r="D310" i="21"/>
  <c r="U309" i="21"/>
  <c r="T309" i="21"/>
  <c r="P309" i="21"/>
  <c r="F309" i="21"/>
  <c r="E309" i="21"/>
  <c r="D309" i="21"/>
  <c r="U308" i="21"/>
  <c r="T308" i="21"/>
  <c r="P308" i="21"/>
  <c r="F308" i="21"/>
  <c r="E308" i="21"/>
  <c r="D308" i="21"/>
  <c r="U307" i="21"/>
  <c r="T307" i="21"/>
  <c r="P307" i="21"/>
  <c r="F307" i="21"/>
  <c r="E307" i="21"/>
  <c r="D307" i="21"/>
  <c r="U306" i="21"/>
  <c r="T306" i="21"/>
  <c r="P306" i="21"/>
  <c r="F306" i="21"/>
  <c r="E306" i="21"/>
  <c r="D306" i="21"/>
  <c r="U305" i="21"/>
  <c r="T305" i="21"/>
  <c r="P305" i="21"/>
  <c r="F305" i="21"/>
  <c r="E305" i="21"/>
  <c r="D305" i="21"/>
  <c r="U304" i="21"/>
  <c r="T304" i="21"/>
  <c r="P304" i="21"/>
  <c r="F304" i="21"/>
  <c r="E304" i="21"/>
  <c r="D304" i="21"/>
  <c r="U303" i="21"/>
  <c r="T303" i="21"/>
  <c r="P303" i="21"/>
  <c r="F303" i="21"/>
  <c r="E303" i="21"/>
  <c r="D303" i="21"/>
  <c r="U302" i="21"/>
  <c r="T302" i="21"/>
  <c r="P302" i="21"/>
  <c r="F302" i="21"/>
  <c r="E302" i="21"/>
  <c r="D302" i="21"/>
  <c r="U301" i="21"/>
  <c r="T301" i="21"/>
  <c r="P301" i="21"/>
  <c r="F301" i="21"/>
  <c r="E301" i="21"/>
  <c r="D301" i="21"/>
  <c r="U300" i="21"/>
  <c r="T300" i="21"/>
  <c r="P300" i="21"/>
  <c r="F300" i="21"/>
  <c r="E300" i="21"/>
  <c r="D300" i="21"/>
  <c r="U299" i="21"/>
  <c r="T299" i="21"/>
  <c r="P299" i="21"/>
  <c r="F299" i="21"/>
  <c r="E299" i="21"/>
  <c r="D299" i="21"/>
  <c r="U298" i="21"/>
  <c r="T298" i="21"/>
  <c r="P298" i="21"/>
  <c r="F298" i="21"/>
  <c r="E298" i="21"/>
  <c r="D298" i="21"/>
  <c r="U297" i="21"/>
  <c r="T297" i="21"/>
  <c r="P297" i="21"/>
  <c r="F297" i="21"/>
  <c r="E297" i="21"/>
  <c r="D297" i="21"/>
  <c r="U296" i="21"/>
  <c r="T296" i="21"/>
  <c r="P296" i="21"/>
  <c r="F296" i="21"/>
  <c r="E296" i="21"/>
  <c r="D296" i="21"/>
  <c r="U295" i="21"/>
  <c r="T295" i="21"/>
  <c r="P295" i="21"/>
  <c r="F295" i="21"/>
  <c r="E295" i="21"/>
  <c r="D295" i="21"/>
  <c r="U294" i="21"/>
  <c r="T294" i="21"/>
  <c r="P294" i="21"/>
  <c r="F294" i="21"/>
  <c r="E294" i="21"/>
  <c r="D294" i="21"/>
  <c r="U293" i="21"/>
  <c r="T293" i="21"/>
  <c r="P293" i="21"/>
  <c r="F293" i="21"/>
  <c r="E293" i="21"/>
  <c r="D293" i="21"/>
  <c r="U292" i="21"/>
  <c r="T292" i="21"/>
  <c r="P292" i="21"/>
  <c r="F292" i="21"/>
  <c r="E292" i="21"/>
  <c r="D292" i="21"/>
  <c r="U291" i="21"/>
  <c r="T291" i="21"/>
  <c r="P291" i="21"/>
  <c r="F291" i="21"/>
  <c r="E291" i="21"/>
  <c r="D291" i="21"/>
  <c r="U290" i="21"/>
  <c r="T290" i="21"/>
  <c r="P290" i="21"/>
  <c r="F290" i="21"/>
  <c r="E290" i="21"/>
  <c r="D290" i="21"/>
  <c r="U289" i="21"/>
  <c r="T289" i="21"/>
  <c r="P289" i="21"/>
  <c r="F289" i="21"/>
  <c r="E289" i="21"/>
  <c r="D289" i="21"/>
  <c r="U288" i="21"/>
  <c r="T288" i="21"/>
  <c r="P288" i="21"/>
  <c r="F288" i="21"/>
  <c r="E288" i="21"/>
  <c r="D288" i="21"/>
  <c r="U287" i="21"/>
  <c r="T287" i="21"/>
  <c r="P287" i="21"/>
  <c r="F287" i="21"/>
  <c r="E287" i="21"/>
  <c r="D287" i="21"/>
  <c r="U286" i="21"/>
  <c r="T286" i="21"/>
  <c r="P286" i="21"/>
  <c r="F286" i="21"/>
  <c r="E286" i="21"/>
  <c r="D286" i="21"/>
  <c r="U285" i="21"/>
  <c r="T285" i="21"/>
  <c r="P285" i="21"/>
  <c r="F285" i="21"/>
  <c r="E285" i="21"/>
  <c r="D285" i="21"/>
  <c r="U284" i="21"/>
  <c r="T284" i="21"/>
  <c r="P284" i="21"/>
  <c r="F284" i="21"/>
  <c r="E284" i="21"/>
  <c r="D284" i="21"/>
  <c r="U283" i="21"/>
  <c r="T283" i="21"/>
  <c r="P283" i="21"/>
  <c r="F283" i="21"/>
  <c r="E283" i="21"/>
  <c r="D283" i="21"/>
  <c r="U282" i="21"/>
  <c r="T282" i="21"/>
  <c r="P282" i="21"/>
  <c r="F282" i="21"/>
  <c r="E282" i="21"/>
  <c r="D282" i="21"/>
  <c r="U281" i="21"/>
  <c r="T281" i="21"/>
  <c r="P281" i="21"/>
  <c r="F281" i="21"/>
  <c r="E281" i="21"/>
  <c r="D281" i="21"/>
  <c r="U280" i="21"/>
  <c r="T280" i="21"/>
  <c r="P280" i="21"/>
  <c r="F280" i="21"/>
  <c r="E280" i="21"/>
  <c r="D280" i="21"/>
  <c r="U279" i="21"/>
  <c r="T279" i="21"/>
  <c r="P279" i="21"/>
  <c r="F279" i="21"/>
  <c r="E279" i="21"/>
  <c r="D279" i="21"/>
  <c r="U278" i="21"/>
  <c r="T278" i="21"/>
  <c r="P278" i="21"/>
  <c r="F278" i="21"/>
  <c r="E278" i="21"/>
  <c r="D278" i="21"/>
  <c r="U277" i="21"/>
  <c r="T277" i="21"/>
  <c r="P277" i="21"/>
  <c r="F277" i="21"/>
  <c r="E277" i="21"/>
  <c r="D277" i="21"/>
  <c r="U276" i="21"/>
  <c r="T276" i="21"/>
  <c r="P276" i="21"/>
  <c r="F276" i="21"/>
  <c r="E276" i="21"/>
  <c r="D276" i="21"/>
  <c r="U275" i="21"/>
  <c r="T275" i="21"/>
  <c r="P275" i="21"/>
  <c r="F275" i="21"/>
  <c r="E275" i="21"/>
  <c r="D275" i="21"/>
  <c r="U274" i="21"/>
  <c r="T274" i="21"/>
  <c r="P274" i="21"/>
  <c r="F274" i="21"/>
  <c r="E274" i="21"/>
  <c r="D274" i="21"/>
  <c r="U273" i="21"/>
  <c r="T273" i="21"/>
  <c r="P273" i="21"/>
  <c r="F273" i="21"/>
  <c r="E273" i="21"/>
  <c r="D273" i="21"/>
  <c r="U272" i="21"/>
  <c r="T272" i="21"/>
  <c r="P272" i="21"/>
  <c r="F272" i="21"/>
  <c r="E272" i="21"/>
  <c r="D272" i="21"/>
  <c r="U271" i="21"/>
  <c r="T271" i="21"/>
  <c r="P271" i="21"/>
  <c r="F271" i="21"/>
  <c r="E271" i="21"/>
  <c r="D271" i="21"/>
  <c r="U270" i="21"/>
  <c r="T270" i="21"/>
  <c r="P270" i="21"/>
  <c r="F270" i="21"/>
  <c r="E270" i="21"/>
  <c r="D270" i="21"/>
  <c r="U269" i="21"/>
  <c r="T269" i="21"/>
  <c r="P269" i="21"/>
  <c r="F269" i="21"/>
  <c r="E269" i="21"/>
  <c r="D269" i="21"/>
  <c r="U268" i="21"/>
  <c r="T268" i="21"/>
  <c r="P268" i="21"/>
  <c r="F268" i="21"/>
  <c r="E268" i="21"/>
  <c r="D268" i="21"/>
  <c r="U267" i="21"/>
  <c r="T267" i="21"/>
  <c r="P267" i="21"/>
  <c r="F267" i="21"/>
  <c r="E267" i="21"/>
  <c r="D267" i="21"/>
  <c r="U266" i="21"/>
  <c r="T266" i="21"/>
  <c r="P266" i="21"/>
  <c r="F266" i="21"/>
  <c r="E266" i="21"/>
  <c r="D266" i="21"/>
  <c r="U265" i="21"/>
  <c r="T265" i="21"/>
  <c r="P265" i="21"/>
  <c r="F265" i="21"/>
  <c r="E265" i="21"/>
  <c r="D265" i="21"/>
  <c r="U264" i="21"/>
  <c r="T264" i="21"/>
  <c r="P264" i="21"/>
  <c r="F264" i="21"/>
  <c r="E264" i="21"/>
  <c r="D264" i="21"/>
  <c r="U263" i="21"/>
  <c r="T263" i="21"/>
  <c r="P263" i="21"/>
  <c r="F263" i="21"/>
  <c r="E263" i="21"/>
  <c r="D263" i="21"/>
  <c r="U262" i="21"/>
  <c r="T262" i="21"/>
  <c r="P262" i="21"/>
  <c r="F262" i="21"/>
  <c r="E262" i="21"/>
  <c r="D262" i="21"/>
  <c r="U261" i="21"/>
  <c r="T261" i="21"/>
  <c r="P261" i="21"/>
  <c r="F261" i="21"/>
  <c r="E261" i="21"/>
  <c r="D261" i="21"/>
  <c r="U260" i="21"/>
  <c r="T260" i="21"/>
  <c r="P260" i="21"/>
  <c r="F260" i="21"/>
  <c r="E260" i="21"/>
  <c r="D260" i="21"/>
  <c r="U259" i="21"/>
  <c r="T259" i="21"/>
  <c r="P259" i="21"/>
  <c r="F259" i="21"/>
  <c r="E259" i="21"/>
  <c r="D259" i="21"/>
  <c r="U258" i="21"/>
  <c r="T258" i="21"/>
  <c r="P258" i="21"/>
  <c r="F258" i="21"/>
  <c r="E258" i="21"/>
  <c r="D258" i="21"/>
  <c r="U257" i="21"/>
  <c r="T257" i="21"/>
  <c r="P257" i="21"/>
  <c r="F257" i="21"/>
  <c r="E257" i="21"/>
  <c r="D257" i="21"/>
  <c r="U256" i="21"/>
  <c r="T256" i="21"/>
  <c r="P256" i="21"/>
  <c r="F256" i="21"/>
  <c r="E256" i="21"/>
  <c r="D256" i="21"/>
  <c r="U255" i="21"/>
  <c r="T255" i="21"/>
  <c r="P255" i="21"/>
  <c r="F255" i="21"/>
  <c r="E255" i="21"/>
  <c r="D255" i="21"/>
  <c r="U254" i="21"/>
  <c r="T254" i="21"/>
  <c r="P254" i="21"/>
  <c r="F254" i="21"/>
  <c r="E254" i="21"/>
  <c r="D254" i="21"/>
  <c r="U253" i="21"/>
  <c r="T253" i="21"/>
  <c r="P253" i="21"/>
  <c r="F253" i="21"/>
  <c r="E253" i="21"/>
  <c r="D253" i="21"/>
  <c r="U252" i="21"/>
  <c r="T252" i="21"/>
  <c r="P252" i="21"/>
  <c r="F252" i="21"/>
  <c r="E252" i="21"/>
  <c r="D252" i="21"/>
  <c r="U251" i="21"/>
  <c r="T251" i="21"/>
  <c r="P251" i="21"/>
  <c r="F251" i="21"/>
  <c r="E251" i="21"/>
  <c r="D251" i="21"/>
  <c r="U250" i="21"/>
  <c r="T250" i="21"/>
  <c r="P250" i="21"/>
  <c r="F250" i="21"/>
  <c r="E250" i="21"/>
  <c r="D250" i="21"/>
  <c r="U249" i="21"/>
  <c r="T249" i="21"/>
  <c r="P249" i="21"/>
  <c r="F249" i="21"/>
  <c r="E249" i="21"/>
  <c r="D249" i="21"/>
  <c r="U248" i="21"/>
  <c r="T248" i="21"/>
  <c r="P248" i="21"/>
  <c r="F248" i="21"/>
  <c r="E248" i="21"/>
  <c r="D248" i="21"/>
  <c r="U247" i="21"/>
  <c r="T247" i="21"/>
  <c r="P247" i="21"/>
  <c r="F247" i="21"/>
  <c r="E247" i="21"/>
  <c r="D247" i="21"/>
  <c r="U246" i="21"/>
  <c r="T246" i="21"/>
  <c r="P246" i="21"/>
  <c r="F246" i="21"/>
  <c r="E246" i="21"/>
  <c r="D246" i="21"/>
  <c r="U245" i="21"/>
  <c r="T245" i="21"/>
  <c r="P245" i="21"/>
  <c r="F245" i="21"/>
  <c r="E245" i="21"/>
  <c r="D245" i="21"/>
  <c r="U244" i="21"/>
  <c r="T244" i="21"/>
  <c r="P244" i="21"/>
  <c r="F244" i="21"/>
  <c r="E244" i="21"/>
  <c r="D244" i="21"/>
  <c r="U243" i="21"/>
  <c r="T243" i="21"/>
  <c r="P243" i="21"/>
  <c r="F243" i="21"/>
  <c r="E243" i="21"/>
  <c r="D243" i="21"/>
  <c r="U242" i="21"/>
  <c r="T242" i="21"/>
  <c r="P242" i="21"/>
  <c r="F242" i="21"/>
  <c r="E242" i="21"/>
  <c r="D242" i="21"/>
  <c r="U241" i="21"/>
  <c r="T241" i="21"/>
  <c r="P241" i="21"/>
  <c r="F241" i="21"/>
  <c r="E241" i="21"/>
  <c r="D241" i="21"/>
  <c r="U240" i="21"/>
  <c r="T240" i="21"/>
  <c r="P240" i="21"/>
  <c r="F240" i="21"/>
  <c r="E240" i="21"/>
  <c r="D240" i="21"/>
  <c r="U239" i="21"/>
  <c r="T239" i="21"/>
  <c r="P239" i="21"/>
  <c r="F239" i="21"/>
  <c r="E239" i="21"/>
  <c r="D239" i="21"/>
  <c r="U238" i="21"/>
  <c r="T238" i="21"/>
  <c r="P238" i="21"/>
  <c r="F238" i="21"/>
  <c r="E238" i="21"/>
  <c r="D238" i="21"/>
  <c r="U237" i="21"/>
  <c r="T237" i="21"/>
  <c r="P237" i="21"/>
  <c r="F237" i="21"/>
  <c r="E237" i="21"/>
  <c r="D237" i="21"/>
  <c r="U236" i="21"/>
  <c r="T236" i="21"/>
  <c r="P236" i="21"/>
  <c r="F236" i="21"/>
  <c r="E236" i="21"/>
  <c r="D236" i="21"/>
  <c r="U235" i="21"/>
  <c r="T235" i="21"/>
  <c r="P235" i="21"/>
  <c r="F235" i="21"/>
  <c r="E235" i="21"/>
  <c r="D235" i="21"/>
  <c r="U234" i="21"/>
  <c r="T234" i="21"/>
  <c r="P234" i="21"/>
  <c r="F234" i="21"/>
  <c r="E234" i="21"/>
  <c r="D234" i="21"/>
  <c r="U233" i="21"/>
  <c r="T233" i="21"/>
  <c r="P233" i="21"/>
  <c r="F233" i="21"/>
  <c r="E233" i="21"/>
  <c r="D233" i="21"/>
  <c r="U232" i="21"/>
  <c r="T232" i="21"/>
  <c r="P232" i="21"/>
  <c r="F232" i="21"/>
  <c r="E232" i="21"/>
  <c r="D232" i="21"/>
  <c r="U231" i="21"/>
  <c r="T231" i="21"/>
  <c r="P231" i="21"/>
  <c r="F231" i="21"/>
  <c r="E231" i="21"/>
  <c r="D231" i="21"/>
  <c r="U230" i="21"/>
  <c r="T230" i="21"/>
  <c r="P230" i="21"/>
  <c r="F230" i="21"/>
  <c r="E230" i="21"/>
  <c r="D230" i="21"/>
  <c r="U229" i="21"/>
  <c r="T229" i="21"/>
  <c r="P229" i="21"/>
  <c r="F229" i="21"/>
  <c r="E229" i="21"/>
  <c r="D229" i="21"/>
  <c r="U228" i="21"/>
  <c r="T228" i="21"/>
  <c r="P228" i="21"/>
  <c r="F228" i="21"/>
  <c r="E228" i="21"/>
  <c r="D228" i="21"/>
  <c r="U227" i="21"/>
  <c r="T227" i="21"/>
  <c r="P227" i="21"/>
  <c r="F227" i="21"/>
  <c r="E227" i="21"/>
  <c r="D227" i="21"/>
  <c r="U226" i="21"/>
  <c r="T226" i="21"/>
  <c r="P226" i="21"/>
  <c r="F226" i="21"/>
  <c r="E226" i="21"/>
  <c r="D226" i="21"/>
  <c r="U225" i="21"/>
  <c r="T225" i="21"/>
  <c r="P225" i="21"/>
  <c r="F225" i="21"/>
  <c r="E225" i="21"/>
  <c r="D225" i="21"/>
  <c r="U224" i="21"/>
  <c r="T224" i="21"/>
  <c r="P224" i="21"/>
  <c r="F224" i="21"/>
  <c r="E224" i="21"/>
  <c r="D224" i="21"/>
  <c r="U223" i="21"/>
  <c r="T223" i="21"/>
  <c r="P223" i="21"/>
  <c r="F223" i="21"/>
  <c r="E223" i="21"/>
  <c r="D223" i="21"/>
  <c r="U222" i="21"/>
  <c r="T222" i="21"/>
  <c r="P222" i="21"/>
  <c r="F222" i="21"/>
  <c r="E222" i="21"/>
  <c r="D222" i="21"/>
  <c r="U221" i="21"/>
  <c r="T221" i="21"/>
  <c r="P221" i="21"/>
  <c r="F221" i="21"/>
  <c r="E221" i="21"/>
  <c r="D221" i="21"/>
  <c r="U220" i="21"/>
  <c r="T220" i="21"/>
  <c r="P220" i="21"/>
  <c r="F220" i="21"/>
  <c r="E220" i="21"/>
  <c r="D220" i="21"/>
  <c r="U219" i="21"/>
  <c r="T219" i="21"/>
  <c r="P219" i="21"/>
  <c r="F219" i="21"/>
  <c r="E219" i="21"/>
  <c r="D219" i="21"/>
  <c r="U218" i="21"/>
  <c r="T218" i="21"/>
  <c r="P218" i="21"/>
  <c r="F218" i="21"/>
  <c r="E218" i="21"/>
  <c r="D218" i="21"/>
  <c r="U217" i="21"/>
  <c r="T217" i="21"/>
  <c r="P217" i="21"/>
  <c r="F217" i="21"/>
  <c r="E217" i="21"/>
  <c r="D217" i="21"/>
  <c r="U216" i="21"/>
  <c r="T216" i="21"/>
  <c r="P216" i="21"/>
  <c r="F216" i="21"/>
  <c r="E216" i="21"/>
  <c r="D216" i="21"/>
  <c r="U215" i="21"/>
  <c r="T215" i="21"/>
  <c r="P215" i="21"/>
  <c r="F215" i="21"/>
  <c r="E215" i="21"/>
  <c r="D215" i="21"/>
  <c r="U214" i="21"/>
  <c r="T214" i="21"/>
  <c r="P214" i="21"/>
  <c r="F214" i="21"/>
  <c r="E214" i="21"/>
  <c r="D214" i="21"/>
  <c r="U213" i="21"/>
  <c r="T213" i="21"/>
  <c r="P213" i="21"/>
  <c r="F213" i="21"/>
  <c r="E213" i="21"/>
  <c r="D213" i="21"/>
  <c r="U212" i="21"/>
  <c r="T212" i="21"/>
  <c r="P212" i="21"/>
  <c r="F212" i="21"/>
  <c r="E212" i="21"/>
  <c r="D212" i="21"/>
  <c r="U211" i="21"/>
  <c r="T211" i="21"/>
  <c r="P211" i="21"/>
  <c r="F211" i="21"/>
  <c r="E211" i="21"/>
  <c r="D211" i="21"/>
  <c r="U210" i="21"/>
  <c r="T210" i="21"/>
  <c r="P210" i="21"/>
  <c r="F210" i="21"/>
  <c r="E210" i="21"/>
  <c r="D210" i="21"/>
  <c r="U209" i="21"/>
  <c r="T209" i="21"/>
  <c r="P209" i="21"/>
  <c r="F209" i="21"/>
  <c r="E209" i="21"/>
  <c r="D209" i="21"/>
  <c r="U208" i="21"/>
  <c r="T208" i="21"/>
  <c r="P208" i="21"/>
  <c r="F208" i="21"/>
  <c r="E208" i="21"/>
  <c r="D208" i="21"/>
  <c r="U207" i="21"/>
  <c r="T207" i="21"/>
  <c r="P207" i="21"/>
  <c r="F207" i="21"/>
  <c r="E207" i="21"/>
  <c r="D207" i="21"/>
  <c r="U206" i="21"/>
  <c r="T206" i="21"/>
  <c r="P206" i="21"/>
  <c r="F206" i="21"/>
  <c r="E206" i="21"/>
  <c r="D206" i="21"/>
  <c r="U205" i="21"/>
  <c r="T205" i="21"/>
  <c r="P205" i="21"/>
  <c r="F205" i="21"/>
  <c r="E205" i="21"/>
  <c r="D205" i="21"/>
  <c r="U204" i="21"/>
  <c r="T204" i="21"/>
  <c r="P204" i="21"/>
  <c r="F204" i="21"/>
  <c r="E204" i="21"/>
  <c r="D204" i="21"/>
  <c r="U203" i="21"/>
  <c r="T203" i="21"/>
  <c r="P203" i="21"/>
  <c r="F203" i="21"/>
  <c r="E203" i="21"/>
  <c r="D203" i="21"/>
  <c r="U202" i="21"/>
  <c r="T202" i="21"/>
  <c r="P202" i="21"/>
  <c r="F202" i="21"/>
  <c r="E202" i="21"/>
  <c r="D202" i="21"/>
  <c r="U201" i="21"/>
  <c r="T201" i="21"/>
  <c r="P201" i="21"/>
  <c r="F201" i="21"/>
  <c r="E201" i="21"/>
  <c r="D201" i="21"/>
  <c r="U200" i="21"/>
  <c r="T200" i="21"/>
  <c r="P200" i="21"/>
  <c r="F200" i="21"/>
  <c r="E200" i="21"/>
  <c r="D200" i="21"/>
  <c r="U199" i="21"/>
  <c r="T199" i="21"/>
  <c r="P199" i="21"/>
  <c r="F199" i="21"/>
  <c r="E199" i="21"/>
  <c r="D199" i="21"/>
  <c r="U198" i="21"/>
  <c r="T198" i="21"/>
  <c r="P198" i="21"/>
  <c r="F198" i="21"/>
  <c r="E198" i="21"/>
  <c r="D198" i="21"/>
  <c r="U197" i="21"/>
  <c r="T197" i="21"/>
  <c r="P197" i="21"/>
  <c r="F197" i="21"/>
  <c r="E197" i="21"/>
  <c r="D197" i="21"/>
  <c r="U196" i="21"/>
  <c r="T196" i="21"/>
  <c r="P196" i="21"/>
  <c r="F196" i="21"/>
  <c r="E196" i="21"/>
  <c r="D196" i="21"/>
  <c r="U195" i="21"/>
  <c r="T195" i="21"/>
  <c r="P195" i="21"/>
  <c r="F195" i="21"/>
  <c r="E195" i="21"/>
  <c r="D195" i="21"/>
  <c r="U194" i="21"/>
  <c r="T194" i="21"/>
  <c r="P194" i="21"/>
  <c r="F194" i="21"/>
  <c r="E194" i="21"/>
  <c r="D194" i="21"/>
  <c r="U193" i="21"/>
  <c r="T193" i="21"/>
  <c r="P193" i="21"/>
  <c r="F193" i="21"/>
  <c r="E193" i="21"/>
  <c r="D193" i="21"/>
  <c r="U192" i="21"/>
  <c r="T192" i="21"/>
  <c r="P192" i="21"/>
  <c r="F192" i="21"/>
  <c r="E192" i="21"/>
  <c r="D192" i="21"/>
  <c r="U191" i="21"/>
  <c r="T191" i="21"/>
  <c r="P191" i="21"/>
  <c r="F191" i="21"/>
  <c r="E191" i="21"/>
  <c r="D191" i="21"/>
  <c r="U190" i="21"/>
  <c r="T190" i="21"/>
  <c r="P190" i="21"/>
  <c r="F190" i="21"/>
  <c r="E190" i="21"/>
  <c r="D190" i="21"/>
  <c r="U189" i="21"/>
  <c r="T189" i="21"/>
  <c r="P189" i="21"/>
  <c r="F189" i="21"/>
  <c r="E189" i="21"/>
  <c r="D189" i="21"/>
  <c r="U188" i="21"/>
  <c r="T188" i="21"/>
  <c r="P188" i="21"/>
  <c r="F188" i="21"/>
  <c r="E188" i="21"/>
  <c r="D188" i="21"/>
  <c r="U187" i="21"/>
  <c r="T187" i="21"/>
  <c r="P187" i="21"/>
  <c r="F187" i="21"/>
  <c r="E187" i="21"/>
  <c r="D187" i="21"/>
  <c r="U186" i="21"/>
  <c r="T186" i="21"/>
  <c r="P186" i="21"/>
  <c r="F186" i="21"/>
  <c r="E186" i="21"/>
  <c r="D186" i="21"/>
  <c r="U185" i="21"/>
  <c r="T185" i="21"/>
  <c r="P185" i="21"/>
  <c r="F185" i="21"/>
  <c r="E185" i="21"/>
  <c r="D185" i="21"/>
  <c r="U184" i="21"/>
  <c r="T184" i="21"/>
  <c r="P184" i="21"/>
  <c r="F184" i="21"/>
  <c r="E184" i="21"/>
  <c r="D184" i="21"/>
  <c r="U183" i="21"/>
  <c r="T183" i="21"/>
  <c r="P183" i="21"/>
  <c r="F183" i="21"/>
  <c r="E183" i="21"/>
  <c r="D183" i="21"/>
  <c r="U182" i="21"/>
  <c r="T182" i="21"/>
  <c r="P182" i="21"/>
  <c r="F182" i="21"/>
  <c r="E182" i="21"/>
  <c r="D182" i="21"/>
  <c r="U181" i="21"/>
  <c r="T181" i="21"/>
  <c r="P181" i="21"/>
  <c r="F181" i="21"/>
  <c r="E181" i="21"/>
  <c r="D181" i="21"/>
  <c r="U180" i="21"/>
  <c r="T180" i="21"/>
  <c r="P180" i="21"/>
  <c r="F180" i="21"/>
  <c r="E180" i="21"/>
  <c r="D180" i="21"/>
  <c r="U179" i="21"/>
  <c r="T179" i="21"/>
  <c r="P179" i="21"/>
  <c r="F179" i="21"/>
  <c r="E179" i="21"/>
  <c r="D179" i="21"/>
  <c r="U178" i="21"/>
  <c r="T178" i="21"/>
  <c r="P178" i="21"/>
  <c r="F178" i="21"/>
  <c r="E178" i="21"/>
  <c r="D178" i="21"/>
  <c r="U177" i="21"/>
  <c r="T177" i="21"/>
  <c r="P177" i="21"/>
  <c r="F177" i="21"/>
  <c r="E177" i="21"/>
  <c r="D177" i="21"/>
  <c r="U176" i="21"/>
  <c r="T176" i="21"/>
  <c r="P176" i="21"/>
  <c r="F176" i="21"/>
  <c r="E176" i="21"/>
  <c r="D176" i="21"/>
  <c r="U175" i="21"/>
  <c r="T175" i="21"/>
  <c r="P175" i="21"/>
  <c r="F175" i="21"/>
  <c r="E175" i="21"/>
  <c r="D175" i="21"/>
  <c r="U174" i="21"/>
  <c r="T174" i="21"/>
  <c r="P174" i="21"/>
  <c r="F174" i="21"/>
  <c r="E174" i="21"/>
  <c r="D174" i="21"/>
  <c r="U173" i="21"/>
  <c r="T173" i="21"/>
  <c r="P173" i="21"/>
  <c r="F173" i="21"/>
  <c r="E173" i="21"/>
  <c r="D173" i="21"/>
  <c r="U172" i="21"/>
  <c r="T172" i="21"/>
  <c r="P172" i="21"/>
  <c r="F172" i="21"/>
  <c r="E172" i="21"/>
  <c r="D172" i="21"/>
  <c r="U171" i="21"/>
  <c r="T171" i="21"/>
  <c r="P171" i="21"/>
  <c r="F171" i="21"/>
  <c r="E171" i="21"/>
  <c r="D171" i="21"/>
  <c r="U170" i="21"/>
  <c r="T170" i="21"/>
  <c r="P170" i="21"/>
  <c r="F170" i="21"/>
  <c r="E170" i="21"/>
  <c r="D170" i="21"/>
  <c r="U169" i="21"/>
  <c r="T169" i="21"/>
  <c r="P169" i="21"/>
  <c r="F169" i="21"/>
  <c r="E169" i="21"/>
  <c r="D169" i="21"/>
  <c r="U168" i="21"/>
  <c r="T168" i="21"/>
  <c r="P168" i="21"/>
  <c r="F168" i="21"/>
  <c r="E168" i="21"/>
  <c r="D168" i="21"/>
  <c r="U167" i="21"/>
  <c r="T167" i="21"/>
  <c r="P167" i="21"/>
  <c r="F167" i="21"/>
  <c r="E167" i="21"/>
  <c r="D167" i="21"/>
  <c r="U166" i="21"/>
  <c r="T166" i="21"/>
  <c r="P166" i="21"/>
  <c r="F166" i="21"/>
  <c r="E166" i="21"/>
  <c r="D166" i="21"/>
  <c r="U165" i="21"/>
  <c r="T165" i="21"/>
  <c r="P165" i="21"/>
  <c r="F165" i="21"/>
  <c r="E165" i="21"/>
  <c r="D165" i="21"/>
  <c r="U164" i="21"/>
  <c r="T164" i="21"/>
  <c r="P164" i="21"/>
  <c r="F164" i="21"/>
  <c r="E164" i="21"/>
  <c r="D164" i="21"/>
  <c r="U163" i="21"/>
  <c r="T163" i="21"/>
  <c r="P163" i="21"/>
  <c r="F163" i="21"/>
  <c r="E163" i="21"/>
  <c r="D163" i="21"/>
  <c r="U162" i="21"/>
  <c r="T162" i="21"/>
  <c r="P162" i="21"/>
  <c r="F162" i="21"/>
  <c r="E162" i="21"/>
  <c r="D162" i="21"/>
  <c r="U161" i="21"/>
  <c r="T161" i="21"/>
  <c r="P161" i="21"/>
  <c r="F161" i="21"/>
  <c r="E161" i="21"/>
  <c r="D161" i="21"/>
  <c r="U160" i="21"/>
  <c r="T160" i="21"/>
  <c r="P160" i="21"/>
  <c r="F160" i="21"/>
  <c r="E160" i="21"/>
  <c r="D160" i="21"/>
  <c r="U159" i="21"/>
  <c r="T159" i="21"/>
  <c r="P159" i="21"/>
  <c r="F159" i="21"/>
  <c r="E159" i="21"/>
  <c r="D159" i="21"/>
  <c r="U158" i="21"/>
  <c r="T158" i="21"/>
  <c r="P158" i="21"/>
  <c r="F158" i="21"/>
  <c r="E158" i="21"/>
  <c r="D158" i="21"/>
  <c r="U157" i="21"/>
  <c r="T157" i="21"/>
  <c r="P157" i="21"/>
  <c r="F157" i="21"/>
  <c r="E157" i="21"/>
  <c r="D157" i="21"/>
  <c r="U156" i="21"/>
  <c r="T156" i="21"/>
  <c r="P156" i="21"/>
  <c r="F156" i="21"/>
  <c r="E156" i="21"/>
  <c r="D156" i="21"/>
  <c r="U155" i="21"/>
  <c r="T155" i="21"/>
  <c r="P155" i="21"/>
  <c r="F155" i="21"/>
  <c r="E155" i="21"/>
  <c r="D155" i="21"/>
  <c r="U154" i="21"/>
  <c r="T154" i="21"/>
  <c r="P154" i="21"/>
  <c r="F154" i="21"/>
  <c r="E154" i="21"/>
  <c r="D154" i="21"/>
  <c r="U153" i="21"/>
  <c r="T153" i="21"/>
  <c r="P153" i="21"/>
  <c r="F153" i="21"/>
  <c r="E153" i="21"/>
  <c r="D153" i="21"/>
  <c r="U152" i="21"/>
  <c r="T152" i="21"/>
  <c r="P152" i="21"/>
  <c r="F152" i="21"/>
  <c r="E152" i="21"/>
  <c r="D152" i="21"/>
  <c r="U151" i="21"/>
  <c r="T151" i="21"/>
  <c r="P151" i="21"/>
  <c r="F151" i="21"/>
  <c r="E151" i="21"/>
  <c r="D151" i="21"/>
  <c r="U150" i="21"/>
  <c r="T150" i="21"/>
  <c r="P150" i="21"/>
  <c r="F150" i="21"/>
  <c r="E150" i="21"/>
  <c r="D150" i="21"/>
  <c r="U149" i="21"/>
  <c r="T149" i="21"/>
  <c r="P149" i="21"/>
  <c r="F149" i="21"/>
  <c r="E149" i="21"/>
  <c r="D149" i="21"/>
  <c r="U148" i="21"/>
  <c r="T148" i="21"/>
  <c r="P148" i="21"/>
  <c r="F148" i="21"/>
  <c r="E148" i="21"/>
  <c r="D148" i="21"/>
  <c r="U147" i="21"/>
  <c r="T147" i="21"/>
  <c r="P147" i="21"/>
  <c r="F147" i="21"/>
  <c r="E147" i="21"/>
  <c r="D147" i="21"/>
  <c r="U146" i="21"/>
  <c r="T146" i="21"/>
  <c r="P146" i="21"/>
  <c r="F146" i="21"/>
  <c r="E146" i="21"/>
  <c r="D146" i="21"/>
  <c r="U145" i="21"/>
  <c r="T145" i="21"/>
  <c r="P145" i="21"/>
  <c r="F145" i="21"/>
  <c r="E145" i="21"/>
  <c r="D145" i="21"/>
  <c r="U144" i="21"/>
  <c r="T144" i="21"/>
  <c r="P144" i="21"/>
  <c r="F144" i="21"/>
  <c r="E144" i="21"/>
  <c r="D144" i="21"/>
  <c r="U143" i="21"/>
  <c r="T143" i="21"/>
  <c r="P143" i="21"/>
  <c r="F143" i="21"/>
  <c r="E143" i="21"/>
  <c r="D143" i="21"/>
  <c r="U142" i="21"/>
  <c r="T142" i="21"/>
  <c r="P142" i="21"/>
  <c r="F142" i="21"/>
  <c r="E142" i="21"/>
  <c r="D142" i="21"/>
  <c r="U141" i="21"/>
  <c r="T141" i="21"/>
  <c r="P141" i="21"/>
  <c r="F141" i="21"/>
  <c r="E141" i="21"/>
  <c r="D141" i="21"/>
  <c r="U140" i="21"/>
  <c r="T140" i="21"/>
  <c r="P140" i="21"/>
  <c r="F140" i="21"/>
  <c r="E140" i="21"/>
  <c r="D140" i="21"/>
  <c r="U139" i="21"/>
  <c r="T139" i="21"/>
  <c r="P139" i="21"/>
  <c r="F139" i="21"/>
  <c r="E139" i="21"/>
  <c r="D139" i="21"/>
  <c r="U138" i="21"/>
  <c r="T138" i="21"/>
  <c r="P138" i="21"/>
  <c r="F138" i="21"/>
  <c r="E138" i="21"/>
  <c r="D138" i="21"/>
  <c r="U137" i="21"/>
  <c r="T137" i="21"/>
  <c r="P137" i="21"/>
  <c r="F137" i="21"/>
  <c r="E137" i="21"/>
  <c r="D137" i="21"/>
  <c r="U136" i="21"/>
  <c r="T136" i="21"/>
  <c r="P136" i="21"/>
  <c r="F136" i="21"/>
  <c r="E136" i="21"/>
  <c r="D136" i="21"/>
  <c r="U135" i="21"/>
  <c r="T135" i="21"/>
  <c r="P135" i="21"/>
  <c r="F135" i="21"/>
  <c r="E135" i="21"/>
  <c r="D135" i="21"/>
  <c r="U134" i="21"/>
  <c r="T134" i="21"/>
  <c r="P134" i="21"/>
  <c r="F134" i="21"/>
  <c r="E134" i="21"/>
  <c r="D134" i="21"/>
  <c r="U133" i="21"/>
  <c r="T133" i="21"/>
  <c r="P133" i="21"/>
  <c r="F133" i="21"/>
  <c r="E133" i="21"/>
  <c r="D133" i="21"/>
  <c r="U132" i="21"/>
  <c r="T132" i="21"/>
  <c r="P132" i="21"/>
  <c r="F132" i="21"/>
  <c r="E132" i="21"/>
  <c r="D132" i="21"/>
  <c r="U131" i="21"/>
  <c r="T131" i="21"/>
  <c r="P131" i="21"/>
  <c r="F131" i="21"/>
  <c r="E131" i="21"/>
  <c r="D131" i="21"/>
  <c r="U130" i="21"/>
  <c r="T130" i="21"/>
  <c r="P130" i="21"/>
  <c r="F130" i="21"/>
  <c r="E130" i="21"/>
  <c r="D130" i="21"/>
  <c r="U129" i="21"/>
  <c r="T129" i="21"/>
  <c r="P129" i="21"/>
  <c r="F129" i="21"/>
  <c r="E129" i="21"/>
  <c r="D129" i="21"/>
  <c r="U128" i="21"/>
  <c r="T128" i="21"/>
  <c r="P128" i="21"/>
  <c r="F128" i="21"/>
  <c r="E128" i="21"/>
  <c r="D128" i="21"/>
  <c r="U127" i="21"/>
  <c r="T127" i="21"/>
  <c r="P127" i="21"/>
  <c r="F127" i="21"/>
  <c r="E127" i="21"/>
  <c r="D127" i="21"/>
  <c r="U126" i="21"/>
  <c r="T126" i="21"/>
  <c r="P126" i="21"/>
  <c r="F126" i="21"/>
  <c r="E126" i="21"/>
  <c r="D126" i="21"/>
  <c r="U125" i="21"/>
  <c r="T125" i="21"/>
  <c r="P125" i="21"/>
  <c r="F125" i="21"/>
  <c r="E125" i="21"/>
  <c r="D125" i="21"/>
  <c r="U124" i="21"/>
  <c r="T124" i="21"/>
  <c r="P124" i="21"/>
  <c r="F124" i="21"/>
  <c r="E124" i="21"/>
  <c r="D124" i="21"/>
  <c r="U123" i="21"/>
  <c r="T123" i="21"/>
  <c r="P123" i="21"/>
  <c r="F123" i="21"/>
  <c r="E123" i="21"/>
  <c r="D123" i="21"/>
  <c r="U122" i="21"/>
  <c r="T122" i="21"/>
  <c r="P122" i="21"/>
  <c r="F122" i="21"/>
  <c r="E122" i="21"/>
  <c r="D122" i="21"/>
  <c r="U121" i="21"/>
  <c r="T121" i="21"/>
  <c r="P121" i="21"/>
  <c r="F121" i="21"/>
  <c r="E121" i="21"/>
  <c r="D121" i="21"/>
  <c r="U120" i="21"/>
  <c r="T120" i="21"/>
  <c r="P120" i="21"/>
  <c r="F120" i="21"/>
  <c r="E120" i="21"/>
  <c r="D120" i="21"/>
  <c r="U119" i="21"/>
  <c r="T119" i="21"/>
  <c r="P119" i="21"/>
  <c r="F119" i="21"/>
  <c r="E119" i="21"/>
  <c r="D119" i="21"/>
  <c r="U118" i="21"/>
  <c r="T118" i="21"/>
  <c r="P118" i="21"/>
  <c r="F118" i="21"/>
  <c r="E118" i="21"/>
  <c r="D118" i="21"/>
  <c r="U117" i="21"/>
  <c r="T117" i="21"/>
  <c r="P117" i="21"/>
  <c r="F117" i="21"/>
  <c r="E117" i="21"/>
  <c r="D117" i="21"/>
  <c r="U116" i="21"/>
  <c r="T116" i="21"/>
  <c r="P116" i="21"/>
  <c r="F116" i="21"/>
  <c r="E116" i="21"/>
  <c r="D116" i="21"/>
  <c r="U115" i="21"/>
  <c r="T115" i="21"/>
  <c r="P115" i="21"/>
  <c r="F115" i="21"/>
  <c r="E115" i="21"/>
  <c r="D115" i="21"/>
  <c r="U114" i="21"/>
  <c r="T114" i="21"/>
  <c r="P114" i="21"/>
  <c r="F114" i="21"/>
  <c r="E114" i="21"/>
  <c r="D114" i="21"/>
  <c r="U113" i="21"/>
  <c r="T113" i="21"/>
  <c r="P113" i="21"/>
  <c r="F113" i="21"/>
  <c r="E113" i="21"/>
  <c r="D113" i="21"/>
  <c r="U112" i="21"/>
  <c r="T112" i="21"/>
  <c r="P112" i="21"/>
  <c r="F112" i="21"/>
  <c r="E112" i="21"/>
  <c r="D112" i="21"/>
  <c r="U111" i="21"/>
  <c r="T111" i="21"/>
  <c r="P111" i="21"/>
  <c r="F111" i="21"/>
  <c r="E111" i="21"/>
  <c r="D111" i="21"/>
  <c r="U110" i="21"/>
  <c r="T110" i="21"/>
  <c r="P110" i="21"/>
  <c r="F110" i="21"/>
  <c r="E110" i="21"/>
  <c r="D110" i="21"/>
  <c r="U109" i="21"/>
  <c r="T109" i="21"/>
  <c r="P109" i="21"/>
  <c r="F109" i="21"/>
  <c r="E109" i="21"/>
  <c r="D109" i="21"/>
  <c r="U108" i="21"/>
  <c r="T108" i="21"/>
  <c r="P108" i="21"/>
  <c r="F108" i="21"/>
  <c r="E108" i="21"/>
  <c r="D108" i="21"/>
  <c r="U107" i="21"/>
  <c r="T107" i="21"/>
  <c r="P107" i="21"/>
  <c r="F107" i="21"/>
  <c r="E107" i="21"/>
  <c r="D107" i="21"/>
  <c r="U106" i="21"/>
  <c r="T106" i="21"/>
  <c r="P106" i="21"/>
  <c r="F106" i="21"/>
  <c r="E106" i="21"/>
  <c r="D106" i="21"/>
  <c r="U105" i="21"/>
  <c r="T105" i="21"/>
  <c r="P105" i="21"/>
  <c r="F105" i="21"/>
  <c r="E105" i="21"/>
  <c r="D105" i="21"/>
  <c r="U104" i="21"/>
  <c r="T104" i="21"/>
  <c r="P104" i="21"/>
  <c r="F104" i="21"/>
  <c r="E104" i="21"/>
  <c r="D104" i="21"/>
  <c r="U103" i="21"/>
  <c r="T103" i="21"/>
  <c r="P103" i="21"/>
  <c r="F103" i="21"/>
  <c r="E103" i="21"/>
  <c r="D103" i="21"/>
  <c r="U102" i="21"/>
  <c r="T102" i="21"/>
  <c r="P102" i="21"/>
  <c r="F102" i="21"/>
  <c r="E102" i="21"/>
  <c r="D102" i="21"/>
  <c r="U101" i="21"/>
  <c r="T101" i="21"/>
  <c r="P101" i="21"/>
  <c r="F101" i="21"/>
  <c r="E101" i="21"/>
  <c r="D101" i="21"/>
  <c r="U100" i="21"/>
  <c r="T100" i="21"/>
  <c r="P100" i="21"/>
  <c r="F100" i="21"/>
  <c r="E100" i="21"/>
  <c r="D100" i="21"/>
  <c r="U99" i="21"/>
  <c r="T99" i="21"/>
  <c r="P99" i="21"/>
  <c r="F99" i="21"/>
  <c r="E99" i="21"/>
  <c r="D99" i="21"/>
  <c r="U98" i="21"/>
  <c r="T98" i="21"/>
  <c r="P98" i="21"/>
  <c r="F98" i="21"/>
  <c r="E98" i="21"/>
  <c r="D98" i="21"/>
  <c r="U97" i="21"/>
  <c r="T97" i="21"/>
  <c r="P97" i="21"/>
  <c r="F97" i="21"/>
  <c r="E97" i="21"/>
  <c r="D97" i="21"/>
  <c r="U96" i="21"/>
  <c r="T96" i="21"/>
  <c r="P96" i="21"/>
  <c r="F96" i="21"/>
  <c r="E96" i="21"/>
  <c r="D96" i="21"/>
  <c r="U95" i="21"/>
  <c r="T95" i="21"/>
  <c r="P95" i="21"/>
  <c r="F95" i="21"/>
  <c r="E95" i="21"/>
  <c r="D95" i="21"/>
  <c r="U94" i="21"/>
  <c r="T94" i="21"/>
  <c r="P94" i="21"/>
  <c r="F94" i="21"/>
  <c r="E94" i="21"/>
  <c r="D94" i="21"/>
  <c r="U93" i="21"/>
  <c r="T93" i="21"/>
  <c r="P93" i="21"/>
  <c r="F93" i="21"/>
  <c r="E93" i="21"/>
  <c r="D93" i="21"/>
  <c r="U92" i="21"/>
  <c r="T92" i="21"/>
  <c r="P92" i="21"/>
  <c r="F92" i="21"/>
  <c r="E92" i="21"/>
  <c r="D92" i="21"/>
  <c r="U91" i="21"/>
  <c r="T91" i="21"/>
  <c r="P91" i="21"/>
  <c r="F91" i="21"/>
  <c r="E91" i="21"/>
  <c r="D91" i="21"/>
  <c r="U90" i="21"/>
  <c r="T90" i="21"/>
  <c r="P90" i="21"/>
  <c r="F90" i="21"/>
  <c r="E90" i="21"/>
  <c r="D90" i="21"/>
  <c r="U89" i="21"/>
  <c r="T89" i="21"/>
  <c r="P89" i="21"/>
  <c r="F89" i="21"/>
  <c r="E89" i="21"/>
  <c r="D89" i="21"/>
  <c r="U88" i="21"/>
  <c r="T88" i="21"/>
  <c r="P88" i="21"/>
  <c r="F88" i="21"/>
  <c r="E88" i="21"/>
  <c r="D88" i="21"/>
  <c r="U87" i="21"/>
  <c r="T87" i="21"/>
  <c r="P87" i="21"/>
  <c r="F87" i="21"/>
  <c r="E87" i="21"/>
  <c r="D87" i="21"/>
  <c r="U86" i="21"/>
  <c r="T86" i="21"/>
  <c r="P86" i="21"/>
  <c r="F86" i="21"/>
  <c r="E86" i="21"/>
  <c r="D86" i="21"/>
  <c r="U85" i="21"/>
  <c r="T85" i="21"/>
  <c r="P85" i="21"/>
  <c r="F85" i="21"/>
  <c r="E85" i="21"/>
  <c r="D85" i="21"/>
  <c r="U84" i="21"/>
  <c r="T84" i="21"/>
  <c r="P84" i="21"/>
  <c r="F84" i="21"/>
  <c r="E84" i="21"/>
  <c r="D84" i="21"/>
  <c r="U83" i="21"/>
  <c r="T83" i="21"/>
  <c r="P83" i="21"/>
  <c r="F83" i="21"/>
  <c r="E83" i="21"/>
  <c r="D83" i="21"/>
  <c r="U82" i="21"/>
  <c r="T82" i="21"/>
  <c r="P82" i="21"/>
  <c r="F82" i="21"/>
  <c r="E82" i="21"/>
  <c r="D82" i="21"/>
  <c r="U81" i="21"/>
  <c r="T81" i="21"/>
  <c r="P81" i="21"/>
  <c r="F81" i="21"/>
  <c r="E81" i="21"/>
  <c r="D81" i="21"/>
  <c r="U80" i="21"/>
  <c r="T80" i="21"/>
  <c r="P80" i="21"/>
  <c r="F80" i="21"/>
  <c r="E80" i="21"/>
  <c r="D80" i="21"/>
  <c r="U79" i="21"/>
  <c r="T79" i="21"/>
  <c r="P79" i="21"/>
  <c r="F79" i="21"/>
  <c r="E79" i="21"/>
  <c r="D79" i="21"/>
  <c r="U78" i="21"/>
  <c r="T78" i="21"/>
  <c r="P78" i="21"/>
  <c r="F78" i="21"/>
  <c r="E78" i="21"/>
  <c r="D78" i="21"/>
  <c r="U77" i="21"/>
  <c r="T77" i="21"/>
  <c r="P77" i="21"/>
  <c r="F77" i="21"/>
  <c r="E77" i="21"/>
  <c r="D77" i="21"/>
  <c r="U76" i="21"/>
  <c r="T76" i="21"/>
  <c r="P76" i="21"/>
  <c r="F76" i="21"/>
  <c r="E76" i="21"/>
  <c r="D76" i="21"/>
  <c r="U75" i="21"/>
  <c r="T75" i="21"/>
  <c r="P75" i="21"/>
  <c r="F75" i="21"/>
  <c r="E75" i="21"/>
  <c r="D75" i="21"/>
  <c r="U74" i="21"/>
  <c r="T74" i="21"/>
  <c r="P74" i="21"/>
  <c r="F74" i="21"/>
  <c r="E74" i="21"/>
  <c r="D74" i="21"/>
  <c r="U73" i="21"/>
  <c r="T73" i="21"/>
  <c r="P73" i="21"/>
  <c r="F73" i="21"/>
  <c r="E73" i="21"/>
  <c r="D73" i="21"/>
  <c r="U72" i="21"/>
  <c r="T72" i="21"/>
  <c r="P72" i="21"/>
  <c r="F72" i="21"/>
  <c r="E72" i="21"/>
  <c r="D72" i="21"/>
  <c r="U71" i="21"/>
  <c r="T71" i="21"/>
  <c r="P71" i="21"/>
  <c r="F71" i="21"/>
  <c r="E71" i="21"/>
  <c r="D71" i="21"/>
  <c r="U70" i="21"/>
  <c r="T70" i="21"/>
  <c r="P70" i="21"/>
  <c r="F70" i="21"/>
  <c r="E70" i="21"/>
  <c r="D70" i="21"/>
  <c r="U69" i="21"/>
  <c r="T69" i="21"/>
  <c r="P69" i="21"/>
  <c r="F69" i="21"/>
  <c r="E69" i="21"/>
  <c r="D69" i="21"/>
  <c r="U68" i="21"/>
  <c r="T68" i="21"/>
  <c r="P68" i="21"/>
  <c r="F68" i="21"/>
  <c r="E68" i="21"/>
  <c r="D68" i="21"/>
  <c r="U67" i="21"/>
  <c r="T67" i="21"/>
  <c r="P67" i="21"/>
  <c r="F67" i="21"/>
  <c r="E67" i="21"/>
  <c r="D67" i="21"/>
  <c r="U66" i="21"/>
  <c r="T66" i="21"/>
  <c r="P66" i="21"/>
  <c r="F66" i="21"/>
  <c r="E66" i="21"/>
  <c r="D66" i="21"/>
  <c r="U65" i="21"/>
  <c r="T65" i="21"/>
  <c r="P65" i="21"/>
  <c r="F65" i="21"/>
  <c r="E65" i="21"/>
  <c r="D65" i="21"/>
  <c r="U64" i="21"/>
  <c r="T64" i="21"/>
  <c r="P64" i="21"/>
  <c r="F64" i="21"/>
  <c r="E64" i="21"/>
  <c r="D64" i="21"/>
  <c r="U63" i="21"/>
  <c r="T63" i="21"/>
  <c r="P63" i="21"/>
  <c r="F63" i="21"/>
  <c r="E63" i="21"/>
  <c r="D63" i="21"/>
  <c r="U62" i="21"/>
  <c r="T62" i="21"/>
  <c r="P62" i="21"/>
  <c r="F62" i="21"/>
  <c r="E62" i="21"/>
  <c r="D62" i="21"/>
  <c r="U61" i="21"/>
  <c r="T61" i="21"/>
  <c r="P61" i="21"/>
  <c r="F61" i="21"/>
  <c r="E61" i="21"/>
  <c r="D61" i="21"/>
  <c r="U60" i="21"/>
  <c r="T60" i="21"/>
  <c r="P60" i="21"/>
  <c r="F60" i="21"/>
  <c r="E60" i="21"/>
  <c r="D60" i="21"/>
  <c r="U59" i="21"/>
  <c r="T59" i="21"/>
  <c r="P59" i="21"/>
  <c r="F59" i="21"/>
  <c r="E59" i="21"/>
  <c r="D59" i="21"/>
  <c r="U58" i="21"/>
  <c r="T58" i="21"/>
  <c r="P58" i="21"/>
  <c r="F58" i="21"/>
  <c r="E58" i="21"/>
  <c r="D58" i="21"/>
  <c r="U57" i="21"/>
  <c r="T57" i="21"/>
  <c r="P57" i="21"/>
  <c r="F57" i="21"/>
  <c r="E57" i="21"/>
  <c r="D57" i="21"/>
  <c r="U56" i="21"/>
  <c r="T56" i="21"/>
  <c r="P56" i="21"/>
  <c r="F56" i="21"/>
  <c r="E56" i="21"/>
  <c r="D56" i="21"/>
  <c r="U55" i="21"/>
  <c r="T55" i="21"/>
  <c r="P55" i="21"/>
  <c r="F55" i="21"/>
  <c r="E55" i="21"/>
  <c r="D55" i="21"/>
  <c r="U54" i="21"/>
  <c r="T54" i="21"/>
  <c r="P54" i="21"/>
  <c r="F54" i="21"/>
  <c r="E54" i="21"/>
  <c r="D54" i="21"/>
  <c r="U53" i="21"/>
  <c r="T53" i="21"/>
  <c r="P53" i="21"/>
  <c r="F53" i="21"/>
  <c r="E53" i="21"/>
  <c r="D53" i="21"/>
  <c r="U52" i="21"/>
  <c r="T52" i="21"/>
  <c r="P52" i="21"/>
  <c r="F52" i="21"/>
  <c r="E52" i="21"/>
  <c r="D52" i="21"/>
  <c r="U51" i="21"/>
  <c r="T51" i="21"/>
  <c r="P51" i="21"/>
  <c r="F51" i="21"/>
  <c r="E51" i="21"/>
  <c r="D51" i="21"/>
  <c r="U50" i="21"/>
  <c r="T50" i="21"/>
  <c r="P50" i="21"/>
  <c r="F50" i="21"/>
  <c r="E50" i="21"/>
  <c r="D50" i="21"/>
  <c r="U49" i="21"/>
  <c r="T49" i="21"/>
  <c r="P49" i="21"/>
  <c r="F49" i="21"/>
  <c r="E49" i="21"/>
  <c r="D49" i="21"/>
  <c r="U48" i="21"/>
  <c r="T48" i="21"/>
  <c r="P48" i="21"/>
  <c r="F48" i="21"/>
  <c r="E48" i="21"/>
  <c r="D48" i="21"/>
  <c r="U47" i="21"/>
  <c r="T47" i="21"/>
  <c r="P47" i="21"/>
  <c r="F47" i="21"/>
  <c r="E47" i="21"/>
  <c r="D47" i="21"/>
  <c r="U46" i="21"/>
  <c r="T46" i="21"/>
  <c r="P46" i="21"/>
  <c r="F46" i="21"/>
  <c r="E46" i="21"/>
  <c r="D46" i="21"/>
  <c r="U45" i="21"/>
  <c r="T45" i="21"/>
  <c r="P45" i="21"/>
  <c r="F45" i="21"/>
  <c r="E45" i="21"/>
  <c r="D45" i="21"/>
  <c r="U44" i="21"/>
  <c r="T44" i="21"/>
  <c r="P44" i="21"/>
  <c r="F44" i="21"/>
  <c r="E44" i="21"/>
  <c r="D44" i="21"/>
  <c r="U43" i="21"/>
  <c r="T43" i="21"/>
  <c r="P43" i="21"/>
  <c r="F43" i="21"/>
  <c r="E43" i="21"/>
  <c r="D43" i="21"/>
  <c r="U42" i="21"/>
  <c r="T42" i="21"/>
  <c r="P42" i="21"/>
  <c r="F42" i="21"/>
  <c r="E42" i="21"/>
  <c r="D42" i="21"/>
  <c r="U41" i="21"/>
  <c r="T41" i="21"/>
  <c r="P41" i="21"/>
  <c r="F41" i="21"/>
  <c r="E41" i="21"/>
  <c r="D41" i="21"/>
  <c r="U40" i="21"/>
  <c r="T40" i="21"/>
  <c r="P40" i="21"/>
  <c r="F40" i="21"/>
  <c r="E40" i="21"/>
  <c r="D40" i="21"/>
  <c r="U39" i="21"/>
  <c r="T39" i="21"/>
  <c r="P39" i="21"/>
  <c r="F39" i="21"/>
  <c r="E39" i="21"/>
  <c r="D39" i="21"/>
  <c r="U38" i="21"/>
  <c r="T38" i="21"/>
  <c r="P38" i="21"/>
  <c r="F38" i="21"/>
  <c r="E38" i="21"/>
  <c r="D38" i="21"/>
  <c r="U37" i="21"/>
  <c r="T37" i="21"/>
  <c r="P37" i="21"/>
  <c r="F37" i="21"/>
  <c r="E37" i="21"/>
  <c r="D37" i="21"/>
  <c r="U36" i="21"/>
  <c r="T36" i="21"/>
  <c r="P36" i="21"/>
  <c r="F36" i="21"/>
  <c r="E36" i="21"/>
  <c r="D36" i="21"/>
  <c r="U35" i="21"/>
  <c r="T35" i="21"/>
  <c r="P35" i="21"/>
  <c r="F35" i="21"/>
  <c r="E35" i="21"/>
  <c r="D35" i="21"/>
  <c r="U34" i="21"/>
  <c r="T34" i="21"/>
  <c r="P34" i="21"/>
  <c r="F34" i="21"/>
  <c r="E34" i="21"/>
  <c r="D34" i="21"/>
  <c r="U33" i="21"/>
  <c r="T33" i="21"/>
  <c r="P33" i="21"/>
  <c r="F33" i="21"/>
  <c r="E33" i="21"/>
  <c r="D33" i="21"/>
  <c r="U32" i="21"/>
  <c r="T32" i="21"/>
  <c r="P32" i="21"/>
  <c r="F32" i="21"/>
  <c r="E32" i="21"/>
  <c r="D32" i="21"/>
  <c r="U31" i="21"/>
  <c r="T31" i="21"/>
  <c r="P31" i="21"/>
  <c r="F31" i="21"/>
  <c r="E31" i="21"/>
  <c r="D31" i="21"/>
  <c r="U30" i="21"/>
  <c r="T30" i="21"/>
  <c r="P30" i="21"/>
  <c r="F30" i="21"/>
  <c r="E30" i="21"/>
  <c r="D30" i="21"/>
  <c r="U29" i="21"/>
  <c r="T29" i="21"/>
  <c r="P29" i="21"/>
  <c r="F29" i="21"/>
  <c r="E29" i="21"/>
  <c r="D29" i="21"/>
  <c r="U28" i="21"/>
  <c r="T28" i="21"/>
  <c r="P28" i="21"/>
  <c r="F28" i="21"/>
  <c r="E28" i="21"/>
  <c r="D28" i="21"/>
  <c r="U27" i="21"/>
  <c r="T27" i="21"/>
  <c r="P27" i="21"/>
  <c r="F27" i="21"/>
  <c r="E27" i="21"/>
  <c r="D27" i="21"/>
  <c r="U26" i="21"/>
  <c r="T26" i="21"/>
  <c r="P26" i="21"/>
  <c r="F26" i="21"/>
  <c r="E26" i="21"/>
  <c r="D26" i="21"/>
  <c r="U25" i="21"/>
  <c r="T25" i="21"/>
  <c r="P25" i="21"/>
  <c r="F25" i="21"/>
  <c r="E25" i="21"/>
  <c r="D25" i="21"/>
  <c r="U24" i="21"/>
  <c r="T24" i="21"/>
  <c r="P24" i="21"/>
  <c r="F24" i="21"/>
  <c r="E24" i="21"/>
  <c r="D24" i="21"/>
  <c r="U23" i="21"/>
  <c r="T23" i="21"/>
  <c r="P23" i="21"/>
  <c r="F23" i="21"/>
  <c r="E23" i="21"/>
  <c r="D23" i="21"/>
  <c r="U22" i="21"/>
  <c r="T22" i="21"/>
  <c r="P22" i="21"/>
  <c r="F22" i="21"/>
  <c r="E22" i="21"/>
  <c r="D22" i="21"/>
  <c r="U21" i="21"/>
  <c r="T21" i="21"/>
  <c r="P21" i="21"/>
  <c r="F21" i="21"/>
  <c r="E21" i="21"/>
  <c r="D21" i="21"/>
  <c r="U20" i="21"/>
  <c r="T20" i="21"/>
  <c r="P20" i="21"/>
  <c r="F20" i="21"/>
  <c r="E20" i="21"/>
  <c r="D20" i="21"/>
  <c r="U19" i="21"/>
  <c r="T19" i="21"/>
  <c r="P19" i="21"/>
  <c r="F19" i="21"/>
  <c r="E19" i="21"/>
  <c r="D19" i="21"/>
  <c r="U18" i="21"/>
  <c r="T18" i="21"/>
  <c r="P18" i="21"/>
  <c r="F18" i="21"/>
  <c r="E18" i="21"/>
  <c r="D18" i="21"/>
  <c r="U17" i="21"/>
  <c r="T17" i="21"/>
  <c r="P17" i="21"/>
  <c r="F17" i="21"/>
  <c r="E17" i="21"/>
  <c r="D17" i="21"/>
  <c r="U16" i="21"/>
  <c r="T16" i="21"/>
  <c r="P16" i="21"/>
  <c r="F16" i="21"/>
  <c r="E16" i="21"/>
  <c r="D16" i="21"/>
  <c r="U15" i="21"/>
  <c r="T15" i="21"/>
  <c r="P15" i="21"/>
  <c r="F15" i="21"/>
  <c r="E15" i="21"/>
  <c r="D15" i="21"/>
  <c r="U14" i="21"/>
  <c r="T14" i="21"/>
  <c r="P14" i="21"/>
  <c r="F14" i="21"/>
  <c r="E14" i="21"/>
  <c r="D14" i="21"/>
  <c r="U13" i="21"/>
  <c r="T13" i="21"/>
  <c r="P13" i="21"/>
  <c r="F13" i="21"/>
  <c r="E13" i="21"/>
  <c r="D13" i="21"/>
  <c r="U12" i="21"/>
  <c r="T12" i="21"/>
  <c r="P12" i="21"/>
  <c r="F12" i="21"/>
  <c r="E12" i="21"/>
  <c r="D12" i="21"/>
  <c r="U11" i="21"/>
  <c r="T11" i="21"/>
  <c r="P11" i="21"/>
  <c r="F11" i="21"/>
  <c r="E11" i="21"/>
  <c r="D11" i="21"/>
  <c r="U10" i="21"/>
  <c r="T10" i="21"/>
  <c r="P10" i="21"/>
  <c r="F10" i="21"/>
  <c r="E10" i="21"/>
  <c r="D10" i="21"/>
  <c r="U9" i="21"/>
  <c r="T9" i="21"/>
  <c r="P9" i="21"/>
  <c r="F9" i="21"/>
  <c r="E9" i="21"/>
  <c r="D9" i="21"/>
  <c r="U8" i="21"/>
  <c r="T8" i="21"/>
  <c r="P8" i="21"/>
  <c r="F8" i="21"/>
  <c r="E8" i="21"/>
  <c r="D8" i="21"/>
  <c r="U7" i="21"/>
  <c r="T7" i="21"/>
  <c r="P7" i="21"/>
  <c r="F7" i="21"/>
  <c r="E7" i="21"/>
  <c r="D7" i="21"/>
  <c r="U6" i="21"/>
  <c r="T6" i="21"/>
  <c r="P6" i="21"/>
  <c r="F6" i="21"/>
  <c r="E6" i="21"/>
  <c r="D6" i="21"/>
  <c r="U5" i="21"/>
  <c r="T5" i="21"/>
  <c r="P5" i="21"/>
  <c r="F5" i="21"/>
  <c r="E5" i="21"/>
  <c r="D5" i="21"/>
  <c r="U4" i="21"/>
  <c r="T4" i="21"/>
  <c r="P4" i="21"/>
  <c r="F4" i="21"/>
  <c r="E4" i="21"/>
  <c r="D4" i="21"/>
  <c r="U3" i="21"/>
  <c r="T3" i="21"/>
  <c r="P3" i="21"/>
  <c r="F3" i="21"/>
  <c r="E3" i="21"/>
  <c r="D3" i="21"/>
  <c r="U2" i="21"/>
  <c r="P2" i="21"/>
  <c r="F2" i="21"/>
  <c r="E2" i="21"/>
  <c r="D2" i="21"/>
  <c r="U633" i="16"/>
  <c r="T633" i="16"/>
  <c r="W633" i="16" s="1"/>
  <c r="P633" i="16"/>
  <c r="F633" i="16"/>
  <c r="E633" i="16"/>
  <c r="D633" i="16"/>
  <c r="P633" i="14"/>
  <c r="O633" i="14"/>
  <c r="K633" i="14"/>
  <c r="E633" i="14"/>
  <c r="D633" i="14"/>
  <c r="P632" i="14"/>
  <c r="O632" i="14"/>
  <c r="K632" i="14"/>
  <c r="E632" i="14"/>
  <c r="D632" i="14"/>
  <c r="P631" i="14"/>
  <c r="O631" i="14"/>
  <c r="K631" i="14"/>
  <c r="E631" i="14"/>
  <c r="D631" i="14"/>
  <c r="P630" i="14"/>
  <c r="O630" i="14"/>
  <c r="K630" i="14"/>
  <c r="E630" i="14"/>
  <c r="D630" i="14"/>
  <c r="P629" i="14"/>
  <c r="O629" i="14"/>
  <c r="K629" i="14"/>
  <c r="E629" i="14"/>
  <c r="D629" i="14"/>
  <c r="P628" i="14"/>
  <c r="O628" i="14"/>
  <c r="K628" i="14"/>
  <c r="E628" i="14"/>
  <c r="D628" i="14"/>
  <c r="P627" i="14"/>
  <c r="O627" i="14"/>
  <c r="K627" i="14"/>
  <c r="E627" i="14"/>
  <c r="D627" i="14"/>
  <c r="P626" i="14"/>
  <c r="O626" i="14"/>
  <c r="K626" i="14"/>
  <c r="E626" i="14"/>
  <c r="D626" i="14"/>
  <c r="P625" i="14"/>
  <c r="O625" i="14"/>
  <c r="K625" i="14"/>
  <c r="E625" i="14"/>
  <c r="D625" i="14"/>
  <c r="P624" i="14"/>
  <c r="O624" i="14"/>
  <c r="K624" i="14"/>
  <c r="E624" i="14"/>
  <c r="D624" i="14"/>
  <c r="P623" i="14"/>
  <c r="O623" i="14"/>
  <c r="K623" i="14"/>
  <c r="E623" i="14"/>
  <c r="D623" i="14"/>
  <c r="P622" i="14"/>
  <c r="O622" i="14"/>
  <c r="K622" i="14"/>
  <c r="E622" i="14"/>
  <c r="D622" i="14"/>
  <c r="P621" i="14"/>
  <c r="O621" i="14"/>
  <c r="K621" i="14"/>
  <c r="E621" i="14"/>
  <c r="D621" i="14"/>
  <c r="P620" i="14"/>
  <c r="O620" i="14"/>
  <c r="K620" i="14"/>
  <c r="E620" i="14"/>
  <c r="D620" i="14"/>
  <c r="P619" i="14"/>
  <c r="O619" i="14"/>
  <c r="K619" i="14"/>
  <c r="E619" i="14"/>
  <c r="D619" i="14"/>
  <c r="P618" i="14"/>
  <c r="O618" i="14"/>
  <c r="K618" i="14"/>
  <c r="E618" i="14"/>
  <c r="D618" i="14"/>
  <c r="P617" i="14"/>
  <c r="O617" i="14"/>
  <c r="K617" i="14"/>
  <c r="E617" i="14"/>
  <c r="D617" i="14"/>
  <c r="P616" i="14"/>
  <c r="O616" i="14"/>
  <c r="K616" i="14"/>
  <c r="E616" i="14"/>
  <c r="D616" i="14"/>
  <c r="P615" i="14"/>
  <c r="O615" i="14"/>
  <c r="K615" i="14"/>
  <c r="E615" i="14"/>
  <c r="D615" i="14"/>
  <c r="P614" i="14"/>
  <c r="O614" i="14"/>
  <c r="K614" i="14"/>
  <c r="E614" i="14"/>
  <c r="D614" i="14"/>
  <c r="P613" i="14"/>
  <c r="O613" i="14"/>
  <c r="K613" i="14"/>
  <c r="E613" i="14"/>
  <c r="D613" i="14"/>
  <c r="P612" i="14"/>
  <c r="O612" i="14"/>
  <c r="K612" i="14"/>
  <c r="E612" i="14"/>
  <c r="D612" i="14"/>
  <c r="P611" i="14"/>
  <c r="O611" i="14"/>
  <c r="K611" i="14"/>
  <c r="E611" i="14"/>
  <c r="D611" i="14"/>
  <c r="P610" i="14"/>
  <c r="O610" i="14"/>
  <c r="K610" i="14"/>
  <c r="E610" i="14"/>
  <c r="D610" i="14"/>
  <c r="P609" i="14"/>
  <c r="O609" i="14"/>
  <c r="K609" i="14"/>
  <c r="E609" i="14"/>
  <c r="D609" i="14"/>
  <c r="P608" i="14"/>
  <c r="O608" i="14"/>
  <c r="K608" i="14"/>
  <c r="E608" i="14"/>
  <c r="D608" i="14"/>
  <c r="P607" i="14"/>
  <c r="O607" i="14"/>
  <c r="K607" i="14"/>
  <c r="E607" i="14"/>
  <c r="D607" i="14"/>
  <c r="P606" i="14"/>
  <c r="O606" i="14"/>
  <c r="K606" i="14"/>
  <c r="E606" i="14"/>
  <c r="D606" i="14"/>
  <c r="P605" i="14"/>
  <c r="O605" i="14"/>
  <c r="Q605" i="14" s="1"/>
  <c r="K605" i="14"/>
  <c r="E605" i="14"/>
  <c r="D605" i="14"/>
  <c r="P604" i="14"/>
  <c r="O604" i="14"/>
  <c r="K604" i="14"/>
  <c r="E604" i="14"/>
  <c r="D604" i="14"/>
  <c r="P603" i="14"/>
  <c r="O603" i="14"/>
  <c r="K603" i="14"/>
  <c r="E603" i="14"/>
  <c r="D603" i="14"/>
  <c r="P602" i="14"/>
  <c r="O602" i="14"/>
  <c r="K602" i="14"/>
  <c r="E602" i="14"/>
  <c r="D602" i="14"/>
  <c r="P601" i="14"/>
  <c r="O601" i="14"/>
  <c r="K601" i="14"/>
  <c r="E601" i="14"/>
  <c r="D601" i="14"/>
  <c r="P600" i="14"/>
  <c r="O600" i="14"/>
  <c r="Q600" i="14" s="1"/>
  <c r="K600" i="14"/>
  <c r="E600" i="14"/>
  <c r="D600" i="14"/>
  <c r="P599" i="14"/>
  <c r="O599" i="14"/>
  <c r="K599" i="14"/>
  <c r="E599" i="14"/>
  <c r="D599" i="14"/>
  <c r="P598" i="14"/>
  <c r="O598" i="14"/>
  <c r="K598" i="14"/>
  <c r="E598" i="14"/>
  <c r="D598" i="14"/>
  <c r="P597" i="14"/>
  <c r="O597" i="14"/>
  <c r="K597" i="14"/>
  <c r="E597" i="14"/>
  <c r="D597" i="14"/>
  <c r="P596" i="14"/>
  <c r="O596" i="14"/>
  <c r="K596" i="14"/>
  <c r="E596" i="14"/>
  <c r="D596" i="14"/>
  <c r="P595" i="14"/>
  <c r="O595" i="14"/>
  <c r="K595" i="14"/>
  <c r="E595" i="14"/>
  <c r="D595" i="14"/>
  <c r="P594" i="14"/>
  <c r="O594" i="14"/>
  <c r="K594" i="14"/>
  <c r="E594" i="14"/>
  <c r="D594" i="14"/>
  <c r="P593" i="14"/>
  <c r="O593" i="14"/>
  <c r="K593" i="14"/>
  <c r="E593" i="14"/>
  <c r="D593" i="14"/>
  <c r="P592" i="14"/>
  <c r="O592" i="14"/>
  <c r="K592" i="14"/>
  <c r="E592" i="14"/>
  <c r="D592" i="14"/>
  <c r="P591" i="14"/>
  <c r="O591" i="14"/>
  <c r="K591" i="14"/>
  <c r="E591" i="14"/>
  <c r="D591" i="14"/>
  <c r="P590" i="14"/>
  <c r="O590" i="14"/>
  <c r="K590" i="14"/>
  <c r="E590" i="14"/>
  <c r="D590" i="14"/>
  <c r="P589" i="14"/>
  <c r="O589" i="14"/>
  <c r="K589" i="14"/>
  <c r="E589" i="14"/>
  <c r="D589" i="14"/>
  <c r="P588" i="14"/>
  <c r="O588" i="14"/>
  <c r="K588" i="14"/>
  <c r="E588" i="14"/>
  <c r="D588" i="14"/>
  <c r="P587" i="14"/>
  <c r="O587" i="14"/>
  <c r="K587" i="14"/>
  <c r="E587" i="14"/>
  <c r="D587" i="14"/>
  <c r="P586" i="14"/>
  <c r="O586" i="14"/>
  <c r="K586" i="14"/>
  <c r="E586" i="14"/>
  <c r="D586" i="14"/>
  <c r="P585" i="14"/>
  <c r="O585" i="14"/>
  <c r="K585" i="14"/>
  <c r="E585" i="14"/>
  <c r="D585" i="14"/>
  <c r="P584" i="14"/>
  <c r="O584" i="14"/>
  <c r="K584" i="14"/>
  <c r="E584" i="14"/>
  <c r="D584" i="14"/>
  <c r="P583" i="14"/>
  <c r="O583" i="14"/>
  <c r="K583" i="14"/>
  <c r="E583" i="14"/>
  <c r="D583" i="14"/>
  <c r="P582" i="14"/>
  <c r="O582" i="14"/>
  <c r="Q582" i="14" s="1"/>
  <c r="K582" i="14"/>
  <c r="E582" i="14"/>
  <c r="D582" i="14"/>
  <c r="P581" i="14"/>
  <c r="O581" i="14"/>
  <c r="K581" i="14"/>
  <c r="E581" i="14"/>
  <c r="D581" i="14"/>
  <c r="P580" i="14"/>
  <c r="O580" i="14"/>
  <c r="K580" i="14"/>
  <c r="E580" i="14"/>
  <c r="D580" i="14"/>
  <c r="P579" i="14"/>
  <c r="O579" i="14"/>
  <c r="K579" i="14"/>
  <c r="E579" i="14"/>
  <c r="D579" i="14"/>
  <c r="P578" i="14"/>
  <c r="O578" i="14"/>
  <c r="K578" i="14"/>
  <c r="E578" i="14"/>
  <c r="D578" i="14"/>
  <c r="P577" i="14"/>
  <c r="O577" i="14"/>
  <c r="K577" i="14"/>
  <c r="E577" i="14"/>
  <c r="D577" i="14"/>
  <c r="P576" i="14"/>
  <c r="O576" i="14"/>
  <c r="K576" i="14"/>
  <c r="E576" i="14"/>
  <c r="D576" i="14"/>
  <c r="P575" i="14"/>
  <c r="O575" i="14"/>
  <c r="K575" i="14"/>
  <c r="E575" i="14"/>
  <c r="D575" i="14"/>
  <c r="P574" i="14"/>
  <c r="O574" i="14"/>
  <c r="K574" i="14"/>
  <c r="E574" i="14"/>
  <c r="D574" i="14"/>
  <c r="P573" i="14"/>
  <c r="O573" i="14"/>
  <c r="K573" i="14"/>
  <c r="E573" i="14"/>
  <c r="D573" i="14"/>
  <c r="P572" i="14"/>
  <c r="O572" i="14"/>
  <c r="K572" i="14"/>
  <c r="E572" i="14"/>
  <c r="D572" i="14"/>
  <c r="P571" i="14"/>
  <c r="O571" i="14"/>
  <c r="K571" i="14"/>
  <c r="E571" i="14"/>
  <c r="D571" i="14"/>
  <c r="P570" i="14"/>
  <c r="O570" i="14"/>
  <c r="K570" i="14"/>
  <c r="E570" i="14"/>
  <c r="D570" i="14"/>
  <c r="P569" i="14"/>
  <c r="O569" i="14"/>
  <c r="Q569" i="14" s="1"/>
  <c r="K569" i="14"/>
  <c r="E569" i="14"/>
  <c r="D569" i="14"/>
  <c r="P568" i="14"/>
  <c r="O568" i="14"/>
  <c r="K568" i="14"/>
  <c r="E568" i="14"/>
  <c r="D568" i="14"/>
  <c r="P567" i="14"/>
  <c r="O567" i="14"/>
  <c r="K567" i="14"/>
  <c r="E567" i="14"/>
  <c r="D567" i="14"/>
  <c r="P566" i="14"/>
  <c r="O566" i="14"/>
  <c r="K566" i="14"/>
  <c r="E566" i="14"/>
  <c r="D566" i="14"/>
  <c r="P565" i="14"/>
  <c r="O565" i="14"/>
  <c r="K565" i="14"/>
  <c r="E565" i="14"/>
  <c r="D565" i="14"/>
  <c r="P564" i="14"/>
  <c r="O564" i="14"/>
  <c r="K564" i="14"/>
  <c r="E564" i="14"/>
  <c r="D564" i="14"/>
  <c r="P563" i="14"/>
  <c r="O563" i="14"/>
  <c r="K563" i="14"/>
  <c r="E563" i="14"/>
  <c r="D563" i="14"/>
  <c r="P562" i="14"/>
  <c r="O562" i="14"/>
  <c r="K562" i="14"/>
  <c r="E562" i="14"/>
  <c r="D562" i="14"/>
  <c r="P561" i="14"/>
  <c r="O561" i="14"/>
  <c r="K561" i="14"/>
  <c r="E561" i="14"/>
  <c r="D561" i="14"/>
  <c r="P560" i="14"/>
  <c r="O560" i="14"/>
  <c r="K560" i="14"/>
  <c r="E560" i="14"/>
  <c r="D560" i="14"/>
  <c r="P559" i="14"/>
  <c r="O559" i="14"/>
  <c r="K559" i="14"/>
  <c r="E559" i="14"/>
  <c r="D559" i="14"/>
  <c r="P558" i="14"/>
  <c r="O558" i="14"/>
  <c r="K558" i="14"/>
  <c r="E558" i="14"/>
  <c r="D558" i="14"/>
  <c r="P557" i="14"/>
  <c r="O557" i="14"/>
  <c r="K557" i="14"/>
  <c r="E557" i="14"/>
  <c r="D557" i="14"/>
  <c r="P556" i="14"/>
  <c r="O556" i="14"/>
  <c r="K556" i="14"/>
  <c r="E556" i="14"/>
  <c r="D556" i="14"/>
  <c r="P555" i="14"/>
  <c r="O555" i="14"/>
  <c r="K555" i="14"/>
  <c r="E555" i="14"/>
  <c r="D555" i="14"/>
  <c r="P554" i="14"/>
  <c r="O554" i="14"/>
  <c r="K554" i="14"/>
  <c r="E554" i="14"/>
  <c r="D554" i="14"/>
  <c r="P553" i="14"/>
  <c r="O553" i="14"/>
  <c r="K553" i="14"/>
  <c r="E553" i="14"/>
  <c r="D553" i="14"/>
  <c r="P552" i="14"/>
  <c r="O552" i="14"/>
  <c r="K552" i="14"/>
  <c r="E552" i="14"/>
  <c r="D552" i="14"/>
  <c r="P551" i="14"/>
  <c r="O551" i="14"/>
  <c r="K551" i="14"/>
  <c r="E551" i="14"/>
  <c r="D551" i="14"/>
  <c r="P550" i="14"/>
  <c r="O550" i="14"/>
  <c r="K550" i="14"/>
  <c r="E550" i="14"/>
  <c r="D550" i="14"/>
  <c r="P549" i="14"/>
  <c r="O549" i="14"/>
  <c r="K549" i="14"/>
  <c r="E549" i="14"/>
  <c r="D549" i="14"/>
  <c r="P548" i="14"/>
  <c r="O548" i="14"/>
  <c r="K548" i="14"/>
  <c r="E548" i="14"/>
  <c r="D548" i="14"/>
  <c r="P547" i="14"/>
  <c r="O547" i="14"/>
  <c r="K547" i="14"/>
  <c r="E547" i="14"/>
  <c r="D547" i="14"/>
  <c r="P546" i="14"/>
  <c r="O546" i="14"/>
  <c r="K546" i="14"/>
  <c r="E546" i="14"/>
  <c r="D546" i="14"/>
  <c r="P545" i="14"/>
  <c r="O545" i="14"/>
  <c r="K545" i="14"/>
  <c r="E545" i="14"/>
  <c r="D545" i="14"/>
  <c r="P544" i="14"/>
  <c r="O544" i="14"/>
  <c r="K544" i="14"/>
  <c r="E544" i="14"/>
  <c r="D544" i="14"/>
  <c r="P543" i="14"/>
  <c r="O543" i="14"/>
  <c r="Q543" i="14" s="1"/>
  <c r="K543" i="14"/>
  <c r="E543" i="14"/>
  <c r="D543" i="14"/>
  <c r="P542" i="14"/>
  <c r="O542" i="14"/>
  <c r="K542" i="14"/>
  <c r="E542" i="14"/>
  <c r="D542" i="14"/>
  <c r="P541" i="14"/>
  <c r="O541" i="14"/>
  <c r="K541" i="14"/>
  <c r="E541" i="14"/>
  <c r="D541" i="14"/>
  <c r="P540" i="14"/>
  <c r="O540" i="14"/>
  <c r="K540" i="14"/>
  <c r="E540" i="14"/>
  <c r="D540" i="14"/>
  <c r="P539" i="14"/>
  <c r="O539" i="14"/>
  <c r="K539" i="14"/>
  <c r="E539" i="14"/>
  <c r="D539" i="14"/>
  <c r="P538" i="14"/>
  <c r="O538" i="14"/>
  <c r="K538" i="14"/>
  <c r="E538" i="14"/>
  <c r="D538" i="14"/>
  <c r="P537" i="14"/>
  <c r="O537" i="14"/>
  <c r="K537" i="14"/>
  <c r="E537" i="14"/>
  <c r="D537" i="14"/>
  <c r="P536" i="14"/>
  <c r="O536" i="14"/>
  <c r="K536" i="14"/>
  <c r="E536" i="14"/>
  <c r="D536" i="14"/>
  <c r="P535" i="14"/>
  <c r="O535" i="14"/>
  <c r="K535" i="14"/>
  <c r="E535" i="14"/>
  <c r="D535" i="14"/>
  <c r="P534" i="14"/>
  <c r="O534" i="14"/>
  <c r="K534" i="14"/>
  <c r="E534" i="14"/>
  <c r="D534" i="14"/>
  <c r="P533" i="14"/>
  <c r="O533" i="14"/>
  <c r="Q533" i="14" s="1"/>
  <c r="K533" i="14"/>
  <c r="E533" i="14"/>
  <c r="D533" i="14"/>
  <c r="P532" i="14"/>
  <c r="O532" i="14"/>
  <c r="K532" i="14"/>
  <c r="E532" i="14"/>
  <c r="D532" i="14"/>
  <c r="P531" i="14"/>
  <c r="O531" i="14"/>
  <c r="K531" i="14"/>
  <c r="E531" i="14"/>
  <c r="D531" i="14"/>
  <c r="P530" i="14"/>
  <c r="O530" i="14"/>
  <c r="K530" i="14"/>
  <c r="E530" i="14"/>
  <c r="D530" i="14"/>
  <c r="P529" i="14"/>
  <c r="O529" i="14"/>
  <c r="K529" i="14"/>
  <c r="E529" i="14"/>
  <c r="D529" i="14"/>
  <c r="P528" i="14"/>
  <c r="O528" i="14"/>
  <c r="K528" i="14"/>
  <c r="E528" i="14"/>
  <c r="D528" i="14"/>
  <c r="P527" i="14"/>
  <c r="O527" i="14"/>
  <c r="K527" i="14"/>
  <c r="E527" i="14"/>
  <c r="D527" i="14"/>
  <c r="P526" i="14"/>
  <c r="O526" i="14"/>
  <c r="K526" i="14"/>
  <c r="E526" i="14"/>
  <c r="D526" i="14"/>
  <c r="P525" i="14"/>
  <c r="O525" i="14"/>
  <c r="K525" i="14"/>
  <c r="E525" i="14"/>
  <c r="D525" i="14"/>
  <c r="P524" i="14"/>
  <c r="O524" i="14"/>
  <c r="K524" i="14"/>
  <c r="E524" i="14"/>
  <c r="D524" i="14"/>
  <c r="P523" i="14"/>
  <c r="O523" i="14"/>
  <c r="K523" i="14"/>
  <c r="E523" i="14"/>
  <c r="D523" i="14"/>
  <c r="P522" i="14"/>
  <c r="O522" i="14"/>
  <c r="Q522" i="14" s="1"/>
  <c r="K522" i="14"/>
  <c r="E522" i="14"/>
  <c r="D522" i="14"/>
  <c r="P521" i="14"/>
  <c r="O521" i="14"/>
  <c r="K521" i="14"/>
  <c r="E521" i="14"/>
  <c r="D521" i="14"/>
  <c r="P520" i="14"/>
  <c r="O520" i="14"/>
  <c r="K520" i="14"/>
  <c r="E520" i="14"/>
  <c r="D520" i="14"/>
  <c r="P519" i="14"/>
  <c r="O519" i="14"/>
  <c r="K519" i="14"/>
  <c r="E519" i="14"/>
  <c r="D519" i="14"/>
  <c r="P518" i="14"/>
  <c r="O518" i="14"/>
  <c r="K518" i="14"/>
  <c r="E518" i="14"/>
  <c r="D518" i="14"/>
  <c r="P517" i="14"/>
  <c r="O517" i="14"/>
  <c r="K517" i="14"/>
  <c r="E517" i="14"/>
  <c r="D517" i="14"/>
  <c r="P516" i="14"/>
  <c r="O516" i="14"/>
  <c r="K516" i="14"/>
  <c r="E516" i="14"/>
  <c r="D516" i="14"/>
  <c r="P515" i="14"/>
  <c r="O515" i="14"/>
  <c r="K515" i="14"/>
  <c r="E515" i="14"/>
  <c r="D515" i="14"/>
  <c r="P514" i="14"/>
  <c r="O514" i="14"/>
  <c r="K514" i="14"/>
  <c r="E514" i="14"/>
  <c r="D514" i="14"/>
  <c r="P513" i="14"/>
  <c r="O513" i="14"/>
  <c r="K513" i="14"/>
  <c r="E513" i="14"/>
  <c r="D513" i="14"/>
  <c r="P512" i="14"/>
  <c r="O512" i="14"/>
  <c r="K512" i="14"/>
  <c r="E512" i="14"/>
  <c r="D512" i="14"/>
  <c r="P511" i="14"/>
  <c r="O511" i="14"/>
  <c r="K511" i="14"/>
  <c r="E511" i="14"/>
  <c r="D511" i="14"/>
  <c r="P510" i="14"/>
  <c r="O510" i="14"/>
  <c r="Q510" i="14" s="1"/>
  <c r="K510" i="14"/>
  <c r="E510" i="14"/>
  <c r="D510" i="14"/>
  <c r="P509" i="14"/>
  <c r="O509" i="14"/>
  <c r="K509" i="14"/>
  <c r="E509" i="14"/>
  <c r="D509" i="14"/>
  <c r="P508" i="14"/>
  <c r="O508" i="14"/>
  <c r="K508" i="14"/>
  <c r="E508" i="14"/>
  <c r="D508" i="14"/>
  <c r="P507" i="14"/>
  <c r="O507" i="14"/>
  <c r="K507" i="14"/>
  <c r="E507" i="14"/>
  <c r="D507" i="14"/>
  <c r="P506" i="14"/>
  <c r="O506" i="14"/>
  <c r="K506" i="14"/>
  <c r="E506" i="14"/>
  <c r="D506" i="14"/>
  <c r="P505" i="14"/>
  <c r="O505" i="14"/>
  <c r="K505" i="14"/>
  <c r="E505" i="14"/>
  <c r="D505" i="14"/>
  <c r="P504" i="14"/>
  <c r="O504" i="14"/>
  <c r="K504" i="14"/>
  <c r="E504" i="14"/>
  <c r="D504" i="14"/>
  <c r="P503" i="14"/>
  <c r="O503" i="14"/>
  <c r="K503" i="14"/>
  <c r="E503" i="14"/>
  <c r="D503" i="14"/>
  <c r="P502" i="14"/>
  <c r="O502" i="14"/>
  <c r="K502" i="14"/>
  <c r="E502" i="14"/>
  <c r="D502" i="14"/>
  <c r="P501" i="14"/>
  <c r="O501" i="14"/>
  <c r="K501" i="14"/>
  <c r="E501" i="14"/>
  <c r="D501" i="14"/>
  <c r="P500" i="14"/>
  <c r="O500" i="14"/>
  <c r="K500" i="14"/>
  <c r="E500" i="14"/>
  <c r="D500" i="14"/>
  <c r="P499" i="14"/>
  <c r="O499" i="14"/>
  <c r="K499" i="14"/>
  <c r="E499" i="14"/>
  <c r="D499" i="14"/>
  <c r="P498" i="14"/>
  <c r="O498" i="14"/>
  <c r="K498" i="14"/>
  <c r="E498" i="14"/>
  <c r="D498" i="14"/>
  <c r="P497" i="14"/>
  <c r="O497" i="14"/>
  <c r="K497" i="14"/>
  <c r="E497" i="14"/>
  <c r="D497" i="14"/>
  <c r="P496" i="14"/>
  <c r="O496" i="14"/>
  <c r="K496" i="14"/>
  <c r="E496" i="14"/>
  <c r="D496" i="14"/>
  <c r="P495" i="14"/>
  <c r="O495" i="14"/>
  <c r="K495" i="14"/>
  <c r="E495" i="14"/>
  <c r="D495" i="14"/>
  <c r="P494" i="14"/>
  <c r="O494" i="14"/>
  <c r="K494" i="14"/>
  <c r="E494" i="14"/>
  <c r="D494" i="14"/>
  <c r="P493" i="14"/>
  <c r="O493" i="14"/>
  <c r="K493" i="14"/>
  <c r="E493" i="14"/>
  <c r="D493" i="14"/>
  <c r="P492" i="14"/>
  <c r="O492" i="14"/>
  <c r="Q492" i="14" s="1"/>
  <c r="K492" i="14"/>
  <c r="E492" i="14"/>
  <c r="D492" i="14"/>
  <c r="P491" i="14"/>
  <c r="O491" i="14"/>
  <c r="K491" i="14"/>
  <c r="E491" i="14"/>
  <c r="D491" i="14"/>
  <c r="P490" i="14"/>
  <c r="O490" i="14"/>
  <c r="K490" i="14"/>
  <c r="E490" i="14"/>
  <c r="D490" i="14"/>
  <c r="P489" i="14"/>
  <c r="O489" i="14"/>
  <c r="K489" i="14"/>
  <c r="E489" i="14"/>
  <c r="D489" i="14"/>
  <c r="P488" i="14"/>
  <c r="O488" i="14"/>
  <c r="K488" i="14"/>
  <c r="E488" i="14"/>
  <c r="D488" i="14"/>
  <c r="P487" i="14"/>
  <c r="O487" i="14"/>
  <c r="K487" i="14"/>
  <c r="E487" i="14"/>
  <c r="D487" i="14"/>
  <c r="P486" i="14"/>
  <c r="O486" i="14"/>
  <c r="K486" i="14"/>
  <c r="E486" i="14"/>
  <c r="D486" i="14"/>
  <c r="P485" i="14"/>
  <c r="O485" i="14"/>
  <c r="K485" i="14"/>
  <c r="E485" i="14"/>
  <c r="D485" i="14"/>
  <c r="P484" i="14"/>
  <c r="O484" i="14"/>
  <c r="K484" i="14"/>
  <c r="E484" i="14"/>
  <c r="D484" i="14"/>
  <c r="P483" i="14"/>
  <c r="O483" i="14"/>
  <c r="K483" i="14"/>
  <c r="E483" i="14"/>
  <c r="D483" i="14"/>
  <c r="P482" i="14"/>
  <c r="O482" i="14"/>
  <c r="K482" i="14"/>
  <c r="E482" i="14"/>
  <c r="D482" i="14"/>
  <c r="P481" i="14"/>
  <c r="O481" i="14"/>
  <c r="K481" i="14"/>
  <c r="E481" i="14"/>
  <c r="D481" i="14"/>
  <c r="P480" i="14"/>
  <c r="O480" i="14"/>
  <c r="K480" i="14"/>
  <c r="E480" i="14"/>
  <c r="D480" i="14"/>
  <c r="P479" i="14"/>
  <c r="O479" i="14"/>
  <c r="K479" i="14"/>
  <c r="E479" i="14"/>
  <c r="D479" i="14"/>
  <c r="P478" i="14"/>
  <c r="O478" i="14"/>
  <c r="K478" i="14"/>
  <c r="E478" i="14"/>
  <c r="D478" i="14"/>
  <c r="P477" i="14"/>
  <c r="O477" i="14"/>
  <c r="K477" i="14"/>
  <c r="E477" i="14"/>
  <c r="D477" i="14"/>
  <c r="P476" i="14"/>
  <c r="O476" i="14"/>
  <c r="K476" i="14"/>
  <c r="E476" i="14"/>
  <c r="D476" i="14"/>
  <c r="P475" i="14"/>
  <c r="O475" i="14"/>
  <c r="K475" i="14"/>
  <c r="E475" i="14"/>
  <c r="D475" i="14"/>
  <c r="P474" i="14"/>
  <c r="O474" i="14"/>
  <c r="Q474" i="14" s="1"/>
  <c r="K474" i="14"/>
  <c r="E474" i="14"/>
  <c r="D474" i="14"/>
  <c r="P473" i="14"/>
  <c r="O473" i="14"/>
  <c r="K473" i="14"/>
  <c r="E473" i="14"/>
  <c r="D473" i="14"/>
  <c r="P472" i="14"/>
  <c r="O472" i="14"/>
  <c r="K472" i="14"/>
  <c r="E472" i="14"/>
  <c r="D472" i="14"/>
  <c r="P471" i="14"/>
  <c r="O471" i="14"/>
  <c r="K471" i="14"/>
  <c r="E471" i="14"/>
  <c r="D471" i="14"/>
  <c r="P470" i="14"/>
  <c r="O470" i="14"/>
  <c r="K470" i="14"/>
  <c r="E470" i="14"/>
  <c r="D470" i="14"/>
  <c r="P469" i="14"/>
  <c r="O469" i="14"/>
  <c r="K469" i="14"/>
  <c r="E469" i="14"/>
  <c r="D469" i="14"/>
  <c r="P468" i="14"/>
  <c r="O468" i="14"/>
  <c r="K468" i="14"/>
  <c r="E468" i="14"/>
  <c r="D468" i="14"/>
  <c r="P467" i="14"/>
  <c r="O467" i="14"/>
  <c r="K467" i="14"/>
  <c r="E467" i="14"/>
  <c r="D467" i="14"/>
  <c r="P466" i="14"/>
  <c r="O466" i="14"/>
  <c r="K466" i="14"/>
  <c r="E466" i="14"/>
  <c r="D466" i="14"/>
  <c r="P465" i="14"/>
  <c r="O465" i="14"/>
  <c r="K465" i="14"/>
  <c r="E465" i="14"/>
  <c r="D465" i="14"/>
  <c r="P464" i="14"/>
  <c r="O464" i="14"/>
  <c r="K464" i="14"/>
  <c r="E464" i="14"/>
  <c r="D464" i="14"/>
  <c r="P463" i="14"/>
  <c r="O463" i="14"/>
  <c r="K463" i="14"/>
  <c r="E463" i="14"/>
  <c r="D463" i="14"/>
  <c r="P462" i="14"/>
  <c r="O462" i="14"/>
  <c r="K462" i="14"/>
  <c r="E462" i="14"/>
  <c r="D462" i="14"/>
  <c r="P461" i="14"/>
  <c r="O461" i="14"/>
  <c r="Q461" i="14" s="1"/>
  <c r="K461" i="14"/>
  <c r="E461" i="14"/>
  <c r="D461" i="14"/>
  <c r="P460" i="14"/>
  <c r="O460" i="14"/>
  <c r="K460" i="14"/>
  <c r="E460" i="14"/>
  <c r="D460" i="14"/>
  <c r="P459" i="14"/>
  <c r="O459" i="14"/>
  <c r="K459" i="14"/>
  <c r="E459" i="14"/>
  <c r="D459" i="14"/>
  <c r="P458" i="14"/>
  <c r="O458" i="14"/>
  <c r="K458" i="14"/>
  <c r="E458" i="14"/>
  <c r="D458" i="14"/>
  <c r="P457" i="14"/>
  <c r="O457" i="14"/>
  <c r="K457" i="14"/>
  <c r="E457" i="14"/>
  <c r="D457" i="14"/>
  <c r="P456" i="14"/>
  <c r="O456" i="14"/>
  <c r="Q456" i="14" s="1"/>
  <c r="K456" i="14"/>
  <c r="E456" i="14"/>
  <c r="D456" i="14"/>
  <c r="P455" i="14"/>
  <c r="O455" i="14"/>
  <c r="K455" i="14"/>
  <c r="E455" i="14"/>
  <c r="D455" i="14"/>
  <c r="P454" i="14"/>
  <c r="O454" i="14"/>
  <c r="K454" i="14"/>
  <c r="E454" i="14"/>
  <c r="D454" i="14"/>
  <c r="P453" i="14"/>
  <c r="O453" i="14"/>
  <c r="K453" i="14"/>
  <c r="E453" i="14"/>
  <c r="D453" i="14"/>
  <c r="P452" i="14"/>
  <c r="O452" i="14"/>
  <c r="K452" i="14"/>
  <c r="E452" i="14"/>
  <c r="D452" i="14"/>
  <c r="P451" i="14"/>
  <c r="O451" i="14"/>
  <c r="K451" i="14"/>
  <c r="E451" i="14"/>
  <c r="D451" i="14"/>
  <c r="P450" i="14"/>
  <c r="O450" i="14"/>
  <c r="K450" i="14"/>
  <c r="E450" i="14"/>
  <c r="D450" i="14"/>
  <c r="P449" i="14"/>
  <c r="O449" i="14"/>
  <c r="K449" i="14"/>
  <c r="E449" i="14"/>
  <c r="D449" i="14"/>
  <c r="P448" i="14"/>
  <c r="O448" i="14"/>
  <c r="K448" i="14"/>
  <c r="E448" i="14"/>
  <c r="D448" i="14"/>
  <c r="P447" i="14"/>
  <c r="O447" i="14"/>
  <c r="K447" i="14"/>
  <c r="E447" i="14"/>
  <c r="D447" i="14"/>
  <c r="P446" i="14"/>
  <c r="O446" i="14"/>
  <c r="K446" i="14"/>
  <c r="E446" i="14"/>
  <c r="D446" i="14"/>
  <c r="P445" i="14"/>
  <c r="O445" i="14"/>
  <c r="K445" i="14"/>
  <c r="E445" i="14"/>
  <c r="D445" i="14"/>
  <c r="P444" i="14"/>
  <c r="O444" i="14"/>
  <c r="K444" i="14"/>
  <c r="E444" i="14"/>
  <c r="D444" i="14"/>
  <c r="P443" i="14"/>
  <c r="O443" i="14"/>
  <c r="K443" i="14"/>
  <c r="E443" i="14"/>
  <c r="D443" i="14"/>
  <c r="P442" i="14"/>
  <c r="O442" i="14"/>
  <c r="K442" i="14"/>
  <c r="E442" i="14"/>
  <c r="D442" i="14"/>
  <c r="P441" i="14"/>
  <c r="O441" i="14"/>
  <c r="K441" i="14"/>
  <c r="E441" i="14"/>
  <c r="D441" i="14"/>
  <c r="P440" i="14"/>
  <c r="O440" i="14"/>
  <c r="K440" i="14"/>
  <c r="E440" i="14"/>
  <c r="D440" i="14"/>
  <c r="P439" i="14"/>
  <c r="O439" i="14"/>
  <c r="K439" i="14"/>
  <c r="E439" i="14"/>
  <c r="D439" i="14"/>
  <c r="P438" i="14"/>
  <c r="O438" i="14"/>
  <c r="K438" i="14"/>
  <c r="E438" i="14"/>
  <c r="D438" i="14"/>
  <c r="P437" i="14"/>
  <c r="O437" i="14"/>
  <c r="Q437" i="14" s="1"/>
  <c r="K437" i="14"/>
  <c r="E437" i="14"/>
  <c r="D437" i="14"/>
  <c r="P436" i="14"/>
  <c r="O436" i="14"/>
  <c r="K436" i="14"/>
  <c r="E436" i="14"/>
  <c r="D436" i="14"/>
  <c r="P435" i="14"/>
  <c r="O435" i="14"/>
  <c r="K435" i="14"/>
  <c r="E435" i="14"/>
  <c r="D435" i="14"/>
  <c r="P434" i="14"/>
  <c r="O434" i="14"/>
  <c r="K434" i="14"/>
  <c r="E434" i="14"/>
  <c r="D434" i="14"/>
  <c r="P433" i="14"/>
  <c r="O433" i="14"/>
  <c r="K433" i="14"/>
  <c r="E433" i="14"/>
  <c r="D433" i="14"/>
  <c r="P432" i="14"/>
  <c r="O432" i="14"/>
  <c r="K432" i="14"/>
  <c r="E432" i="14"/>
  <c r="D432" i="14"/>
  <c r="P431" i="14"/>
  <c r="O431" i="14"/>
  <c r="K431" i="14"/>
  <c r="E431" i="14"/>
  <c r="D431" i="14"/>
  <c r="P430" i="14"/>
  <c r="O430" i="14"/>
  <c r="K430" i="14"/>
  <c r="E430" i="14"/>
  <c r="D430" i="14"/>
  <c r="P429" i="14"/>
  <c r="O429" i="14"/>
  <c r="K429" i="14"/>
  <c r="E429" i="14"/>
  <c r="D429" i="14"/>
  <c r="P428" i="14"/>
  <c r="O428" i="14"/>
  <c r="K428" i="14"/>
  <c r="E428" i="14"/>
  <c r="D428" i="14"/>
  <c r="P427" i="14"/>
  <c r="O427" i="14"/>
  <c r="K427" i="14"/>
  <c r="E427" i="14"/>
  <c r="D427" i="14"/>
  <c r="P426" i="14"/>
  <c r="O426" i="14"/>
  <c r="K426" i="14"/>
  <c r="E426" i="14"/>
  <c r="D426" i="14"/>
  <c r="P425" i="14"/>
  <c r="O425" i="14"/>
  <c r="Q425" i="14" s="1"/>
  <c r="K425" i="14"/>
  <c r="E425" i="14"/>
  <c r="D425" i="14"/>
  <c r="P424" i="14"/>
  <c r="O424" i="14"/>
  <c r="K424" i="14"/>
  <c r="E424" i="14"/>
  <c r="D424" i="14"/>
  <c r="P423" i="14"/>
  <c r="O423" i="14"/>
  <c r="K423" i="14"/>
  <c r="E423" i="14"/>
  <c r="D423" i="14"/>
  <c r="P422" i="14"/>
  <c r="O422" i="14"/>
  <c r="K422" i="14"/>
  <c r="E422" i="14"/>
  <c r="D422" i="14"/>
  <c r="P421" i="14"/>
  <c r="O421" i="14"/>
  <c r="K421" i="14"/>
  <c r="E421" i="14"/>
  <c r="D421" i="14"/>
  <c r="P420" i="14"/>
  <c r="O420" i="14"/>
  <c r="Q420" i="14" s="1"/>
  <c r="K420" i="14"/>
  <c r="E420" i="14"/>
  <c r="D420" i="14"/>
  <c r="P419" i="14"/>
  <c r="O419" i="14"/>
  <c r="K419" i="14"/>
  <c r="E419" i="14"/>
  <c r="D419" i="14"/>
  <c r="P418" i="14"/>
  <c r="O418" i="14"/>
  <c r="K418" i="14"/>
  <c r="E418" i="14"/>
  <c r="D418" i="14"/>
  <c r="P417" i="14"/>
  <c r="O417" i="14"/>
  <c r="K417" i="14"/>
  <c r="E417" i="14"/>
  <c r="D417" i="14"/>
  <c r="P416" i="14"/>
  <c r="O416" i="14"/>
  <c r="K416" i="14"/>
  <c r="E416" i="14"/>
  <c r="D416" i="14"/>
  <c r="P415" i="14"/>
  <c r="O415" i="14"/>
  <c r="K415" i="14"/>
  <c r="E415" i="14"/>
  <c r="D415" i="14"/>
  <c r="P414" i="14"/>
  <c r="O414" i="14"/>
  <c r="K414" i="14"/>
  <c r="E414" i="14"/>
  <c r="D414" i="14"/>
  <c r="P413" i="14"/>
  <c r="O413" i="14"/>
  <c r="K413" i="14"/>
  <c r="E413" i="14"/>
  <c r="D413" i="14"/>
  <c r="P412" i="14"/>
  <c r="O412" i="14"/>
  <c r="K412" i="14"/>
  <c r="E412" i="14"/>
  <c r="D412" i="14"/>
  <c r="P411" i="14"/>
  <c r="O411" i="14"/>
  <c r="K411" i="14"/>
  <c r="E411" i="14"/>
  <c r="D411" i="14"/>
  <c r="P410" i="14"/>
  <c r="O410" i="14"/>
  <c r="K410" i="14"/>
  <c r="E410" i="14"/>
  <c r="D410" i="14"/>
  <c r="P409" i="14"/>
  <c r="O409" i="14"/>
  <c r="K409" i="14"/>
  <c r="E409" i="14"/>
  <c r="D409" i="14"/>
  <c r="P408" i="14"/>
  <c r="O408" i="14"/>
  <c r="K408" i="14"/>
  <c r="E408" i="14"/>
  <c r="D408" i="14"/>
  <c r="P407" i="14"/>
  <c r="O407" i="14"/>
  <c r="K407" i="14"/>
  <c r="E407" i="14"/>
  <c r="D407" i="14"/>
  <c r="P406" i="14"/>
  <c r="O406" i="14"/>
  <c r="K406" i="14"/>
  <c r="E406" i="14"/>
  <c r="D406" i="14"/>
  <c r="P405" i="14"/>
  <c r="O405" i="14"/>
  <c r="K405" i="14"/>
  <c r="E405" i="14"/>
  <c r="D405" i="14"/>
  <c r="P404" i="14"/>
  <c r="O404" i="14"/>
  <c r="K404" i="14"/>
  <c r="E404" i="14"/>
  <c r="D404" i="14"/>
  <c r="P403" i="14"/>
  <c r="O403" i="14"/>
  <c r="K403" i="14"/>
  <c r="E403" i="14"/>
  <c r="D403" i="14"/>
  <c r="P402" i="14"/>
  <c r="O402" i="14"/>
  <c r="Q402" i="14" s="1"/>
  <c r="K402" i="14"/>
  <c r="E402" i="14"/>
  <c r="D402" i="14"/>
  <c r="P401" i="14"/>
  <c r="O401" i="14"/>
  <c r="Q401" i="14" s="1"/>
  <c r="K401" i="14"/>
  <c r="E401" i="14"/>
  <c r="D401" i="14"/>
  <c r="P400" i="14"/>
  <c r="O400" i="14"/>
  <c r="K400" i="14"/>
  <c r="E400" i="14"/>
  <c r="D400" i="14"/>
  <c r="P399" i="14"/>
  <c r="O399" i="14"/>
  <c r="K399" i="14"/>
  <c r="E399" i="14"/>
  <c r="D399" i="14"/>
  <c r="P398" i="14"/>
  <c r="O398" i="14"/>
  <c r="K398" i="14"/>
  <c r="E398" i="14"/>
  <c r="D398" i="14"/>
  <c r="P397" i="14"/>
  <c r="O397" i="14"/>
  <c r="K397" i="14"/>
  <c r="E397" i="14"/>
  <c r="D397" i="14"/>
  <c r="P396" i="14"/>
  <c r="O396" i="14"/>
  <c r="K396" i="14"/>
  <c r="E396" i="14"/>
  <c r="D396" i="14"/>
  <c r="P395" i="14"/>
  <c r="O395" i="14"/>
  <c r="K395" i="14"/>
  <c r="E395" i="14"/>
  <c r="D395" i="14"/>
  <c r="P394" i="14"/>
  <c r="O394" i="14"/>
  <c r="K394" i="14"/>
  <c r="E394" i="14"/>
  <c r="D394" i="14"/>
  <c r="P393" i="14"/>
  <c r="O393" i="14"/>
  <c r="K393" i="14"/>
  <c r="E393" i="14"/>
  <c r="D393" i="14"/>
  <c r="P392" i="14"/>
  <c r="O392" i="14"/>
  <c r="K392" i="14"/>
  <c r="E392" i="14"/>
  <c r="D392" i="14"/>
  <c r="P391" i="14"/>
  <c r="O391" i="14"/>
  <c r="K391" i="14"/>
  <c r="E391" i="14"/>
  <c r="D391" i="14"/>
  <c r="P390" i="14"/>
  <c r="O390" i="14"/>
  <c r="K390" i="14"/>
  <c r="E390" i="14"/>
  <c r="D390" i="14"/>
  <c r="P389" i="14"/>
  <c r="O389" i="14"/>
  <c r="Q389" i="14" s="1"/>
  <c r="K389" i="14"/>
  <c r="E389" i="14"/>
  <c r="D389" i="14"/>
  <c r="P388" i="14"/>
  <c r="O388" i="14"/>
  <c r="K388" i="14"/>
  <c r="E388" i="14"/>
  <c r="D388" i="14"/>
  <c r="P387" i="14"/>
  <c r="O387" i="14"/>
  <c r="K387" i="14"/>
  <c r="E387" i="14"/>
  <c r="D387" i="14"/>
  <c r="P386" i="14"/>
  <c r="O386" i="14"/>
  <c r="K386" i="14"/>
  <c r="E386" i="14"/>
  <c r="D386" i="14"/>
  <c r="P385" i="14"/>
  <c r="O385" i="14"/>
  <c r="K385" i="14"/>
  <c r="E385" i="14"/>
  <c r="D385" i="14"/>
  <c r="P384" i="14"/>
  <c r="O384" i="14"/>
  <c r="K384" i="14"/>
  <c r="E384" i="14"/>
  <c r="D384" i="14"/>
  <c r="P383" i="14"/>
  <c r="O383" i="14"/>
  <c r="K383" i="14"/>
  <c r="E383" i="14"/>
  <c r="D383" i="14"/>
  <c r="P382" i="14"/>
  <c r="O382" i="14"/>
  <c r="K382" i="14"/>
  <c r="E382" i="14"/>
  <c r="D382" i="14"/>
  <c r="P381" i="14"/>
  <c r="O381" i="14"/>
  <c r="K381" i="14"/>
  <c r="E381" i="14"/>
  <c r="D381" i="14"/>
  <c r="P380" i="14"/>
  <c r="O380" i="14"/>
  <c r="K380" i="14"/>
  <c r="E380" i="14"/>
  <c r="D380" i="14"/>
  <c r="P379" i="14"/>
  <c r="O379" i="14"/>
  <c r="Q379" i="14" s="1"/>
  <c r="K379" i="14"/>
  <c r="E379" i="14"/>
  <c r="D379" i="14"/>
  <c r="P378" i="14"/>
  <c r="O378" i="14"/>
  <c r="K378" i="14"/>
  <c r="E378" i="14"/>
  <c r="D378" i="14"/>
  <c r="P377" i="14"/>
  <c r="O377" i="14"/>
  <c r="K377" i="14"/>
  <c r="E377" i="14"/>
  <c r="D377" i="14"/>
  <c r="P376" i="14"/>
  <c r="O376" i="14"/>
  <c r="K376" i="14"/>
  <c r="E376" i="14"/>
  <c r="D376" i="14"/>
  <c r="P375" i="14"/>
  <c r="O375" i="14"/>
  <c r="Q375" i="14" s="1"/>
  <c r="K375" i="14"/>
  <c r="E375" i="14"/>
  <c r="D375" i="14"/>
  <c r="P374" i="14"/>
  <c r="O374" i="14"/>
  <c r="K374" i="14"/>
  <c r="E374" i="14"/>
  <c r="D374" i="14"/>
  <c r="P373" i="14"/>
  <c r="O373" i="14"/>
  <c r="Q373" i="14" s="1"/>
  <c r="K373" i="14"/>
  <c r="E373" i="14"/>
  <c r="D373" i="14"/>
  <c r="P372" i="14"/>
  <c r="O372" i="14"/>
  <c r="K372" i="14"/>
  <c r="E372" i="14"/>
  <c r="D372" i="14"/>
  <c r="P371" i="14"/>
  <c r="O371" i="14"/>
  <c r="K371" i="14"/>
  <c r="E371" i="14"/>
  <c r="D371" i="14"/>
  <c r="P370" i="14"/>
  <c r="O370" i="14"/>
  <c r="K370" i="14"/>
  <c r="E370" i="14"/>
  <c r="D370" i="14"/>
  <c r="P369" i="14"/>
  <c r="O369" i="14"/>
  <c r="K369" i="14"/>
  <c r="E369" i="14"/>
  <c r="D369" i="14"/>
  <c r="P368" i="14"/>
  <c r="O368" i="14"/>
  <c r="K368" i="14"/>
  <c r="E368" i="14"/>
  <c r="D368" i="14"/>
  <c r="P367" i="14"/>
  <c r="O367" i="14"/>
  <c r="K367" i="14"/>
  <c r="E367" i="14"/>
  <c r="D367" i="14"/>
  <c r="P366" i="14"/>
  <c r="O366" i="14"/>
  <c r="K366" i="14"/>
  <c r="E366" i="14"/>
  <c r="D366" i="14"/>
  <c r="P365" i="14"/>
  <c r="O365" i="14"/>
  <c r="K365" i="14"/>
  <c r="E365" i="14"/>
  <c r="D365" i="14"/>
  <c r="P364" i="14"/>
  <c r="O364" i="14"/>
  <c r="K364" i="14"/>
  <c r="E364" i="14"/>
  <c r="D364" i="14"/>
  <c r="P363" i="14"/>
  <c r="O363" i="14"/>
  <c r="K363" i="14"/>
  <c r="E363" i="14"/>
  <c r="D363" i="14"/>
  <c r="P362" i="14"/>
  <c r="O362" i="14"/>
  <c r="K362" i="14"/>
  <c r="E362" i="14"/>
  <c r="D362" i="14"/>
  <c r="P361" i="14"/>
  <c r="O361" i="14"/>
  <c r="K361" i="14"/>
  <c r="E361" i="14"/>
  <c r="D361" i="14"/>
  <c r="P360" i="14"/>
  <c r="O360" i="14"/>
  <c r="K360" i="14"/>
  <c r="E360" i="14"/>
  <c r="D360" i="14"/>
  <c r="P359" i="14"/>
  <c r="O359" i="14"/>
  <c r="K359" i="14"/>
  <c r="E359" i="14"/>
  <c r="D359" i="14"/>
  <c r="P358" i="14"/>
  <c r="O358" i="14"/>
  <c r="K358" i="14"/>
  <c r="E358" i="14"/>
  <c r="D358" i="14"/>
  <c r="P357" i="14"/>
  <c r="O357" i="14"/>
  <c r="K357" i="14"/>
  <c r="E357" i="14"/>
  <c r="D357" i="14"/>
  <c r="P356" i="14"/>
  <c r="O356" i="14"/>
  <c r="K356" i="14"/>
  <c r="E356" i="14"/>
  <c r="D356" i="14"/>
  <c r="P355" i="14"/>
  <c r="O355" i="14"/>
  <c r="K355" i="14"/>
  <c r="E355" i="14"/>
  <c r="D355" i="14"/>
  <c r="P354" i="14"/>
  <c r="O354" i="14"/>
  <c r="K354" i="14"/>
  <c r="E354" i="14"/>
  <c r="D354" i="14"/>
  <c r="P353" i="14"/>
  <c r="O353" i="14"/>
  <c r="K353" i="14"/>
  <c r="E353" i="14"/>
  <c r="D353" i="14"/>
  <c r="P352" i="14"/>
  <c r="O352" i="14"/>
  <c r="K352" i="14"/>
  <c r="E352" i="14"/>
  <c r="D352" i="14"/>
  <c r="P351" i="14"/>
  <c r="O351" i="14"/>
  <c r="K351" i="14"/>
  <c r="E351" i="14"/>
  <c r="D351" i="14"/>
  <c r="P350" i="14"/>
  <c r="O350" i="14"/>
  <c r="K350" i="14"/>
  <c r="E350" i="14"/>
  <c r="D350" i="14"/>
  <c r="P349" i="14"/>
  <c r="O349" i="14"/>
  <c r="Q349" i="14" s="1"/>
  <c r="K349" i="14"/>
  <c r="E349" i="14"/>
  <c r="D349" i="14"/>
  <c r="P348" i="14"/>
  <c r="O348" i="14"/>
  <c r="K348" i="14"/>
  <c r="E348" i="14"/>
  <c r="D348" i="14"/>
  <c r="P347" i="14"/>
  <c r="O347" i="14"/>
  <c r="K347" i="14"/>
  <c r="E347" i="14"/>
  <c r="D347" i="14"/>
  <c r="P346" i="14"/>
  <c r="O346" i="14"/>
  <c r="Q346" i="14" s="1"/>
  <c r="K346" i="14"/>
  <c r="E346" i="14"/>
  <c r="D346" i="14"/>
  <c r="P345" i="14"/>
  <c r="O345" i="14"/>
  <c r="K345" i="14"/>
  <c r="E345" i="14"/>
  <c r="D345" i="14"/>
  <c r="P344" i="14"/>
  <c r="O344" i="14"/>
  <c r="K344" i="14"/>
  <c r="E344" i="14"/>
  <c r="D344" i="14"/>
  <c r="P343" i="14"/>
  <c r="O343" i="14"/>
  <c r="K343" i="14"/>
  <c r="E343" i="14"/>
  <c r="D343" i="14"/>
  <c r="P342" i="14"/>
  <c r="O342" i="14"/>
  <c r="K342" i="14"/>
  <c r="E342" i="14"/>
  <c r="D342" i="14"/>
  <c r="P341" i="14"/>
  <c r="O341" i="14"/>
  <c r="K341" i="14"/>
  <c r="E341" i="14"/>
  <c r="D341" i="14"/>
  <c r="P340" i="14"/>
  <c r="O340" i="14"/>
  <c r="K340" i="14"/>
  <c r="E340" i="14"/>
  <c r="D340" i="14"/>
  <c r="P339" i="14"/>
  <c r="O339" i="14"/>
  <c r="Q339" i="14" s="1"/>
  <c r="K339" i="14"/>
  <c r="E339" i="14"/>
  <c r="D339" i="14"/>
  <c r="P338" i="14"/>
  <c r="O338" i="14"/>
  <c r="K338" i="14"/>
  <c r="E338" i="14"/>
  <c r="D338" i="14"/>
  <c r="P337" i="14"/>
  <c r="O337" i="14"/>
  <c r="K337" i="14"/>
  <c r="E337" i="14"/>
  <c r="D337" i="14"/>
  <c r="P336" i="14"/>
  <c r="O336" i="14"/>
  <c r="K336" i="14"/>
  <c r="E336" i="14"/>
  <c r="D336" i="14"/>
  <c r="P335" i="14"/>
  <c r="O335" i="14"/>
  <c r="K335" i="14"/>
  <c r="E335" i="14"/>
  <c r="D335" i="14"/>
  <c r="P334" i="14"/>
  <c r="O334" i="14"/>
  <c r="Q334" i="14" s="1"/>
  <c r="K334" i="14"/>
  <c r="E334" i="14"/>
  <c r="D334" i="14"/>
  <c r="P333" i="14"/>
  <c r="O333" i="14"/>
  <c r="K333" i="14"/>
  <c r="E333" i="14"/>
  <c r="D333" i="14"/>
  <c r="P332" i="14"/>
  <c r="O332" i="14"/>
  <c r="K332" i="14"/>
  <c r="E332" i="14"/>
  <c r="D332" i="14"/>
  <c r="P331" i="14"/>
  <c r="O331" i="14"/>
  <c r="K331" i="14"/>
  <c r="E331" i="14"/>
  <c r="D331" i="14"/>
  <c r="P330" i="14"/>
  <c r="O330" i="14"/>
  <c r="K330" i="14"/>
  <c r="E330" i="14"/>
  <c r="D330" i="14"/>
  <c r="P329" i="14"/>
  <c r="O329" i="14"/>
  <c r="K329" i="14"/>
  <c r="E329" i="14"/>
  <c r="D329" i="14"/>
  <c r="P328" i="14"/>
  <c r="O328" i="14"/>
  <c r="K328" i="14"/>
  <c r="E328" i="14"/>
  <c r="D328" i="14"/>
  <c r="P327" i="14"/>
  <c r="O327" i="14"/>
  <c r="K327" i="14"/>
  <c r="E327" i="14"/>
  <c r="D327" i="14"/>
  <c r="P326" i="14"/>
  <c r="O326" i="14"/>
  <c r="K326" i="14"/>
  <c r="E326" i="14"/>
  <c r="D326" i="14"/>
  <c r="P325" i="14"/>
  <c r="O325" i="14"/>
  <c r="K325" i="14"/>
  <c r="E325" i="14"/>
  <c r="D325" i="14"/>
  <c r="P324" i="14"/>
  <c r="O324" i="14"/>
  <c r="K324" i="14"/>
  <c r="E324" i="14"/>
  <c r="D324" i="14"/>
  <c r="P323" i="14"/>
  <c r="O323" i="14"/>
  <c r="K323" i="14"/>
  <c r="E323" i="14"/>
  <c r="D323" i="14"/>
  <c r="P322" i="14"/>
  <c r="O322" i="14"/>
  <c r="K322" i="14"/>
  <c r="E322" i="14"/>
  <c r="D322" i="14"/>
  <c r="P321" i="14"/>
  <c r="O321" i="14"/>
  <c r="K321" i="14"/>
  <c r="E321" i="14"/>
  <c r="D321" i="14"/>
  <c r="P320" i="14"/>
  <c r="O320" i="14"/>
  <c r="K320" i="14"/>
  <c r="E320" i="14"/>
  <c r="D320" i="14"/>
  <c r="P319" i="14"/>
  <c r="O319" i="14"/>
  <c r="K319" i="14"/>
  <c r="E319" i="14"/>
  <c r="D319" i="14"/>
  <c r="P318" i="14"/>
  <c r="O318" i="14"/>
  <c r="K318" i="14"/>
  <c r="E318" i="14"/>
  <c r="D318" i="14"/>
  <c r="P317" i="14"/>
  <c r="O317" i="14"/>
  <c r="K317" i="14"/>
  <c r="E317" i="14"/>
  <c r="D317" i="14"/>
  <c r="P316" i="14"/>
  <c r="O316" i="14"/>
  <c r="K316" i="14"/>
  <c r="E316" i="14"/>
  <c r="D316" i="14"/>
  <c r="P315" i="14"/>
  <c r="O315" i="14"/>
  <c r="K315" i="14"/>
  <c r="E315" i="14"/>
  <c r="D315" i="14"/>
  <c r="P314" i="14"/>
  <c r="O314" i="14"/>
  <c r="K314" i="14"/>
  <c r="E314" i="14"/>
  <c r="D314" i="14"/>
  <c r="P313" i="14"/>
  <c r="O313" i="14"/>
  <c r="K313" i="14"/>
  <c r="E313" i="14"/>
  <c r="D313" i="14"/>
  <c r="P312" i="14"/>
  <c r="O312" i="14"/>
  <c r="K312" i="14"/>
  <c r="E312" i="14"/>
  <c r="D312" i="14"/>
  <c r="P311" i="14"/>
  <c r="O311" i="14"/>
  <c r="K311" i="14"/>
  <c r="E311" i="14"/>
  <c r="D311" i="14"/>
  <c r="P310" i="14"/>
  <c r="O310" i="14"/>
  <c r="K310" i="14"/>
  <c r="E310" i="14"/>
  <c r="D310" i="14"/>
  <c r="P309" i="14"/>
  <c r="O309" i="14"/>
  <c r="K309" i="14"/>
  <c r="E309" i="14"/>
  <c r="D309" i="14"/>
  <c r="P308" i="14"/>
  <c r="O308" i="14"/>
  <c r="K308" i="14"/>
  <c r="E308" i="14"/>
  <c r="D308" i="14"/>
  <c r="P307" i="14"/>
  <c r="O307" i="14"/>
  <c r="K307" i="14"/>
  <c r="E307" i="14"/>
  <c r="D307" i="14"/>
  <c r="P306" i="14"/>
  <c r="O306" i="14"/>
  <c r="K306" i="14"/>
  <c r="E306" i="14"/>
  <c r="D306" i="14"/>
  <c r="P305" i="14"/>
  <c r="O305" i="14"/>
  <c r="K305" i="14"/>
  <c r="E305" i="14"/>
  <c r="D305" i="14"/>
  <c r="P304" i="14"/>
  <c r="O304" i="14"/>
  <c r="K304" i="14"/>
  <c r="E304" i="14"/>
  <c r="D304" i="14"/>
  <c r="P303" i="14"/>
  <c r="O303" i="14"/>
  <c r="K303" i="14"/>
  <c r="E303" i="14"/>
  <c r="D303" i="14"/>
  <c r="P302" i="14"/>
  <c r="O302" i="14"/>
  <c r="K302" i="14"/>
  <c r="E302" i="14"/>
  <c r="D302" i="14"/>
  <c r="P301" i="14"/>
  <c r="O301" i="14"/>
  <c r="Q301" i="14" s="1"/>
  <c r="K301" i="14"/>
  <c r="E301" i="14"/>
  <c r="D301" i="14"/>
  <c r="P300" i="14"/>
  <c r="O300" i="14"/>
  <c r="K300" i="14"/>
  <c r="E300" i="14"/>
  <c r="D300" i="14"/>
  <c r="P299" i="14"/>
  <c r="O299" i="14"/>
  <c r="K299" i="14"/>
  <c r="E299" i="14"/>
  <c r="D299" i="14"/>
  <c r="P298" i="14"/>
  <c r="O298" i="14"/>
  <c r="K298" i="14"/>
  <c r="E298" i="14"/>
  <c r="D298" i="14"/>
  <c r="P297" i="14"/>
  <c r="O297" i="14"/>
  <c r="K297" i="14"/>
  <c r="E297" i="14"/>
  <c r="D297" i="14"/>
  <c r="P296" i="14"/>
  <c r="O296" i="14"/>
  <c r="K296" i="14"/>
  <c r="E296" i="14"/>
  <c r="D296" i="14"/>
  <c r="P295" i="14"/>
  <c r="O295" i="14"/>
  <c r="K295" i="14"/>
  <c r="E295" i="14"/>
  <c r="D295" i="14"/>
  <c r="P294" i="14"/>
  <c r="O294" i="14"/>
  <c r="K294" i="14"/>
  <c r="E294" i="14"/>
  <c r="D294" i="14"/>
  <c r="P293" i="14"/>
  <c r="O293" i="14"/>
  <c r="K293" i="14"/>
  <c r="E293" i="14"/>
  <c r="D293" i="14"/>
  <c r="P292" i="14"/>
  <c r="O292" i="14"/>
  <c r="K292" i="14"/>
  <c r="E292" i="14"/>
  <c r="D292" i="14"/>
  <c r="P291" i="14"/>
  <c r="O291" i="14"/>
  <c r="K291" i="14"/>
  <c r="E291" i="14"/>
  <c r="D291" i="14"/>
  <c r="P290" i="14"/>
  <c r="O290" i="14"/>
  <c r="K290" i="14"/>
  <c r="E290" i="14"/>
  <c r="D290" i="14"/>
  <c r="P289" i="14"/>
  <c r="O289" i="14"/>
  <c r="K289" i="14"/>
  <c r="E289" i="14"/>
  <c r="D289" i="14"/>
  <c r="P288" i="14"/>
  <c r="O288" i="14"/>
  <c r="K288" i="14"/>
  <c r="E288" i="14"/>
  <c r="D288" i="14"/>
  <c r="P287" i="14"/>
  <c r="O287" i="14"/>
  <c r="K287" i="14"/>
  <c r="E287" i="14"/>
  <c r="D287" i="14"/>
  <c r="P286" i="14"/>
  <c r="O286" i="14"/>
  <c r="K286" i="14"/>
  <c r="E286" i="14"/>
  <c r="D286" i="14"/>
  <c r="P285" i="14"/>
  <c r="O285" i="14"/>
  <c r="K285" i="14"/>
  <c r="E285" i="14"/>
  <c r="D285" i="14"/>
  <c r="P284" i="14"/>
  <c r="O284" i="14"/>
  <c r="K284" i="14"/>
  <c r="E284" i="14"/>
  <c r="D284" i="14"/>
  <c r="P283" i="14"/>
  <c r="O283" i="14"/>
  <c r="Q283" i="14" s="1"/>
  <c r="K283" i="14"/>
  <c r="E283" i="14"/>
  <c r="D283" i="14"/>
  <c r="P282" i="14"/>
  <c r="O282" i="14"/>
  <c r="K282" i="14"/>
  <c r="E282" i="14"/>
  <c r="D282" i="14"/>
  <c r="P281" i="14"/>
  <c r="O281" i="14"/>
  <c r="Q281" i="14" s="1"/>
  <c r="K281" i="14"/>
  <c r="E281" i="14"/>
  <c r="D281" i="14"/>
  <c r="P280" i="14"/>
  <c r="O280" i="14"/>
  <c r="K280" i="14"/>
  <c r="E280" i="14"/>
  <c r="D280" i="14"/>
  <c r="P279" i="14"/>
  <c r="O279" i="14"/>
  <c r="K279" i="14"/>
  <c r="E279" i="14"/>
  <c r="D279" i="14"/>
  <c r="P278" i="14"/>
  <c r="O278" i="14"/>
  <c r="K278" i="14"/>
  <c r="E278" i="14"/>
  <c r="D278" i="14"/>
  <c r="P277" i="14"/>
  <c r="O277" i="14"/>
  <c r="K277" i="14"/>
  <c r="E277" i="14"/>
  <c r="D277" i="14"/>
  <c r="P276" i="14"/>
  <c r="O276" i="14"/>
  <c r="K276" i="14"/>
  <c r="E276" i="14"/>
  <c r="D276" i="14"/>
  <c r="P275" i="14"/>
  <c r="O275" i="14"/>
  <c r="K275" i="14"/>
  <c r="E275" i="14"/>
  <c r="D275" i="14"/>
  <c r="P274" i="14"/>
  <c r="O274" i="14"/>
  <c r="K274" i="14"/>
  <c r="E274" i="14"/>
  <c r="D274" i="14"/>
  <c r="P273" i="14"/>
  <c r="O273" i="14"/>
  <c r="K273" i="14"/>
  <c r="E273" i="14"/>
  <c r="D273" i="14"/>
  <c r="P272" i="14"/>
  <c r="O272" i="14"/>
  <c r="K272" i="14"/>
  <c r="E272" i="14"/>
  <c r="D272" i="14"/>
  <c r="P271" i="14"/>
  <c r="O271" i="14"/>
  <c r="K271" i="14"/>
  <c r="E271" i="14"/>
  <c r="D271" i="14"/>
  <c r="P270" i="14"/>
  <c r="O270" i="14"/>
  <c r="K270" i="14"/>
  <c r="E270" i="14"/>
  <c r="D270" i="14"/>
  <c r="P269" i="14"/>
  <c r="O269" i="14"/>
  <c r="K269" i="14"/>
  <c r="E269" i="14"/>
  <c r="D269" i="14"/>
  <c r="P268" i="14"/>
  <c r="O268" i="14"/>
  <c r="K268" i="14"/>
  <c r="E268" i="14"/>
  <c r="D268" i="14"/>
  <c r="P267" i="14"/>
  <c r="O267" i="14"/>
  <c r="K267" i="14"/>
  <c r="E267" i="14"/>
  <c r="D267" i="14"/>
  <c r="P266" i="14"/>
  <c r="O266" i="14"/>
  <c r="K266" i="14"/>
  <c r="E266" i="14"/>
  <c r="D266" i="14"/>
  <c r="P265" i="14"/>
  <c r="O265" i="14"/>
  <c r="K265" i="14"/>
  <c r="E265" i="14"/>
  <c r="D265" i="14"/>
  <c r="P264" i="14"/>
  <c r="O264" i="14"/>
  <c r="K264" i="14"/>
  <c r="E264" i="14"/>
  <c r="D264" i="14"/>
  <c r="P263" i="14"/>
  <c r="O263" i="14"/>
  <c r="K263" i="14"/>
  <c r="E263" i="14"/>
  <c r="D263" i="14"/>
  <c r="P262" i="14"/>
  <c r="O262" i="14"/>
  <c r="K262" i="14"/>
  <c r="E262" i="14"/>
  <c r="D262" i="14"/>
  <c r="P261" i="14"/>
  <c r="O261" i="14"/>
  <c r="K261" i="14"/>
  <c r="E261" i="14"/>
  <c r="D261" i="14"/>
  <c r="P260" i="14"/>
  <c r="O260" i="14"/>
  <c r="K260" i="14"/>
  <c r="E260" i="14"/>
  <c r="D260" i="14"/>
  <c r="P259" i="14"/>
  <c r="O259" i="14"/>
  <c r="K259" i="14"/>
  <c r="E259" i="14"/>
  <c r="D259" i="14"/>
  <c r="P258" i="14"/>
  <c r="O258" i="14"/>
  <c r="K258" i="14"/>
  <c r="E258" i="14"/>
  <c r="D258" i="14"/>
  <c r="P257" i="14"/>
  <c r="O257" i="14"/>
  <c r="K257" i="14"/>
  <c r="E257" i="14"/>
  <c r="D257" i="14"/>
  <c r="P256" i="14"/>
  <c r="O256" i="14"/>
  <c r="K256" i="14"/>
  <c r="E256" i="14"/>
  <c r="D256" i="14"/>
  <c r="P255" i="14"/>
  <c r="O255" i="14"/>
  <c r="K255" i="14"/>
  <c r="E255" i="14"/>
  <c r="D255" i="14"/>
  <c r="P254" i="14"/>
  <c r="O254" i="14"/>
  <c r="K254" i="14"/>
  <c r="E254" i="14"/>
  <c r="D254" i="14"/>
  <c r="P253" i="14"/>
  <c r="O253" i="14"/>
  <c r="K253" i="14"/>
  <c r="E253" i="14"/>
  <c r="D253" i="14"/>
  <c r="P252" i="14"/>
  <c r="O252" i="14"/>
  <c r="K252" i="14"/>
  <c r="E252" i="14"/>
  <c r="D252" i="14"/>
  <c r="P251" i="14"/>
  <c r="O251" i="14"/>
  <c r="K251" i="14"/>
  <c r="E251" i="14"/>
  <c r="D251" i="14"/>
  <c r="P250" i="14"/>
  <c r="O250" i="14"/>
  <c r="K250" i="14"/>
  <c r="E250" i="14"/>
  <c r="D250" i="14"/>
  <c r="P249" i="14"/>
  <c r="O249" i="14"/>
  <c r="K249" i="14"/>
  <c r="E249" i="14"/>
  <c r="D249" i="14"/>
  <c r="P248" i="14"/>
  <c r="O248" i="14"/>
  <c r="K248" i="14"/>
  <c r="E248" i="14"/>
  <c r="D248" i="14"/>
  <c r="P247" i="14"/>
  <c r="O247" i="14"/>
  <c r="Q247" i="14" s="1"/>
  <c r="K247" i="14"/>
  <c r="E247" i="14"/>
  <c r="D247" i="14"/>
  <c r="P246" i="14"/>
  <c r="O246" i="14"/>
  <c r="K246" i="14"/>
  <c r="E246" i="14"/>
  <c r="D246" i="14"/>
  <c r="P245" i="14"/>
  <c r="O245" i="14"/>
  <c r="K245" i="14"/>
  <c r="E245" i="14"/>
  <c r="D245" i="14"/>
  <c r="P244" i="14"/>
  <c r="O244" i="14"/>
  <c r="K244" i="14"/>
  <c r="E244" i="14"/>
  <c r="D244" i="14"/>
  <c r="P243" i="14"/>
  <c r="O243" i="14"/>
  <c r="Q243" i="14" s="1"/>
  <c r="K243" i="14"/>
  <c r="E243" i="14"/>
  <c r="D243" i="14"/>
  <c r="P242" i="14"/>
  <c r="O242" i="14"/>
  <c r="K242" i="14"/>
  <c r="E242" i="14"/>
  <c r="D242" i="14"/>
  <c r="P241" i="14"/>
  <c r="O241" i="14"/>
  <c r="Q241" i="14" s="1"/>
  <c r="K241" i="14"/>
  <c r="E241" i="14"/>
  <c r="D241" i="14"/>
  <c r="P240" i="14"/>
  <c r="O240" i="14"/>
  <c r="K240" i="14"/>
  <c r="E240" i="14"/>
  <c r="D240" i="14"/>
  <c r="P239" i="14"/>
  <c r="O239" i="14"/>
  <c r="K239" i="14"/>
  <c r="E239" i="14"/>
  <c r="D239" i="14"/>
  <c r="P238" i="14"/>
  <c r="O238" i="14"/>
  <c r="K238" i="14"/>
  <c r="E238" i="14"/>
  <c r="D238" i="14"/>
  <c r="P237" i="14"/>
  <c r="O237" i="14"/>
  <c r="K237" i="14"/>
  <c r="E237" i="14"/>
  <c r="D237" i="14"/>
  <c r="P236" i="14"/>
  <c r="O236" i="14"/>
  <c r="K236" i="14"/>
  <c r="E236" i="14"/>
  <c r="D236" i="14"/>
  <c r="P235" i="14"/>
  <c r="O235" i="14"/>
  <c r="K235" i="14"/>
  <c r="E235" i="14"/>
  <c r="D235" i="14"/>
  <c r="P234" i="14"/>
  <c r="O234" i="14"/>
  <c r="K234" i="14"/>
  <c r="E234" i="14"/>
  <c r="D234" i="14"/>
  <c r="P233" i="14"/>
  <c r="O233" i="14"/>
  <c r="K233" i="14"/>
  <c r="E233" i="14"/>
  <c r="D233" i="14"/>
  <c r="P232" i="14"/>
  <c r="O232" i="14"/>
  <c r="K232" i="14"/>
  <c r="E232" i="14"/>
  <c r="D232" i="14"/>
  <c r="P231" i="14"/>
  <c r="O231" i="14"/>
  <c r="K231" i="14"/>
  <c r="E231" i="14"/>
  <c r="D231" i="14"/>
  <c r="P230" i="14"/>
  <c r="O230" i="14"/>
  <c r="K230" i="14"/>
  <c r="E230" i="14"/>
  <c r="D230" i="14"/>
  <c r="P229" i="14"/>
  <c r="O229" i="14"/>
  <c r="Q229" i="14" s="1"/>
  <c r="K229" i="14"/>
  <c r="E229" i="14"/>
  <c r="D229" i="14"/>
  <c r="P228" i="14"/>
  <c r="O228" i="14"/>
  <c r="K228" i="14"/>
  <c r="E228" i="14"/>
  <c r="D228" i="14"/>
  <c r="P227" i="14"/>
  <c r="O227" i="14"/>
  <c r="K227" i="14"/>
  <c r="E227" i="14"/>
  <c r="D227" i="14"/>
  <c r="P226" i="14"/>
  <c r="O226" i="14"/>
  <c r="K226" i="14"/>
  <c r="E226" i="14"/>
  <c r="D226" i="14"/>
  <c r="P225" i="14"/>
  <c r="O225" i="14"/>
  <c r="K225" i="14"/>
  <c r="E225" i="14"/>
  <c r="D225" i="14"/>
  <c r="P224" i="14"/>
  <c r="O224" i="14"/>
  <c r="K224" i="14"/>
  <c r="E224" i="14"/>
  <c r="D224" i="14"/>
  <c r="P223" i="14"/>
  <c r="O223" i="14"/>
  <c r="K223" i="14"/>
  <c r="E223" i="14"/>
  <c r="D223" i="14"/>
  <c r="P222" i="14"/>
  <c r="O222" i="14"/>
  <c r="K222" i="14"/>
  <c r="E222" i="14"/>
  <c r="D222" i="14"/>
  <c r="P221" i="14"/>
  <c r="O221" i="14"/>
  <c r="Q221" i="14" s="1"/>
  <c r="K221" i="14"/>
  <c r="E221" i="14"/>
  <c r="D221" i="14"/>
  <c r="P220" i="14"/>
  <c r="O220" i="14"/>
  <c r="K220" i="14"/>
  <c r="E220" i="14"/>
  <c r="D220" i="14"/>
  <c r="P219" i="14"/>
  <c r="O219" i="14"/>
  <c r="K219" i="14"/>
  <c r="E219" i="14"/>
  <c r="D219" i="14"/>
  <c r="P218" i="14"/>
  <c r="O218" i="14"/>
  <c r="K218" i="14"/>
  <c r="E218" i="14"/>
  <c r="D218" i="14"/>
  <c r="P217" i="14"/>
  <c r="O217" i="14"/>
  <c r="K217" i="14"/>
  <c r="E217" i="14"/>
  <c r="D217" i="14"/>
  <c r="P216" i="14"/>
  <c r="O216" i="14"/>
  <c r="K216" i="14"/>
  <c r="E216" i="14"/>
  <c r="D216" i="14"/>
  <c r="P215" i="14"/>
  <c r="O215" i="14"/>
  <c r="K215" i="14"/>
  <c r="E215" i="14"/>
  <c r="D215" i="14"/>
  <c r="P214" i="14"/>
  <c r="O214" i="14"/>
  <c r="Q214" i="14" s="1"/>
  <c r="K214" i="14"/>
  <c r="E214" i="14"/>
  <c r="D214" i="14"/>
  <c r="P213" i="14"/>
  <c r="O213" i="14"/>
  <c r="K213" i="14"/>
  <c r="E213" i="14"/>
  <c r="D213" i="14"/>
  <c r="P212" i="14"/>
  <c r="O212" i="14"/>
  <c r="K212" i="14"/>
  <c r="E212" i="14"/>
  <c r="D212" i="14"/>
  <c r="P211" i="14"/>
  <c r="O211" i="14"/>
  <c r="K211" i="14"/>
  <c r="E211" i="14"/>
  <c r="D211" i="14"/>
  <c r="P210" i="14"/>
  <c r="O210" i="14"/>
  <c r="K210" i="14"/>
  <c r="E210" i="14"/>
  <c r="D210" i="14"/>
  <c r="P209" i="14"/>
  <c r="O209" i="14"/>
  <c r="K209" i="14"/>
  <c r="E209" i="14"/>
  <c r="D209" i="14"/>
  <c r="P208" i="14"/>
  <c r="O208" i="14"/>
  <c r="K208" i="14"/>
  <c r="E208" i="14"/>
  <c r="D208" i="14"/>
  <c r="P207" i="14"/>
  <c r="O207" i="14"/>
  <c r="K207" i="14"/>
  <c r="E207" i="14"/>
  <c r="D207" i="14"/>
  <c r="P206" i="14"/>
  <c r="O206" i="14"/>
  <c r="K206" i="14"/>
  <c r="E206" i="14"/>
  <c r="D206" i="14"/>
  <c r="P205" i="14"/>
  <c r="O205" i="14"/>
  <c r="K205" i="14"/>
  <c r="E205" i="14"/>
  <c r="D205" i="14"/>
  <c r="P204" i="14"/>
  <c r="O204" i="14"/>
  <c r="K204" i="14"/>
  <c r="E204" i="14"/>
  <c r="D204" i="14"/>
  <c r="P203" i="14"/>
  <c r="O203" i="14"/>
  <c r="K203" i="14"/>
  <c r="E203" i="14"/>
  <c r="D203" i="14"/>
  <c r="P202" i="14"/>
  <c r="O202" i="14"/>
  <c r="K202" i="14"/>
  <c r="E202" i="14"/>
  <c r="D202" i="14"/>
  <c r="P201" i="14"/>
  <c r="O201" i="14"/>
  <c r="K201" i="14"/>
  <c r="E201" i="14"/>
  <c r="D201" i="14"/>
  <c r="P200" i="14"/>
  <c r="O200" i="14"/>
  <c r="K200" i="14"/>
  <c r="E200" i="14"/>
  <c r="D200" i="14"/>
  <c r="P199" i="14"/>
  <c r="O199" i="14"/>
  <c r="K199" i="14"/>
  <c r="E199" i="14"/>
  <c r="D199" i="14"/>
  <c r="P198" i="14"/>
  <c r="O198" i="14"/>
  <c r="K198" i="14"/>
  <c r="E198" i="14"/>
  <c r="D198" i="14"/>
  <c r="P197" i="14"/>
  <c r="O197" i="14"/>
  <c r="K197" i="14"/>
  <c r="E197" i="14"/>
  <c r="D197" i="14"/>
  <c r="P196" i="14"/>
  <c r="O196" i="14"/>
  <c r="K196" i="14"/>
  <c r="E196" i="14"/>
  <c r="D196" i="14"/>
  <c r="P195" i="14"/>
  <c r="O195" i="14"/>
  <c r="Q195" i="14" s="1"/>
  <c r="K195" i="14"/>
  <c r="E195" i="14"/>
  <c r="D195" i="14"/>
  <c r="P194" i="14"/>
  <c r="O194" i="14"/>
  <c r="K194" i="14"/>
  <c r="E194" i="14"/>
  <c r="D194" i="14"/>
  <c r="P193" i="14"/>
  <c r="O193" i="14"/>
  <c r="K193" i="14"/>
  <c r="E193" i="14"/>
  <c r="D193" i="14"/>
  <c r="P192" i="14"/>
  <c r="O192" i="14"/>
  <c r="K192" i="14"/>
  <c r="E192" i="14"/>
  <c r="D192" i="14"/>
  <c r="P191" i="14"/>
  <c r="O191" i="14"/>
  <c r="K191" i="14"/>
  <c r="E191" i="14"/>
  <c r="D191" i="14"/>
  <c r="P190" i="14"/>
  <c r="O190" i="14"/>
  <c r="K190" i="14"/>
  <c r="E190" i="14"/>
  <c r="D190" i="14"/>
  <c r="P189" i="14"/>
  <c r="O189" i="14"/>
  <c r="K189" i="14"/>
  <c r="E189" i="14"/>
  <c r="D189" i="14"/>
  <c r="P188" i="14"/>
  <c r="O188" i="14"/>
  <c r="K188" i="14"/>
  <c r="E188" i="14"/>
  <c r="D188" i="14"/>
  <c r="P187" i="14"/>
  <c r="O187" i="14"/>
  <c r="K187" i="14"/>
  <c r="E187" i="14"/>
  <c r="D187" i="14"/>
  <c r="P186" i="14"/>
  <c r="O186" i="14"/>
  <c r="K186" i="14"/>
  <c r="E186" i="14"/>
  <c r="D186" i="14"/>
  <c r="P185" i="14"/>
  <c r="O185" i="14"/>
  <c r="K185" i="14"/>
  <c r="E185" i="14"/>
  <c r="D185" i="14"/>
  <c r="P184" i="14"/>
  <c r="O184" i="14"/>
  <c r="K184" i="14"/>
  <c r="E184" i="14"/>
  <c r="D184" i="14"/>
  <c r="P183" i="14"/>
  <c r="O183" i="14"/>
  <c r="Q183" i="14" s="1"/>
  <c r="K183" i="14"/>
  <c r="E183" i="14"/>
  <c r="D183" i="14"/>
  <c r="P182" i="14"/>
  <c r="O182" i="14"/>
  <c r="K182" i="14"/>
  <c r="E182" i="14"/>
  <c r="D182" i="14"/>
  <c r="P181" i="14"/>
  <c r="O181" i="14"/>
  <c r="K181" i="14"/>
  <c r="E181" i="14"/>
  <c r="D181" i="14"/>
  <c r="P180" i="14"/>
  <c r="O180" i="14"/>
  <c r="K180" i="14"/>
  <c r="E180" i="14"/>
  <c r="D180" i="14"/>
  <c r="P179" i="14"/>
  <c r="O179" i="14"/>
  <c r="K179" i="14"/>
  <c r="E179" i="14"/>
  <c r="D179" i="14"/>
  <c r="P178" i="14"/>
  <c r="O178" i="14"/>
  <c r="Q178" i="14" s="1"/>
  <c r="K178" i="14"/>
  <c r="E178" i="14"/>
  <c r="D178" i="14"/>
  <c r="P177" i="14"/>
  <c r="O177" i="14"/>
  <c r="K177" i="14"/>
  <c r="E177" i="14"/>
  <c r="D177" i="14"/>
  <c r="P176" i="14"/>
  <c r="O176" i="14"/>
  <c r="K176" i="14"/>
  <c r="E176" i="14"/>
  <c r="D176" i="14"/>
  <c r="P175" i="14"/>
  <c r="O175" i="14"/>
  <c r="Q175" i="14" s="1"/>
  <c r="K175" i="14"/>
  <c r="E175" i="14"/>
  <c r="D175" i="14"/>
  <c r="P174" i="14"/>
  <c r="O174" i="14"/>
  <c r="K174" i="14"/>
  <c r="E174" i="14"/>
  <c r="D174" i="14"/>
  <c r="P173" i="14"/>
  <c r="O173" i="14"/>
  <c r="K173" i="14"/>
  <c r="E173" i="14"/>
  <c r="D173" i="14"/>
  <c r="P172" i="14"/>
  <c r="O172" i="14"/>
  <c r="K172" i="14"/>
  <c r="E172" i="14"/>
  <c r="D172" i="14"/>
  <c r="P171" i="14"/>
  <c r="O171" i="14"/>
  <c r="K171" i="14"/>
  <c r="E171" i="14"/>
  <c r="D171" i="14"/>
  <c r="P170" i="14"/>
  <c r="O170" i="14"/>
  <c r="K170" i="14"/>
  <c r="E170" i="14"/>
  <c r="D170" i="14"/>
  <c r="P169" i="14"/>
  <c r="O169" i="14"/>
  <c r="K169" i="14"/>
  <c r="E169" i="14"/>
  <c r="D169" i="14"/>
  <c r="P168" i="14"/>
  <c r="O168" i="14"/>
  <c r="K168" i="14"/>
  <c r="E168" i="14"/>
  <c r="D168" i="14"/>
  <c r="P167" i="14"/>
  <c r="O167" i="14"/>
  <c r="K167" i="14"/>
  <c r="E167" i="14"/>
  <c r="D167" i="14"/>
  <c r="P166" i="14"/>
  <c r="O166" i="14"/>
  <c r="K166" i="14"/>
  <c r="E166" i="14"/>
  <c r="D166" i="14"/>
  <c r="P165" i="14"/>
  <c r="O165" i="14"/>
  <c r="K165" i="14"/>
  <c r="E165" i="14"/>
  <c r="D165" i="14"/>
  <c r="P164" i="14"/>
  <c r="O164" i="14"/>
  <c r="K164" i="14"/>
  <c r="E164" i="14"/>
  <c r="D164" i="14"/>
  <c r="P163" i="14"/>
  <c r="O163" i="14"/>
  <c r="K163" i="14"/>
  <c r="E163" i="14"/>
  <c r="D163" i="14"/>
  <c r="P162" i="14"/>
  <c r="O162" i="14"/>
  <c r="K162" i="14"/>
  <c r="E162" i="14"/>
  <c r="D162" i="14"/>
  <c r="P161" i="14"/>
  <c r="O161" i="14"/>
  <c r="K161" i="14"/>
  <c r="E161" i="14"/>
  <c r="D161" i="14"/>
  <c r="P160" i="14"/>
  <c r="O160" i="14"/>
  <c r="K160" i="14"/>
  <c r="E160" i="14"/>
  <c r="D160" i="14"/>
  <c r="P159" i="14"/>
  <c r="O159" i="14"/>
  <c r="K159" i="14"/>
  <c r="E159" i="14"/>
  <c r="D159" i="14"/>
  <c r="P158" i="14"/>
  <c r="O158" i="14"/>
  <c r="K158" i="14"/>
  <c r="E158" i="14"/>
  <c r="D158" i="14"/>
  <c r="P157" i="14"/>
  <c r="O157" i="14"/>
  <c r="K157" i="14"/>
  <c r="E157" i="14"/>
  <c r="D157" i="14"/>
  <c r="P156" i="14"/>
  <c r="O156" i="14"/>
  <c r="K156" i="14"/>
  <c r="E156" i="14"/>
  <c r="D156" i="14"/>
  <c r="P155" i="14"/>
  <c r="O155" i="14"/>
  <c r="K155" i="14"/>
  <c r="E155" i="14"/>
  <c r="D155" i="14"/>
  <c r="P154" i="14"/>
  <c r="O154" i="14"/>
  <c r="K154" i="14"/>
  <c r="E154" i="14"/>
  <c r="D154" i="14"/>
  <c r="P153" i="14"/>
  <c r="O153" i="14"/>
  <c r="K153" i="14"/>
  <c r="E153" i="14"/>
  <c r="D153" i="14"/>
  <c r="P152" i="14"/>
  <c r="O152" i="14"/>
  <c r="K152" i="14"/>
  <c r="E152" i="14"/>
  <c r="D152" i="14"/>
  <c r="P151" i="14"/>
  <c r="O151" i="14"/>
  <c r="K151" i="14"/>
  <c r="E151" i="14"/>
  <c r="D151" i="14"/>
  <c r="P150" i="14"/>
  <c r="O150" i="14"/>
  <c r="K150" i="14"/>
  <c r="E150" i="14"/>
  <c r="D150" i="14"/>
  <c r="P149" i="14"/>
  <c r="O149" i="14"/>
  <c r="K149" i="14"/>
  <c r="E149" i="14"/>
  <c r="D149" i="14"/>
  <c r="P148" i="14"/>
  <c r="O148" i="14"/>
  <c r="K148" i="14"/>
  <c r="E148" i="14"/>
  <c r="D148" i="14"/>
  <c r="P147" i="14"/>
  <c r="O147" i="14"/>
  <c r="K147" i="14"/>
  <c r="E147" i="14"/>
  <c r="D147" i="14"/>
  <c r="P146" i="14"/>
  <c r="O146" i="14"/>
  <c r="K146" i="14"/>
  <c r="E146" i="14"/>
  <c r="D146" i="14"/>
  <c r="P145" i="14"/>
  <c r="O145" i="14"/>
  <c r="K145" i="14"/>
  <c r="E145" i="14"/>
  <c r="D145" i="14"/>
  <c r="P144" i="14"/>
  <c r="O144" i="14"/>
  <c r="K144" i="14"/>
  <c r="E144" i="14"/>
  <c r="D144" i="14"/>
  <c r="P143" i="14"/>
  <c r="O143" i="14"/>
  <c r="K143" i="14"/>
  <c r="E143" i="14"/>
  <c r="D143" i="14"/>
  <c r="P142" i="14"/>
  <c r="O142" i="14"/>
  <c r="K142" i="14"/>
  <c r="E142" i="14"/>
  <c r="D142" i="14"/>
  <c r="P141" i="14"/>
  <c r="O141" i="14"/>
  <c r="K141" i="14"/>
  <c r="E141" i="14"/>
  <c r="D141" i="14"/>
  <c r="P140" i="14"/>
  <c r="O140" i="14"/>
  <c r="K140" i="14"/>
  <c r="E140" i="14"/>
  <c r="D140" i="14"/>
  <c r="P139" i="14"/>
  <c r="O139" i="14"/>
  <c r="K139" i="14"/>
  <c r="E139" i="14"/>
  <c r="D139" i="14"/>
  <c r="P138" i="14"/>
  <c r="O138" i="14"/>
  <c r="K138" i="14"/>
  <c r="E138" i="14"/>
  <c r="D138" i="14"/>
  <c r="P137" i="14"/>
  <c r="O137" i="14"/>
  <c r="K137" i="14"/>
  <c r="E137" i="14"/>
  <c r="D137" i="14"/>
  <c r="P136" i="14"/>
  <c r="O136" i="14"/>
  <c r="K136" i="14"/>
  <c r="E136" i="14"/>
  <c r="D136" i="14"/>
  <c r="P135" i="14"/>
  <c r="O135" i="14"/>
  <c r="K135" i="14"/>
  <c r="E135" i="14"/>
  <c r="D135" i="14"/>
  <c r="P134" i="14"/>
  <c r="O134" i="14"/>
  <c r="K134" i="14"/>
  <c r="E134" i="14"/>
  <c r="D134" i="14"/>
  <c r="P133" i="14"/>
  <c r="O133" i="14"/>
  <c r="K133" i="14"/>
  <c r="E133" i="14"/>
  <c r="D133" i="14"/>
  <c r="P132" i="14"/>
  <c r="O132" i="14"/>
  <c r="K132" i="14"/>
  <c r="E132" i="14"/>
  <c r="D132" i="14"/>
  <c r="P131" i="14"/>
  <c r="O131" i="14"/>
  <c r="K131" i="14"/>
  <c r="E131" i="14"/>
  <c r="D131" i="14"/>
  <c r="P130" i="14"/>
  <c r="O130" i="14"/>
  <c r="K130" i="14"/>
  <c r="E130" i="14"/>
  <c r="D130" i="14"/>
  <c r="P129" i="14"/>
  <c r="O129" i="14"/>
  <c r="K129" i="14"/>
  <c r="E129" i="14"/>
  <c r="D129" i="14"/>
  <c r="P128" i="14"/>
  <c r="O128" i="14"/>
  <c r="K128" i="14"/>
  <c r="E128" i="14"/>
  <c r="D128" i="14"/>
  <c r="P127" i="14"/>
  <c r="O127" i="14"/>
  <c r="K127" i="14"/>
  <c r="E127" i="14"/>
  <c r="D127" i="14"/>
  <c r="P126" i="14"/>
  <c r="O126" i="14"/>
  <c r="K126" i="14"/>
  <c r="E126" i="14"/>
  <c r="D126" i="14"/>
  <c r="P125" i="14"/>
  <c r="O125" i="14"/>
  <c r="Q125" i="14" s="1"/>
  <c r="K125" i="14"/>
  <c r="E125" i="14"/>
  <c r="D125" i="14"/>
  <c r="P124" i="14"/>
  <c r="O124" i="14"/>
  <c r="K124" i="14"/>
  <c r="E124" i="14"/>
  <c r="D124" i="14"/>
  <c r="P123" i="14"/>
  <c r="O123" i="14"/>
  <c r="K123" i="14"/>
  <c r="E123" i="14"/>
  <c r="D123" i="14"/>
  <c r="P122" i="14"/>
  <c r="O122" i="14"/>
  <c r="K122" i="14"/>
  <c r="E122" i="14"/>
  <c r="D122" i="14"/>
  <c r="P121" i="14"/>
  <c r="O121" i="14"/>
  <c r="K121" i="14"/>
  <c r="E121" i="14"/>
  <c r="D121" i="14"/>
  <c r="P120" i="14"/>
  <c r="O120" i="14"/>
  <c r="K120" i="14"/>
  <c r="E120" i="14"/>
  <c r="D120" i="14"/>
  <c r="P119" i="14"/>
  <c r="O119" i="14"/>
  <c r="K119" i="14"/>
  <c r="E119" i="14"/>
  <c r="D119" i="14"/>
  <c r="P118" i="14"/>
  <c r="O118" i="14"/>
  <c r="K118" i="14"/>
  <c r="E118" i="14"/>
  <c r="D118" i="14"/>
  <c r="P117" i="14"/>
  <c r="O117" i="14"/>
  <c r="K117" i="14"/>
  <c r="E117" i="14"/>
  <c r="D117" i="14"/>
  <c r="P116" i="14"/>
  <c r="O116" i="14"/>
  <c r="K116" i="14"/>
  <c r="E116" i="14"/>
  <c r="D116" i="14"/>
  <c r="P115" i="14"/>
  <c r="O115" i="14"/>
  <c r="K115" i="14"/>
  <c r="E115" i="14"/>
  <c r="D115" i="14"/>
  <c r="P114" i="14"/>
  <c r="O114" i="14"/>
  <c r="Q114" i="14" s="1"/>
  <c r="K114" i="14"/>
  <c r="E114" i="14"/>
  <c r="D114" i="14"/>
  <c r="P113" i="14"/>
  <c r="O113" i="14"/>
  <c r="K113" i="14"/>
  <c r="E113" i="14"/>
  <c r="D113" i="14"/>
  <c r="P112" i="14"/>
  <c r="O112" i="14"/>
  <c r="K112" i="14"/>
  <c r="E112" i="14"/>
  <c r="D112" i="14"/>
  <c r="P111" i="14"/>
  <c r="O111" i="14"/>
  <c r="Q111" i="14" s="1"/>
  <c r="K111" i="14"/>
  <c r="E111" i="14"/>
  <c r="D111" i="14"/>
  <c r="P110" i="14"/>
  <c r="O110" i="14"/>
  <c r="K110" i="14"/>
  <c r="E110" i="14"/>
  <c r="D110" i="14"/>
  <c r="P109" i="14"/>
  <c r="O109" i="14"/>
  <c r="K109" i="14"/>
  <c r="E109" i="14"/>
  <c r="D109" i="14"/>
  <c r="P108" i="14"/>
  <c r="O108" i="14"/>
  <c r="Q108" i="14" s="1"/>
  <c r="K108" i="14"/>
  <c r="E108" i="14"/>
  <c r="D108" i="14"/>
  <c r="P107" i="14"/>
  <c r="O107" i="14"/>
  <c r="K107" i="14"/>
  <c r="E107" i="14"/>
  <c r="D107" i="14"/>
  <c r="P106" i="14"/>
  <c r="O106" i="14"/>
  <c r="K106" i="14"/>
  <c r="E106" i="14"/>
  <c r="D106" i="14"/>
  <c r="P105" i="14"/>
  <c r="O105" i="14"/>
  <c r="K105" i="14"/>
  <c r="E105" i="14"/>
  <c r="D105" i="14"/>
  <c r="P104" i="14"/>
  <c r="O104" i="14"/>
  <c r="K104" i="14"/>
  <c r="E104" i="14"/>
  <c r="D104" i="14"/>
  <c r="P103" i="14"/>
  <c r="O103" i="14"/>
  <c r="K103" i="14"/>
  <c r="E103" i="14"/>
  <c r="D103" i="14"/>
  <c r="P102" i="14"/>
  <c r="O102" i="14"/>
  <c r="K102" i="14"/>
  <c r="E102" i="14"/>
  <c r="D102" i="14"/>
  <c r="P101" i="14"/>
  <c r="O101" i="14"/>
  <c r="K101" i="14"/>
  <c r="E101" i="14"/>
  <c r="D101" i="14"/>
  <c r="P100" i="14"/>
  <c r="O100" i="14"/>
  <c r="K100" i="14"/>
  <c r="E100" i="14"/>
  <c r="D100" i="14"/>
  <c r="P99" i="14"/>
  <c r="O99" i="14"/>
  <c r="Q99" i="14" s="1"/>
  <c r="K99" i="14"/>
  <c r="E99" i="14"/>
  <c r="D99" i="14"/>
  <c r="P98" i="14"/>
  <c r="O98" i="14"/>
  <c r="K98" i="14"/>
  <c r="E98" i="14"/>
  <c r="D98" i="14"/>
  <c r="P97" i="14"/>
  <c r="O97" i="14"/>
  <c r="K97" i="14"/>
  <c r="E97" i="14"/>
  <c r="D97" i="14"/>
  <c r="P96" i="14"/>
  <c r="O96" i="14"/>
  <c r="Q96" i="14" s="1"/>
  <c r="K96" i="14"/>
  <c r="E96" i="14"/>
  <c r="D96" i="14"/>
  <c r="P95" i="14"/>
  <c r="O95" i="14"/>
  <c r="K95" i="14"/>
  <c r="E95" i="14"/>
  <c r="D95" i="14"/>
  <c r="P94" i="14"/>
  <c r="O94" i="14"/>
  <c r="K94" i="14"/>
  <c r="E94" i="14"/>
  <c r="D94" i="14"/>
  <c r="P93" i="14"/>
  <c r="O93" i="14"/>
  <c r="K93" i="14"/>
  <c r="E93" i="14"/>
  <c r="D93" i="14"/>
  <c r="P92" i="14"/>
  <c r="O92" i="14"/>
  <c r="K92" i="14"/>
  <c r="E92" i="14"/>
  <c r="D92" i="14"/>
  <c r="P91" i="14"/>
  <c r="O91" i="14"/>
  <c r="K91" i="14"/>
  <c r="E91" i="14"/>
  <c r="D91" i="14"/>
  <c r="P90" i="14"/>
  <c r="O90" i="14"/>
  <c r="Q90" i="14" s="1"/>
  <c r="K90" i="14"/>
  <c r="E90" i="14"/>
  <c r="D90" i="14"/>
  <c r="P89" i="14"/>
  <c r="O89" i="14"/>
  <c r="K89" i="14"/>
  <c r="E89" i="14"/>
  <c r="D89" i="14"/>
  <c r="P88" i="14"/>
  <c r="O88" i="14"/>
  <c r="K88" i="14"/>
  <c r="E88" i="14"/>
  <c r="D88" i="14"/>
  <c r="P87" i="14"/>
  <c r="O87" i="14"/>
  <c r="Q87" i="14" s="1"/>
  <c r="K87" i="14"/>
  <c r="E87" i="14"/>
  <c r="D87" i="14"/>
  <c r="P86" i="14"/>
  <c r="O86" i="14"/>
  <c r="K86" i="14"/>
  <c r="E86" i="14"/>
  <c r="D86" i="14"/>
  <c r="P85" i="14"/>
  <c r="O85" i="14"/>
  <c r="K85" i="14"/>
  <c r="E85" i="14"/>
  <c r="D85" i="14"/>
  <c r="P84" i="14"/>
  <c r="O84" i="14"/>
  <c r="K84" i="14"/>
  <c r="E84" i="14"/>
  <c r="D84" i="14"/>
  <c r="P83" i="14"/>
  <c r="O83" i="14"/>
  <c r="K83" i="14"/>
  <c r="E83" i="14"/>
  <c r="D83" i="14"/>
  <c r="P82" i="14"/>
  <c r="O82" i="14"/>
  <c r="K82" i="14"/>
  <c r="E82" i="14"/>
  <c r="D82" i="14"/>
  <c r="P81" i="14"/>
  <c r="O81" i="14"/>
  <c r="K81" i="14"/>
  <c r="E81" i="14"/>
  <c r="D81" i="14"/>
  <c r="P80" i="14"/>
  <c r="O80" i="14"/>
  <c r="K80" i="14"/>
  <c r="E80" i="14"/>
  <c r="D80" i="14"/>
  <c r="P79" i="14"/>
  <c r="O79" i="14"/>
  <c r="K79" i="14"/>
  <c r="E79" i="14"/>
  <c r="D79" i="14"/>
  <c r="P78" i="14"/>
  <c r="O78" i="14"/>
  <c r="K78" i="14"/>
  <c r="E78" i="14"/>
  <c r="D78" i="14"/>
  <c r="P77" i="14"/>
  <c r="O77" i="14"/>
  <c r="K77" i="14"/>
  <c r="E77" i="14"/>
  <c r="D77" i="14"/>
  <c r="P76" i="14"/>
  <c r="O76" i="14"/>
  <c r="K76" i="14"/>
  <c r="E76" i="14"/>
  <c r="D76" i="14"/>
  <c r="P75" i="14"/>
  <c r="O75" i="14"/>
  <c r="Q75" i="14" s="1"/>
  <c r="K75" i="14"/>
  <c r="E75" i="14"/>
  <c r="D75" i="14"/>
  <c r="P74" i="14"/>
  <c r="O74" i="14"/>
  <c r="K74" i="14"/>
  <c r="E74" i="14"/>
  <c r="D74" i="14"/>
  <c r="P73" i="14"/>
  <c r="O73" i="14"/>
  <c r="K73" i="14"/>
  <c r="E73" i="14"/>
  <c r="D73" i="14"/>
  <c r="P72" i="14"/>
  <c r="O72" i="14"/>
  <c r="K72" i="14"/>
  <c r="E72" i="14"/>
  <c r="D72" i="14"/>
  <c r="P71" i="14"/>
  <c r="O71" i="14"/>
  <c r="K71" i="14"/>
  <c r="E71" i="14"/>
  <c r="D71" i="14"/>
  <c r="P70" i="14"/>
  <c r="O70" i="14"/>
  <c r="K70" i="14"/>
  <c r="E70" i="14"/>
  <c r="D70" i="14"/>
  <c r="P69" i="14"/>
  <c r="O69" i="14"/>
  <c r="K69" i="14"/>
  <c r="E69" i="14"/>
  <c r="D69" i="14"/>
  <c r="P68" i="14"/>
  <c r="O68" i="14"/>
  <c r="K68" i="14"/>
  <c r="E68" i="14"/>
  <c r="D68" i="14"/>
  <c r="P67" i="14"/>
  <c r="O67" i="14"/>
  <c r="K67" i="14"/>
  <c r="E67" i="14"/>
  <c r="D67" i="14"/>
  <c r="P66" i="14"/>
  <c r="O66" i="14"/>
  <c r="Q66" i="14" s="1"/>
  <c r="K66" i="14"/>
  <c r="E66" i="14"/>
  <c r="D66" i="14"/>
  <c r="P65" i="14"/>
  <c r="O65" i="14"/>
  <c r="K65" i="14"/>
  <c r="E65" i="14"/>
  <c r="D65" i="14"/>
  <c r="P64" i="14"/>
  <c r="O64" i="14"/>
  <c r="K64" i="14"/>
  <c r="E64" i="14"/>
  <c r="D64" i="14"/>
  <c r="P63" i="14"/>
  <c r="O63" i="14"/>
  <c r="K63" i="14"/>
  <c r="E63" i="14"/>
  <c r="D63" i="14"/>
  <c r="P62" i="14"/>
  <c r="O62" i="14"/>
  <c r="K62" i="14"/>
  <c r="E62" i="14"/>
  <c r="D62" i="14"/>
  <c r="P61" i="14"/>
  <c r="O61" i="14"/>
  <c r="K61" i="14"/>
  <c r="E61" i="14"/>
  <c r="D61" i="14"/>
  <c r="P60" i="14"/>
  <c r="O60" i="14"/>
  <c r="Q60" i="14" s="1"/>
  <c r="K60" i="14"/>
  <c r="E60" i="14"/>
  <c r="D60" i="14"/>
  <c r="P59" i="14"/>
  <c r="O59" i="14"/>
  <c r="K59" i="14"/>
  <c r="E59" i="14"/>
  <c r="D59" i="14"/>
  <c r="P58" i="14"/>
  <c r="O58" i="14"/>
  <c r="K58" i="14"/>
  <c r="E58" i="14"/>
  <c r="D58" i="14"/>
  <c r="P57" i="14"/>
  <c r="O57" i="14"/>
  <c r="K57" i="14"/>
  <c r="E57" i="14"/>
  <c r="D57" i="14"/>
  <c r="P56" i="14"/>
  <c r="O56" i="14"/>
  <c r="K56" i="14"/>
  <c r="E56" i="14"/>
  <c r="D56" i="14"/>
  <c r="P55" i="14"/>
  <c r="O55" i="14"/>
  <c r="K55" i="14"/>
  <c r="E55" i="14"/>
  <c r="D55" i="14"/>
  <c r="P54" i="14"/>
  <c r="O54" i="14"/>
  <c r="Q54" i="14" s="1"/>
  <c r="K54" i="14"/>
  <c r="E54" i="14"/>
  <c r="D54" i="14"/>
  <c r="P53" i="14"/>
  <c r="O53" i="14"/>
  <c r="K53" i="14"/>
  <c r="E53" i="14"/>
  <c r="D53" i="14"/>
  <c r="P52" i="14"/>
  <c r="O52" i="14"/>
  <c r="K52" i="14"/>
  <c r="E52" i="14"/>
  <c r="D52" i="14"/>
  <c r="P51" i="14"/>
  <c r="O51" i="14"/>
  <c r="Q51" i="14" s="1"/>
  <c r="K51" i="14"/>
  <c r="E51" i="14"/>
  <c r="D51" i="14"/>
  <c r="P50" i="14"/>
  <c r="O50" i="14"/>
  <c r="K50" i="14"/>
  <c r="E50" i="14"/>
  <c r="D50" i="14"/>
  <c r="P49" i="14"/>
  <c r="O49" i="14"/>
  <c r="K49" i="14"/>
  <c r="E49" i="14"/>
  <c r="D49" i="14"/>
  <c r="P48" i="14"/>
  <c r="O48" i="14"/>
  <c r="K48" i="14"/>
  <c r="E48" i="14"/>
  <c r="D48" i="14"/>
  <c r="P47" i="14"/>
  <c r="O47" i="14"/>
  <c r="K47" i="14"/>
  <c r="E47" i="14"/>
  <c r="D47" i="14"/>
  <c r="P46" i="14"/>
  <c r="O46" i="14"/>
  <c r="K46" i="14"/>
  <c r="E46" i="14"/>
  <c r="D46" i="14"/>
  <c r="P45" i="14"/>
  <c r="O45" i="14"/>
  <c r="K45" i="14"/>
  <c r="E45" i="14"/>
  <c r="D45" i="14"/>
  <c r="P44" i="14"/>
  <c r="O44" i="14"/>
  <c r="K44" i="14"/>
  <c r="E44" i="14"/>
  <c r="D44" i="14"/>
  <c r="P43" i="14"/>
  <c r="O43" i="14"/>
  <c r="K43" i="14"/>
  <c r="E43" i="14"/>
  <c r="D43" i="14"/>
  <c r="P42" i="14"/>
  <c r="O42" i="14"/>
  <c r="Q42" i="14" s="1"/>
  <c r="K42" i="14"/>
  <c r="E42" i="14"/>
  <c r="D42" i="14"/>
  <c r="P41" i="14"/>
  <c r="O41" i="14"/>
  <c r="K41" i="14"/>
  <c r="E41" i="14"/>
  <c r="D41" i="14"/>
  <c r="P40" i="14"/>
  <c r="O40" i="14"/>
  <c r="K40" i="14"/>
  <c r="E40" i="14"/>
  <c r="D40" i="14"/>
  <c r="P39" i="14"/>
  <c r="O39" i="14"/>
  <c r="K39" i="14"/>
  <c r="E39" i="14"/>
  <c r="D39" i="14"/>
  <c r="P38" i="14"/>
  <c r="O38" i="14"/>
  <c r="K38" i="14"/>
  <c r="E38" i="14"/>
  <c r="D38" i="14"/>
  <c r="P37" i="14"/>
  <c r="O37" i="14"/>
  <c r="K37" i="14"/>
  <c r="E37" i="14"/>
  <c r="D37" i="14"/>
  <c r="P36" i="14"/>
  <c r="O36" i="14"/>
  <c r="Q36" i="14" s="1"/>
  <c r="K36" i="14"/>
  <c r="E36" i="14"/>
  <c r="D36" i="14"/>
  <c r="P35" i="14"/>
  <c r="O35" i="14"/>
  <c r="K35" i="14"/>
  <c r="E35" i="14"/>
  <c r="D35" i="14"/>
  <c r="P34" i="14"/>
  <c r="O34" i="14"/>
  <c r="K34" i="14"/>
  <c r="E34" i="14"/>
  <c r="D34" i="14"/>
  <c r="P33" i="14"/>
  <c r="O33" i="14"/>
  <c r="K33" i="14"/>
  <c r="E33" i="14"/>
  <c r="D33" i="14"/>
  <c r="P32" i="14"/>
  <c r="O32" i="14"/>
  <c r="K32" i="14"/>
  <c r="E32" i="14"/>
  <c r="D32" i="14"/>
  <c r="P31" i="14"/>
  <c r="O31" i="14"/>
  <c r="K31" i="14"/>
  <c r="E31" i="14"/>
  <c r="D31" i="14"/>
  <c r="P30" i="14"/>
  <c r="O30" i="14"/>
  <c r="Q30" i="14" s="1"/>
  <c r="K30" i="14"/>
  <c r="E30" i="14"/>
  <c r="D30" i="14"/>
  <c r="P29" i="14"/>
  <c r="O29" i="14"/>
  <c r="K29" i="14"/>
  <c r="E29" i="14"/>
  <c r="D29" i="14"/>
  <c r="P28" i="14"/>
  <c r="O28" i="14"/>
  <c r="K28" i="14"/>
  <c r="E28" i="14"/>
  <c r="D28" i="14"/>
  <c r="P27" i="14"/>
  <c r="O27" i="14"/>
  <c r="Q27" i="14" s="1"/>
  <c r="K27" i="14"/>
  <c r="E27" i="14"/>
  <c r="D27" i="14"/>
  <c r="P26" i="14"/>
  <c r="O26" i="14"/>
  <c r="K26" i="14"/>
  <c r="E26" i="14"/>
  <c r="D26" i="14"/>
  <c r="P25" i="14"/>
  <c r="O25" i="14"/>
  <c r="K25" i="14"/>
  <c r="E25" i="14"/>
  <c r="D25" i="14"/>
  <c r="P24" i="14"/>
  <c r="O24" i="14"/>
  <c r="K24" i="14"/>
  <c r="E24" i="14"/>
  <c r="D24" i="14"/>
  <c r="P23" i="14"/>
  <c r="O23" i="14"/>
  <c r="K23" i="14"/>
  <c r="E23" i="14"/>
  <c r="D23" i="14"/>
  <c r="P22" i="14"/>
  <c r="O22" i="14"/>
  <c r="K22" i="14"/>
  <c r="E22" i="14"/>
  <c r="D22" i="14"/>
  <c r="P21" i="14"/>
  <c r="O21" i="14"/>
  <c r="K21" i="14"/>
  <c r="E21" i="14"/>
  <c r="D21" i="14"/>
  <c r="P20" i="14"/>
  <c r="O20" i="14"/>
  <c r="K20" i="14"/>
  <c r="E20" i="14"/>
  <c r="D20" i="14"/>
  <c r="P19" i="14"/>
  <c r="O19" i="14"/>
  <c r="K19" i="14"/>
  <c r="E19" i="14"/>
  <c r="D19" i="14"/>
  <c r="P18" i="14"/>
  <c r="O18" i="14"/>
  <c r="K18" i="14"/>
  <c r="E18" i="14"/>
  <c r="D18" i="14"/>
  <c r="P17" i="14"/>
  <c r="O17" i="14"/>
  <c r="K17" i="14"/>
  <c r="E17" i="14"/>
  <c r="D17" i="14"/>
  <c r="P16" i="14"/>
  <c r="O16" i="14"/>
  <c r="K16" i="14"/>
  <c r="E16" i="14"/>
  <c r="D16" i="14"/>
  <c r="P15" i="14"/>
  <c r="O15" i="14"/>
  <c r="Q15" i="14" s="1"/>
  <c r="K15" i="14"/>
  <c r="E15" i="14"/>
  <c r="D15" i="14"/>
  <c r="P14" i="14"/>
  <c r="O14" i="14"/>
  <c r="K14" i="14"/>
  <c r="E14" i="14"/>
  <c r="D14" i="14"/>
  <c r="P13" i="14"/>
  <c r="O13" i="14"/>
  <c r="K13" i="14"/>
  <c r="E13" i="14"/>
  <c r="D13" i="14"/>
  <c r="P12" i="14"/>
  <c r="O12" i="14"/>
  <c r="K12" i="14"/>
  <c r="E12" i="14"/>
  <c r="D12" i="14"/>
  <c r="P11" i="14"/>
  <c r="O11" i="14"/>
  <c r="K11" i="14"/>
  <c r="E11" i="14"/>
  <c r="D11" i="14"/>
  <c r="P10" i="14"/>
  <c r="O10" i="14"/>
  <c r="K10" i="14"/>
  <c r="E10" i="14"/>
  <c r="D10" i="14"/>
  <c r="P9" i="14"/>
  <c r="O9" i="14"/>
  <c r="K9" i="14"/>
  <c r="E9" i="14"/>
  <c r="D9" i="14"/>
  <c r="P8" i="14"/>
  <c r="O8" i="14"/>
  <c r="K8" i="14"/>
  <c r="E8" i="14"/>
  <c r="D8" i="14"/>
  <c r="P7" i="14"/>
  <c r="O7" i="14"/>
  <c r="K7" i="14"/>
  <c r="E7" i="14"/>
  <c r="D7" i="14"/>
  <c r="P6" i="14"/>
  <c r="O6" i="14"/>
  <c r="Q6" i="14" s="1"/>
  <c r="K6" i="14"/>
  <c r="E6" i="14"/>
  <c r="D6" i="14"/>
  <c r="P5" i="14"/>
  <c r="O5" i="14"/>
  <c r="K5" i="14"/>
  <c r="E5" i="14"/>
  <c r="D5" i="14"/>
  <c r="P4" i="14"/>
  <c r="O4" i="14"/>
  <c r="K4" i="14"/>
  <c r="E4" i="14"/>
  <c r="D4" i="14"/>
  <c r="P3" i="14"/>
  <c r="O3" i="14"/>
  <c r="Q3" i="14" s="1"/>
  <c r="K3" i="14"/>
  <c r="E3" i="14"/>
  <c r="D3" i="14"/>
  <c r="P2" i="14"/>
  <c r="O2" i="14"/>
  <c r="K2" i="14"/>
  <c r="E2" i="14"/>
  <c r="D2" i="14"/>
  <c r="U633" i="11"/>
  <c r="T633" i="11"/>
  <c r="V633" i="11" s="1"/>
  <c r="P633" i="11"/>
  <c r="F633" i="11"/>
  <c r="E633" i="11"/>
  <c r="D633" i="11"/>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C188" i="7"/>
  <c r="C189" i="7"/>
  <c r="C190" i="7"/>
  <c r="C191" i="7"/>
  <c r="C192" i="7"/>
  <c r="C193" i="7"/>
  <c r="C194" i="7"/>
  <c r="C195" i="7"/>
  <c r="C196" i="7"/>
  <c r="C197" i="7"/>
  <c r="C198" i="7"/>
  <c r="C199" i="7"/>
  <c r="C200" i="7"/>
  <c r="C201" i="7"/>
  <c r="C202" i="7"/>
  <c r="C203" i="7"/>
  <c r="C204" i="7"/>
  <c r="C205" i="7"/>
  <c r="C206" i="7"/>
  <c r="C207" i="7"/>
  <c r="C208" i="7"/>
  <c r="C209" i="7"/>
  <c r="C210" i="7"/>
  <c r="C211" i="7"/>
  <c r="C212" i="7"/>
  <c r="C213" i="7"/>
  <c r="C214" i="7"/>
  <c r="C215" i="7"/>
  <c r="C216" i="7"/>
  <c r="C217" i="7"/>
  <c r="C218" i="7"/>
  <c r="C219" i="7"/>
  <c r="C220" i="7"/>
  <c r="C221" i="7"/>
  <c r="C222" i="7"/>
  <c r="C223" i="7"/>
  <c r="C224" i="7"/>
  <c r="C225" i="7"/>
  <c r="C226" i="7"/>
  <c r="C227" i="7"/>
  <c r="C228" i="7"/>
  <c r="C229" i="7"/>
  <c r="C230" i="7"/>
  <c r="C231" i="7"/>
  <c r="C232" i="7"/>
  <c r="C233" i="7"/>
  <c r="C234" i="7"/>
  <c r="C235" i="7"/>
  <c r="C236" i="7"/>
  <c r="C237" i="7"/>
  <c r="C238" i="7"/>
  <c r="C239" i="7"/>
  <c r="C240" i="7"/>
  <c r="C241" i="7"/>
  <c r="C242" i="7"/>
  <c r="C243" i="7"/>
  <c r="C244" i="7"/>
  <c r="C245" i="7"/>
  <c r="C246" i="7"/>
  <c r="C247" i="7"/>
  <c r="C248" i="7"/>
  <c r="C249" i="7"/>
  <c r="C250" i="7"/>
  <c r="C251" i="7"/>
  <c r="C252" i="7"/>
  <c r="C253" i="7"/>
  <c r="C254" i="7"/>
  <c r="C255" i="7"/>
  <c r="C256" i="7"/>
  <c r="C257" i="7"/>
  <c r="C258" i="7"/>
  <c r="C259" i="7"/>
  <c r="C260" i="7"/>
  <c r="C261" i="7"/>
  <c r="C262" i="7"/>
  <c r="C263" i="7"/>
  <c r="C264" i="7"/>
  <c r="C265" i="7"/>
  <c r="C266" i="7"/>
  <c r="C267" i="7"/>
  <c r="C268" i="7"/>
  <c r="C269" i="7"/>
  <c r="C270" i="7"/>
  <c r="C271" i="7"/>
  <c r="C272" i="7"/>
  <c r="C273" i="7"/>
  <c r="C274" i="7"/>
  <c r="C275" i="7"/>
  <c r="C276" i="7"/>
  <c r="C277" i="7"/>
  <c r="C278" i="7"/>
  <c r="C279" i="7"/>
  <c r="C280" i="7"/>
  <c r="C281" i="7"/>
  <c r="C282" i="7"/>
  <c r="C283" i="7"/>
  <c r="C284" i="7"/>
  <c r="C285" i="7"/>
  <c r="C286" i="7"/>
  <c r="C287" i="7"/>
  <c r="C288" i="7"/>
  <c r="C289" i="7"/>
  <c r="C290" i="7"/>
  <c r="C291" i="7"/>
  <c r="C292" i="7"/>
  <c r="C293" i="7"/>
  <c r="C294" i="7"/>
  <c r="C295" i="7"/>
  <c r="C296" i="7"/>
  <c r="C297" i="7"/>
  <c r="C298" i="7"/>
  <c r="C299" i="7"/>
  <c r="C300" i="7"/>
  <c r="C301" i="7"/>
  <c r="C302" i="7"/>
  <c r="C303" i="7"/>
  <c r="C304" i="7"/>
  <c r="C305" i="7"/>
  <c r="C306" i="7"/>
  <c r="C307" i="7"/>
  <c r="C308" i="7"/>
  <c r="C309" i="7"/>
  <c r="C310" i="7"/>
  <c r="C311" i="7"/>
  <c r="C312" i="7"/>
  <c r="C313" i="7"/>
  <c r="C314" i="7"/>
  <c r="C315" i="7"/>
  <c r="C316" i="7"/>
  <c r="C317" i="7"/>
  <c r="C318" i="7"/>
  <c r="C319" i="7"/>
  <c r="C320" i="7"/>
  <c r="C321" i="7"/>
  <c r="C322" i="7"/>
  <c r="C323" i="7"/>
  <c r="C324" i="7"/>
  <c r="C325" i="7"/>
  <c r="C326" i="7"/>
  <c r="C327" i="7"/>
  <c r="C328" i="7"/>
  <c r="C329" i="7"/>
  <c r="C330" i="7"/>
  <c r="C331" i="7"/>
  <c r="C332" i="7"/>
  <c r="C333" i="7"/>
  <c r="C334" i="7"/>
  <c r="C335" i="7"/>
  <c r="C336" i="7"/>
  <c r="C337" i="7"/>
  <c r="C338" i="7"/>
  <c r="C339" i="7"/>
  <c r="C340" i="7"/>
  <c r="C341" i="7"/>
  <c r="C342" i="7"/>
  <c r="C343" i="7"/>
  <c r="C344" i="7"/>
  <c r="C345" i="7"/>
  <c r="C346" i="7"/>
  <c r="C347" i="7"/>
  <c r="C348" i="7"/>
  <c r="C349" i="7"/>
  <c r="C350" i="7"/>
  <c r="C351" i="7"/>
  <c r="C352" i="7"/>
  <c r="C353" i="7"/>
  <c r="C354" i="7"/>
  <c r="C355" i="7"/>
  <c r="C356" i="7"/>
  <c r="C357" i="7"/>
  <c r="C358" i="7"/>
  <c r="C359" i="7"/>
  <c r="C360" i="7"/>
  <c r="C361" i="7"/>
  <c r="C362" i="7"/>
  <c r="C363" i="7"/>
  <c r="C364" i="7"/>
  <c r="C365" i="7"/>
  <c r="C366" i="7"/>
  <c r="C367" i="7"/>
  <c r="C368" i="7"/>
  <c r="C369" i="7"/>
  <c r="C370" i="7"/>
  <c r="C371" i="7"/>
  <c r="C372" i="7"/>
  <c r="C373" i="7"/>
  <c r="C374" i="7"/>
  <c r="C375" i="7"/>
  <c r="C376" i="7"/>
  <c r="C377" i="7"/>
  <c r="C378" i="7"/>
  <c r="C379" i="7"/>
  <c r="C380" i="7"/>
  <c r="C381" i="7"/>
  <c r="C382" i="7"/>
  <c r="C383" i="7"/>
  <c r="C384" i="7"/>
  <c r="C385" i="7"/>
  <c r="C386" i="7"/>
  <c r="C387" i="7"/>
  <c r="C388" i="7"/>
  <c r="C389" i="7"/>
  <c r="C390" i="7"/>
  <c r="C391" i="7"/>
  <c r="C392" i="7"/>
  <c r="C393" i="7"/>
  <c r="C394" i="7"/>
  <c r="C395" i="7"/>
  <c r="C396" i="7"/>
  <c r="C397" i="7"/>
  <c r="C398" i="7"/>
  <c r="C399" i="7"/>
  <c r="C400" i="7"/>
  <c r="C401" i="7"/>
  <c r="C402" i="7"/>
  <c r="C403" i="7"/>
  <c r="C404" i="7"/>
  <c r="C405" i="7"/>
  <c r="C406" i="7"/>
  <c r="C407" i="7"/>
  <c r="C408" i="7"/>
  <c r="C409" i="7"/>
  <c r="C410" i="7"/>
  <c r="C411" i="7"/>
  <c r="C412" i="7"/>
  <c r="C413" i="7"/>
  <c r="C414" i="7"/>
  <c r="C415" i="7"/>
  <c r="C416" i="7"/>
  <c r="C417" i="7"/>
  <c r="C418" i="7"/>
  <c r="C419" i="7"/>
  <c r="C420" i="7"/>
  <c r="C421" i="7"/>
  <c r="C422" i="7"/>
  <c r="C423" i="7"/>
  <c r="C424" i="7"/>
  <c r="C425" i="7"/>
  <c r="C426" i="7"/>
  <c r="C427" i="7"/>
  <c r="C428" i="7"/>
  <c r="C429" i="7"/>
  <c r="C430" i="7"/>
  <c r="C431" i="7"/>
  <c r="C432" i="7"/>
  <c r="C433" i="7"/>
  <c r="C434" i="7"/>
  <c r="C435" i="7"/>
  <c r="C436" i="7"/>
  <c r="C437" i="7"/>
  <c r="C438" i="7"/>
  <c r="C439" i="7"/>
  <c r="C440" i="7"/>
  <c r="C441" i="7"/>
  <c r="C442" i="7"/>
  <c r="C443" i="7"/>
  <c r="C444" i="7"/>
  <c r="C445" i="7"/>
  <c r="C446" i="7"/>
  <c r="C447" i="7"/>
  <c r="C448" i="7"/>
  <c r="C449" i="7"/>
  <c r="C450" i="7"/>
  <c r="C451" i="7"/>
  <c r="C452" i="7"/>
  <c r="C453" i="7"/>
  <c r="C454" i="7"/>
  <c r="C455" i="7"/>
  <c r="C456" i="7"/>
  <c r="C457" i="7"/>
  <c r="C458" i="7"/>
  <c r="C459" i="7"/>
  <c r="C460" i="7"/>
  <c r="C461" i="7"/>
  <c r="C462" i="7"/>
  <c r="C463" i="7"/>
  <c r="C464" i="7"/>
  <c r="C465" i="7"/>
  <c r="C466" i="7"/>
  <c r="C467" i="7"/>
  <c r="C468" i="7"/>
  <c r="C469" i="7"/>
  <c r="C470" i="7"/>
  <c r="C471" i="7"/>
  <c r="C472" i="7"/>
  <c r="C473" i="7"/>
  <c r="C474" i="7"/>
  <c r="C475" i="7"/>
  <c r="C476" i="7"/>
  <c r="C477" i="7"/>
  <c r="C478" i="7"/>
  <c r="C479" i="7"/>
  <c r="C480" i="7"/>
  <c r="C481" i="7"/>
  <c r="C482" i="7"/>
  <c r="C483" i="7"/>
  <c r="C484" i="7"/>
  <c r="C485" i="7"/>
  <c r="C486" i="7"/>
  <c r="C487" i="7"/>
  <c r="C488" i="7"/>
  <c r="C489" i="7"/>
  <c r="C490" i="7"/>
  <c r="C491" i="7"/>
  <c r="C492" i="7"/>
  <c r="C493" i="7"/>
  <c r="C494" i="7"/>
  <c r="C495" i="7"/>
  <c r="C496" i="7"/>
  <c r="C497" i="7"/>
  <c r="C498" i="7"/>
  <c r="C499" i="7"/>
  <c r="C500" i="7"/>
  <c r="C501" i="7"/>
  <c r="C502" i="7"/>
  <c r="C503" i="7"/>
  <c r="C504" i="7"/>
  <c r="C505" i="7"/>
  <c r="C506" i="7"/>
  <c r="C507" i="7"/>
  <c r="C508" i="7"/>
  <c r="C509" i="7"/>
  <c r="C510" i="7"/>
  <c r="C511" i="7"/>
  <c r="C512" i="7"/>
  <c r="C513" i="7"/>
  <c r="C514" i="7"/>
  <c r="C515" i="7"/>
  <c r="C516" i="7"/>
  <c r="C517" i="7"/>
  <c r="C518" i="7"/>
  <c r="C519" i="7"/>
  <c r="C520" i="7"/>
  <c r="C521" i="7"/>
  <c r="C522" i="7"/>
  <c r="C523" i="7"/>
  <c r="C524" i="7"/>
  <c r="C525" i="7"/>
  <c r="C526" i="7"/>
  <c r="C527" i="7"/>
  <c r="C528" i="7"/>
  <c r="C529" i="7"/>
  <c r="C530" i="7"/>
  <c r="C531" i="7"/>
  <c r="C532" i="7"/>
  <c r="C533" i="7"/>
  <c r="C534" i="7"/>
  <c r="C535" i="7"/>
  <c r="C536" i="7"/>
  <c r="C537" i="7"/>
  <c r="C538" i="7"/>
  <c r="C539" i="7"/>
  <c r="C540" i="7"/>
  <c r="C541" i="7"/>
  <c r="C542" i="7"/>
  <c r="C543" i="7"/>
  <c r="C544" i="7"/>
  <c r="C545" i="7"/>
  <c r="C546" i="7"/>
  <c r="C547" i="7"/>
  <c r="C548" i="7"/>
  <c r="C549" i="7"/>
  <c r="C550" i="7"/>
  <c r="C551" i="7"/>
  <c r="C552" i="7"/>
  <c r="C553" i="7"/>
  <c r="C554" i="7"/>
  <c r="C555" i="7"/>
  <c r="C556" i="7"/>
  <c r="C557" i="7"/>
  <c r="C558" i="7"/>
  <c r="C559" i="7"/>
  <c r="C560" i="7"/>
  <c r="C561" i="7"/>
  <c r="C562" i="7"/>
  <c r="C563" i="7"/>
  <c r="C564" i="7"/>
  <c r="C565" i="7"/>
  <c r="C566" i="7"/>
  <c r="C567" i="7"/>
  <c r="C568" i="7"/>
  <c r="C569" i="7"/>
  <c r="C570" i="7"/>
  <c r="C571" i="7"/>
  <c r="C572" i="7"/>
  <c r="C573" i="7"/>
  <c r="C574" i="7"/>
  <c r="C575" i="7"/>
  <c r="C576" i="7"/>
  <c r="C577" i="7"/>
  <c r="C578" i="7"/>
  <c r="C579" i="7"/>
  <c r="C580" i="7"/>
  <c r="C581" i="7"/>
  <c r="C582" i="7"/>
  <c r="C583" i="7"/>
  <c r="C584" i="7"/>
  <c r="C585" i="7"/>
  <c r="C586" i="7"/>
  <c r="C587" i="7"/>
  <c r="C588" i="7"/>
  <c r="C589" i="7"/>
  <c r="C590" i="7"/>
  <c r="C591" i="7"/>
  <c r="C592" i="7"/>
  <c r="C593" i="7"/>
  <c r="C594" i="7"/>
  <c r="C595" i="7"/>
  <c r="C596" i="7"/>
  <c r="C597" i="7"/>
  <c r="C598" i="7"/>
  <c r="C599" i="7"/>
  <c r="C600" i="7"/>
  <c r="C601" i="7"/>
  <c r="C602" i="7"/>
  <c r="C603" i="7"/>
  <c r="C604" i="7"/>
  <c r="C605" i="7"/>
  <c r="C606" i="7"/>
  <c r="C607" i="7"/>
  <c r="C608" i="7"/>
  <c r="C609" i="7"/>
  <c r="C610" i="7"/>
  <c r="C611" i="7"/>
  <c r="C612" i="7"/>
  <c r="C613" i="7"/>
  <c r="C614" i="7"/>
  <c r="C615" i="7"/>
  <c r="C616" i="7"/>
  <c r="C617" i="7"/>
  <c r="C618" i="7"/>
  <c r="C619" i="7"/>
  <c r="C620" i="7"/>
  <c r="C621" i="7"/>
  <c r="C622" i="7"/>
  <c r="C623" i="7"/>
  <c r="C624" i="7"/>
  <c r="C625" i="7"/>
  <c r="C626" i="7"/>
  <c r="C627" i="7"/>
  <c r="C628" i="7"/>
  <c r="C629" i="7"/>
  <c r="C630" i="7"/>
  <c r="C631" i="7"/>
  <c r="C632" i="7"/>
  <c r="C633" i="7"/>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80" i="7"/>
  <c r="D181" i="7"/>
  <c r="D182" i="7"/>
  <c r="D183" i="7"/>
  <c r="D184" i="7"/>
  <c r="D185" i="7"/>
  <c r="D186" i="7"/>
  <c r="D187" i="7"/>
  <c r="D188" i="7"/>
  <c r="D189" i="7"/>
  <c r="D190" i="7"/>
  <c r="D191" i="7"/>
  <c r="D192" i="7"/>
  <c r="D193" i="7"/>
  <c r="D194" i="7"/>
  <c r="D195" i="7"/>
  <c r="D196" i="7"/>
  <c r="D197" i="7"/>
  <c r="D198" i="7"/>
  <c r="D199" i="7"/>
  <c r="D200" i="7"/>
  <c r="D201" i="7"/>
  <c r="D202" i="7"/>
  <c r="D203" i="7"/>
  <c r="D204" i="7"/>
  <c r="D205" i="7"/>
  <c r="D206" i="7"/>
  <c r="D207" i="7"/>
  <c r="D208" i="7"/>
  <c r="D209" i="7"/>
  <c r="D210" i="7"/>
  <c r="D211" i="7"/>
  <c r="D212" i="7"/>
  <c r="D213" i="7"/>
  <c r="D214" i="7"/>
  <c r="D215" i="7"/>
  <c r="D216" i="7"/>
  <c r="D217" i="7"/>
  <c r="D218" i="7"/>
  <c r="D219" i="7"/>
  <c r="D220" i="7"/>
  <c r="D221" i="7"/>
  <c r="D222" i="7"/>
  <c r="D223" i="7"/>
  <c r="D224" i="7"/>
  <c r="D225" i="7"/>
  <c r="D226" i="7"/>
  <c r="D227" i="7"/>
  <c r="D228" i="7"/>
  <c r="D229" i="7"/>
  <c r="D230" i="7"/>
  <c r="D231" i="7"/>
  <c r="D232" i="7"/>
  <c r="D233" i="7"/>
  <c r="D234" i="7"/>
  <c r="D235" i="7"/>
  <c r="D236" i="7"/>
  <c r="D237" i="7"/>
  <c r="D238" i="7"/>
  <c r="D239" i="7"/>
  <c r="D240" i="7"/>
  <c r="D241" i="7"/>
  <c r="D242" i="7"/>
  <c r="D243" i="7"/>
  <c r="D244" i="7"/>
  <c r="D245" i="7"/>
  <c r="D246" i="7"/>
  <c r="D247" i="7"/>
  <c r="D248" i="7"/>
  <c r="D249" i="7"/>
  <c r="D250" i="7"/>
  <c r="D251" i="7"/>
  <c r="D252" i="7"/>
  <c r="D253" i="7"/>
  <c r="D254" i="7"/>
  <c r="D255" i="7"/>
  <c r="D256" i="7"/>
  <c r="D257" i="7"/>
  <c r="D258" i="7"/>
  <c r="D259" i="7"/>
  <c r="D260" i="7"/>
  <c r="D261" i="7"/>
  <c r="D262" i="7"/>
  <c r="D263" i="7"/>
  <c r="D264" i="7"/>
  <c r="D265" i="7"/>
  <c r="D266" i="7"/>
  <c r="D267" i="7"/>
  <c r="D268" i="7"/>
  <c r="D269" i="7"/>
  <c r="D270" i="7"/>
  <c r="D271" i="7"/>
  <c r="D272" i="7"/>
  <c r="D273" i="7"/>
  <c r="D274" i="7"/>
  <c r="D275" i="7"/>
  <c r="D276" i="7"/>
  <c r="D277" i="7"/>
  <c r="D278" i="7"/>
  <c r="D279" i="7"/>
  <c r="D280" i="7"/>
  <c r="D281" i="7"/>
  <c r="D282" i="7"/>
  <c r="D283" i="7"/>
  <c r="D284" i="7"/>
  <c r="D285" i="7"/>
  <c r="D286" i="7"/>
  <c r="D287" i="7"/>
  <c r="D288" i="7"/>
  <c r="D289" i="7"/>
  <c r="D290" i="7"/>
  <c r="D291" i="7"/>
  <c r="D292" i="7"/>
  <c r="D293" i="7"/>
  <c r="D294" i="7"/>
  <c r="D295" i="7"/>
  <c r="D296" i="7"/>
  <c r="D297" i="7"/>
  <c r="D298" i="7"/>
  <c r="D299" i="7"/>
  <c r="D300" i="7"/>
  <c r="D301" i="7"/>
  <c r="D302" i="7"/>
  <c r="D303" i="7"/>
  <c r="D304" i="7"/>
  <c r="D305" i="7"/>
  <c r="D306" i="7"/>
  <c r="D307" i="7"/>
  <c r="D308" i="7"/>
  <c r="D309" i="7"/>
  <c r="D310" i="7"/>
  <c r="D311" i="7"/>
  <c r="D312" i="7"/>
  <c r="D313" i="7"/>
  <c r="D314" i="7"/>
  <c r="D315" i="7"/>
  <c r="D316" i="7"/>
  <c r="D317" i="7"/>
  <c r="D318" i="7"/>
  <c r="D319" i="7"/>
  <c r="D320" i="7"/>
  <c r="D321" i="7"/>
  <c r="D322" i="7"/>
  <c r="D323" i="7"/>
  <c r="D324" i="7"/>
  <c r="D325" i="7"/>
  <c r="D326" i="7"/>
  <c r="D327" i="7"/>
  <c r="D328" i="7"/>
  <c r="D329" i="7"/>
  <c r="D330" i="7"/>
  <c r="D331" i="7"/>
  <c r="D332" i="7"/>
  <c r="D333" i="7"/>
  <c r="D334" i="7"/>
  <c r="D335" i="7"/>
  <c r="D336" i="7"/>
  <c r="D337" i="7"/>
  <c r="D338" i="7"/>
  <c r="D339" i="7"/>
  <c r="D340" i="7"/>
  <c r="D341" i="7"/>
  <c r="D342" i="7"/>
  <c r="D343" i="7"/>
  <c r="D344" i="7"/>
  <c r="D345" i="7"/>
  <c r="D346" i="7"/>
  <c r="D347" i="7"/>
  <c r="D348" i="7"/>
  <c r="D349" i="7"/>
  <c r="D350" i="7"/>
  <c r="D351" i="7"/>
  <c r="D352" i="7"/>
  <c r="D353" i="7"/>
  <c r="D354" i="7"/>
  <c r="D355" i="7"/>
  <c r="D356" i="7"/>
  <c r="D357" i="7"/>
  <c r="D358" i="7"/>
  <c r="D359" i="7"/>
  <c r="D360" i="7"/>
  <c r="D361" i="7"/>
  <c r="D362" i="7"/>
  <c r="D363" i="7"/>
  <c r="D364" i="7"/>
  <c r="D365" i="7"/>
  <c r="D366" i="7"/>
  <c r="D367" i="7"/>
  <c r="D368" i="7"/>
  <c r="D369" i="7"/>
  <c r="D370" i="7"/>
  <c r="D371" i="7"/>
  <c r="D372" i="7"/>
  <c r="D373" i="7"/>
  <c r="D374" i="7"/>
  <c r="D375" i="7"/>
  <c r="D376" i="7"/>
  <c r="D377" i="7"/>
  <c r="D378" i="7"/>
  <c r="D379" i="7"/>
  <c r="D380" i="7"/>
  <c r="D381" i="7"/>
  <c r="D382" i="7"/>
  <c r="D383" i="7"/>
  <c r="D384" i="7"/>
  <c r="D385" i="7"/>
  <c r="D386" i="7"/>
  <c r="D387" i="7"/>
  <c r="D388" i="7"/>
  <c r="D389" i="7"/>
  <c r="D390" i="7"/>
  <c r="D391" i="7"/>
  <c r="D392" i="7"/>
  <c r="D393" i="7"/>
  <c r="D394" i="7"/>
  <c r="D395" i="7"/>
  <c r="D396" i="7"/>
  <c r="D397" i="7"/>
  <c r="D398" i="7"/>
  <c r="D399" i="7"/>
  <c r="D400" i="7"/>
  <c r="D401" i="7"/>
  <c r="D402" i="7"/>
  <c r="D403" i="7"/>
  <c r="D404" i="7"/>
  <c r="D405" i="7"/>
  <c r="D406" i="7"/>
  <c r="D407" i="7"/>
  <c r="D408" i="7"/>
  <c r="D409" i="7"/>
  <c r="D410" i="7"/>
  <c r="D411" i="7"/>
  <c r="D412" i="7"/>
  <c r="D413" i="7"/>
  <c r="D414" i="7"/>
  <c r="D415" i="7"/>
  <c r="D416" i="7"/>
  <c r="D417" i="7"/>
  <c r="D418" i="7"/>
  <c r="D419" i="7"/>
  <c r="D420" i="7"/>
  <c r="D421" i="7"/>
  <c r="D422" i="7"/>
  <c r="D423" i="7"/>
  <c r="D424" i="7"/>
  <c r="D425" i="7"/>
  <c r="D426" i="7"/>
  <c r="D427" i="7"/>
  <c r="D428" i="7"/>
  <c r="D429" i="7"/>
  <c r="D430" i="7"/>
  <c r="D431" i="7"/>
  <c r="D432" i="7"/>
  <c r="D433" i="7"/>
  <c r="D434" i="7"/>
  <c r="D435" i="7"/>
  <c r="D436" i="7"/>
  <c r="D437" i="7"/>
  <c r="D438" i="7"/>
  <c r="D439" i="7"/>
  <c r="D440" i="7"/>
  <c r="D441" i="7"/>
  <c r="D442" i="7"/>
  <c r="D443" i="7"/>
  <c r="D444" i="7"/>
  <c r="D445" i="7"/>
  <c r="D446" i="7"/>
  <c r="D447" i="7"/>
  <c r="D448" i="7"/>
  <c r="D449" i="7"/>
  <c r="D450" i="7"/>
  <c r="D451" i="7"/>
  <c r="D452" i="7"/>
  <c r="D453" i="7"/>
  <c r="D454" i="7"/>
  <c r="D455" i="7"/>
  <c r="D456" i="7"/>
  <c r="D457" i="7"/>
  <c r="D458" i="7"/>
  <c r="D459" i="7"/>
  <c r="D460" i="7"/>
  <c r="D461" i="7"/>
  <c r="D462" i="7"/>
  <c r="D463" i="7"/>
  <c r="D464" i="7"/>
  <c r="D465" i="7"/>
  <c r="D466" i="7"/>
  <c r="D467" i="7"/>
  <c r="D468" i="7"/>
  <c r="D469" i="7"/>
  <c r="D470" i="7"/>
  <c r="D471" i="7"/>
  <c r="D472" i="7"/>
  <c r="D473" i="7"/>
  <c r="D474" i="7"/>
  <c r="D475" i="7"/>
  <c r="D476" i="7"/>
  <c r="D477" i="7"/>
  <c r="D478" i="7"/>
  <c r="D479" i="7"/>
  <c r="D480" i="7"/>
  <c r="D481" i="7"/>
  <c r="D482" i="7"/>
  <c r="D483" i="7"/>
  <c r="D484" i="7"/>
  <c r="D485" i="7"/>
  <c r="D486" i="7"/>
  <c r="D487" i="7"/>
  <c r="D488" i="7"/>
  <c r="D489" i="7"/>
  <c r="D490" i="7"/>
  <c r="D491" i="7"/>
  <c r="D492" i="7"/>
  <c r="D493" i="7"/>
  <c r="D494" i="7"/>
  <c r="D495" i="7"/>
  <c r="D496" i="7"/>
  <c r="D497" i="7"/>
  <c r="D498" i="7"/>
  <c r="D499" i="7"/>
  <c r="D500" i="7"/>
  <c r="D501" i="7"/>
  <c r="D502" i="7"/>
  <c r="D503" i="7"/>
  <c r="D504" i="7"/>
  <c r="D505" i="7"/>
  <c r="D506" i="7"/>
  <c r="D507" i="7"/>
  <c r="D508" i="7"/>
  <c r="D509" i="7"/>
  <c r="D510" i="7"/>
  <c r="D511" i="7"/>
  <c r="D512" i="7"/>
  <c r="D513" i="7"/>
  <c r="D514" i="7"/>
  <c r="D515" i="7"/>
  <c r="D516" i="7"/>
  <c r="D517" i="7"/>
  <c r="D518" i="7"/>
  <c r="D519" i="7"/>
  <c r="D520" i="7"/>
  <c r="D521" i="7"/>
  <c r="D522" i="7"/>
  <c r="D523" i="7"/>
  <c r="D524" i="7"/>
  <c r="D525" i="7"/>
  <c r="D526" i="7"/>
  <c r="D527" i="7"/>
  <c r="D528" i="7"/>
  <c r="D529" i="7"/>
  <c r="D530" i="7"/>
  <c r="D531" i="7"/>
  <c r="D532" i="7"/>
  <c r="D533" i="7"/>
  <c r="D534" i="7"/>
  <c r="D535" i="7"/>
  <c r="D536" i="7"/>
  <c r="D537" i="7"/>
  <c r="D538" i="7"/>
  <c r="D539" i="7"/>
  <c r="D540" i="7"/>
  <c r="D541" i="7"/>
  <c r="D542" i="7"/>
  <c r="D543" i="7"/>
  <c r="D544" i="7"/>
  <c r="D545" i="7"/>
  <c r="D546" i="7"/>
  <c r="D547" i="7"/>
  <c r="D548" i="7"/>
  <c r="D549" i="7"/>
  <c r="D550" i="7"/>
  <c r="D551" i="7"/>
  <c r="D552" i="7"/>
  <c r="D553" i="7"/>
  <c r="D554" i="7"/>
  <c r="D555" i="7"/>
  <c r="D556" i="7"/>
  <c r="D557" i="7"/>
  <c r="D558" i="7"/>
  <c r="D559" i="7"/>
  <c r="D560" i="7"/>
  <c r="D561" i="7"/>
  <c r="D562" i="7"/>
  <c r="D563" i="7"/>
  <c r="D564" i="7"/>
  <c r="D565" i="7"/>
  <c r="D566" i="7"/>
  <c r="D567" i="7"/>
  <c r="D568" i="7"/>
  <c r="D569" i="7"/>
  <c r="D570" i="7"/>
  <c r="D571" i="7"/>
  <c r="D572" i="7"/>
  <c r="D573" i="7"/>
  <c r="D574" i="7"/>
  <c r="D575" i="7"/>
  <c r="D576" i="7"/>
  <c r="D577" i="7"/>
  <c r="D578" i="7"/>
  <c r="D579" i="7"/>
  <c r="D580" i="7"/>
  <c r="D581" i="7"/>
  <c r="D582" i="7"/>
  <c r="D583" i="7"/>
  <c r="D584" i="7"/>
  <c r="D585" i="7"/>
  <c r="D586" i="7"/>
  <c r="D587" i="7"/>
  <c r="D588" i="7"/>
  <c r="D589" i="7"/>
  <c r="D590" i="7"/>
  <c r="D591" i="7"/>
  <c r="D592" i="7"/>
  <c r="D593" i="7"/>
  <c r="D594" i="7"/>
  <c r="D595" i="7"/>
  <c r="D596" i="7"/>
  <c r="D597" i="7"/>
  <c r="D598" i="7"/>
  <c r="D599" i="7"/>
  <c r="D600" i="7"/>
  <c r="D601" i="7"/>
  <c r="D602" i="7"/>
  <c r="D603" i="7"/>
  <c r="D604" i="7"/>
  <c r="D605" i="7"/>
  <c r="D606" i="7"/>
  <c r="D607" i="7"/>
  <c r="D608" i="7"/>
  <c r="D609" i="7"/>
  <c r="D610" i="7"/>
  <c r="D611" i="7"/>
  <c r="D612" i="7"/>
  <c r="D613" i="7"/>
  <c r="D614" i="7"/>
  <c r="D615" i="7"/>
  <c r="D616" i="7"/>
  <c r="D617" i="7"/>
  <c r="D618" i="7"/>
  <c r="D619" i="7"/>
  <c r="D620" i="7"/>
  <c r="D621" i="7"/>
  <c r="D622" i="7"/>
  <c r="D623" i="7"/>
  <c r="D624" i="7"/>
  <c r="D625" i="7"/>
  <c r="D626" i="7"/>
  <c r="D627" i="7"/>
  <c r="D628" i="7"/>
  <c r="D629" i="7"/>
  <c r="D630" i="7"/>
  <c r="D631" i="7"/>
  <c r="D632" i="7"/>
  <c r="D633" i="7"/>
  <c r="O633" i="7"/>
  <c r="O632" i="7"/>
  <c r="O631" i="7"/>
  <c r="O630" i="7"/>
  <c r="O629" i="7"/>
  <c r="O628" i="7"/>
  <c r="O627" i="7"/>
  <c r="O626" i="7"/>
  <c r="O625" i="7"/>
  <c r="O624" i="7"/>
  <c r="O623" i="7"/>
  <c r="O622" i="7"/>
  <c r="O621" i="7"/>
  <c r="O620" i="7"/>
  <c r="O619" i="7"/>
  <c r="O618" i="7"/>
  <c r="O617" i="7"/>
  <c r="O616" i="7"/>
  <c r="O615" i="7"/>
  <c r="O614" i="7"/>
  <c r="O613" i="7"/>
  <c r="O612" i="7"/>
  <c r="O611" i="7"/>
  <c r="O610" i="7"/>
  <c r="O609" i="7"/>
  <c r="O608" i="7"/>
  <c r="O607" i="7"/>
  <c r="O606" i="7"/>
  <c r="O605" i="7"/>
  <c r="O604" i="7"/>
  <c r="O603" i="7"/>
  <c r="O602" i="7"/>
  <c r="O601" i="7"/>
  <c r="O600" i="7"/>
  <c r="O599" i="7"/>
  <c r="O598" i="7"/>
  <c r="O597" i="7"/>
  <c r="O596" i="7"/>
  <c r="O595" i="7"/>
  <c r="O594" i="7"/>
  <c r="O593" i="7"/>
  <c r="O592" i="7"/>
  <c r="O591" i="7"/>
  <c r="O590" i="7"/>
  <c r="O589" i="7"/>
  <c r="O588" i="7"/>
  <c r="O587" i="7"/>
  <c r="O586" i="7"/>
  <c r="O585" i="7"/>
  <c r="O584" i="7"/>
  <c r="O583" i="7"/>
  <c r="O582" i="7"/>
  <c r="O581" i="7"/>
  <c r="O580" i="7"/>
  <c r="O579" i="7"/>
  <c r="O578" i="7"/>
  <c r="O577" i="7"/>
  <c r="O576" i="7"/>
  <c r="O575" i="7"/>
  <c r="O574" i="7"/>
  <c r="O573" i="7"/>
  <c r="O572" i="7"/>
  <c r="O571" i="7"/>
  <c r="O570" i="7"/>
  <c r="O569" i="7"/>
  <c r="O568" i="7"/>
  <c r="O567" i="7"/>
  <c r="O566" i="7"/>
  <c r="O565" i="7"/>
  <c r="O564" i="7"/>
  <c r="O563" i="7"/>
  <c r="O562" i="7"/>
  <c r="O561" i="7"/>
  <c r="O560" i="7"/>
  <c r="O559" i="7"/>
  <c r="O558" i="7"/>
  <c r="O557" i="7"/>
  <c r="O556" i="7"/>
  <c r="O555" i="7"/>
  <c r="O554" i="7"/>
  <c r="O553" i="7"/>
  <c r="O552" i="7"/>
  <c r="O551" i="7"/>
  <c r="O550" i="7"/>
  <c r="O549" i="7"/>
  <c r="O548" i="7"/>
  <c r="O547" i="7"/>
  <c r="O546" i="7"/>
  <c r="O545" i="7"/>
  <c r="O544" i="7"/>
  <c r="O543" i="7"/>
  <c r="O542" i="7"/>
  <c r="O541" i="7"/>
  <c r="O540" i="7"/>
  <c r="O539" i="7"/>
  <c r="O538" i="7"/>
  <c r="O537" i="7"/>
  <c r="O536" i="7"/>
  <c r="O535" i="7"/>
  <c r="O534" i="7"/>
  <c r="O533" i="7"/>
  <c r="O532" i="7"/>
  <c r="O531" i="7"/>
  <c r="O530" i="7"/>
  <c r="O529" i="7"/>
  <c r="O528" i="7"/>
  <c r="O527" i="7"/>
  <c r="O526" i="7"/>
  <c r="O525" i="7"/>
  <c r="O524" i="7"/>
  <c r="O523" i="7"/>
  <c r="O522" i="7"/>
  <c r="O521" i="7"/>
  <c r="O520" i="7"/>
  <c r="O519" i="7"/>
  <c r="O518" i="7"/>
  <c r="O517" i="7"/>
  <c r="O516" i="7"/>
  <c r="O515" i="7"/>
  <c r="O514" i="7"/>
  <c r="O513" i="7"/>
  <c r="O512" i="7"/>
  <c r="O511" i="7"/>
  <c r="O510" i="7"/>
  <c r="O509" i="7"/>
  <c r="O508" i="7"/>
  <c r="O507" i="7"/>
  <c r="O506" i="7"/>
  <c r="O505" i="7"/>
  <c r="O504" i="7"/>
  <c r="O503" i="7"/>
  <c r="O502" i="7"/>
  <c r="O501" i="7"/>
  <c r="O500" i="7"/>
  <c r="O499" i="7"/>
  <c r="O498" i="7"/>
  <c r="O497" i="7"/>
  <c r="O496" i="7"/>
  <c r="O495" i="7"/>
  <c r="O494" i="7"/>
  <c r="O493" i="7"/>
  <c r="O492" i="7"/>
  <c r="O491" i="7"/>
  <c r="O490" i="7"/>
  <c r="O489" i="7"/>
  <c r="O488" i="7"/>
  <c r="O487" i="7"/>
  <c r="O486" i="7"/>
  <c r="O485" i="7"/>
  <c r="O484" i="7"/>
  <c r="O483" i="7"/>
  <c r="O482" i="7"/>
  <c r="O481" i="7"/>
  <c r="O480" i="7"/>
  <c r="O479" i="7"/>
  <c r="O478" i="7"/>
  <c r="O477" i="7"/>
  <c r="O476" i="7"/>
  <c r="O475" i="7"/>
  <c r="O474" i="7"/>
  <c r="O473" i="7"/>
  <c r="O472" i="7"/>
  <c r="O471" i="7"/>
  <c r="O470" i="7"/>
  <c r="O469" i="7"/>
  <c r="O468" i="7"/>
  <c r="O467" i="7"/>
  <c r="O466" i="7"/>
  <c r="O465" i="7"/>
  <c r="O464" i="7"/>
  <c r="O463" i="7"/>
  <c r="O462" i="7"/>
  <c r="O461" i="7"/>
  <c r="O460" i="7"/>
  <c r="O459" i="7"/>
  <c r="O458" i="7"/>
  <c r="O457" i="7"/>
  <c r="O456" i="7"/>
  <c r="O455" i="7"/>
  <c r="O454" i="7"/>
  <c r="O453" i="7"/>
  <c r="O452" i="7"/>
  <c r="O451" i="7"/>
  <c r="O450" i="7"/>
  <c r="O449" i="7"/>
  <c r="O448" i="7"/>
  <c r="O447" i="7"/>
  <c r="O446" i="7"/>
  <c r="O445" i="7"/>
  <c r="O444" i="7"/>
  <c r="O443" i="7"/>
  <c r="O442" i="7"/>
  <c r="O441" i="7"/>
  <c r="O440" i="7"/>
  <c r="O439" i="7"/>
  <c r="O438" i="7"/>
  <c r="O437" i="7"/>
  <c r="O436" i="7"/>
  <c r="O435" i="7"/>
  <c r="O434" i="7"/>
  <c r="O433" i="7"/>
  <c r="O432" i="7"/>
  <c r="O431" i="7"/>
  <c r="O430" i="7"/>
  <c r="O429" i="7"/>
  <c r="O428" i="7"/>
  <c r="O427" i="7"/>
  <c r="O426" i="7"/>
  <c r="O425" i="7"/>
  <c r="O424" i="7"/>
  <c r="O423" i="7"/>
  <c r="O422" i="7"/>
  <c r="O421" i="7"/>
  <c r="O420" i="7"/>
  <c r="O419" i="7"/>
  <c r="O418" i="7"/>
  <c r="O417" i="7"/>
  <c r="O416" i="7"/>
  <c r="O415" i="7"/>
  <c r="O414" i="7"/>
  <c r="O413" i="7"/>
  <c r="O412" i="7"/>
  <c r="O411" i="7"/>
  <c r="O410" i="7"/>
  <c r="O409" i="7"/>
  <c r="O408" i="7"/>
  <c r="O407" i="7"/>
  <c r="O406" i="7"/>
  <c r="O405" i="7"/>
  <c r="O404" i="7"/>
  <c r="O403" i="7"/>
  <c r="O402" i="7"/>
  <c r="O401" i="7"/>
  <c r="O400" i="7"/>
  <c r="O399" i="7"/>
  <c r="O398" i="7"/>
  <c r="O397" i="7"/>
  <c r="O396" i="7"/>
  <c r="O395" i="7"/>
  <c r="O394" i="7"/>
  <c r="O393" i="7"/>
  <c r="O392" i="7"/>
  <c r="O391" i="7"/>
  <c r="O390" i="7"/>
  <c r="O389" i="7"/>
  <c r="O388" i="7"/>
  <c r="O387" i="7"/>
  <c r="O386" i="7"/>
  <c r="O385" i="7"/>
  <c r="O384" i="7"/>
  <c r="O383" i="7"/>
  <c r="O382" i="7"/>
  <c r="O381" i="7"/>
  <c r="O380" i="7"/>
  <c r="O379" i="7"/>
  <c r="O378" i="7"/>
  <c r="O377" i="7"/>
  <c r="O376" i="7"/>
  <c r="O375" i="7"/>
  <c r="O374" i="7"/>
  <c r="O373" i="7"/>
  <c r="O372" i="7"/>
  <c r="O371" i="7"/>
  <c r="O370" i="7"/>
  <c r="O369" i="7"/>
  <c r="O368" i="7"/>
  <c r="O367" i="7"/>
  <c r="O366" i="7"/>
  <c r="O365" i="7"/>
  <c r="O364" i="7"/>
  <c r="O363" i="7"/>
  <c r="O362" i="7"/>
  <c r="O361" i="7"/>
  <c r="O360" i="7"/>
  <c r="O359" i="7"/>
  <c r="O358" i="7"/>
  <c r="O357" i="7"/>
  <c r="O356" i="7"/>
  <c r="O355" i="7"/>
  <c r="O354" i="7"/>
  <c r="O353" i="7"/>
  <c r="O352" i="7"/>
  <c r="O351" i="7"/>
  <c r="O350" i="7"/>
  <c r="O349" i="7"/>
  <c r="O348" i="7"/>
  <c r="O347" i="7"/>
  <c r="O346" i="7"/>
  <c r="O345" i="7"/>
  <c r="O344" i="7"/>
  <c r="O343" i="7"/>
  <c r="O342" i="7"/>
  <c r="O341" i="7"/>
  <c r="O340" i="7"/>
  <c r="O339" i="7"/>
  <c r="O338" i="7"/>
  <c r="O337" i="7"/>
  <c r="O336" i="7"/>
  <c r="O335" i="7"/>
  <c r="O334" i="7"/>
  <c r="O333" i="7"/>
  <c r="O332" i="7"/>
  <c r="O331" i="7"/>
  <c r="O330" i="7"/>
  <c r="O329" i="7"/>
  <c r="O328" i="7"/>
  <c r="O327" i="7"/>
  <c r="O326" i="7"/>
  <c r="O325" i="7"/>
  <c r="O324" i="7"/>
  <c r="O323" i="7"/>
  <c r="O322" i="7"/>
  <c r="O321" i="7"/>
  <c r="O320" i="7"/>
  <c r="O319" i="7"/>
  <c r="O318" i="7"/>
  <c r="O317" i="7"/>
  <c r="O316" i="7"/>
  <c r="O315" i="7"/>
  <c r="O314" i="7"/>
  <c r="O313" i="7"/>
  <c r="O312" i="7"/>
  <c r="O311" i="7"/>
  <c r="O310" i="7"/>
  <c r="O309" i="7"/>
  <c r="O308" i="7"/>
  <c r="O307" i="7"/>
  <c r="O306" i="7"/>
  <c r="O305" i="7"/>
  <c r="O304" i="7"/>
  <c r="O303" i="7"/>
  <c r="O302" i="7"/>
  <c r="O301" i="7"/>
  <c r="O300" i="7"/>
  <c r="O299" i="7"/>
  <c r="O298" i="7"/>
  <c r="O297" i="7"/>
  <c r="O296" i="7"/>
  <c r="O295" i="7"/>
  <c r="O294" i="7"/>
  <c r="O293" i="7"/>
  <c r="O292" i="7"/>
  <c r="O291" i="7"/>
  <c r="O290" i="7"/>
  <c r="O289" i="7"/>
  <c r="O288" i="7"/>
  <c r="O287" i="7"/>
  <c r="O286" i="7"/>
  <c r="O285" i="7"/>
  <c r="O284" i="7"/>
  <c r="O283" i="7"/>
  <c r="O282" i="7"/>
  <c r="O281" i="7"/>
  <c r="O280" i="7"/>
  <c r="O279" i="7"/>
  <c r="O278" i="7"/>
  <c r="O277" i="7"/>
  <c r="O276" i="7"/>
  <c r="O275" i="7"/>
  <c r="O274" i="7"/>
  <c r="O273" i="7"/>
  <c r="O272" i="7"/>
  <c r="O271" i="7"/>
  <c r="O270" i="7"/>
  <c r="O269" i="7"/>
  <c r="O268" i="7"/>
  <c r="O267" i="7"/>
  <c r="O266" i="7"/>
  <c r="O265" i="7"/>
  <c r="O264" i="7"/>
  <c r="O263" i="7"/>
  <c r="O262" i="7"/>
  <c r="O261" i="7"/>
  <c r="O260" i="7"/>
  <c r="O259" i="7"/>
  <c r="O258" i="7"/>
  <c r="O257" i="7"/>
  <c r="O256" i="7"/>
  <c r="O255" i="7"/>
  <c r="O254" i="7"/>
  <c r="O253" i="7"/>
  <c r="O252" i="7"/>
  <c r="O251" i="7"/>
  <c r="O250" i="7"/>
  <c r="O249" i="7"/>
  <c r="O248" i="7"/>
  <c r="O247" i="7"/>
  <c r="O246" i="7"/>
  <c r="O245" i="7"/>
  <c r="O244" i="7"/>
  <c r="O243" i="7"/>
  <c r="O242" i="7"/>
  <c r="O241" i="7"/>
  <c r="O240" i="7"/>
  <c r="O239" i="7"/>
  <c r="O238" i="7"/>
  <c r="O237" i="7"/>
  <c r="O236" i="7"/>
  <c r="O235" i="7"/>
  <c r="O234" i="7"/>
  <c r="O233" i="7"/>
  <c r="O232" i="7"/>
  <c r="O231" i="7"/>
  <c r="O230" i="7"/>
  <c r="O229" i="7"/>
  <c r="O228" i="7"/>
  <c r="O227" i="7"/>
  <c r="O226" i="7"/>
  <c r="O225" i="7"/>
  <c r="O224" i="7"/>
  <c r="O223" i="7"/>
  <c r="O222" i="7"/>
  <c r="O221" i="7"/>
  <c r="O220" i="7"/>
  <c r="O219" i="7"/>
  <c r="O218" i="7"/>
  <c r="O217" i="7"/>
  <c r="O216" i="7"/>
  <c r="O215" i="7"/>
  <c r="O214" i="7"/>
  <c r="O213" i="7"/>
  <c r="O212" i="7"/>
  <c r="O211" i="7"/>
  <c r="O210" i="7"/>
  <c r="O209" i="7"/>
  <c r="O208" i="7"/>
  <c r="O207" i="7"/>
  <c r="O206" i="7"/>
  <c r="O205" i="7"/>
  <c r="O204" i="7"/>
  <c r="O203" i="7"/>
  <c r="O202" i="7"/>
  <c r="O201" i="7"/>
  <c r="O200" i="7"/>
  <c r="O199" i="7"/>
  <c r="O198" i="7"/>
  <c r="O197" i="7"/>
  <c r="O196" i="7"/>
  <c r="O195" i="7"/>
  <c r="O194" i="7"/>
  <c r="O193" i="7"/>
  <c r="O192" i="7"/>
  <c r="O191" i="7"/>
  <c r="O190" i="7"/>
  <c r="O189" i="7"/>
  <c r="O188" i="7"/>
  <c r="O187" i="7"/>
  <c r="O186" i="7"/>
  <c r="O185" i="7"/>
  <c r="O184" i="7"/>
  <c r="O183" i="7"/>
  <c r="O182" i="7"/>
  <c r="O181" i="7"/>
  <c r="O180" i="7"/>
  <c r="O179" i="7"/>
  <c r="O178" i="7"/>
  <c r="O177" i="7"/>
  <c r="O176" i="7"/>
  <c r="O175" i="7"/>
  <c r="O174" i="7"/>
  <c r="O173" i="7"/>
  <c r="O172" i="7"/>
  <c r="O171" i="7"/>
  <c r="O170" i="7"/>
  <c r="O169" i="7"/>
  <c r="O168" i="7"/>
  <c r="O167" i="7"/>
  <c r="O166" i="7"/>
  <c r="O165" i="7"/>
  <c r="O164" i="7"/>
  <c r="O163" i="7"/>
  <c r="O162" i="7"/>
  <c r="O161" i="7"/>
  <c r="O160" i="7"/>
  <c r="O159" i="7"/>
  <c r="O158" i="7"/>
  <c r="O157" i="7"/>
  <c r="O156" i="7"/>
  <c r="O155" i="7"/>
  <c r="O154" i="7"/>
  <c r="O153" i="7"/>
  <c r="O152" i="7"/>
  <c r="O151" i="7"/>
  <c r="O150" i="7"/>
  <c r="O149" i="7"/>
  <c r="O148" i="7"/>
  <c r="O147" i="7"/>
  <c r="O146" i="7"/>
  <c r="O145" i="7"/>
  <c r="O144" i="7"/>
  <c r="O143" i="7"/>
  <c r="O142" i="7"/>
  <c r="O141" i="7"/>
  <c r="O140" i="7"/>
  <c r="O139" i="7"/>
  <c r="O138" i="7"/>
  <c r="O137" i="7"/>
  <c r="O136" i="7"/>
  <c r="O135" i="7"/>
  <c r="O134" i="7"/>
  <c r="O133" i="7"/>
  <c r="O132" i="7"/>
  <c r="O131" i="7"/>
  <c r="O130" i="7"/>
  <c r="O129" i="7"/>
  <c r="O128" i="7"/>
  <c r="O127" i="7"/>
  <c r="O126" i="7"/>
  <c r="O125" i="7"/>
  <c r="O124" i="7"/>
  <c r="O123" i="7"/>
  <c r="O122" i="7"/>
  <c r="O121" i="7"/>
  <c r="O120" i="7"/>
  <c r="O119" i="7"/>
  <c r="O118" i="7"/>
  <c r="O117" i="7"/>
  <c r="O116" i="7"/>
  <c r="O115" i="7"/>
  <c r="O114" i="7"/>
  <c r="O113" i="7"/>
  <c r="O112" i="7"/>
  <c r="O111" i="7"/>
  <c r="O110" i="7"/>
  <c r="O109" i="7"/>
  <c r="O108" i="7"/>
  <c r="O107" i="7"/>
  <c r="O106" i="7"/>
  <c r="O105" i="7"/>
  <c r="O104" i="7"/>
  <c r="O103" i="7"/>
  <c r="O102" i="7"/>
  <c r="O101" i="7"/>
  <c r="O100" i="7"/>
  <c r="O99" i="7"/>
  <c r="O98" i="7"/>
  <c r="O97" i="7"/>
  <c r="O96" i="7"/>
  <c r="O95" i="7"/>
  <c r="O94" i="7"/>
  <c r="O93" i="7"/>
  <c r="O92" i="7"/>
  <c r="O91" i="7"/>
  <c r="O90" i="7"/>
  <c r="O89" i="7"/>
  <c r="O88" i="7"/>
  <c r="O87" i="7"/>
  <c r="O86" i="7"/>
  <c r="O85" i="7"/>
  <c r="O84" i="7"/>
  <c r="O83" i="7"/>
  <c r="O82" i="7"/>
  <c r="O81" i="7"/>
  <c r="O80" i="7"/>
  <c r="O79" i="7"/>
  <c r="O78" i="7"/>
  <c r="O77" i="7"/>
  <c r="O76" i="7"/>
  <c r="O75" i="7"/>
  <c r="O74" i="7"/>
  <c r="O73" i="7"/>
  <c r="O72" i="7"/>
  <c r="O71" i="7"/>
  <c r="O70" i="7"/>
  <c r="O69" i="7"/>
  <c r="O68" i="7"/>
  <c r="O67" i="7"/>
  <c r="O66" i="7"/>
  <c r="O65" i="7"/>
  <c r="O64" i="7"/>
  <c r="O63" i="7"/>
  <c r="O62" i="7"/>
  <c r="O61" i="7"/>
  <c r="O60" i="7"/>
  <c r="O59" i="7"/>
  <c r="O58" i="7"/>
  <c r="O57" i="7"/>
  <c r="O56" i="7"/>
  <c r="O55" i="7"/>
  <c r="O54" i="7"/>
  <c r="O53" i="7"/>
  <c r="O52" i="7"/>
  <c r="O51" i="7"/>
  <c r="O50" i="7"/>
  <c r="O49" i="7"/>
  <c r="O48" i="7"/>
  <c r="O47" i="7"/>
  <c r="O46" i="7"/>
  <c r="O45" i="7"/>
  <c r="O44" i="7"/>
  <c r="O43" i="7"/>
  <c r="O42" i="7"/>
  <c r="O41" i="7"/>
  <c r="O40" i="7"/>
  <c r="O39" i="7"/>
  <c r="O38" i="7"/>
  <c r="O37" i="7"/>
  <c r="O36" i="7"/>
  <c r="O35" i="7"/>
  <c r="O34" i="7"/>
  <c r="O33" i="7"/>
  <c r="O32" i="7"/>
  <c r="O31" i="7"/>
  <c r="O30" i="7"/>
  <c r="O29" i="7"/>
  <c r="O28" i="7"/>
  <c r="O27" i="7"/>
  <c r="O26" i="7"/>
  <c r="O25" i="7"/>
  <c r="O24" i="7"/>
  <c r="O23" i="7"/>
  <c r="O22" i="7"/>
  <c r="O21" i="7"/>
  <c r="O20" i="7"/>
  <c r="O19" i="7"/>
  <c r="O18" i="7"/>
  <c r="O17" i="7"/>
  <c r="O16" i="7"/>
  <c r="O15" i="7"/>
  <c r="O14" i="7"/>
  <c r="O13" i="7"/>
  <c r="O12" i="7"/>
  <c r="O11" i="7"/>
  <c r="O10" i="7"/>
  <c r="O9" i="7"/>
  <c r="O8" i="7"/>
  <c r="O7" i="7"/>
  <c r="O6" i="7"/>
  <c r="O5" i="7"/>
  <c r="O4" i="7"/>
  <c r="O3" i="7"/>
  <c r="O2" i="7"/>
  <c r="C2" i="7"/>
  <c r="D2" i="7"/>
  <c r="J633" i="7"/>
  <c r="E633" i="7"/>
  <c r="B633" i="7"/>
  <c r="J632" i="7"/>
  <c r="E632" i="7"/>
  <c r="B632" i="7"/>
  <c r="J631" i="7"/>
  <c r="E631" i="7"/>
  <c r="B631" i="7"/>
  <c r="J630" i="7"/>
  <c r="E630" i="7"/>
  <c r="B630" i="7"/>
  <c r="J629" i="7"/>
  <c r="E629" i="7"/>
  <c r="B629" i="7"/>
  <c r="J628" i="7"/>
  <c r="E628" i="7"/>
  <c r="B628" i="7"/>
  <c r="J627" i="7"/>
  <c r="E627" i="7"/>
  <c r="B627" i="7"/>
  <c r="J626" i="7"/>
  <c r="E626" i="7"/>
  <c r="B626" i="7"/>
  <c r="J625" i="7"/>
  <c r="E625" i="7"/>
  <c r="B625" i="7"/>
  <c r="J624" i="7"/>
  <c r="E624" i="7"/>
  <c r="B624" i="7"/>
  <c r="J623" i="7"/>
  <c r="E623" i="7"/>
  <c r="B623" i="7"/>
  <c r="J622" i="7"/>
  <c r="E622" i="7"/>
  <c r="B622" i="7"/>
  <c r="J621" i="7"/>
  <c r="E621" i="7"/>
  <c r="B621" i="7"/>
  <c r="J620" i="7"/>
  <c r="E620" i="7"/>
  <c r="B620" i="7"/>
  <c r="J619" i="7"/>
  <c r="E619" i="7"/>
  <c r="B619" i="7"/>
  <c r="J618" i="7"/>
  <c r="E618" i="7"/>
  <c r="B618" i="7"/>
  <c r="J617" i="7"/>
  <c r="E617" i="7"/>
  <c r="B617" i="7"/>
  <c r="J616" i="7"/>
  <c r="E616" i="7"/>
  <c r="B616" i="7"/>
  <c r="J615" i="7"/>
  <c r="E615" i="7"/>
  <c r="B615" i="7"/>
  <c r="J614" i="7"/>
  <c r="E614" i="7"/>
  <c r="B614" i="7"/>
  <c r="J613" i="7"/>
  <c r="E613" i="7"/>
  <c r="B613" i="7"/>
  <c r="J612" i="7"/>
  <c r="E612" i="7"/>
  <c r="B612" i="7"/>
  <c r="J611" i="7"/>
  <c r="E611" i="7"/>
  <c r="B611" i="7"/>
  <c r="J610" i="7"/>
  <c r="E610" i="7"/>
  <c r="B610" i="7"/>
  <c r="J609" i="7"/>
  <c r="E609" i="7"/>
  <c r="B609" i="7"/>
  <c r="J608" i="7"/>
  <c r="E608" i="7"/>
  <c r="B608" i="7"/>
  <c r="J607" i="7"/>
  <c r="E607" i="7"/>
  <c r="B607" i="7"/>
  <c r="J606" i="7"/>
  <c r="E606" i="7"/>
  <c r="B606" i="7"/>
  <c r="J605" i="7"/>
  <c r="E605" i="7"/>
  <c r="B605" i="7"/>
  <c r="J604" i="7"/>
  <c r="E604" i="7"/>
  <c r="B604" i="7"/>
  <c r="J603" i="7"/>
  <c r="E603" i="7"/>
  <c r="B603" i="7"/>
  <c r="J602" i="7"/>
  <c r="E602" i="7"/>
  <c r="B602" i="7"/>
  <c r="J601" i="7"/>
  <c r="E601" i="7"/>
  <c r="B601" i="7"/>
  <c r="J600" i="7"/>
  <c r="E600" i="7"/>
  <c r="B600" i="7"/>
  <c r="J599" i="7"/>
  <c r="E599" i="7"/>
  <c r="B599" i="7"/>
  <c r="J598" i="7"/>
  <c r="E598" i="7"/>
  <c r="B598" i="7"/>
  <c r="J597" i="7"/>
  <c r="E597" i="7"/>
  <c r="B597" i="7"/>
  <c r="J596" i="7"/>
  <c r="E596" i="7"/>
  <c r="B596" i="7"/>
  <c r="J595" i="7"/>
  <c r="E595" i="7"/>
  <c r="B595" i="7"/>
  <c r="J594" i="7"/>
  <c r="E594" i="7"/>
  <c r="B594" i="7"/>
  <c r="J593" i="7"/>
  <c r="E593" i="7"/>
  <c r="B593" i="7"/>
  <c r="J592" i="7"/>
  <c r="E592" i="7"/>
  <c r="B592" i="7"/>
  <c r="J591" i="7"/>
  <c r="E591" i="7"/>
  <c r="B591" i="7"/>
  <c r="J590" i="7"/>
  <c r="E590" i="7"/>
  <c r="B590" i="7"/>
  <c r="J589" i="7"/>
  <c r="E589" i="7"/>
  <c r="B589" i="7"/>
  <c r="J588" i="7"/>
  <c r="E588" i="7"/>
  <c r="B588" i="7"/>
  <c r="J587" i="7"/>
  <c r="E587" i="7"/>
  <c r="B587" i="7"/>
  <c r="J586" i="7"/>
  <c r="E586" i="7"/>
  <c r="B586" i="7"/>
  <c r="J585" i="7"/>
  <c r="E585" i="7"/>
  <c r="B585" i="7"/>
  <c r="J584" i="7"/>
  <c r="E584" i="7"/>
  <c r="B584" i="7"/>
  <c r="J583" i="7"/>
  <c r="E583" i="7"/>
  <c r="B583" i="7"/>
  <c r="J582" i="7"/>
  <c r="E582" i="7"/>
  <c r="B582" i="7"/>
  <c r="J581" i="7"/>
  <c r="E581" i="7"/>
  <c r="B581" i="7"/>
  <c r="J580" i="7"/>
  <c r="E580" i="7"/>
  <c r="B580" i="7"/>
  <c r="J579" i="7"/>
  <c r="E579" i="7"/>
  <c r="B579" i="7"/>
  <c r="J578" i="7"/>
  <c r="E578" i="7"/>
  <c r="B578" i="7"/>
  <c r="J577" i="7"/>
  <c r="E577" i="7"/>
  <c r="B577" i="7"/>
  <c r="J576" i="7"/>
  <c r="E576" i="7"/>
  <c r="B576" i="7"/>
  <c r="J575" i="7"/>
  <c r="E575" i="7"/>
  <c r="B575" i="7"/>
  <c r="J574" i="7"/>
  <c r="E574" i="7"/>
  <c r="B574" i="7"/>
  <c r="J573" i="7"/>
  <c r="E573" i="7"/>
  <c r="B573" i="7"/>
  <c r="J572" i="7"/>
  <c r="E572" i="7"/>
  <c r="B572" i="7"/>
  <c r="J571" i="7"/>
  <c r="E571" i="7"/>
  <c r="B571" i="7"/>
  <c r="J570" i="7"/>
  <c r="E570" i="7"/>
  <c r="B570" i="7"/>
  <c r="J569" i="7"/>
  <c r="E569" i="7"/>
  <c r="B569" i="7"/>
  <c r="J568" i="7"/>
  <c r="E568" i="7"/>
  <c r="B568" i="7"/>
  <c r="J567" i="7"/>
  <c r="E567" i="7"/>
  <c r="B567" i="7"/>
  <c r="J566" i="7"/>
  <c r="E566" i="7"/>
  <c r="B566" i="7"/>
  <c r="J565" i="7"/>
  <c r="E565" i="7"/>
  <c r="B565" i="7"/>
  <c r="J564" i="7"/>
  <c r="E564" i="7"/>
  <c r="B564" i="7"/>
  <c r="J563" i="7"/>
  <c r="E563" i="7"/>
  <c r="B563" i="7"/>
  <c r="J562" i="7"/>
  <c r="E562" i="7"/>
  <c r="B562" i="7"/>
  <c r="J561" i="7"/>
  <c r="E561" i="7"/>
  <c r="B561" i="7"/>
  <c r="J560" i="7"/>
  <c r="E560" i="7"/>
  <c r="B560" i="7"/>
  <c r="J559" i="7"/>
  <c r="E559" i="7"/>
  <c r="B559" i="7"/>
  <c r="J558" i="7"/>
  <c r="E558" i="7"/>
  <c r="B558" i="7"/>
  <c r="J557" i="7"/>
  <c r="E557" i="7"/>
  <c r="B557" i="7"/>
  <c r="J556" i="7"/>
  <c r="E556" i="7"/>
  <c r="B556" i="7"/>
  <c r="J555" i="7"/>
  <c r="E555" i="7"/>
  <c r="B555" i="7"/>
  <c r="J554" i="7"/>
  <c r="E554" i="7"/>
  <c r="B554" i="7"/>
  <c r="J553" i="7"/>
  <c r="E553" i="7"/>
  <c r="B553" i="7"/>
  <c r="J552" i="7"/>
  <c r="E552" i="7"/>
  <c r="B552" i="7"/>
  <c r="J551" i="7"/>
  <c r="E551" i="7"/>
  <c r="B551" i="7"/>
  <c r="J550" i="7"/>
  <c r="E550" i="7"/>
  <c r="B550" i="7"/>
  <c r="J549" i="7"/>
  <c r="E549" i="7"/>
  <c r="B549" i="7"/>
  <c r="J548" i="7"/>
  <c r="E548" i="7"/>
  <c r="B548" i="7"/>
  <c r="J547" i="7"/>
  <c r="E547" i="7"/>
  <c r="B547" i="7"/>
  <c r="J546" i="7"/>
  <c r="E546" i="7"/>
  <c r="B546" i="7"/>
  <c r="J545" i="7"/>
  <c r="E545" i="7"/>
  <c r="B545" i="7"/>
  <c r="J544" i="7"/>
  <c r="E544" i="7"/>
  <c r="B544" i="7"/>
  <c r="J543" i="7"/>
  <c r="E543" i="7"/>
  <c r="B543" i="7"/>
  <c r="J542" i="7"/>
  <c r="E542" i="7"/>
  <c r="B542" i="7"/>
  <c r="J541" i="7"/>
  <c r="E541" i="7"/>
  <c r="B541" i="7"/>
  <c r="J540" i="7"/>
  <c r="E540" i="7"/>
  <c r="B540" i="7"/>
  <c r="J539" i="7"/>
  <c r="E539" i="7"/>
  <c r="B539" i="7"/>
  <c r="J538" i="7"/>
  <c r="E538" i="7"/>
  <c r="B538" i="7"/>
  <c r="J537" i="7"/>
  <c r="E537" i="7"/>
  <c r="B537" i="7"/>
  <c r="J536" i="7"/>
  <c r="E536" i="7"/>
  <c r="B536" i="7"/>
  <c r="J535" i="7"/>
  <c r="E535" i="7"/>
  <c r="B535" i="7"/>
  <c r="J534" i="7"/>
  <c r="E534" i="7"/>
  <c r="B534" i="7"/>
  <c r="J533" i="7"/>
  <c r="E533" i="7"/>
  <c r="B533" i="7"/>
  <c r="J532" i="7"/>
  <c r="E532" i="7"/>
  <c r="B532" i="7"/>
  <c r="J531" i="7"/>
  <c r="E531" i="7"/>
  <c r="B531" i="7"/>
  <c r="J530" i="7"/>
  <c r="E530" i="7"/>
  <c r="B530" i="7"/>
  <c r="J529" i="7"/>
  <c r="E529" i="7"/>
  <c r="B529" i="7"/>
  <c r="J528" i="7"/>
  <c r="E528" i="7"/>
  <c r="B528" i="7"/>
  <c r="J527" i="7"/>
  <c r="E527" i="7"/>
  <c r="B527" i="7"/>
  <c r="J526" i="7"/>
  <c r="E526" i="7"/>
  <c r="B526" i="7"/>
  <c r="J525" i="7"/>
  <c r="E525" i="7"/>
  <c r="B525" i="7"/>
  <c r="J524" i="7"/>
  <c r="E524" i="7"/>
  <c r="B524" i="7"/>
  <c r="J523" i="7"/>
  <c r="E523" i="7"/>
  <c r="B523" i="7"/>
  <c r="J522" i="7"/>
  <c r="E522" i="7"/>
  <c r="B522" i="7"/>
  <c r="J521" i="7"/>
  <c r="E521" i="7"/>
  <c r="B521" i="7"/>
  <c r="J520" i="7"/>
  <c r="E520" i="7"/>
  <c r="B520" i="7"/>
  <c r="J519" i="7"/>
  <c r="E519" i="7"/>
  <c r="B519" i="7"/>
  <c r="J518" i="7"/>
  <c r="E518" i="7"/>
  <c r="B518" i="7"/>
  <c r="J517" i="7"/>
  <c r="E517" i="7"/>
  <c r="B517" i="7"/>
  <c r="J516" i="7"/>
  <c r="E516" i="7"/>
  <c r="B516" i="7"/>
  <c r="J515" i="7"/>
  <c r="E515" i="7"/>
  <c r="B515" i="7"/>
  <c r="J514" i="7"/>
  <c r="E514" i="7"/>
  <c r="B514" i="7"/>
  <c r="J513" i="7"/>
  <c r="E513" i="7"/>
  <c r="B513" i="7"/>
  <c r="J512" i="7"/>
  <c r="E512" i="7"/>
  <c r="B512" i="7"/>
  <c r="J511" i="7"/>
  <c r="E511" i="7"/>
  <c r="B511" i="7"/>
  <c r="J510" i="7"/>
  <c r="E510" i="7"/>
  <c r="B510" i="7"/>
  <c r="J509" i="7"/>
  <c r="E509" i="7"/>
  <c r="B509" i="7"/>
  <c r="J508" i="7"/>
  <c r="E508" i="7"/>
  <c r="B508" i="7"/>
  <c r="J507" i="7"/>
  <c r="E507" i="7"/>
  <c r="B507" i="7"/>
  <c r="J506" i="7"/>
  <c r="E506" i="7"/>
  <c r="B506" i="7"/>
  <c r="J505" i="7"/>
  <c r="E505" i="7"/>
  <c r="B505" i="7"/>
  <c r="J504" i="7"/>
  <c r="E504" i="7"/>
  <c r="B504" i="7"/>
  <c r="J503" i="7"/>
  <c r="E503" i="7"/>
  <c r="B503" i="7"/>
  <c r="J502" i="7"/>
  <c r="E502" i="7"/>
  <c r="B502" i="7"/>
  <c r="J501" i="7"/>
  <c r="E501" i="7"/>
  <c r="B501" i="7"/>
  <c r="J500" i="7"/>
  <c r="E500" i="7"/>
  <c r="B500" i="7"/>
  <c r="J499" i="7"/>
  <c r="E499" i="7"/>
  <c r="B499" i="7"/>
  <c r="J498" i="7"/>
  <c r="E498" i="7"/>
  <c r="B498" i="7"/>
  <c r="J497" i="7"/>
  <c r="E497" i="7"/>
  <c r="B497" i="7"/>
  <c r="J496" i="7"/>
  <c r="E496" i="7"/>
  <c r="B496" i="7"/>
  <c r="J495" i="7"/>
  <c r="E495" i="7"/>
  <c r="B495" i="7"/>
  <c r="J494" i="7"/>
  <c r="E494" i="7"/>
  <c r="B494" i="7"/>
  <c r="J493" i="7"/>
  <c r="E493" i="7"/>
  <c r="B493" i="7"/>
  <c r="J492" i="7"/>
  <c r="E492" i="7"/>
  <c r="B492" i="7"/>
  <c r="J491" i="7"/>
  <c r="E491" i="7"/>
  <c r="B491" i="7"/>
  <c r="J490" i="7"/>
  <c r="E490" i="7"/>
  <c r="B490" i="7"/>
  <c r="J489" i="7"/>
  <c r="E489" i="7"/>
  <c r="B489" i="7"/>
  <c r="J488" i="7"/>
  <c r="E488" i="7"/>
  <c r="B488" i="7"/>
  <c r="J487" i="7"/>
  <c r="E487" i="7"/>
  <c r="B487" i="7"/>
  <c r="J486" i="7"/>
  <c r="E486" i="7"/>
  <c r="B486" i="7"/>
  <c r="J485" i="7"/>
  <c r="E485" i="7"/>
  <c r="B485" i="7"/>
  <c r="J484" i="7"/>
  <c r="E484" i="7"/>
  <c r="B484" i="7"/>
  <c r="J483" i="7"/>
  <c r="E483" i="7"/>
  <c r="B483" i="7"/>
  <c r="J482" i="7"/>
  <c r="E482" i="7"/>
  <c r="B482" i="7"/>
  <c r="J481" i="7"/>
  <c r="E481" i="7"/>
  <c r="B481" i="7"/>
  <c r="J480" i="7"/>
  <c r="E480" i="7"/>
  <c r="B480" i="7"/>
  <c r="J479" i="7"/>
  <c r="E479" i="7"/>
  <c r="B479" i="7"/>
  <c r="J478" i="7"/>
  <c r="E478" i="7"/>
  <c r="B478" i="7"/>
  <c r="J477" i="7"/>
  <c r="E477" i="7"/>
  <c r="B477" i="7"/>
  <c r="J476" i="7"/>
  <c r="E476" i="7"/>
  <c r="B476" i="7"/>
  <c r="J475" i="7"/>
  <c r="E475" i="7"/>
  <c r="B475" i="7"/>
  <c r="J474" i="7"/>
  <c r="E474" i="7"/>
  <c r="B474" i="7"/>
  <c r="J473" i="7"/>
  <c r="E473" i="7"/>
  <c r="B473" i="7"/>
  <c r="J472" i="7"/>
  <c r="E472" i="7"/>
  <c r="B472" i="7"/>
  <c r="J471" i="7"/>
  <c r="E471" i="7"/>
  <c r="B471" i="7"/>
  <c r="J470" i="7"/>
  <c r="E470" i="7"/>
  <c r="B470" i="7"/>
  <c r="J469" i="7"/>
  <c r="E469" i="7"/>
  <c r="B469" i="7"/>
  <c r="J468" i="7"/>
  <c r="E468" i="7"/>
  <c r="B468" i="7"/>
  <c r="J467" i="7"/>
  <c r="E467" i="7"/>
  <c r="B467" i="7"/>
  <c r="J466" i="7"/>
  <c r="E466" i="7"/>
  <c r="B466" i="7"/>
  <c r="J465" i="7"/>
  <c r="E465" i="7"/>
  <c r="B465" i="7"/>
  <c r="J464" i="7"/>
  <c r="E464" i="7"/>
  <c r="B464" i="7"/>
  <c r="J463" i="7"/>
  <c r="E463" i="7"/>
  <c r="B463" i="7"/>
  <c r="J462" i="7"/>
  <c r="E462" i="7"/>
  <c r="B462" i="7"/>
  <c r="J461" i="7"/>
  <c r="E461" i="7"/>
  <c r="B461" i="7"/>
  <c r="J460" i="7"/>
  <c r="E460" i="7"/>
  <c r="B460" i="7"/>
  <c r="J459" i="7"/>
  <c r="E459" i="7"/>
  <c r="B459" i="7"/>
  <c r="J458" i="7"/>
  <c r="E458" i="7"/>
  <c r="B458" i="7"/>
  <c r="J457" i="7"/>
  <c r="E457" i="7"/>
  <c r="B457" i="7"/>
  <c r="J456" i="7"/>
  <c r="E456" i="7"/>
  <c r="B456" i="7"/>
  <c r="J455" i="7"/>
  <c r="E455" i="7"/>
  <c r="B455" i="7"/>
  <c r="J454" i="7"/>
  <c r="E454" i="7"/>
  <c r="B454" i="7"/>
  <c r="J453" i="7"/>
  <c r="E453" i="7"/>
  <c r="B453" i="7"/>
  <c r="J452" i="7"/>
  <c r="E452" i="7"/>
  <c r="B452" i="7"/>
  <c r="J451" i="7"/>
  <c r="E451" i="7"/>
  <c r="B451" i="7"/>
  <c r="J450" i="7"/>
  <c r="E450" i="7"/>
  <c r="B450" i="7"/>
  <c r="J449" i="7"/>
  <c r="E449" i="7"/>
  <c r="B449" i="7"/>
  <c r="J448" i="7"/>
  <c r="E448" i="7"/>
  <c r="B448" i="7"/>
  <c r="J447" i="7"/>
  <c r="E447" i="7"/>
  <c r="B447" i="7"/>
  <c r="J446" i="7"/>
  <c r="E446" i="7"/>
  <c r="B446" i="7"/>
  <c r="J445" i="7"/>
  <c r="E445" i="7"/>
  <c r="B445" i="7"/>
  <c r="J444" i="7"/>
  <c r="E444" i="7"/>
  <c r="B444" i="7"/>
  <c r="J443" i="7"/>
  <c r="E443" i="7"/>
  <c r="B443" i="7"/>
  <c r="J442" i="7"/>
  <c r="E442" i="7"/>
  <c r="B442" i="7"/>
  <c r="J441" i="7"/>
  <c r="E441" i="7"/>
  <c r="B441" i="7"/>
  <c r="J440" i="7"/>
  <c r="E440" i="7"/>
  <c r="B440" i="7"/>
  <c r="J439" i="7"/>
  <c r="E439" i="7"/>
  <c r="B439" i="7"/>
  <c r="J438" i="7"/>
  <c r="E438" i="7"/>
  <c r="B438" i="7"/>
  <c r="J437" i="7"/>
  <c r="E437" i="7"/>
  <c r="B437" i="7"/>
  <c r="J436" i="7"/>
  <c r="E436" i="7"/>
  <c r="B436" i="7"/>
  <c r="J435" i="7"/>
  <c r="E435" i="7"/>
  <c r="B435" i="7"/>
  <c r="J434" i="7"/>
  <c r="E434" i="7"/>
  <c r="B434" i="7"/>
  <c r="J433" i="7"/>
  <c r="E433" i="7"/>
  <c r="B433" i="7"/>
  <c r="J432" i="7"/>
  <c r="E432" i="7"/>
  <c r="B432" i="7"/>
  <c r="J431" i="7"/>
  <c r="E431" i="7"/>
  <c r="B431" i="7"/>
  <c r="J430" i="7"/>
  <c r="E430" i="7"/>
  <c r="B430" i="7"/>
  <c r="J429" i="7"/>
  <c r="E429" i="7"/>
  <c r="B429" i="7"/>
  <c r="J428" i="7"/>
  <c r="E428" i="7"/>
  <c r="B428" i="7"/>
  <c r="J427" i="7"/>
  <c r="E427" i="7"/>
  <c r="B427" i="7"/>
  <c r="J426" i="7"/>
  <c r="E426" i="7"/>
  <c r="B426" i="7"/>
  <c r="J425" i="7"/>
  <c r="E425" i="7"/>
  <c r="B425" i="7"/>
  <c r="J424" i="7"/>
  <c r="E424" i="7"/>
  <c r="B424" i="7"/>
  <c r="J423" i="7"/>
  <c r="E423" i="7"/>
  <c r="B423" i="7"/>
  <c r="J422" i="7"/>
  <c r="E422" i="7"/>
  <c r="B422" i="7"/>
  <c r="J421" i="7"/>
  <c r="E421" i="7"/>
  <c r="B421" i="7"/>
  <c r="J420" i="7"/>
  <c r="E420" i="7"/>
  <c r="B420" i="7"/>
  <c r="J419" i="7"/>
  <c r="E419" i="7"/>
  <c r="B419" i="7"/>
  <c r="J418" i="7"/>
  <c r="E418" i="7"/>
  <c r="B418" i="7"/>
  <c r="J417" i="7"/>
  <c r="E417" i="7"/>
  <c r="B417" i="7"/>
  <c r="J416" i="7"/>
  <c r="E416" i="7"/>
  <c r="B416" i="7"/>
  <c r="J415" i="7"/>
  <c r="E415" i="7"/>
  <c r="B415" i="7"/>
  <c r="J414" i="7"/>
  <c r="E414" i="7"/>
  <c r="B414" i="7"/>
  <c r="J413" i="7"/>
  <c r="E413" i="7"/>
  <c r="B413" i="7"/>
  <c r="J412" i="7"/>
  <c r="E412" i="7"/>
  <c r="B412" i="7"/>
  <c r="J411" i="7"/>
  <c r="E411" i="7"/>
  <c r="B411" i="7"/>
  <c r="J410" i="7"/>
  <c r="E410" i="7"/>
  <c r="B410" i="7"/>
  <c r="J409" i="7"/>
  <c r="E409" i="7"/>
  <c r="B409" i="7"/>
  <c r="J408" i="7"/>
  <c r="E408" i="7"/>
  <c r="B408" i="7"/>
  <c r="J407" i="7"/>
  <c r="E407" i="7"/>
  <c r="B407" i="7"/>
  <c r="J406" i="7"/>
  <c r="E406" i="7"/>
  <c r="B406" i="7"/>
  <c r="J405" i="7"/>
  <c r="E405" i="7"/>
  <c r="B405" i="7"/>
  <c r="J404" i="7"/>
  <c r="E404" i="7"/>
  <c r="B404" i="7"/>
  <c r="J403" i="7"/>
  <c r="E403" i="7"/>
  <c r="B403" i="7"/>
  <c r="J402" i="7"/>
  <c r="E402" i="7"/>
  <c r="B402" i="7"/>
  <c r="J401" i="7"/>
  <c r="E401" i="7"/>
  <c r="B401" i="7"/>
  <c r="J400" i="7"/>
  <c r="E400" i="7"/>
  <c r="B400" i="7"/>
  <c r="J399" i="7"/>
  <c r="E399" i="7"/>
  <c r="B399" i="7"/>
  <c r="J398" i="7"/>
  <c r="E398" i="7"/>
  <c r="B398" i="7"/>
  <c r="J397" i="7"/>
  <c r="E397" i="7"/>
  <c r="B397" i="7"/>
  <c r="J396" i="7"/>
  <c r="E396" i="7"/>
  <c r="B396" i="7"/>
  <c r="J395" i="7"/>
  <c r="E395" i="7"/>
  <c r="B395" i="7"/>
  <c r="J394" i="7"/>
  <c r="E394" i="7"/>
  <c r="B394" i="7"/>
  <c r="J393" i="7"/>
  <c r="E393" i="7"/>
  <c r="B393" i="7"/>
  <c r="J392" i="7"/>
  <c r="E392" i="7"/>
  <c r="B392" i="7"/>
  <c r="J391" i="7"/>
  <c r="E391" i="7"/>
  <c r="B391" i="7"/>
  <c r="J390" i="7"/>
  <c r="E390" i="7"/>
  <c r="B390" i="7"/>
  <c r="J389" i="7"/>
  <c r="E389" i="7"/>
  <c r="B389" i="7"/>
  <c r="J388" i="7"/>
  <c r="E388" i="7"/>
  <c r="B388" i="7"/>
  <c r="J387" i="7"/>
  <c r="E387" i="7"/>
  <c r="B387" i="7"/>
  <c r="J386" i="7"/>
  <c r="E386" i="7"/>
  <c r="B386" i="7"/>
  <c r="J385" i="7"/>
  <c r="E385" i="7"/>
  <c r="B385" i="7"/>
  <c r="J384" i="7"/>
  <c r="E384" i="7"/>
  <c r="B384" i="7"/>
  <c r="J383" i="7"/>
  <c r="E383" i="7"/>
  <c r="B383" i="7"/>
  <c r="J382" i="7"/>
  <c r="E382" i="7"/>
  <c r="B382" i="7"/>
  <c r="J381" i="7"/>
  <c r="E381" i="7"/>
  <c r="B381" i="7"/>
  <c r="J380" i="7"/>
  <c r="E380" i="7"/>
  <c r="B380" i="7"/>
  <c r="J379" i="7"/>
  <c r="E379" i="7"/>
  <c r="B379" i="7"/>
  <c r="J378" i="7"/>
  <c r="E378" i="7"/>
  <c r="B378" i="7"/>
  <c r="J377" i="7"/>
  <c r="E377" i="7"/>
  <c r="B377" i="7"/>
  <c r="J376" i="7"/>
  <c r="E376" i="7"/>
  <c r="B376" i="7"/>
  <c r="J375" i="7"/>
  <c r="E375" i="7"/>
  <c r="B375" i="7"/>
  <c r="J374" i="7"/>
  <c r="E374" i="7"/>
  <c r="B374" i="7"/>
  <c r="J373" i="7"/>
  <c r="E373" i="7"/>
  <c r="B373" i="7"/>
  <c r="J372" i="7"/>
  <c r="E372" i="7"/>
  <c r="B372" i="7"/>
  <c r="J371" i="7"/>
  <c r="E371" i="7"/>
  <c r="B371" i="7"/>
  <c r="J370" i="7"/>
  <c r="E370" i="7"/>
  <c r="B370" i="7"/>
  <c r="J369" i="7"/>
  <c r="E369" i="7"/>
  <c r="B369" i="7"/>
  <c r="J368" i="7"/>
  <c r="E368" i="7"/>
  <c r="B368" i="7"/>
  <c r="J367" i="7"/>
  <c r="E367" i="7"/>
  <c r="B367" i="7"/>
  <c r="J366" i="7"/>
  <c r="E366" i="7"/>
  <c r="B366" i="7"/>
  <c r="J365" i="7"/>
  <c r="E365" i="7"/>
  <c r="B365" i="7"/>
  <c r="J364" i="7"/>
  <c r="E364" i="7"/>
  <c r="B364" i="7"/>
  <c r="J363" i="7"/>
  <c r="E363" i="7"/>
  <c r="B363" i="7"/>
  <c r="J362" i="7"/>
  <c r="E362" i="7"/>
  <c r="B362" i="7"/>
  <c r="J361" i="7"/>
  <c r="E361" i="7"/>
  <c r="B361" i="7"/>
  <c r="J360" i="7"/>
  <c r="E360" i="7"/>
  <c r="B360" i="7"/>
  <c r="J359" i="7"/>
  <c r="E359" i="7"/>
  <c r="B359" i="7"/>
  <c r="J358" i="7"/>
  <c r="E358" i="7"/>
  <c r="B358" i="7"/>
  <c r="J357" i="7"/>
  <c r="E357" i="7"/>
  <c r="B357" i="7"/>
  <c r="J356" i="7"/>
  <c r="E356" i="7"/>
  <c r="B356" i="7"/>
  <c r="J355" i="7"/>
  <c r="E355" i="7"/>
  <c r="B355" i="7"/>
  <c r="J354" i="7"/>
  <c r="E354" i="7"/>
  <c r="B354" i="7"/>
  <c r="J353" i="7"/>
  <c r="E353" i="7"/>
  <c r="B353" i="7"/>
  <c r="J352" i="7"/>
  <c r="E352" i="7"/>
  <c r="B352" i="7"/>
  <c r="J351" i="7"/>
  <c r="E351" i="7"/>
  <c r="B351" i="7"/>
  <c r="J350" i="7"/>
  <c r="E350" i="7"/>
  <c r="B350" i="7"/>
  <c r="J349" i="7"/>
  <c r="E349" i="7"/>
  <c r="B349" i="7"/>
  <c r="J348" i="7"/>
  <c r="E348" i="7"/>
  <c r="B348" i="7"/>
  <c r="J347" i="7"/>
  <c r="E347" i="7"/>
  <c r="B347" i="7"/>
  <c r="J346" i="7"/>
  <c r="E346" i="7"/>
  <c r="B346" i="7"/>
  <c r="J345" i="7"/>
  <c r="E345" i="7"/>
  <c r="B345" i="7"/>
  <c r="J344" i="7"/>
  <c r="E344" i="7"/>
  <c r="B344" i="7"/>
  <c r="J343" i="7"/>
  <c r="E343" i="7"/>
  <c r="B343" i="7"/>
  <c r="J342" i="7"/>
  <c r="E342" i="7"/>
  <c r="B342" i="7"/>
  <c r="J341" i="7"/>
  <c r="E341" i="7"/>
  <c r="B341" i="7"/>
  <c r="J340" i="7"/>
  <c r="E340" i="7"/>
  <c r="B340" i="7"/>
  <c r="J339" i="7"/>
  <c r="E339" i="7"/>
  <c r="B339" i="7"/>
  <c r="J338" i="7"/>
  <c r="E338" i="7"/>
  <c r="B338" i="7"/>
  <c r="J337" i="7"/>
  <c r="E337" i="7"/>
  <c r="B337" i="7"/>
  <c r="J336" i="7"/>
  <c r="E336" i="7"/>
  <c r="B336" i="7"/>
  <c r="J335" i="7"/>
  <c r="E335" i="7"/>
  <c r="B335" i="7"/>
  <c r="J334" i="7"/>
  <c r="E334" i="7"/>
  <c r="B334" i="7"/>
  <c r="J333" i="7"/>
  <c r="E333" i="7"/>
  <c r="B333" i="7"/>
  <c r="J332" i="7"/>
  <c r="E332" i="7"/>
  <c r="B332" i="7"/>
  <c r="J331" i="7"/>
  <c r="E331" i="7"/>
  <c r="B331" i="7"/>
  <c r="J330" i="7"/>
  <c r="E330" i="7"/>
  <c r="B330" i="7"/>
  <c r="J329" i="7"/>
  <c r="E329" i="7"/>
  <c r="B329" i="7"/>
  <c r="J328" i="7"/>
  <c r="E328" i="7"/>
  <c r="B328" i="7"/>
  <c r="J327" i="7"/>
  <c r="E327" i="7"/>
  <c r="B327" i="7"/>
  <c r="J326" i="7"/>
  <c r="E326" i="7"/>
  <c r="B326" i="7"/>
  <c r="J325" i="7"/>
  <c r="E325" i="7"/>
  <c r="B325" i="7"/>
  <c r="J324" i="7"/>
  <c r="E324" i="7"/>
  <c r="B324" i="7"/>
  <c r="J323" i="7"/>
  <c r="E323" i="7"/>
  <c r="B323" i="7"/>
  <c r="J322" i="7"/>
  <c r="E322" i="7"/>
  <c r="B322" i="7"/>
  <c r="J321" i="7"/>
  <c r="E321" i="7"/>
  <c r="B321" i="7"/>
  <c r="J320" i="7"/>
  <c r="E320" i="7"/>
  <c r="B320" i="7"/>
  <c r="J319" i="7"/>
  <c r="E319" i="7"/>
  <c r="B319" i="7"/>
  <c r="J318" i="7"/>
  <c r="E318" i="7"/>
  <c r="B318" i="7"/>
  <c r="J317" i="7"/>
  <c r="E317" i="7"/>
  <c r="B317" i="7"/>
  <c r="J316" i="7"/>
  <c r="E316" i="7"/>
  <c r="B316" i="7"/>
  <c r="J315" i="7"/>
  <c r="E315" i="7"/>
  <c r="B315" i="7"/>
  <c r="J314" i="7"/>
  <c r="E314" i="7"/>
  <c r="B314" i="7"/>
  <c r="J313" i="7"/>
  <c r="E313" i="7"/>
  <c r="B313" i="7"/>
  <c r="J312" i="7"/>
  <c r="E312" i="7"/>
  <c r="B312" i="7"/>
  <c r="J311" i="7"/>
  <c r="E311" i="7"/>
  <c r="B311" i="7"/>
  <c r="J310" i="7"/>
  <c r="E310" i="7"/>
  <c r="B310" i="7"/>
  <c r="J309" i="7"/>
  <c r="E309" i="7"/>
  <c r="B309" i="7"/>
  <c r="J308" i="7"/>
  <c r="E308" i="7"/>
  <c r="B308" i="7"/>
  <c r="J307" i="7"/>
  <c r="E307" i="7"/>
  <c r="B307" i="7"/>
  <c r="J306" i="7"/>
  <c r="E306" i="7"/>
  <c r="B306" i="7"/>
  <c r="J305" i="7"/>
  <c r="E305" i="7"/>
  <c r="B305" i="7"/>
  <c r="J304" i="7"/>
  <c r="E304" i="7"/>
  <c r="B304" i="7"/>
  <c r="J303" i="7"/>
  <c r="E303" i="7"/>
  <c r="B303" i="7"/>
  <c r="J302" i="7"/>
  <c r="E302" i="7"/>
  <c r="B302" i="7"/>
  <c r="J301" i="7"/>
  <c r="E301" i="7"/>
  <c r="B301" i="7"/>
  <c r="J300" i="7"/>
  <c r="E300" i="7"/>
  <c r="B300" i="7"/>
  <c r="J299" i="7"/>
  <c r="E299" i="7"/>
  <c r="B299" i="7"/>
  <c r="J298" i="7"/>
  <c r="E298" i="7"/>
  <c r="B298" i="7"/>
  <c r="J297" i="7"/>
  <c r="E297" i="7"/>
  <c r="B297" i="7"/>
  <c r="J296" i="7"/>
  <c r="E296" i="7"/>
  <c r="B296" i="7"/>
  <c r="J295" i="7"/>
  <c r="E295" i="7"/>
  <c r="B295" i="7"/>
  <c r="J294" i="7"/>
  <c r="E294" i="7"/>
  <c r="B294" i="7"/>
  <c r="J293" i="7"/>
  <c r="E293" i="7"/>
  <c r="B293" i="7"/>
  <c r="J292" i="7"/>
  <c r="E292" i="7"/>
  <c r="B292" i="7"/>
  <c r="J291" i="7"/>
  <c r="E291" i="7"/>
  <c r="B291" i="7"/>
  <c r="J290" i="7"/>
  <c r="E290" i="7"/>
  <c r="B290" i="7"/>
  <c r="J289" i="7"/>
  <c r="E289" i="7"/>
  <c r="B289" i="7"/>
  <c r="J288" i="7"/>
  <c r="E288" i="7"/>
  <c r="B288" i="7"/>
  <c r="J287" i="7"/>
  <c r="E287" i="7"/>
  <c r="B287" i="7"/>
  <c r="J286" i="7"/>
  <c r="E286" i="7"/>
  <c r="B286" i="7"/>
  <c r="J285" i="7"/>
  <c r="E285" i="7"/>
  <c r="B285" i="7"/>
  <c r="J284" i="7"/>
  <c r="E284" i="7"/>
  <c r="B284" i="7"/>
  <c r="J283" i="7"/>
  <c r="E283" i="7"/>
  <c r="B283" i="7"/>
  <c r="J282" i="7"/>
  <c r="E282" i="7"/>
  <c r="B282" i="7"/>
  <c r="J281" i="7"/>
  <c r="E281" i="7"/>
  <c r="B281" i="7"/>
  <c r="J280" i="7"/>
  <c r="E280" i="7"/>
  <c r="B280" i="7"/>
  <c r="J279" i="7"/>
  <c r="E279" i="7"/>
  <c r="B279" i="7"/>
  <c r="J278" i="7"/>
  <c r="E278" i="7"/>
  <c r="B278" i="7"/>
  <c r="J277" i="7"/>
  <c r="E277" i="7"/>
  <c r="B277" i="7"/>
  <c r="J276" i="7"/>
  <c r="E276" i="7"/>
  <c r="B276" i="7"/>
  <c r="J275" i="7"/>
  <c r="E275" i="7"/>
  <c r="B275" i="7"/>
  <c r="J274" i="7"/>
  <c r="E274" i="7"/>
  <c r="B274" i="7"/>
  <c r="J273" i="7"/>
  <c r="E273" i="7"/>
  <c r="B273" i="7"/>
  <c r="J272" i="7"/>
  <c r="E272" i="7"/>
  <c r="B272" i="7"/>
  <c r="J271" i="7"/>
  <c r="E271" i="7"/>
  <c r="B271" i="7"/>
  <c r="J270" i="7"/>
  <c r="E270" i="7"/>
  <c r="B270" i="7"/>
  <c r="J269" i="7"/>
  <c r="E269" i="7"/>
  <c r="B269" i="7"/>
  <c r="J268" i="7"/>
  <c r="E268" i="7"/>
  <c r="B268" i="7"/>
  <c r="J267" i="7"/>
  <c r="E267" i="7"/>
  <c r="B267" i="7"/>
  <c r="J266" i="7"/>
  <c r="E266" i="7"/>
  <c r="B266" i="7"/>
  <c r="J265" i="7"/>
  <c r="E265" i="7"/>
  <c r="B265" i="7"/>
  <c r="J264" i="7"/>
  <c r="E264" i="7"/>
  <c r="B264" i="7"/>
  <c r="J263" i="7"/>
  <c r="E263" i="7"/>
  <c r="B263" i="7"/>
  <c r="J262" i="7"/>
  <c r="E262" i="7"/>
  <c r="B262" i="7"/>
  <c r="J261" i="7"/>
  <c r="E261" i="7"/>
  <c r="B261" i="7"/>
  <c r="J260" i="7"/>
  <c r="E260" i="7"/>
  <c r="B260" i="7"/>
  <c r="J259" i="7"/>
  <c r="E259" i="7"/>
  <c r="B259" i="7"/>
  <c r="J258" i="7"/>
  <c r="E258" i="7"/>
  <c r="B258" i="7"/>
  <c r="J257" i="7"/>
  <c r="E257" i="7"/>
  <c r="B257" i="7"/>
  <c r="J256" i="7"/>
  <c r="E256" i="7"/>
  <c r="B256" i="7"/>
  <c r="J255" i="7"/>
  <c r="E255" i="7"/>
  <c r="B255" i="7"/>
  <c r="J254" i="7"/>
  <c r="E254" i="7"/>
  <c r="B254" i="7"/>
  <c r="J253" i="7"/>
  <c r="E253" i="7"/>
  <c r="B253" i="7"/>
  <c r="J252" i="7"/>
  <c r="E252" i="7"/>
  <c r="B252" i="7"/>
  <c r="J251" i="7"/>
  <c r="E251" i="7"/>
  <c r="B251" i="7"/>
  <c r="J250" i="7"/>
  <c r="E250" i="7"/>
  <c r="B250" i="7"/>
  <c r="J249" i="7"/>
  <c r="E249" i="7"/>
  <c r="B249" i="7"/>
  <c r="J248" i="7"/>
  <c r="E248" i="7"/>
  <c r="B248" i="7"/>
  <c r="J247" i="7"/>
  <c r="E247" i="7"/>
  <c r="B247" i="7"/>
  <c r="J246" i="7"/>
  <c r="E246" i="7"/>
  <c r="B246" i="7"/>
  <c r="J245" i="7"/>
  <c r="E245" i="7"/>
  <c r="B245" i="7"/>
  <c r="J244" i="7"/>
  <c r="E244" i="7"/>
  <c r="B244" i="7"/>
  <c r="J243" i="7"/>
  <c r="E243" i="7"/>
  <c r="B243" i="7"/>
  <c r="J242" i="7"/>
  <c r="E242" i="7"/>
  <c r="B242" i="7"/>
  <c r="J241" i="7"/>
  <c r="E241" i="7"/>
  <c r="B241" i="7"/>
  <c r="J240" i="7"/>
  <c r="E240" i="7"/>
  <c r="B240" i="7"/>
  <c r="J239" i="7"/>
  <c r="E239" i="7"/>
  <c r="B239" i="7"/>
  <c r="J238" i="7"/>
  <c r="E238" i="7"/>
  <c r="B238" i="7"/>
  <c r="J237" i="7"/>
  <c r="E237" i="7"/>
  <c r="B237" i="7"/>
  <c r="J236" i="7"/>
  <c r="E236" i="7"/>
  <c r="B236" i="7"/>
  <c r="J235" i="7"/>
  <c r="E235" i="7"/>
  <c r="B235" i="7"/>
  <c r="J234" i="7"/>
  <c r="E234" i="7"/>
  <c r="B234" i="7"/>
  <c r="J233" i="7"/>
  <c r="E233" i="7"/>
  <c r="B233" i="7"/>
  <c r="J232" i="7"/>
  <c r="E232" i="7"/>
  <c r="B232" i="7"/>
  <c r="J231" i="7"/>
  <c r="E231" i="7"/>
  <c r="B231" i="7"/>
  <c r="J230" i="7"/>
  <c r="E230" i="7"/>
  <c r="B230" i="7"/>
  <c r="J229" i="7"/>
  <c r="E229" i="7"/>
  <c r="B229" i="7"/>
  <c r="J228" i="7"/>
  <c r="E228" i="7"/>
  <c r="B228" i="7"/>
  <c r="J227" i="7"/>
  <c r="E227" i="7"/>
  <c r="B227" i="7"/>
  <c r="J226" i="7"/>
  <c r="E226" i="7"/>
  <c r="B226" i="7"/>
  <c r="J225" i="7"/>
  <c r="E225" i="7"/>
  <c r="B225" i="7"/>
  <c r="J224" i="7"/>
  <c r="E224" i="7"/>
  <c r="B224" i="7"/>
  <c r="J223" i="7"/>
  <c r="E223" i="7"/>
  <c r="B223" i="7"/>
  <c r="J222" i="7"/>
  <c r="E222" i="7"/>
  <c r="B222" i="7"/>
  <c r="J221" i="7"/>
  <c r="E221" i="7"/>
  <c r="B221" i="7"/>
  <c r="J220" i="7"/>
  <c r="E220" i="7"/>
  <c r="B220" i="7"/>
  <c r="J219" i="7"/>
  <c r="E219" i="7"/>
  <c r="B219" i="7"/>
  <c r="J218" i="7"/>
  <c r="E218" i="7"/>
  <c r="B218" i="7"/>
  <c r="J217" i="7"/>
  <c r="E217" i="7"/>
  <c r="B217" i="7"/>
  <c r="J216" i="7"/>
  <c r="E216" i="7"/>
  <c r="B216" i="7"/>
  <c r="J215" i="7"/>
  <c r="E215" i="7"/>
  <c r="B215" i="7"/>
  <c r="J214" i="7"/>
  <c r="E214" i="7"/>
  <c r="B214" i="7"/>
  <c r="J213" i="7"/>
  <c r="E213" i="7"/>
  <c r="B213" i="7"/>
  <c r="J212" i="7"/>
  <c r="E212" i="7"/>
  <c r="B212" i="7"/>
  <c r="J211" i="7"/>
  <c r="E211" i="7"/>
  <c r="B211" i="7"/>
  <c r="J210" i="7"/>
  <c r="E210" i="7"/>
  <c r="B210" i="7"/>
  <c r="J209" i="7"/>
  <c r="E209" i="7"/>
  <c r="B209" i="7"/>
  <c r="J208" i="7"/>
  <c r="E208" i="7"/>
  <c r="B208" i="7"/>
  <c r="J207" i="7"/>
  <c r="E207" i="7"/>
  <c r="B207" i="7"/>
  <c r="J206" i="7"/>
  <c r="E206" i="7"/>
  <c r="B206" i="7"/>
  <c r="J205" i="7"/>
  <c r="E205" i="7"/>
  <c r="B205" i="7"/>
  <c r="J204" i="7"/>
  <c r="E204" i="7"/>
  <c r="B204" i="7"/>
  <c r="J203" i="7"/>
  <c r="E203" i="7"/>
  <c r="B203" i="7"/>
  <c r="J202" i="7"/>
  <c r="E202" i="7"/>
  <c r="B202" i="7"/>
  <c r="J201" i="7"/>
  <c r="E201" i="7"/>
  <c r="B201" i="7"/>
  <c r="J200" i="7"/>
  <c r="E200" i="7"/>
  <c r="B200" i="7"/>
  <c r="J199" i="7"/>
  <c r="E199" i="7"/>
  <c r="B199" i="7"/>
  <c r="J198" i="7"/>
  <c r="E198" i="7"/>
  <c r="B198" i="7"/>
  <c r="J197" i="7"/>
  <c r="E197" i="7"/>
  <c r="B197" i="7"/>
  <c r="J196" i="7"/>
  <c r="E196" i="7"/>
  <c r="B196" i="7"/>
  <c r="J195" i="7"/>
  <c r="E195" i="7"/>
  <c r="B195" i="7"/>
  <c r="J194" i="7"/>
  <c r="E194" i="7"/>
  <c r="B194" i="7"/>
  <c r="J193" i="7"/>
  <c r="E193" i="7"/>
  <c r="B193" i="7"/>
  <c r="J192" i="7"/>
  <c r="E192" i="7"/>
  <c r="B192" i="7"/>
  <c r="J191" i="7"/>
  <c r="E191" i="7"/>
  <c r="B191" i="7"/>
  <c r="J190" i="7"/>
  <c r="E190" i="7"/>
  <c r="B190" i="7"/>
  <c r="J189" i="7"/>
  <c r="E189" i="7"/>
  <c r="B189" i="7"/>
  <c r="J188" i="7"/>
  <c r="E188" i="7"/>
  <c r="B188" i="7"/>
  <c r="J187" i="7"/>
  <c r="E187" i="7"/>
  <c r="B187" i="7"/>
  <c r="J186" i="7"/>
  <c r="E186" i="7"/>
  <c r="B186" i="7"/>
  <c r="J185" i="7"/>
  <c r="E185" i="7"/>
  <c r="B185" i="7"/>
  <c r="J184" i="7"/>
  <c r="E184" i="7"/>
  <c r="B184" i="7"/>
  <c r="J183" i="7"/>
  <c r="E183" i="7"/>
  <c r="B183" i="7"/>
  <c r="J182" i="7"/>
  <c r="E182" i="7"/>
  <c r="B182" i="7"/>
  <c r="J181" i="7"/>
  <c r="E181" i="7"/>
  <c r="B181" i="7"/>
  <c r="J180" i="7"/>
  <c r="E180" i="7"/>
  <c r="B180" i="7"/>
  <c r="J179" i="7"/>
  <c r="E179" i="7"/>
  <c r="B179" i="7"/>
  <c r="J178" i="7"/>
  <c r="E178" i="7"/>
  <c r="B178" i="7"/>
  <c r="J177" i="7"/>
  <c r="E177" i="7"/>
  <c r="B177" i="7"/>
  <c r="J176" i="7"/>
  <c r="E176" i="7"/>
  <c r="B176" i="7"/>
  <c r="J175" i="7"/>
  <c r="E175" i="7"/>
  <c r="B175" i="7"/>
  <c r="J174" i="7"/>
  <c r="E174" i="7"/>
  <c r="B174" i="7"/>
  <c r="J173" i="7"/>
  <c r="E173" i="7"/>
  <c r="B173" i="7"/>
  <c r="J172" i="7"/>
  <c r="E172" i="7"/>
  <c r="B172" i="7"/>
  <c r="J171" i="7"/>
  <c r="E171" i="7"/>
  <c r="B171" i="7"/>
  <c r="J170" i="7"/>
  <c r="E170" i="7"/>
  <c r="B170" i="7"/>
  <c r="J169" i="7"/>
  <c r="E169" i="7"/>
  <c r="B169" i="7"/>
  <c r="J168" i="7"/>
  <c r="E168" i="7"/>
  <c r="B168" i="7"/>
  <c r="J167" i="7"/>
  <c r="E167" i="7"/>
  <c r="B167" i="7"/>
  <c r="J166" i="7"/>
  <c r="E166" i="7"/>
  <c r="B166" i="7"/>
  <c r="J165" i="7"/>
  <c r="E165" i="7"/>
  <c r="B165" i="7"/>
  <c r="J164" i="7"/>
  <c r="E164" i="7"/>
  <c r="B164" i="7"/>
  <c r="J163" i="7"/>
  <c r="E163" i="7"/>
  <c r="B163" i="7"/>
  <c r="J162" i="7"/>
  <c r="E162" i="7"/>
  <c r="B162" i="7"/>
  <c r="J161" i="7"/>
  <c r="E161" i="7"/>
  <c r="B161" i="7"/>
  <c r="J160" i="7"/>
  <c r="E160" i="7"/>
  <c r="B160" i="7"/>
  <c r="J159" i="7"/>
  <c r="E159" i="7"/>
  <c r="B159" i="7"/>
  <c r="J158" i="7"/>
  <c r="E158" i="7"/>
  <c r="B158" i="7"/>
  <c r="J157" i="7"/>
  <c r="E157" i="7"/>
  <c r="B157" i="7"/>
  <c r="J156" i="7"/>
  <c r="E156" i="7"/>
  <c r="B156" i="7"/>
  <c r="J155" i="7"/>
  <c r="E155" i="7"/>
  <c r="B155" i="7"/>
  <c r="J154" i="7"/>
  <c r="E154" i="7"/>
  <c r="B154" i="7"/>
  <c r="J153" i="7"/>
  <c r="E153" i="7"/>
  <c r="B153" i="7"/>
  <c r="J152" i="7"/>
  <c r="E152" i="7"/>
  <c r="B152" i="7"/>
  <c r="J151" i="7"/>
  <c r="E151" i="7"/>
  <c r="B151" i="7"/>
  <c r="J150" i="7"/>
  <c r="E150" i="7"/>
  <c r="B150" i="7"/>
  <c r="J149" i="7"/>
  <c r="E149" i="7"/>
  <c r="B149" i="7"/>
  <c r="J148" i="7"/>
  <c r="E148" i="7"/>
  <c r="B148" i="7"/>
  <c r="J147" i="7"/>
  <c r="E147" i="7"/>
  <c r="B147" i="7"/>
  <c r="J146" i="7"/>
  <c r="E146" i="7"/>
  <c r="B146" i="7"/>
  <c r="J145" i="7"/>
  <c r="E145" i="7"/>
  <c r="B145" i="7"/>
  <c r="J144" i="7"/>
  <c r="E144" i="7"/>
  <c r="B144" i="7"/>
  <c r="J143" i="7"/>
  <c r="E143" i="7"/>
  <c r="B143" i="7"/>
  <c r="J142" i="7"/>
  <c r="E142" i="7"/>
  <c r="B142" i="7"/>
  <c r="J141" i="7"/>
  <c r="E141" i="7"/>
  <c r="B141" i="7"/>
  <c r="J140" i="7"/>
  <c r="E140" i="7"/>
  <c r="B140" i="7"/>
  <c r="J139" i="7"/>
  <c r="E139" i="7"/>
  <c r="B139" i="7"/>
  <c r="J138" i="7"/>
  <c r="E138" i="7"/>
  <c r="B138" i="7"/>
  <c r="J137" i="7"/>
  <c r="E137" i="7"/>
  <c r="B137" i="7"/>
  <c r="J136" i="7"/>
  <c r="E136" i="7"/>
  <c r="B136" i="7"/>
  <c r="J135" i="7"/>
  <c r="E135" i="7"/>
  <c r="B135" i="7"/>
  <c r="J134" i="7"/>
  <c r="E134" i="7"/>
  <c r="B134" i="7"/>
  <c r="J133" i="7"/>
  <c r="E133" i="7"/>
  <c r="B133" i="7"/>
  <c r="J132" i="7"/>
  <c r="E132" i="7"/>
  <c r="B132" i="7"/>
  <c r="J131" i="7"/>
  <c r="E131" i="7"/>
  <c r="B131" i="7"/>
  <c r="J130" i="7"/>
  <c r="E130" i="7"/>
  <c r="B130" i="7"/>
  <c r="J129" i="7"/>
  <c r="E129" i="7"/>
  <c r="B129" i="7"/>
  <c r="J128" i="7"/>
  <c r="E128" i="7"/>
  <c r="B128" i="7"/>
  <c r="J127" i="7"/>
  <c r="E127" i="7"/>
  <c r="B127" i="7"/>
  <c r="J126" i="7"/>
  <c r="E126" i="7"/>
  <c r="B126" i="7"/>
  <c r="J125" i="7"/>
  <c r="E125" i="7"/>
  <c r="B125" i="7"/>
  <c r="J124" i="7"/>
  <c r="E124" i="7"/>
  <c r="B124" i="7"/>
  <c r="J123" i="7"/>
  <c r="E123" i="7"/>
  <c r="B123" i="7"/>
  <c r="J122" i="7"/>
  <c r="E122" i="7"/>
  <c r="B122" i="7"/>
  <c r="J121" i="7"/>
  <c r="E121" i="7"/>
  <c r="B121" i="7"/>
  <c r="J120" i="7"/>
  <c r="E120" i="7"/>
  <c r="B120" i="7"/>
  <c r="J119" i="7"/>
  <c r="E119" i="7"/>
  <c r="B119" i="7"/>
  <c r="J118" i="7"/>
  <c r="E118" i="7"/>
  <c r="B118" i="7"/>
  <c r="J117" i="7"/>
  <c r="E117" i="7"/>
  <c r="B117" i="7"/>
  <c r="J116" i="7"/>
  <c r="E116" i="7"/>
  <c r="B116" i="7"/>
  <c r="J115" i="7"/>
  <c r="E115" i="7"/>
  <c r="B115" i="7"/>
  <c r="J114" i="7"/>
  <c r="E114" i="7"/>
  <c r="B114" i="7"/>
  <c r="J113" i="7"/>
  <c r="E113" i="7"/>
  <c r="B113" i="7"/>
  <c r="J112" i="7"/>
  <c r="E112" i="7"/>
  <c r="B112" i="7"/>
  <c r="J111" i="7"/>
  <c r="E111" i="7"/>
  <c r="B111" i="7"/>
  <c r="J110" i="7"/>
  <c r="E110" i="7"/>
  <c r="B110" i="7"/>
  <c r="J109" i="7"/>
  <c r="E109" i="7"/>
  <c r="B109" i="7"/>
  <c r="J108" i="7"/>
  <c r="E108" i="7"/>
  <c r="B108" i="7"/>
  <c r="J107" i="7"/>
  <c r="E107" i="7"/>
  <c r="B107" i="7"/>
  <c r="J106" i="7"/>
  <c r="E106" i="7"/>
  <c r="B106" i="7"/>
  <c r="J105" i="7"/>
  <c r="E105" i="7"/>
  <c r="B105" i="7"/>
  <c r="J104" i="7"/>
  <c r="E104" i="7"/>
  <c r="B104" i="7"/>
  <c r="J103" i="7"/>
  <c r="E103" i="7"/>
  <c r="B103" i="7"/>
  <c r="J102" i="7"/>
  <c r="E102" i="7"/>
  <c r="B102" i="7"/>
  <c r="J101" i="7"/>
  <c r="E101" i="7"/>
  <c r="B101" i="7"/>
  <c r="J100" i="7"/>
  <c r="E100" i="7"/>
  <c r="B100" i="7"/>
  <c r="J99" i="7"/>
  <c r="E99" i="7"/>
  <c r="B99" i="7"/>
  <c r="J98" i="7"/>
  <c r="E98" i="7"/>
  <c r="B98" i="7"/>
  <c r="J97" i="7"/>
  <c r="E97" i="7"/>
  <c r="B97" i="7"/>
  <c r="J96" i="7"/>
  <c r="E96" i="7"/>
  <c r="B96" i="7"/>
  <c r="J95" i="7"/>
  <c r="E95" i="7"/>
  <c r="B95" i="7"/>
  <c r="J94" i="7"/>
  <c r="E94" i="7"/>
  <c r="B94" i="7"/>
  <c r="J93" i="7"/>
  <c r="E93" i="7"/>
  <c r="B93" i="7"/>
  <c r="J92" i="7"/>
  <c r="E92" i="7"/>
  <c r="B92" i="7"/>
  <c r="J91" i="7"/>
  <c r="E91" i="7"/>
  <c r="B91" i="7"/>
  <c r="J90" i="7"/>
  <c r="E90" i="7"/>
  <c r="B90" i="7"/>
  <c r="J89" i="7"/>
  <c r="E89" i="7"/>
  <c r="B89" i="7"/>
  <c r="J88" i="7"/>
  <c r="E88" i="7"/>
  <c r="B88" i="7"/>
  <c r="J87" i="7"/>
  <c r="E87" i="7"/>
  <c r="B87" i="7"/>
  <c r="J86" i="7"/>
  <c r="E86" i="7"/>
  <c r="B86" i="7"/>
  <c r="J85" i="7"/>
  <c r="E85" i="7"/>
  <c r="B85" i="7"/>
  <c r="J84" i="7"/>
  <c r="E84" i="7"/>
  <c r="B84" i="7"/>
  <c r="J83" i="7"/>
  <c r="E83" i="7"/>
  <c r="B83" i="7"/>
  <c r="J82" i="7"/>
  <c r="E82" i="7"/>
  <c r="B82" i="7"/>
  <c r="J81" i="7"/>
  <c r="E81" i="7"/>
  <c r="B81" i="7"/>
  <c r="J80" i="7"/>
  <c r="E80" i="7"/>
  <c r="B80" i="7"/>
  <c r="J79" i="7"/>
  <c r="E79" i="7"/>
  <c r="B79" i="7"/>
  <c r="J78" i="7"/>
  <c r="E78" i="7"/>
  <c r="B78" i="7"/>
  <c r="J77" i="7"/>
  <c r="E77" i="7"/>
  <c r="B77" i="7"/>
  <c r="J76" i="7"/>
  <c r="E76" i="7"/>
  <c r="B76" i="7"/>
  <c r="J75" i="7"/>
  <c r="E75" i="7"/>
  <c r="B75" i="7"/>
  <c r="J74" i="7"/>
  <c r="E74" i="7"/>
  <c r="B74" i="7"/>
  <c r="J73" i="7"/>
  <c r="E73" i="7"/>
  <c r="B73" i="7"/>
  <c r="J72" i="7"/>
  <c r="E72" i="7"/>
  <c r="B72" i="7"/>
  <c r="J71" i="7"/>
  <c r="E71" i="7"/>
  <c r="B71" i="7"/>
  <c r="J70" i="7"/>
  <c r="E70" i="7"/>
  <c r="B70" i="7"/>
  <c r="J69" i="7"/>
  <c r="E69" i="7"/>
  <c r="B69" i="7"/>
  <c r="J68" i="7"/>
  <c r="E68" i="7"/>
  <c r="B68" i="7"/>
  <c r="J67" i="7"/>
  <c r="E67" i="7"/>
  <c r="B67" i="7"/>
  <c r="J66" i="7"/>
  <c r="E66" i="7"/>
  <c r="B66" i="7"/>
  <c r="J65" i="7"/>
  <c r="E65" i="7"/>
  <c r="B65" i="7"/>
  <c r="J64" i="7"/>
  <c r="E64" i="7"/>
  <c r="B64" i="7"/>
  <c r="J63" i="7"/>
  <c r="E63" i="7"/>
  <c r="B63" i="7"/>
  <c r="J62" i="7"/>
  <c r="E62" i="7"/>
  <c r="B62" i="7"/>
  <c r="J61" i="7"/>
  <c r="E61" i="7"/>
  <c r="B61" i="7"/>
  <c r="J60" i="7"/>
  <c r="E60" i="7"/>
  <c r="B60" i="7"/>
  <c r="J59" i="7"/>
  <c r="E59" i="7"/>
  <c r="B59" i="7"/>
  <c r="J58" i="7"/>
  <c r="E58" i="7"/>
  <c r="B58" i="7"/>
  <c r="J57" i="7"/>
  <c r="E57" i="7"/>
  <c r="B57" i="7"/>
  <c r="J56" i="7"/>
  <c r="E56" i="7"/>
  <c r="B56" i="7"/>
  <c r="J55" i="7"/>
  <c r="E55" i="7"/>
  <c r="B55" i="7"/>
  <c r="J54" i="7"/>
  <c r="E54" i="7"/>
  <c r="B54" i="7"/>
  <c r="J53" i="7"/>
  <c r="E53" i="7"/>
  <c r="B53" i="7"/>
  <c r="J52" i="7"/>
  <c r="E52" i="7"/>
  <c r="B52" i="7"/>
  <c r="J51" i="7"/>
  <c r="E51" i="7"/>
  <c r="B51" i="7"/>
  <c r="J50" i="7"/>
  <c r="E50" i="7"/>
  <c r="B50" i="7"/>
  <c r="J49" i="7"/>
  <c r="E49" i="7"/>
  <c r="B49" i="7"/>
  <c r="J48" i="7"/>
  <c r="E48" i="7"/>
  <c r="B48" i="7"/>
  <c r="J47" i="7"/>
  <c r="E47" i="7"/>
  <c r="B47" i="7"/>
  <c r="J46" i="7"/>
  <c r="E46" i="7"/>
  <c r="B46" i="7"/>
  <c r="J45" i="7"/>
  <c r="E45" i="7"/>
  <c r="B45" i="7"/>
  <c r="J44" i="7"/>
  <c r="E44" i="7"/>
  <c r="B44" i="7"/>
  <c r="J43" i="7"/>
  <c r="E43" i="7"/>
  <c r="B43" i="7"/>
  <c r="J42" i="7"/>
  <c r="E42" i="7"/>
  <c r="B42" i="7"/>
  <c r="J41" i="7"/>
  <c r="E41" i="7"/>
  <c r="B41" i="7"/>
  <c r="J40" i="7"/>
  <c r="E40" i="7"/>
  <c r="B40" i="7"/>
  <c r="J39" i="7"/>
  <c r="E39" i="7"/>
  <c r="B39" i="7"/>
  <c r="J38" i="7"/>
  <c r="E38" i="7"/>
  <c r="B38" i="7"/>
  <c r="J37" i="7"/>
  <c r="E37" i="7"/>
  <c r="B37" i="7"/>
  <c r="J36" i="7"/>
  <c r="E36" i="7"/>
  <c r="B36" i="7"/>
  <c r="J35" i="7"/>
  <c r="E35" i="7"/>
  <c r="B35" i="7"/>
  <c r="J34" i="7"/>
  <c r="E34" i="7"/>
  <c r="B34" i="7"/>
  <c r="J33" i="7"/>
  <c r="E33" i="7"/>
  <c r="B33" i="7"/>
  <c r="J32" i="7"/>
  <c r="E32" i="7"/>
  <c r="B32" i="7"/>
  <c r="J31" i="7"/>
  <c r="E31" i="7"/>
  <c r="B31" i="7"/>
  <c r="J30" i="7"/>
  <c r="E30" i="7"/>
  <c r="B30" i="7"/>
  <c r="J29" i="7"/>
  <c r="E29" i="7"/>
  <c r="B29" i="7"/>
  <c r="J28" i="7"/>
  <c r="E28" i="7"/>
  <c r="B28" i="7"/>
  <c r="J27" i="7"/>
  <c r="E27" i="7"/>
  <c r="B27" i="7"/>
  <c r="J26" i="7"/>
  <c r="E26" i="7"/>
  <c r="B26" i="7"/>
  <c r="J25" i="7"/>
  <c r="E25" i="7"/>
  <c r="B25" i="7"/>
  <c r="J24" i="7"/>
  <c r="E24" i="7"/>
  <c r="B24" i="7"/>
  <c r="J23" i="7"/>
  <c r="E23" i="7"/>
  <c r="B23" i="7"/>
  <c r="J22" i="7"/>
  <c r="E22" i="7"/>
  <c r="B22" i="7"/>
  <c r="J21" i="7"/>
  <c r="E21" i="7"/>
  <c r="B21" i="7"/>
  <c r="J20" i="7"/>
  <c r="E20" i="7"/>
  <c r="B20" i="7"/>
  <c r="J19" i="7"/>
  <c r="E19" i="7"/>
  <c r="B19" i="7"/>
  <c r="J18" i="7"/>
  <c r="E18" i="7"/>
  <c r="B18" i="7"/>
  <c r="J17" i="7"/>
  <c r="E17" i="7"/>
  <c r="B17" i="7"/>
  <c r="J16" i="7"/>
  <c r="E16" i="7"/>
  <c r="B16" i="7"/>
  <c r="J15" i="7"/>
  <c r="E15" i="7"/>
  <c r="B15" i="7"/>
  <c r="J14" i="7"/>
  <c r="E14" i="7"/>
  <c r="B14" i="7"/>
  <c r="J13" i="7"/>
  <c r="E13" i="7"/>
  <c r="B13" i="7"/>
  <c r="J12" i="7"/>
  <c r="E12" i="7"/>
  <c r="B12" i="7"/>
  <c r="J11" i="7"/>
  <c r="E11" i="7"/>
  <c r="B11" i="7"/>
  <c r="J10" i="7"/>
  <c r="E10" i="7"/>
  <c r="B10" i="7"/>
  <c r="J9" i="7"/>
  <c r="E9" i="7"/>
  <c r="B9" i="7"/>
  <c r="J8" i="7"/>
  <c r="E8" i="7"/>
  <c r="B8" i="7"/>
  <c r="J7" i="7"/>
  <c r="E7" i="7"/>
  <c r="B7" i="7"/>
  <c r="J6" i="7"/>
  <c r="E6" i="7"/>
  <c r="B6" i="7"/>
  <c r="J5" i="7"/>
  <c r="E5" i="7"/>
  <c r="B5" i="7"/>
  <c r="J4" i="7"/>
  <c r="E4" i="7"/>
  <c r="B4" i="7"/>
  <c r="J3" i="7"/>
  <c r="E3" i="7"/>
  <c r="B3" i="7"/>
  <c r="J2" i="7"/>
  <c r="E2" i="7"/>
  <c r="B2" i="7"/>
  <c r="H633" i="6"/>
  <c r="C633" i="6"/>
  <c r="B633" i="6"/>
  <c r="H632" i="6"/>
  <c r="C632" i="6"/>
  <c r="B632" i="6"/>
  <c r="H631" i="6"/>
  <c r="C631" i="6"/>
  <c r="B631" i="6"/>
  <c r="H630" i="6"/>
  <c r="C630" i="6"/>
  <c r="B630" i="6"/>
  <c r="H629" i="6"/>
  <c r="C629" i="6"/>
  <c r="B629" i="6"/>
  <c r="H628" i="6"/>
  <c r="C628" i="6"/>
  <c r="B628" i="6"/>
  <c r="H627" i="6"/>
  <c r="C627" i="6"/>
  <c r="B627" i="6"/>
  <c r="H626" i="6"/>
  <c r="C626" i="6"/>
  <c r="B626" i="6"/>
  <c r="H625" i="6"/>
  <c r="C625" i="6"/>
  <c r="B625" i="6"/>
  <c r="H624" i="6"/>
  <c r="C624" i="6"/>
  <c r="B624" i="6"/>
  <c r="H623" i="6"/>
  <c r="C623" i="6"/>
  <c r="B623" i="6"/>
  <c r="H622" i="6"/>
  <c r="C622" i="6"/>
  <c r="B622" i="6"/>
  <c r="H621" i="6"/>
  <c r="C621" i="6"/>
  <c r="B621" i="6"/>
  <c r="H620" i="6"/>
  <c r="C620" i="6"/>
  <c r="B620" i="6"/>
  <c r="H619" i="6"/>
  <c r="C619" i="6"/>
  <c r="B619" i="6"/>
  <c r="H618" i="6"/>
  <c r="C618" i="6"/>
  <c r="B618" i="6"/>
  <c r="H617" i="6"/>
  <c r="C617" i="6"/>
  <c r="B617" i="6"/>
  <c r="H616" i="6"/>
  <c r="C616" i="6"/>
  <c r="B616" i="6"/>
  <c r="H615" i="6"/>
  <c r="C615" i="6"/>
  <c r="B615" i="6"/>
  <c r="H614" i="6"/>
  <c r="C614" i="6"/>
  <c r="B614" i="6"/>
  <c r="H613" i="6"/>
  <c r="C613" i="6"/>
  <c r="B613" i="6"/>
  <c r="H612" i="6"/>
  <c r="C612" i="6"/>
  <c r="B612" i="6"/>
  <c r="H611" i="6"/>
  <c r="C611" i="6"/>
  <c r="B611" i="6"/>
  <c r="H610" i="6"/>
  <c r="C610" i="6"/>
  <c r="B610" i="6"/>
  <c r="H609" i="6"/>
  <c r="C609" i="6"/>
  <c r="B609" i="6"/>
  <c r="H608" i="6"/>
  <c r="C608" i="6"/>
  <c r="B608" i="6"/>
  <c r="H607" i="6"/>
  <c r="C607" i="6"/>
  <c r="B607" i="6"/>
  <c r="H606" i="6"/>
  <c r="C606" i="6"/>
  <c r="B606" i="6"/>
  <c r="H605" i="6"/>
  <c r="C605" i="6"/>
  <c r="B605" i="6"/>
  <c r="H604" i="6"/>
  <c r="C604" i="6"/>
  <c r="B604" i="6"/>
  <c r="H603" i="6"/>
  <c r="C603" i="6"/>
  <c r="B603" i="6"/>
  <c r="H602" i="6"/>
  <c r="C602" i="6"/>
  <c r="B602" i="6"/>
  <c r="H601" i="6"/>
  <c r="C601" i="6"/>
  <c r="B601" i="6"/>
  <c r="H600" i="6"/>
  <c r="C600" i="6"/>
  <c r="B600" i="6"/>
  <c r="H599" i="6"/>
  <c r="C599" i="6"/>
  <c r="B599" i="6"/>
  <c r="H598" i="6"/>
  <c r="C598" i="6"/>
  <c r="B598" i="6"/>
  <c r="H597" i="6"/>
  <c r="C597" i="6"/>
  <c r="B597" i="6"/>
  <c r="H596" i="6"/>
  <c r="C596" i="6"/>
  <c r="B596" i="6"/>
  <c r="H595" i="6"/>
  <c r="C595" i="6"/>
  <c r="B595" i="6"/>
  <c r="H594" i="6"/>
  <c r="C594" i="6"/>
  <c r="B594" i="6"/>
  <c r="H593" i="6"/>
  <c r="C593" i="6"/>
  <c r="B593" i="6"/>
  <c r="H592" i="6"/>
  <c r="C592" i="6"/>
  <c r="B592" i="6"/>
  <c r="H591" i="6"/>
  <c r="C591" i="6"/>
  <c r="B591" i="6"/>
  <c r="H590" i="6"/>
  <c r="C590" i="6"/>
  <c r="B590" i="6"/>
  <c r="H589" i="6"/>
  <c r="C589" i="6"/>
  <c r="B589" i="6"/>
  <c r="H588" i="6"/>
  <c r="C588" i="6"/>
  <c r="B588" i="6"/>
  <c r="H587" i="6"/>
  <c r="C587" i="6"/>
  <c r="B587" i="6"/>
  <c r="H586" i="6"/>
  <c r="C586" i="6"/>
  <c r="B586" i="6"/>
  <c r="H585" i="6"/>
  <c r="C585" i="6"/>
  <c r="B585" i="6"/>
  <c r="H584" i="6"/>
  <c r="C584" i="6"/>
  <c r="B584" i="6"/>
  <c r="H583" i="6"/>
  <c r="C583" i="6"/>
  <c r="B583" i="6"/>
  <c r="H582" i="6"/>
  <c r="C582" i="6"/>
  <c r="B582" i="6"/>
  <c r="H581" i="6"/>
  <c r="C581" i="6"/>
  <c r="B581" i="6"/>
  <c r="H580" i="6"/>
  <c r="C580" i="6"/>
  <c r="B580" i="6"/>
  <c r="H579" i="6"/>
  <c r="C579" i="6"/>
  <c r="B579" i="6"/>
  <c r="H578" i="6"/>
  <c r="C578" i="6"/>
  <c r="B578" i="6"/>
  <c r="H577" i="6"/>
  <c r="C577" i="6"/>
  <c r="B577" i="6"/>
  <c r="H576" i="6"/>
  <c r="C576" i="6"/>
  <c r="B576" i="6"/>
  <c r="H575" i="6"/>
  <c r="C575" i="6"/>
  <c r="B575" i="6"/>
  <c r="H574" i="6"/>
  <c r="C574" i="6"/>
  <c r="B574" i="6"/>
  <c r="H573" i="6"/>
  <c r="C573" i="6"/>
  <c r="B573" i="6"/>
  <c r="H572" i="6"/>
  <c r="C572" i="6"/>
  <c r="B572" i="6"/>
  <c r="H571" i="6"/>
  <c r="C571" i="6"/>
  <c r="B571" i="6"/>
  <c r="H570" i="6"/>
  <c r="C570" i="6"/>
  <c r="B570" i="6"/>
  <c r="H569" i="6"/>
  <c r="C569" i="6"/>
  <c r="B569" i="6"/>
  <c r="H568" i="6"/>
  <c r="C568" i="6"/>
  <c r="B568" i="6"/>
  <c r="H567" i="6"/>
  <c r="C567" i="6"/>
  <c r="B567" i="6"/>
  <c r="H566" i="6"/>
  <c r="C566" i="6"/>
  <c r="B566" i="6"/>
  <c r="H565" i="6"/>
  <c r="C565" i="6"/>
  <c r="B565" i="6"/>
  <c r="H564" i="6"/>
  <c r="C564" i="6"/>
  <c r="B564" i="6"/>
  <c r="H563" i="6"/>
  <c r="C563" i="6"/>
  <c r="B563" i="6"/>
  <c r="H562" i="6"/>
  <c r="C562" i="6"/>
  <c r="B562" i="6"/>
  <c r="H561" i="6"/>
  <c r="C561" i="6"/>
  <c r="B561" i="6"/>
  <c r="H560" i="6"/>
  <c r="C560" i="6"/>
  <c r="B560" i="6"/>
  <c r="H559" i="6"/>
  <c r="C559" i="6"/>
  <c r="B559" i="6"/>
  <c r="H558" i="6"/>
  <c r="C558" i="6"/>
  <c r="B558" i="6"/>
  <c r="H557" i="6"/>
  <c r="C557" i="6"/>
  <c r="B557" i="6"/>
  <c r="H556" i="6"/>
  <c r="C556" i="6"/>
  <c r="B556" i="6"/>
  <c r="H555" i="6"/>
  <c r="C555" i="6"/>
  <c r="B555" i="6"/>
  <c r="H554" i="6"/>
  <c r="C554" i="6"/>
  <c r="B554" i="6"/>
  <c r="H553" i="6"/>
  <c r="C553" i="6"/>
  <c r="B553" i="6"/>
  <c r="H552" i="6"/>
  <c r="C552" i="6"/>
  <c r="B552" i="6"/>
  <c r="H551" i="6"/>
  <c r="C551" i="6"/>
  <c r="B551" i="6"/>
  <c r="H550" i="6"/>
  <c r="C550" i="6"/>
  <c r="B550" i="6"/>
  <c r="H549" i="6"/>
  <c r="C549" i="6"/>
  <c r="B549" i="6"/>
  <c r="H548" i="6"/>
  <c r="C548" i="6"/>
  <c r="B548" i="6"/>
  <c r="H547" i="6"/>
  <c r="C547" i="6"/>
  <c r="B547" i="6"/>
  <c r="H546" i="6"/>
  <c r="C546" i="6"/>
  <c r="B546" i="6"/>
  <c r="H545" i="6"/>
  <c r="C545" i="6"/>
  <c r="B545" i="6"/>
  <c r="H544" i="6"/>
  <c r="C544" i="6"/>
  <c r="B544" i="6"/>
  <c r="H543" i="6"/>
  <c r="C543" i="6"/>
  <c r="B543" i="6"/>
  <c r="H542" i="6"/>
  <c r="C542" i="6"/>
  <c r="B542" i="6"/>
  <c r="H541" i="6"/>
  <c r="C541" i="6"/>
  <c r="B541" i="6"/>
  <c r="H540" i="6"/>
  <c r="C540" i="6"/>
  <c r="B540" i="6"/>
  <c r="H539" i="6"/>
  <c r="C539" i="6"/>
  <c r="B539" i="6"/>
  <c r="H538" i="6"/>
  <c r="C538" i="6"/>
  <c r="B538" i="6"/>
  <c r="H537" i="6"/>
  <c r="C537" i="6"/>
  <c r="B537" i="6"/>
  <c r="H536" i="6"/>
  <c r="C536" i="6"/>
  <c r="B536" i="6"/>
  <c r="H535" i="6"/>
  <c r="C535" i="6"/>
  <c r="B535" i="6"/>
  <c r="H534" i="6"/>
  <c r="C534" i="6"/>
  <c r="B534" i="6"/>
  <c r="H533" i="6"/>
  <c r="C533" i="6"/>
  <c r="B533" i="6"/>
  <c r="H532" i="6"/>
  <c r="C532" i="6"/>
  <c r="B532" i="6"/>
  <c r="H531" i="6"/>
  <c r="C531" i="6"/>
  <c r="B531" i="6"/>
  <c r="H530" i="6"/>
  <c r="C530" i="6"/>
  <c r="B530" i="6"/>
  <c r="H529" i="6"/>
  <c r="C529" i="6"/>
  <c r="B529" i="6"/>
  <c r="H528" i="6"/>
  <c r="C528" i="6"/>
  <c r="B528" i="6"/>
  <c r="H527" i="6"/>
  <c r="C527" i="6"/>
  <c r="B527" i="6"/>
  <c r="H526" i="6"/>
  <c r="C526" i="6"/>
  <c r="B526" i="6"/>
  <c r="H525" i="6"/>
  <c r="C525" i="6"/>
  <c r="B525" i="6"/>
  <c r="H524" i="6"/>
  <c r="C524" i="6"/>
  <c r="B524" i="6"/>
  <c r="H523" i="6"/>
  <c r="C523" i="6"/>
  <c r="B523" i="6"/>
  <c r="H522" i="6"/>
  <c r="C522" i="6"/>
  <c r="B522" i="6"/>
  <c r="H521" i="6"/>
  <c r="C521" i="6"/>
  <c r="B521" i="6"/>
  <c r="H520" i="6"/>
  <c r="C520" i="6"/>
  <c r="B520" i="6"/>
  <c r="H519" i="6"/>
  <c r="C519" i="6"/>
  <c r="B519" i="6"/>
  <c r="H518" i="6"/>
  <c r="C518" i="6"/>
  <c r="B518" i="6"/>
  <c r="H517" i="6"/>
  <c r="C517" i="6"/>
  <c r="B517" i="6"/>
  <c r="H516" i="6"/>
  <c r="C516" i="6"/>
  <c r="B516" i="6"/>
  <c r="H515" i="6"/>
  <c r="C515" i="6"/>
  <c r="B515" i="6"/>
  <c r="H514" i="6"/>
  <c r="C514" i="6"/>
  <c r="B514" i="6"/>
  <c r="H513" i="6"/>
  <c r="C513" i="6"/>
  <c r="B513" i="6"/>
  <c r="H512" i="6"/>
  <c r="C512" i="6"/>
  <c r="B512" i="6"/>
  <c r="H511" i="6"/>
  <c r="C511" i="6"/>
  <c r="B511" i="6"/>
  <c r="H510" i="6"/>
  <c r="C510" i="6"/>
  <c r="B510" i="6"/>
  <c r="H509" i="6"/>
  <c r="C509" i="6"/>
  <c r="B509" i="6"/>
  <c r="H508" i="6"/>
  <c r="C508" i="6"/>
  <c r="B508" i="6"/>
  <c r="H507" i="6"/>
  <c r="C507" i="6"/>
  <c r="B507" i="6"/>
  <c r="H506" i="6"/>
  <c r="C506" i="6"/>
  <c r="B506" i="6"/>
  <c r="H505" i="6"/>
  <c r="C505" i="6"/>
  <c r="B505" i="6"/>
  <c r="H504" i="6"/>
  <c r="C504" i="6"/>
  <c r="B504" i="6"/>
  <c r="H503" i="6"/>
  <c r="C503" i="6"/>
  <c r="B503" i="6"/>
  <c r="H502" i="6"/>
  <c r="C502" i="6"/>
  <c r="B502" i="6"/>
  <c r="H501" i="6"/>
  <c r="C501" i="6"/>
  <c r="B501" i="6"/>
  <c r="H500" i="6"/>
  <c r="C500" i="6"/>
  <c r="B500" i="6"/>
  <c r="H499" i="6"/>
  <c r="C499" i="6"/>
  <c r="B499" i="6"/>
  <c r="H498" i="6"/>
  <c r="C498" i="6"/>
  <c r="B498" i="6"/>
  <c r="H497" i="6"/>
  <c r="C497" i="6"/>
  <c r="B497" i="6"/>
  <c r="H496" i="6"/>
  <c r="C496" i="6"/>
  <c r="B496" i="6"/>
  <c r="H495" i="6"/>
  <c r="C495" i="6"/>
  <c r="B495" i="6"/>
  <c r="H494" i="6"/>
  <c r="C494" i="6"/>
  <c r="B494" i="6"/>
  <c r="H493" i="6"/>
  <c r="C493" i="6"/>
  <c r="B493" i="6"/>
  <c r="H492" i="6"/>
  <c r="C492" i="6"/>
  <c r="B492" i="6"/>
  <c r="H491" i="6"/>
  <c r="C491" i="6"/>
  <c r="B491" i="6"/>
  <c r="H490" i="6"/>
  <c r="C490" i="6"/>
  <c r="B490" i="6"/>
  <c r="H489" i="6"/>
  <c r="C489" i="6"/>
  <c r="B489" i="6"/>
  <c r="H488" i="6"/>
  <c r="C488" i="6"/>
  <c r="B488" i="6"/>
  <c r="H487" i="6"/>
  <c r="C487" i="6"/>
  <c r="B487" i="6"/>
  <c r="H486" i="6"/>
  <c r="C486" i="6"/>
  <c r="B486" i="6"/>
  <c r="H485" i="6"/>
  <c r="C485" i="6"/>
  <c r="B485" i="6"/>
  <c r="H484" i="6"/>
  <c r="C484" i="6"/>
  <c r="B484" i="6"/>
  <c r="H483" i="6"/>
  <c r="C483" i="6"/>
  <c r="B483" i="6"/>
  <c r="H482" i="6"/>
  <c r="C482" i="6"/>
  <c r="B482" i="6"/>
  <c r="H481" i="6"/>
  <c r="C481" i="6"/>
  <c r="B481" i="6"/>
  <c r="H480" i="6"/>
  <c r="C480" i="6"/>
  <c r="B480" i="6"/>
  <c r="H479" i="6"/>
  <c r="C479" i="6"/>
  <c r="B479" i="6"/>
  <c r="H478" i="6"/>
  <c r="C478" i="6"/>
  <c r="B478" i="6"/>
  <c r="H477" i="6"/>
  <c r="C477" i="6"/>
  <c r="B477" i="6"/>
  <c r="H476" i="6"/>
  <c r="C476" i="6"/>
  <c r="B476" i="6"/>
  <c r="H475" i="6"/>
  <c r="C475" i="6"/>
  <c r="B475" i="6"/>
  <c r="H474" i="6"/>
  <c r="C474" i="6"/>
  <c r="B474" i="6"/>
  <c r="H473" i="6"/>
  <c r="C473" i="6"/>
  <c r="B473" i="6"/>
  <c r="H472" i="6"/>
  <c r="C472" i="6"/>
  <c r="B472" i="6"/>
  <c r="H471" i="6"/>
  <c r="C471" i="6"/>
  <c r="B471" i="6"/>
  <c r="H470" i="6"/>
  <c r="C470" i="6"/>
  <c r="B470" i="6"/>
  <c r="H469" i="6"/>
  <c r="C469" i="6"/>
  <c r="B469" i="6"/>
  <c r="H468" i="6"/>
  <c r="C468" i="6"/>
  <c r="B468" i="6"/>
  <c r="H467" i="6"/>
  <c r="C467" i="6"/>
  <c r="B467" i="6"/>
  <c r="H466" i="6"/>
  <c r="C466" i="6"/>
  <c r="B466" i="6"/>
  <c r="H465" i="6"/>
  <c r="C465" i="6"/>
  <c r="B465" i="6"/>
  <c r="H464" i="6"/>
  <c r="C464" i="6"/>
  <c r="B464" i="6"/>
  <c r="H463" i="6"/>
  <c r="C463" i="6"/>
  <c r="B463" i="6"/>
  <c r="H462" i="6"/>
  <c r="C462" i="6"/>
  <c r="B462" i="6"/>
  <c r="H461" i="6"/>
  <c r="C461" i="6"/>
  <c r="B461" i="6"/>
  <c r="H460" i="6"/>
  <c r="C460" i="6"/>
  <c r="B460" i="6"/>
  <c r="H459" i="6"/>
  <c r="C459" i="6"/>
  <c r="B459" i="6"/>
  <c r="H458" i="6"/>
  <c r="C458" i="6"/>
  <c r="B458" i="6"/>
  <c r="H457" i="6"/>
  <c r="C457" i="6"/>
  <c r="B457" i="6"/>
  <c r="H456" i="6"/>
  <c r="C456" i="6"/>
  <c r="B456" i="6"/>
  <c r="H455" i="6"/>
  <c r="C455" i="6"/>
  <c r="B455" i="6"/>
  <c r="H454" i="6"/>
  <c r="C454" i="6"/>
  <c r="B454" i="6"/>
  <c r="H453" i="6"/>
  <c r="C453" i="6"/>
  <c r="B453" i="6"/>
  <c r="H452" i="6"/>
  <c r="C452" i="6"/>
  <c r="B452" i="6"/>
  <c r="H451" i="6"/>
  <c r="C451" i="6"/>
  <c r="B451" i="6"/>
  <c r="H450" i="6"/>
  <c r="C450" i="6"/>
  <c r="B450" i="6"/>
  <c r="H449" i="6"/>
  <c r="C449" i="6"/>
  <c r="B449" i="6"/>
  <c r="H448" i="6"/>
  <c r="C448" i="6"/>
  <c r="B448" i="6"/>
  <c r="H447" i="6"/>
  <c r="C447" i="6"/>
  <c r="B447" i="6"/>
  <c r="H446" i="6"/>
  <c r="C446" i="6"/>
  <c r="B446" i="6"/>
  <c r="H445" i="6"/>
  <c r="C445" i="6"/>
  <c r="B445" i="6"/>
  <c r="H444" i="6"/>
  <c r="C444" i="6"/>
  <c r="B444" i="6"/>
  <c r="H443" i="6"/>
  <c r="C443" i="6"/>
  <c r="B443" i="6"/>
  <c r="H442" i="6"/>
  <c r="C442" i="6"/>
  <c r="B442" i="6"/>
  <c r="H441" i="6"/>
  <c r="C441" i="6"/>
  <c r="B441" i="6"/>
  <c r="H440" i="6"/>
  <c r="C440" i="6"/>
  <c r="B440" i="6"/>
  <c r="H439" i="6"/>
  <c r="C439" i="6"/>
  <c r="B439" i="6"/>
  <c r="H438" i="6"/>
  <c r="C438" i="6"/>
  <c r="B438" i="6"/>
  <c r="H437" i="6"/>
  <c r="C437" i="6"/>
  <c r="B437" i="6"/>
  <c r="H436" i="6"/>
  <c r="C436" i="6"/>
  <c r="B436" i="6"/>
  <c r="H435" i="6"/>
  <c r="C435" i="6"/>
  <c r="B435" i="6"/>
  <c r="H434" i="6"/>
  <c r="C434" i="6"/>
  <c r="B434" i="6"/>
  <c r="H433" i="6"/>
  <c r="C433" i="6"/>
  <c r="B433" i="6"/>
  <c r="H432" i="6"/>
  <c r="C432" i="6"/>
  <c r="B432" i="6"/>
  <c r="H431" i="6"/>
  <c r="C431" i="6"/>
  <c r="B431" i="6"/>
  <c r="H430" i="6"/>
  <c r="C430" i="6"/>
  <c r="B430" i="6"/>
  <c r="H429" i="6"/>
  <c r="C429" i="6"/>
  <c r="B429" i="6"/>
  <c r="H428" i="6"/>
  <c r="C428" i="6"/>
  <c r="B428" i="6"/>
  <c r="H427" i="6"/>
  <c r="C427" i="6"/>
  <c r="B427" i="6"/>
  <c r="H426" i="6"/>
  <c r="C426" i="6"/>
  <c r="B426" i="6"/>
  <c r="H425" i="6"/>
  <c r="C425" i="6"/>
  <c r="B425" i="6"/>
  <c r="H424" i="6"/>
  <c r="C424" i="6"/>
  <c r="B424" i="6"/>
  <c r="H423" i="6"/>
  <c r="C423" i="6"/>
  <c r="B423" i="6"/>
  <c r="H422" i="6"/>
  <c r="C422" i="6"/>
  <c r="B422" i="6"/>
  <c r="H421" i="6"/>
  <c r="C421" i="6"/>
  <c r="B421" i="6"/>
  <c r="H420" i="6"/>
  <c r="C420" i="6"/>
  <c r="B420" i="6"/>
  <c r="H419" i="6"/>
  <c r="C419" i="6"/>
  <c r="B419" i="6"/>
  <c r="H418" i="6"/>
  <c r="C418" i="6"/>
  <c r="B418" i="6"/>
  <c r="H417" i="6"/>
  <c r="C417" i="6"/>
  <c r="B417" i="6"/>
  <c r="H416" i="6"/>
  <c r="C416" i="6"/>
  <c r="B416" i="6"/>
  <c r="H415" i="6"/>
  <c r="C415" i="6"/>
  <c r="B415" i="6"/>
  <c r="H414" i="6"/>
  <c r="C414" i="6"/>
  <c r="B414" i="6"/>
  <c r="H413" i="6"/>
  <c r="C413" i="6"/>
  <c r="B413" i="6"/>
  <c r="H412" i="6"/>
  <c r="C412" i="6"/>
  <c r="B412" i="6"/>
  <c r="H411" i="6"/>
  <c r="C411" i="6"/>
  <c r="B411" i="6"/>
  <c r="H410" i="6"/>
  <c r="C410" i="6"/>
  <c r="B410" i="6"/>
  <c r="H409" i="6"/>
  <c r="C409" i="6"/>
  <c r="B409" i="6"/>
  <c r="H408" i="6"/>
  <c r="C408" i="6"/>
  <c r="B408" i="6"/>
  <c r="H407" i="6"/>
  <c r="C407" i="6"/>
  <c r="B407" i="6"/>
  <c r="H406" i="6"/>
  <c r="C406" i="6"/>
  <c r="B406" i="6"/>
  <c r="H405" i="6"/>
  <c r="C405" i="6"/>
  <c r="B405" i="6"/>
  <c r="H404" i="6"/>
  <c r="C404" i="6"/>
  <c r="B404" i="6"/>
  <c r="H403" i="6"/>
  <c r="C403" i="6"/>
  <c r="B403" i="6"/>
  <c r="H402" i="6"/>
  <c r="C402" i="6"/>
  <c r="B402" i="6"/>
  <c r="H401" i="6"/>
  <c r="C401" i="6"/>
  <c r="B401" i="6"/>
  <c r="H400" i="6"/>
  <c r="C400" i="6"/>
  <c r="B400" i="6"/>
  <c r="H399" i="6"/>
  <c r="C399" i="6"/>
  <c r="B399" i="6"/>
  <c r="H398" i="6"/>
  <c r="C398" i="6"/>
  <c r="B398" i="6"/>
  <c r="H397" i="6"/>
  <c r="C397" i="6"/>
  <c r="B397" i="6"/>
  <c r="H396" i="6"/>
  <c r="C396" i="6"/>
  <c r="B396" i="6"/>
  <c r="H395" i="6"/>
  <c r="C395" i="6"/>
  <c r="B395" i="6"/>
  <c r="H394" i="6"/>
  <c r="C394" i="6"/>
  <c r="B394" i="6"/>
  <c r="H393" i="6"/>
  <c r="C393" i="6"/>
  <c r="B393" i="6"/>
  <c r="H392" i="6"/>
  <c r="C392" i="6"/>
  <c r="B392" i="6"/>
  <c r="H391" i="6"/>
  <c r="C391" i="6"/>
  <c r="B391" i="6"/>
  <c r="H390" i="6"/>
  <c r="C390" i="6"/>
  <c r="B390" i="6"/>
  <c r="H389" i="6"/>
  <c r="C389" i="6"/>
  <c r="B389" i="6"/>
  <c r="H388" i="6"/>
  <c r="C388" i="6"/>
  <c r="B388" i="6"/>
  <c r="H387" i="6"/>
  <c r="C387" i="6"/>
  <c r="B387" i="6"/>
  <c r="H386" i="6"/>
  <c r="C386" i="6"/>
  <c r="B386" i="6"/>
  <c r="H385" i="6"/>
  <c r="C385" i="6"/>
  <c r="B385" i="6"/>
  <c r="H384" i="6"/>
  <c r="C384" i="6"/>
  <c r="B384" i="6"/>
  <c r="H383" i="6"/>
  <c r="C383" i="6"/>
  <c r="B383" i="6"/>
  <c r="H382" i="6"/>
  <c r="C382" i="6"/>
  <c r="B382" i="6"/>
  <c r="H381" i="6"/>
  <c r="C381" i="6"/>
  <c r="B381" i="6"/>
  <c r="H380" i="6"/>
  <c r="C380" i="6"/>
  <c r="B380" i="6"/>
  <c r="H379" i="6"/>
  <c r="C379" i="6"/>
  <c r="B379" i="6"/>
  <c r="H378" i="6"/>
  <c r="C378" i="6"/>
  <c r="B378" i="6"/>
  <c r="H377" i="6"/>
  <c r="C377" i="6"/>
  <c r="B377" i="6"/>
  <c r="H376" i="6"/>
  <c r="C376" i="6"/>
  <c r="B376" i="6"/>
  <c r="H375" i="6"/>
  <c r="C375" i="6"/>
  <c r="B375" i="6"/>
  <c r="H374" i="6"/>
  <c r="C374" i="6"/>
  <c r="B374" i="6"/>
  <c r="H373" i="6"/>
  <c r="C373" i="6"/>
  <c r="B373" i="6"/>
  <c r="H372" i="6"/>
  <c r="C372" i="6"/>
  <c r="B372" i="6"/>
  <c r="H371" i="6"/>
  <c r="C371" i="6"/>
  <c r="B371" i="6"/>
  <c r="H370" i="6"/>
  <c r="C370" i="6"/>
  <c r="B370" i="6"/>
  <c r="H369" i="6"/>
  <c r="C369" i="6"/>
  <c r="B369" i="6"/>
  <c r="H368" i="6"/>
  <c r="C368" i="6"/>
  <c r="B368" i="6"/>
  <c r="H367" i="6"/>
  <c r="C367" i="6"/>
  <c r="B367" i="6"/>
  <c r="H366" i="6"/>
  <c r="C366" i="6"/>
  <c r="B366" i="6"/>
  <c r="H365" i="6"/>
  <c r="C365" i="6"/>
  <c r="B365" i="6"/>
  <c r="H364" i="6"/>
  <c r="C364" i="6"/>
  <c r="B364" i="6"/>
  <c r="H363" i="6"/>
  <c r="C363" i="6"/>
  <c r="B363" i="6"/>
  <c r="H362" i="6"/>
  <c r="C362" i="6"/>
  <c r="B362" i="6"/>
  <c r="H361" i="6"/>
  <c r="C361" i="6"/>
  <c r="B361" i="6"/>
  <c r="H360" i="6"/>
  <c r="C360" i="6"/>
  <c r="B360" i="6"/>
  <c r="H359" i="6"/>
  <c r="C359" i="6"/>
  <c r="B359" i="6"/>
  <c r="H358" i="6"/>
  <c r="C358" i="6"/>
  <c r="B358" i="6"/>
  <c r="H357" i="6"/>
  <c r="C357" i="6"/>
  <c r="B357" i="6"/>
  <c r="H356" i="6"/>
  <c r="C356" i="6"/>
  <c r="B356" i="6"/>
  <c r="H355" i="6"/>
  <c r="C355" i="6"/>
  <c r="B355" i="6"/>
  <c r="H354" i="6"/>
  <c r="C354" i="6"/>
  <c r="B354" i="6"/>
  <c r="H353" i="6"/>
  <c r="C353" i="6"/>
  <c r="B353" i="6"/>
  <c r="H352" i="6"/>
  <c r="C352" i="6"/>
  <c r="B352" i="6"/>
  <c r="H351" i="6"/>
  <c r="C351" i="6"/>
  <c r="B351" i="6"/>
  <c r="H350" i="6"/>
  <c r="C350" i="6"/>
  <c r="B350" i="6"/>
  <c r="H349" i="6"/>
  <c r="C349" i="6"/>
  <c r="B349" i="6"/>
  <c r="H348" i="6"/>
  <c r="C348" i="6"/>
  <c r="B348" i="6"/>
  <c r="H347" i="6"/>
  <c r="C347" i="6"/>
  <c r="B347" i="6"/>
  <c r="H346" i="6"/>
  <c r="C346" i="6"/>
  <c r="B346" i="6"/>
  <c r="H345" i="6"/>
  <c r="C345" i="6"/>
  <c r="B345" i="6"/>
  <c r="H344" i="6"/>
  <c r="C344" i="6"/>
  <c r="B344" i="6"/>
  <c r="H343" i="6"/>
  <c r="C343" i="6"/>
  <c r="B343" i="6"/>
  <c r="H342" i="6"/>
  <c r="C342" i="6"/>
  <c r="B342" i="6"/>
  <c r="H341" i="6"/>
  <c r="C341" i="6"/>
  <c r="B341" i="6"/>
  <c r="H340" i="6"/>
  <c r="C340" i="6"/>
  <c r="B340" i="6"/>
  <c r="H339" i="6"/>
  <c r="C339" i="6"/>
  <c r="B339" i="6"/>
  <c r="H338" i="6"/>
  <c r="C338" i="6"/>
  <c r="B338" i="6"/>
  <c r="H337" i="6"/>
  <c r="C337" i="6"/>
  <c r="B337" i="6"/>
  <c r="H336" i="6"/>
  <c r="C336" i="6"/>
  <c r="B336" i="6"/>
  <c r="H335" i="6"/>
  <c r="C335" i="6"/>
  <c r="B335" i="6"/>
  <c r="H334" i="6"/>
  <c r="C334" i="6"/>
  <c r="B334" i="6"/>
  <c r="H333" i="6"/>
  <c r="C333" i="6"/>
  <c r="B333" i="6"/>
  <c r="H332" i="6"/>
  <c r="C332" i="6"/>
  <c r="B332" i="6"/>
  <c r="H331" i="6"/>
  <c r="C331" i="6"/>
  <c r="B331" i="6"/>
  <c r="H330" i="6"/>
  <c r="C330" i="6"/>
  <c r="B330" i="6"/>
  <c r="H329" i="6"/>
  <c r="C329" i="6"/>
  <c r="B329" i="6"/>
  <c r="H328" i="6"/>
  <c r="C328" i="6"/>
  <c r="B328" i="6"/>
  <c r="H327" i="6"/>
  <c r="C327" i="6"/>
  <c r="B327" i="6"/>
  <c r="H326" i="6"/>
  <c r="C326" i="6"/>
  <c r="B326" i="6"/>
  <c r="H325" i="6"/>
  <c r="C325" i="6"/>
  <c r="B325" i="6"/>
  <c r="H324" i="6"/>
  <c r="C324" i="6"/>
  <c r="B324" i="6"/>
  <c r="H323" i="6"/>
  <c r="C323" i="6"/>
  <c r="B323" i="6"/>
  <c r="H322" i="6"/>
  <c r="C322" i="6"/>
  <c r="B322" i="6"/>
  <c r="H321" i="6"/>
  <c r="C321" i="6"/>
  <c r="B321" i="6"/>
  <c r="H320" i="6"/>
  <c r="C320" i="6"/>
  <c r="B320" i="6"/>
  <c r="H319" i="6"/>
  <c r="C319" i="6"/>
  <c r="B319" i="6"/>
  <c r="H318" i="6"/>
  <c r="C318" i="6"/>
  <c r="B318" i="6"/>
  <c r="H317" i="6"/>
  <c r="C317" i="6"/>
  <c r="B317" i="6"/>
  <c r="H316" i="6"/>
  <c r="C316" i="6"/>
  <c r="B316" i="6"/>
  <c r="H315" i="6"/>
  <c r="C315" i="6"/>
  <c r="B315" i="6"/>
  <c r="H314" i="6"/>
  <c r="C314" i="6"/>
  <c r="B314" i="6"/>
  <c r="H313" i="6"/>
  <c r="C313" i="6"/>
  <c r="B313" i="6"/>
  <c r="H312" i="6"/>
  <c r="C312" i="6"/>
  <c r="B312" i="6"/>
  <c r="H311" i="6"/>
  <c r="C311" i="6"/>
  <c r="B311" i="6"/>
  <c r="H310" i="6"/>
  <c r="C310" i="6"/>
  <c r="B310" i="6"/>
  <c r="H309" i="6"/>
  <c r="C309" i="6"/>
  <c r="B309" i="6"/>
  <c r="H308" i="6"/>
  <c r="C308" i="6"/>
  <c r="B308" i="6"/>
  <c r="H307" i="6"/>
  <c r="C307" i="6"/>
  <c r="B307" i="6"/>
  <c r="H306" i="6"/>
  <c r="C306" i="6"/>
  <c r="B306" i="6"/>
  <c r="H305" i="6"/>
  <c r="C305" i="6"/>
  <c r="B305" i="6"/>
  <c r="H304" i="6"/>
  <c r="C304" i="6"/>
  <c r="B304" i="6"/>
  <c r="H303" i="6"/>
  <c r="C303" i="6"/>
  <c r="B303" i="6"/>
  <c r="H302" i="6"/>
  <c r="C302" i="6"/>
  <c r="B302" i="6"/>
  <c r="H301" i="6"/>
  <c r="C301" i="6"/>
  <c r="B301" i="6"/>
  <c r="H300" i="6"/>
  <c r="C300" i="6"/>
  <c r="B300" i="6"/>
  <c r="H299" i="6"/>
  <c r="C299" i="6"/>
  <c r="B299" i="6"/>
  <c r="H298" i="6"/>
  <c r="C298" i="6"/>
  <c r="B298" i="6"/>
  <c r="H297" i="6"/>
  <c r="C297" i="6"/>
  <c r="B297" i="6"/>
  <c r="H296" i="6"/>
  <c r="C296" i="6"/>
  <c r="B296" i="6"/>
  <c r="H295" i="6"/>
  <c r="C295" i="6"/>
  <c r="B295" i="6"/>
  <c r="H294" i="6"/>
  <c r="C294" i="6"/>
  <c r="B294" i="6"/>
  <c r="H293" i="6"/>
  <c r="C293" i="6"/>
  <c r="B293" i="6"/>
  <c r="H292" i="6"/>
  <c r="C292" i="6"/>
  <c r="B292" i="6"/>
  <c r="H291" i="6"/>
  <c r="C291" i="6"/>
  <c r="B291" i="6"/>
  <c r="H290" i="6"/>
  <c r="C290" i="6"/>
  <c r="B290" i="6"/>
  <c r="H289" i="6"/>
  <c r="C289" i="6"/>
  <c r="B289" i="6"/>
  <c r="H288" i="6"/>
  <c r="C288" i="6"/>
  <c r="B288" i="6"/>
  <c r="H287" i="6"/>
  <c r="C287" i="6"/>
  <c r="B287" i="6"/>
  <c r="H286" i="6"/>
  <c r="C286" i="6"/>
  <c r="B286" i="6"/>
  <c r="H285" i="6"/>
  <c r="C285" i="6"/>
  <c r="B285" i="6"/>
  <c r="H284" i="6"/>
  <c r="C284" i="6"/>
  <c r="B284" i="6"/>
  <c r="H283" i="6"/>
  <c r="C283" i="6"/>
  <c r="B283" i="6"/>
  <c r="H282" i="6"/>
  <c r="C282" i="6"/>
  <c r="B282" i="6"/>
  <c r="H281" i="6"/>
  <c r="C281" i="6"/>
  <c r="B281" i="6"/>
  <c r="H280" i="6"/>
  <c r="C280" i="6"/>
  <c r="B280" i="6"/>
  <c r="H279" i="6"/>
  <c r="C279" i="6"/>
  <c r="B279" i="6"/>
  <c r="H278" i="6"/>
  <c r="C278" i="6"/>
  <c r="B278" i="6"/>
  <c r="H277" i="6"/>
  <c r="C277" i="6"/>
  <c r="B277" i="6"/>
  <c r="H276" i="6"/>
  <c r="C276" i="6"/>
  <c r="B276" i="6"/>
  <c r="H275" i="6"/>
  <c r="C275" i="6"/>
  <c r="B275" i="6"/>
  <c r="H274" i="6"/>
  <c r="C274" i="6"/>
  <c r="B274" i="6"/>
  <c r="H273" i="6"/>
  <c r="C273" i="6"/>
  <c r="B273" i="6"/>
  <c r="H272" i="6"/>
  <c r="C272" i="6"/>
  <c r="B272" i="6"/>
  <c r="H271" i="6"/>
  <c r="C271" i="6"/>
  <c r="B271" i="6"/>
  <c r="H270" i="6"/>
  <c r="C270" i="6"/>
  <c r="B270" i="6"/>
  <c r="H269" i="6"/>
  <c r="C269" i="6"/>
  <c r="B269" i="6"/>
  <c r="H268" i="6"/>
  <c r="C268" i="6"/>
  <c r="B268" i="6"/>
  <c r="H267" i="6"/>
  <c r="C267" i="6"/>
  <c r="B267" i="6"/>
  <c r="H266" i="6"/>
  <c r="C266" i="6"/>
  <c r="B266" i="6"/>
  <c r="H265" i="6"/>
  <c r="C265" i="6"/>
  <c r="B265" i="6"/>
  <c r="H264" i="6"/>
  <c r="C264" i="6"/>
  <c r="B264" i="6"/>
  <c r="H263" i="6"/>
  <c r="C263" i="6"/>
  <c r="B263" i="6"/>
  <c r="H262" i="6"/>
  <c r="C262" i="6"/>
  <c r="B262" i="6"/>
  <c r="H261" i="6"/>
  <c r="C261" i="6"/>
  <c r="B261" i="6"/>
  <c r="H260" i="6"/>
  <c r="C260" i="6"/>
  <c r="B260" i="6"/>
  <c r="H259" i="6"/>
  <c r="C259" i="6"/>
  <c r="B259" i="6"/>
  <c r="H258" i="6"/>
  <c r="C258" i="6"/>
  <c r="B258" i="6"/>
  <c r="H257" i="6"/>
  <c r="C257" i="6"/>
  <c r="B257" i="6"/>
  <c r="H256" i="6"/>
  <c r="C256" i="6"/>
  <c r="B256" i="6"/>
  <c r="H255" i="6"/>
  <c r="C255" i="6"/>
  <c r="B255" i="6"/>
  <c r="H254" i="6"/>
  <c r="C254" i="6"/>
  <c r="B254" i="6"/>
  <c r="H253" i="6"/>
  <c r="C253" i="6"/>
  <c r="B253" i="6"/>
  <c r="H252" i="6"/>
  <c r="C252" i="6"/>
  <c r="B252" i="6"/>
  <c r="H251" i="6"/>
  <c r="C251" i="6"/>
  <c r="B251" i="6"/>
  <c r="H250" i="6"/>
  <c r="C250" i="6"/>
  <c r="B250" i="6"/>
  <c r="H249" i="6"/>
  <c r="C249" i="6"/>
  <c r="B249" i="6"/>
  <c r="H248" i="6"/>
  <c r="C248" i="6"/>
  <c r="B248" i="6"/>
  <c r="H247" i="6"/>
  <c r="C247" i="6"/>
  <c r="B247" i="6"/>
  <c r="H246" i="6"/>
  <c r="C246" i="6"/>
  <c r="B246" i="6"/>
  <c r="H245" i="6"/>
  <c r="C245" i="6"/>
  <c r="B245" i="6"/>
  <c r="H244" i="6"/>
  <c r="C244" i="6"/>
  <c r="B244" i="6"/>
  <c r="H243" i="6"/>
  <c r="C243" i="6"/>
  <c r="B243" i="6"/>
  <c r="H242" i="6"/>
  <c r="C242" i="6"/>
  <c r="B242" i="6"/>
  <c r="H241" i="6"/>
  <c r="C241" i="6"/>
  <c r="B241" i="6"/>
  <c r="H240" i="6"/>
  <c r="C240" i="6"/>
  <c r="B240" i="6"/>
  <c r="H239" i="6"/>
  <c r="C239" i="6"/>
  <c r="B239" i="6"/>
  <c r="H238" i="6"/>
  <c r="C238" i="6"/>
  <c r="B238" i="6"/>
  <c r="H237" i="6"/>
  <c r="C237" i="6"/>
  <c r="B237" i="6"/>
  <c r="H236" i="6"/>
  <c r="C236" i="6"/>
  <c r="B236" i="6"/>
  <c r="H235" i="6"/>
  <c r="C235" i="6"/>
  <c r="B235" i="6"/>
  <c r="H234" i="6"/>
  <c r="C234" i="6"/>
  <c r="B234" i="6"/>
  <c r="H233" i="6"/>
  <c r="C233" i="6"/>
  <c r="B233" i="6"/>
  <c r="H232" i="6"/>
  <c r="C232" i="6"/>
  <c r="B232" i="6"/>
  <c r="H231" i="6"/>
  <c r="C231" i="6"/>
  <c r="B231" i="6"/>
  <c r="H230" i="6"/>
  <c r="C230" i="6"/>
  <c r="B230" i="6"/>
  <c r="H229" i="6"/>
  <c r="C229" i="6"/>
  <c r="B229" i="6"/>
  <c r="H228" i="6"/>
  <c r="C228" i="6"/>
  <c r="B228" i="6"/>
  <c r="H227" i="6"/>
  <c r="C227" i="6"/>
  <c r="B227" i="6"/>
  <c r="H226" i="6"/>
  <c r="C226" i="6"/>
  <c r="B226" i="6"/>
  <c r="H225" i="6"/>
  <c r="C225" i="6"/>
  <c r="B225" i="6"/>
  <c r="H224" i="6"/>
  <c r="C224" i="6"/>
  <c r="B224" i="6"/>
  <c r="H223" i="6"/>
  <c r="C223" i="6"/>
  <c r="B223" i="6"/>
  <c r="H222" i="6"/>
  <c r="C222" i="6"/>
  <c r="B222" i="6"/>
  <c r="H221" i="6"/>
  <c r="C221" i="6"/>
  <c r="B221" i="6"/>
  <c r="H220" i="6"/>
  <c r="C220" i="6"/>
  <c r="B220" i="6"/>
  <c r="H219" i="6"/>
  <c r="C219" i="6"/>
  <c r="B219" i="6"/>
  <c r="H218" i="6"/>
  <c r="C218" i="6"/>
  <c r="B218" i="6"/>
  <c r="H217" i="6"/>
  <c r="C217" i="6"/>
  <c r="B217" i="6"/>
  <c r="H216" i="6"/>
  <c r="C216" i="6"/>
  <c r="B216" i="6"/>
  <c r="H215" i="6"/>
  <c r="C215" i="6"/>
  <c r="B215" i="6"/>
  <c r="H214" i="6"/>
  <c r="C214" i="6"/>
  <c r="B214" i="6"/>
  <c r="H213" i="6"/>
  <c r="C213" i="6"/>
  <c r="B213" i="6"/>
  <c r="H212" i="6"/>
  <c r="C212" i="6"/>
  <c r="B212" i="6"/>
  <c r="H211" i="6"/>
  <c r="C211" i="6"/>
  <c r="B211" i="6"/>
  <c r="H210" i="6"/>
  <c r="C210" i="6"/>
  <c r="B210" i="6"/>
  <c r="H209" i="6"/>
  <c r="C209" i="6"/>
  <c r="B209" i="6"/>
  <c r="H208" i="6"/>
  <c r="C208" i="6"/>
  <c r="B208" i="6"/>
  <c r="H207" i="6"/>
  <c r="C207" i="6"/>
  <c r="B207" i="6"/>
  <c r="H206" i="6"/>
  <c r="C206" i="6"/>
  <c r="B206" i="6"/>
  <c r="H205" i="6"/>
  <c r="C205" i="6"/>
  <c r="B205" i="6"/>
  <c r="H204" i="6"/>
  <c r="C204" i="6"/>
  <c r="B204" i="6"/>
  <c r="H203" i="6"/>
  <c r="C203" i="6"/>
  <c r="B203" i="6"/>
  <c r="H202" i="6"/>
  <c r="C202" i="6"/>
  <c r="B202" i="6"/>
  <c r="H201" i="6"/>
  <c r="C201" i="6"/>
  <c r="B201" i="6"/>
  <c r="H200" i="6"/>
  <c r="C200" i="6"/>
  <c r="B200" i="6"/>
  <c r="H199" i="6"/>
  <c r="C199" i="6"/>
  <c r="B199" i="6"/>
  <c r="H198" i="6"/>
  <c r="C198" i="6"/>
  <c r="B198" i="6"/>
  <c r="H197" i="6"/>
  <c r="C197" i="6"/>
  <c r="B197" i="6"/>
  <c r="H196" i="6"/>
  <c r="C196" i="6"/>
  <c r="B196" i="6"/>
  <c r="H195" i="6"/>
  <c r="C195" i="6"/>
  <c r="B195" i="6"/>
  <c r="H194" i="6"/>
  <c r="C194" i="6"/>
  <c r="B194" i="6"/>
  <c r="H193" i="6"/>
  <c r="C193" i="6"/>
  <c r="B193" i="6"/>
  <c r="H192" i="6"/>
  <c r="C192" i="6"/>
  <c r="B192" i="6"/>
  <c r="H191" i="6"/>
  <c r="C191" i="6"/>
  <c r="B191" i="6"/>
  <c r="H190" i="6"/>
  <c r="C190" i="6"/>
  <c r="B190" i="6"/>
  <c r="H189" i="6"/>
  <c r="C189" i="6"/>
  <c r="B189" i="6"/>
  <c r="H188" i="6"/>
  <c r="C188" i="6"/>
  <c r="B188" i="6"/>
  <c r="H187" i="6"/>
  <c r="C187" i="6"/>
  <c r="B187" i="6"/>
  <c r="H186" i="6"/>
  <c r="C186" i="6"/>
  <c r="B186" i="6"/>
  <c r="H185" i="6"/>
  <c r="C185" i="6"/>
  <c r="B185" i="6"/>
  <c r="H184" i="6"/>
  <c r="C184" i="6"/>
  <c r="B184" i="6"/>
  <c r="H183" i="6"/>
  <c r="C183" i="6"/>
  <c r="B183" i="6"/>
  <c r="H182" i="6"/>
  <c r="C182" i="6"/>
  <c r="B182" i="6"/>
  <c r="H181" i="6"/>
  <c r="C181" i="6"/>
  <c r="B181" i="6"/>
  <c r="H180" i="6"/>
  <c r="C180" i="6"/>
  <c r="B180" i="6"/>
  <c r="H179" i="6"/>
  <c r="C179" i="6"/>
  <c r="B179" i="6"/>
  <c r="H178" i="6"/>
  <c r="C178" i="6"/>
  <c r="B178" i="6"/>
  <c r="H177" i="6"/>
  <c r="C177" i="6"/>
  <c r="B177" i="6"/>
  <c r="H176" i="6"/>
  <c r="C176" i="6"/>
  <c r="B176" i="6"/>
  <c r="H175" i="6"/>
  <c r="C175" i="6"/>
  <c r="B175" i="6"/>
  <c r="H174" i="6"/>
  <c r="C174" i="6"/>
  <c r="B174" i="6"/>
  <c r="H173" i="6"/>
  <c r="C173" i="6"/>
  <c r="B173" i="6"/>
  <c r="H172" i="6"/>
  <c r="C172" i="6"/>
  <c r="B172" i="6"/>
  <c r="H171" i="6"/>
  <c r="C171" i="6"/>
  <c r="B171" i="6"/>
  <c r="H170" i="6"/>
  <c r="C170" i="6"/>
  <c r="B170" i="6"/>
  <c r="H169" i="6"/>
  <c r="C169" i="6"/>
  <c r="B169" i="6"/>
  <c r="H168" i="6"/>
  <c r="C168" i="6"/>
  <c r="B168" i="6"/>
  <c r="H167" i="6"/>
  <c r="C167" i="6"/>
  <c r="B167" i="6"/>
  <c r="H166" i="6"/>
  <c r="C166" i="6"/>
  <c r="B166" i="6"/>
  <c r="H165" i="6"/>
  <c r="C165" i="6"/>
  <c r="B165" i="6"/>
  <c r="H164" i="6"/>
  <c r="C164" i="6"/>
  <c r="B164" i="6"/>
  <c r="H163" i="6"/>
  <c r="C163" i="6"/>
  <c r="B163" i="6"/>
  <c r="H162" i="6"/>
  <c r="C162" i="6"/>
  <c r="B162" i="6"/>
  <c r="H161" i="6"/>
  <c r="C161" i="6"/>
  <c r="B161" i="6"/>
  <c r="H160" i="6"/>
  <c r="C160" i="6"/>
  <c r="B160" i="6"/>
  <c r="H159" i="6"/>
  <c r="C159" i="6"/>
  <c r="B159" i="6"/>
  <c r="H158" i="6"/>
  <c r="C158" i="6"/>
  <c r="B158" i="6"/>
  <c r="H157" i="6"/>
  <c r="C157" i="6"/>
  <c r="B157" i="6"/>
  <c r="H156" i="6"/>
  <c r="C156" i="6"/>
  <c r="B156" i="6"/>
  <c r="H155" i="6"/>
  <c r="C155" i="6"/>
  <c r="B155" i="6"/>
  <c r="H154" i="6"/>
  <c r="C154" i="6"/>
  <c r="B154" i="6"/>
  <c r="H153" i="6"/>
  <c r="C153" i="6"/>
  <c r="B153" i="6"/>
  <c r="H152" i="6"/>
  <c r="C152" i="6"/>
  <c r="B152" i="6"/>
  <c r="H151" i="6"/>
  <c r="C151" i="6"/>
  <c r="B151" i="6"/>
  <c r="H150" i="6"/>
  <c r="C150" i="6"/>
  <c r="B150" i="6"/>
  <c r="H149" i="6"/>
  <c r="C149" i="6"/>
  <c r="B149" i="6"/>
  <c r="H148" i="6"/>
  <c r="C148" i="6"/>
  <c r="B148" i="6"/>
  <c r="H147" i="6"/>
  <c r="C147" i="6"/>
  <c r="B147" i="6"/>
  <c r="H146" i="6"/>
  <c r="C146" i="6"/>
  <c r="B146" i="6"/>
  <c r="H145" i="6"/>
  <c r="C145" i="6"/>
  <c r="B145" i="6"/>
  <c r="H144" i="6"/>
  <c r="C144" i="6"/>
  <c r="B144" i="6"/>
  <c r="H143" i="6"/>
  <c r="C143" i="6"/>
  <c r="B143" i="6"/>
  <c r="H142" i="6"/>
  <c r="C142" i="6"/>
  <c r="B142" i="6"/>
  <c r="H141" i="6"/>
  <c r="C141" i="6"/>
  <c r="B141" i="6"/>
  <c r="H140" i="6"/>
  <c r="C140" i="6"/>
  <c r="B140" i="6"/>
  <c r="H139" i="6"/>
  <c r="C139" i="6"/>
  <c r="B139" i="6"/>
  <c r="H138" i="6"/>
  <c r="C138" i="6"/>
  <c r="B138" i="6"/>
  <c r="H137" i="6"/>
  <c r="C137" i="6"/>
  <c r="B137" i="6"/>
  <c r="H136" i="6"/>
  <c r="C136" i="6"/>
  <c r="B136" i="6"/>
  <c r="H135" i="6"/>
  <c r="C135" i="6"/>
  <c r="B135" i="6"/>
  <c r="H134" i="6"/>
  <c r="C134" i="6"/>
  <c r="B134" i="6"/>
  <c r="H133" i="6"/>
  <c r="C133" i="6"/>
  <c r="B133" i="6"/>
  <c r="H132" i="6"/>
  <c r="C132" i="6"/>
  <c r="B132" i="6"/>
  <c r="H131" i="6"/>
  <c r="C131" i="6"/>
  <c r="B131" i="6"/>
  <c r="H130" i="6"/>
  <c r="C130" i="6"/>
  <c r="B130" i="6"/>
  <c r="H129" i="6"/>
  <c r="C129" i="6"/>
  <c r="B129" i="6"/>
  <c r="H128" i="6"/>
  <c r="C128" i="6"/>
  <c r="B128" i="6"/>
  <c r="H127" i="6"/>
  <c r="C127" i="6"/>
  <c r="B127" i="6"/>
  <c r="H126" i="6"/>
  <c r="C126" i="6"/>
  <c r="B126" i="6"/>
  <c r="H125" i="6"/>
  <c r="C125" i="6"/>
  <c r="B125" i="6"/>
  <c r="H124" i="6"/>
  <c r="C124" i="6"/>
  <c r="B124" i="6"/>
  <c r="H123" i="6"/>
  <c r="C123" i="6"/>
  <c r="B123" i="6"/>
  <c r="H122" i="6"/>
  <c r="C122" i="6"/>
  <c r="B122" i="6"/>
  <c r="H121" i="6"/>
  <c r="C121" i="6"/>
  <c r="B121" i="6"/>
  <c r="H120" i="6"/>
  <c r="C120" i="6"/>
  <c r="B120" i="6"/>
  <c r="H119" i="6"/>
  <c r="C119" i="6"/>
  <c r="B119" i="6"/>
  <c r="H118" i="6"/>
  <c r="C118" i="6"/>
  <c r="B118" i="6"/>
  <c r="H117" i="6"/>
  <c r="C117" i="6"/>
  <c r="B117" i="6"/>
  <c r="H116" i="6"/>
  <c r="C116" i="6"/>
  <c r="B116" i="6"/>
  <c r="H115" i="6"/>
  <c r="C115" i="6"/>
  <c r="B115" i="6"/>
  <c r="H114" i="6"/>
  <c r="C114" i="6"/>
  <c r="B114" i="6"/>
  <c r="H113" i="6"/>
  <c r="C113" i="6"/>
  <c r="B113" i="6"/>
  <c r="H112" i="6"/>
  <c r="C112" i="6"/>
  <c r="B112" i="6"/>
  <c r="H111" i="6"/>
  <c r="C111" i="6"/>
  <c r="B111" i="6"/>
  <c r="H110" i="6"/>
  <c r="C110" i="6"/>
  <c r="B110" i="6"/>
  <c r="H109" i="6"/>
  <c r="C109" i="6"/>
  <c r="B109" i="6"/>
  <c r="H108" i="6"/>
  <c r="C108" i="6"/>
  <c r="B108" i="6"/>
  <c r="H107" i="6"/>
  <c r="C107" i="6"/>
  <c r="B107" i="6"/>
  <c r="H106" i="6"/>
  <c r="C106" i="6"/>
  <c r="B106" i="6"/>
  <c r="H105" i="6"/>
  <c r="C105" i="6"/>
  <c r="B105" i="6"/>
  <c r="H104" i="6"/>
  <c r="C104" i="6"/>
  <c r="B104" i="6"/>
  <c r="H103" i="6"/>
  <c r="C103" i="6"/>
  <c r="B103" i="6"/>
  <c r="H102" i="6"/>
  <c r="C102" i="6"/>
  <c r="B102" i="6"/>
  <c r="H101" i="6"/>
  <c r="C101" i="6"/>
  <c r="B101" i="6"/>
  <c r="H100" i="6"/>
  <c r="C100" i="6"/>
  <c r="B100" i="6"/>
  <c r="H99" i="6"/>
  <c r="C99" i="6"/>
  <c r="B99" i="6"/>
  <c r="H98" i="6"/>
  <c r="C98" i="6"/>
  <c r="B98" i="6"/>
  <c r="H97" i="6"/>
  <c r="C97" i="6"/>
  <c r="B97" i="6"/>
  <c r="H96" i="6"/>
  <c r="C96" i="6"/>
  <c r="B96" i="6"/>
  <c r="H95" i="6"/>
  <c r="C95" i="6"/>
  <c r="B95" i="6"/>
  <c r="H94" i="6"/>
  <c r="C94" i="6"/>
  <c r="B94" i="6"/>
  <c r="H93" i="6"/>
  <c r="C93" i="6"/>
  <c r="B93" i="6"/>
  <c r="H92" i="6"/>
  <c r="C92" i="6"/>
  <c r="B92" i="6"/>
  <c r="H91" i="6"/>
  <c r="C91" i="6"/>
  <c r="B91" i="6"/>
  <c r="H90" i="6"/>
  <c r="C90" i="6"/>
  <c r="B90" i="6"/>
  <c r="H89" i="6"/>
  <c r="C89" i="6"/>
  <c r="B89" i="6"/>
  <c r="H88" i="6"/>
  <c r="C88" i="6"/>
  <c r="B88" i="6"/>
  <c r="H87" i="6"/>
  <c r="C87" i="6"/>
  <c r="B87" i="6"/>
  <c r="H86" i="6"/>
  <c r="C86" i="6"/>
  <c r="B86" i="6"/>
  <c r="H85" i="6"/>
  <c r="C85" i="6"/>
  <c r="B85" i="6"/>
  <c r="H84" i="6"/>
  <c r="C84" i="6"/>
  <c r="B84" i="6"/>
  <c r="H83" i="6"/>
  <c r="C83" i="6"/>
  <c r="B83" i="6"/>
  <c r="H82" i="6"/>
  <c r="C82" i="6"/>
  <c r="B82" i="6"/>
  <c r="H81" i="6"/>
  <c r="C81" i="6"/>
  <c r="B81" i="6"/>
  <c r="H80" i="6"/>
  <c r="C80" i="6"/>
  <c r="B80" i="6"/>
  <c r="H79" i="6"/>
  <c r="C79" i="6"/>
  <c r="B79" i="6"/>
  <c r="H78" i="6"/>
  <c r="C78" i="6"/>
  <c r="B78" i="6"/>
  <c r="H77" i="6"/>
  <c r="C77" i="6"/>
  <c r="B77" i="6"/>
  <c r="H76" i="6"/>
  <c r="C76" i="6"/>
  <c r="B76" i="6"/>
  <c r="H75" i="6"/>
  <c r="C75" i="6"/>
  <c r="B75" i="6"/>
  <c r="H74" i="6"/>
  <c r="C74" i="6"/>
  <c r="B74" i="6"/>
  <c r="H73" i="6"/>
  <c r="C73" i="6"/>
  <c r="B73" i="6"/>
  <c r="H72" i="6"/>
  <c r="C72" i="6"/>
  <c r="B72" i="6"/>
  <c r="H71" i="6"/>
  <c r="C71" i="6"/>
  <c r="B71" i="6"/>
  <c r="H70" i="6"/>
  <c r="C70" i="6"/>
  <c r="B70" i="6"/>
  <c r="H69" i="6"/>
  <c r="C69" i="6"/>
  <c r="B69" i="6"/>
  <c r="H68" i="6"/>
  <c r="C68" i="6"/>
  <c r="B68" i="6"/>
  <c r="H67" i="6"/>
  <c r="C67" i="6"/>
  <c r="B67" i="6"/>
  <c r="H66" i="6"/>
  <c r="C66" i="6"/>
  <c r="B66" i="6"/>
  <c r="H65" i="6"/>
  <c r="C65" i="6"/>
  <c r="B65" i="6"/>
  <c r="H64" i="6"/>
  <c r="C64" i="6"/>
  <c r="B64" i="6"/>
  <c r="H63" i="6"/>
  <c r="C63" i="6"/>
  <c r="B63" i="6"/>
  <c r="H62" i="6"/>
  <c r="C62" i="6"/>
  <c r="B62" i="6"/>
  <c r="H61" i="6"/>
  <c r="C61" i="6"/>
  <c r="B61" i="6"/>
  <c r="H60" i="6"/>
  <c r="C60" i="6"/>
  <c r="B60" i="6"/>
  <c r="H59" i="6"/>
  <c r="C59" i="6"/>
  <c r="B59" i="6"/>
  <c r="H58" i="6"/>
  <c r="C58" i="6"/>
  <c r="B58" i="6"/>
  <c r="H57" i="6"/>
  <c r="C57" i="6"/>
  <c r="B57" i="6"/>
  <c r="H56" i="6"/>
  <c r="C56" i="6"/>
  <c r="B56" i="6"/>
  <c r="H55" i="6"/>
  <c r="C55" i="6"/>
  <c r="B55" i="6"/>
  <c r="H54" i="6"/>
  <c r="C54" i="6"/>
  <c r="B54" i="6"/>
  <c r="H53" i="6"/>
  <c r="C53" i="6"/>
  <c r="B53" i="6"/>
  <c r="H52" i="6"/>
  <c r="C52" i="6"/>
  <c r="B52" i="6"/>
  <c r="H51" i="6"/>
  <c r="C51" i="6"/>
  <c r="B51" i="6"/>
  <c r="H50" i="6"/>
  <c r="C50" i="6"/>
  <c r="B50" i="6"/>
  <c r="H49" i="6"/>
  <c r="C49" i="6"/>
  <c r="B49" i="6"/>
  <c r="H48" i="6"/>
  <c r="C48" i="6"/>
  <c r="B48" i="6"/>
  <c r="H47" i="6"/>
  <c r="C47" i="6"/>
  <c r="B47" i="6"/>
  <c r="H46" i="6"/>
  <c r="C46" i="6"/>
  <c r="B46" i="6"/>
  <c r="H45" i="6"/>
  <c r="C45" i="6"/>
  <c r="B45" i="6"/>
  <c r="H44" i="6"/>
  <c r="C44" i="6"/>
  <c r="B44" i="6"/>
  <c r="H43" i="6"/>
  <c r="C43" i="6"/>
  <c r="B43" i="6"/>
  <c r="H42" i="6"/>
  <c r="C42" i="6"/>
  <c r="B42" i="6"/>
  <c r="H41" i="6"/>
  <c r="C41" i="6"/>
  <c r="B41" i="6"/>
  <c r="H40" i="6"/>
  <c r="C40" i="6"/>
  <c r="B40" i="6"/>
  <c r="H39" i="6"/>
  <c r="C39" i="6"/>
  <c r="B39" i="6"/>
  <c r="H38" i="6"/>
  <c r="C38" i="6"/>
  <c r="B38" i="6"/>
  <c r="H37" i="6"/>
  <c r="C37" i="6"/>
  <c r="B37" i="6"/>
  <c r="H36" i="6"/>
  <c r="C36" i="6"/>
  <c r="B36" i="6"/>
  <c r="H35" i="6"/>
  <c r="C35" i="6"/>
  <c r="B35" i="6"/>
  <c r="H34" i="6"/>
  <c r="C34" i="6"/>
  <c r="B34" i="6"/>
  <c r="H33" i="6"/>
  <c r="C33" i="6"/>
  <c r="B33" i="6"/>
  <c r="H32" i="6"/>
  <c r="C32" i="6"/>
  <c r="B32" i="6"/>
  <c r="H31" i="6"/>
  <c r="C31" i="6"/>
  <c r="B31" i="6"/>
  <c r="H30" i="6"/>
  <c r="C30" i="6"/>
  <c r="B30" i="6"/>
  <c r="H29" i="6"/>
  <c r="C29" i="6"/>
  <c r="B29" i="6"/>
  <c r="H28" i="6"/>
  <c r="C28" i="6"/>
  <c r="B28" i="6"/>
  <c r="H27" i="6"/>
  <c r="C27" i="6"/>
  <c r="B27" i="6"/>
  <c r="H26" i="6"/>
  <c r="C26" i="6"/>
  <c r="B26" i="6"/>
  <c r="H25" i="6"/>
  <c r="C25" i="6"/>
  <c r="B25" i="6"/>
  <c r="H24" i="6"/>
  <c r="C24" i="6"/>
  <c r="B24" i="6"/>
  <c r="H23" i="6"/>
  <c r="C23" i="6"/>
  <c r="B23" i="6"/>
  <c r="H22" i="6"/>
  <c r="C22" i="6"/>
  <c r="B22" i="6"/>
  <c r="H21" i="6"/>
  <c r="C21" i="6"/>
  <c r="B21" i="6"/>
  <c r="H20" i="6"/>
  <c r="C20" i="6"/>
  <c r="B20" i="6"/>
  <c r="H19" i="6"/>
  <c r="C19" i="6"/>
  <c r="B19" i="6"/>
  <c r="H18" i="6"/>
  <c r="C18" i="6"/>
  <c r="B18" i="6"/>
  <c r="H17" i="6"/>
  <c r="C17" i="6"/>
  <c r="B17" i="6"/>
  <c r="H16" i="6"/>
  <c r="C16" i="6"/>
  <c r="B16" i="6"/>
  <c r="H15" i="6"/>
  <c r="C15" i="6"/>
  <c r="B15" i="6"/>
  <c r="H14" i="6"/>
  <c r="C14" i="6"/>
  <c r="B14" i="6"/>
  <c r="H13" i="6"/>
  <c r="C13" i="6"/>
  <c r="B13" i="6"/>
  <c r="H12" i="6"/>
  <c r="C12" i="6"/>
  <c r="B12" i="6"/>
  <c r="H11" i="6"/>
  <c r="C11" i="6"/>
  <c r="B11" i="6"/>
  <c r="H10" i="6"/>
  <c r="C10" i="6"/>
  <c r="B10" i="6"/>
  <c r="H9" i="6"/>
  <c r="C9" i="6"/>
  <c r="B9" i="6"/>
  <c r="H8" i="6"/>
  <c r="C8" i="6"/>
  <c r="B8" i="6"/>
  <c r="H7" i="6"/>
  <c r="C7" i="6"/>
  <c r="B7" i="6"/>
  <c r="H6" i="6"/>
  <c r="C6" i="6"/>
  <c r="B6" i="6"/>
  <c r="H5" i="6"/>
  <c r="C5" i="6"/>
  <c r="B5" i="6"/>
  <c r="H4" i="6"/>
  <c r="C4" i="6"/>
  <c r="B4" i="6"/>
  <c r="H3" i="6"/>
  <c r="C3" i="6"/>
  <c r="B3" i="6"/>
  <c r="H2" i="6"/>
  <c r="C2" i="6"/>
  <c r="B2" i="6"/>
  <c r="E633" i="1"/>
  <c r="P633" i="1"/>
  <c r="C5" i="2"/>
  <c r="F633" i="1"/>
  <c r="U633" i="1"/>
  <c r="T633" i="1"/>
  <c r="W633" i="1" s="1"/>
  <c r="D633" i="1"/>
  <c r="C60" i="25"/>
  <c r="C64" i="25"/>
  <c r="C63" i="25"/>
  <c r="C86" i="25"/>
  <c r="D16" i="25"/>
  <c r="D54" i="25"/>
  <c r="D44" i="25"/>
  <c r="D27" i="25"/>
  <c r="C90" i="25"/>
  <c r="C73" i="25"/>
  <c r="D7" i="25"/>
  <c r="D40" i="25"/>
  <c r="C65" i="25"/>
  <c r="C67" i="25"/>
  <c r="D20" i="25"/>
  <c r="D29" i="25"/>
  <c r="C110" i="25"/>
  <c r="C87" i="25"/>
  <c r="D45" i="25"/>
  <c r="D51" i="25"/>
  <c r="C104" i="25"/>
  <c r="C81" i="25"/>
  <c r="D6" i="25"/>
  <c r="C66" i="25"/>
  <c r="D10" i="25"/>
  <c r="C103" i="25"/>
  <c r="C109" i="25"/>
  <c r="C106" i="25"/>
  <c r="C80" i="25"/>
  <c r="D41" i="25"/>
  <c r="D18" i="25"/>
  <c r="D24" i="25"/>
  <c r="D28" i="25"/>
  <c r="C97" i="25"/>
  <c r="C100" i="25"/>
  <c r="D23" i="25"/>
  <c r="D49" i="25"/>
  <c r="C84" i="25"/>
  <c r="C94" i="25"/>
  <c r="D13" i="25"/>
  <c r="D39" i="25"/>
  <c r="C78" i="25"/>
  <c r="C102" i="25"/>
  <c r="C61" i="25"/>
  <c r="D35" i="25"/>
  <c r="D52" i="25"/>
  <c r="C71" i="25"/>
  <c r="D55" i="25"/>
  <c r="D25" i="25"/>
  <c r="D22" i="25"/>
  <c r="D8" i="25"/>
  <c r="C77" i="25"/>
  <c r="C70" i="25"/>
  <c r="D11" i="25"/>
  <c r="C107" i="25"/>
  <c r="D15" i="25"/>
  <c r="C92" i="25"/>
  <c r="D26" i="25"/>
  <c r="C98" i="25"/>
  <c r="C108" i="25"/>
  <c r="C101" i="25"/>
  <c r="C74" i="25"/>
  <c r="D33" i="25"/>
  <c r="D53" i="25"/>
  <c r="D5" i="25"/>
  <c r="D34" i="25"/>
  <c r="C91" i="25"/>
  <c r="C96" i="25"/>
  <c r="C95" i="25"/>
  <c r="C68" i="25"/>
  <c r="D48" i="25"/>
  <c r="D46" i="25"/>
  <c r="D19" i="25"/>
  <c r="D43" i="25"/>
  <c r="C85" i="25"/>
  <c r="C89" i="25"/>
  <c r="C88" i="25"/>
  <c r="C62" i="25"/>
  <c r="D50" i="25"/>
  <c r="D42" i="25"/>
  <c r="D32" i="25"/>
  <c r="D9" i="25"/>
  <c r="C79" i="25"/>
  <c r="C83" i="25"/>
  <c r="C82" i="25"/>
  <c r="C105" i="25"/>
  <c r="D12" i="25"/>
  <c r="D17" i="25"/>
  <c r="D47" i="25"/>
  <c r="D36" i="25"/>
  <c r="C72" i="25"/>
  <c r="C75" i="25"/>
  <c r="C99" i="25"/>
  <c r="D30" i="25"/>
  <c r="D37" i="25"/>
  <c r="D14" i="25"/>
  <c r="C69" i="25"/>
  <c r="D31" i="25"/>
  <c r="D18" i="22"/>
  <c r="D17" i="22"/>
  <c r="D13" i="22"/>
  <c r="D23" i="22"/>
  <c r="D22" i="22"/>
  <c r="D5" i="22"/>
  <c r="D16" i="22"/>
  <c r="D14" i="22"/>
  <c r="D26" i="22"/>
  <c r="D9" i="22"/>
  <c r="D15" i="22"/>
  <c r="D21" i="22"/>
  <c r="D25" i="22"/>
  <c r="D11" i="22"/>
  <c r="D24" i="22"/>
  <c r="D10" i="22"/>
  <c r="D7" i="22"/>
  <c r="D19" i="22"/>
  <c r="F7" i="13"/>
  <c r="F6" i="13"/>
  <c r="F10" i="13"/>
  <c r="F9" i="13"/>
  <c r="G4" i="13"/>
  <c r="F5" i="13"/>
  <c r="F8" i="13"/>
  <c r="F4" i="13"/>
  <c r="F8" i="15"/>
  <c r="F20" i="15"/>
  <c r="F19" i="15"/>
  <c r="F14" i="15"/>
  <c r="F5" i="15"/>
  <c r="G19" i="15"/>
  <c r="G7" i="15"/>
  <c r="F4" i="15"/>
  <c r="F10" i="15"/>
  <c r="J4" i="15"/>
  <c r="G9" i="15"/>
  <c r="F7" i="15"/>
  <c r="F6" i="15"/>
  <c r="F15" i="15"/>
  <c r="G6" i="15"/>
  <c r="I4" i="15"/>
  <c r="F17" i="15"/>
  <c r="G18" i="15"/>
  <c r="F16" i="15"/>
  <c r="G13" i="15"/>
  <c r="F12" i="15"/>
  <c r="F18" i="15"/>
  <c r="G14" i="15"/>
  <c r="G4" i="15"/>
  <c r="G12" i="15"/>
  <c r="G20" i="15"/>
  <c r="G11" i="15"/>
  <c r="G10" i="15"/>
  <c r="F11" i="15"/>
  <c r="G15" i="15"/>
  <c r="F13" i="15"/>
  <c r="G17" i="15"/>
  <c r="G8" i="15"/>
  <c r="G16" i="15"/>
  <c r="F9" i="15"/>
  <c r="G5" i="15"/>
  <c r="O7" i="19"/>
  <c r="M5" i="19"/>
  <c r="M7" i="19"/>
  <c r="M8" i="19"/>
  <c r="K6" i="19"/>
  <c r="L7" i="19"/>
  <c r="N8" i="19"/>
  <c r="N5" i="19"/>
  <c r="L5" i="19"/>
  <c r="K7" i="19"/>
  <c r="K5" i="19"/>
  <c r="O8" i="19"/>
  <c r="O6" i="19"/>
  <c r="M6" i="19"/>
  <c r="L6" i="19"/>
  <c r="O5" i="19"/>
  <c r="K8" i="19"/>
  <c r="N7" i="19"/>
  <c r="L8" i="19"/>
  <c r="N6" i="19"/>
  <c r="X97" i="23" l="1"/>
  <c r="X139" i="23"/>
  <c r="X255" i="23"/>
  <c r="X25" i="23"/>
  <c r="X61" i="23"/>
  <c r="X67" i="23"/>
  <c r="X264" i="23"/>
  <c r="X168" i="23"/>
  <c r="W21" i="23"/>
  <c r="X21" i="23" s="1"/>
  <c r="W23" i="23"/>
  <c r="X23" i="23" s="1"/>
  <c r="W25" i="23"/>
  <c r="W56" i="23"/>
  <c r="X56" i="23" s="1"/>
  <c r="W58" i="23"/>
  <c r="X58" i="23" s="1"/>
  <c r="W60" i="23"/>
  <c r="X60" i="23" s="1"/>
  <c r="W93" i="23"/>
  <c r="X93" i="23" s="1"/>
  <c r="W95" i="23"/>
  <c r="X95" i="23" s="1"/>
  <c r="W97" i="23"/>
  <c r="W128" i="23"/>
  <c r="X128" i="23" s="1"/>
  <c r="W130" i="23"/>
  <c r="X130" i="23" s="1"/>
  <c r="W132" i="23"/>
  <c r="X132" i="23" s="1"/>
  <c r="W151" i="23"/>
  <c r="X151" i="23" s="1"/>
  <c r="W153" i="23"/>
  <c r="X153" i="23" s="1"/>
  <c r="W166" i="23"/>
  <c r="X166" i="23" s="1"/>
  <c r="W177" i="23"/>
  <c r="X177" i="23" s="1"/>
  <c r="W192" i="23"/>
  <c r="X192" i="23" s="1"/>
  <c r="W211" i="23"/>
  <c r="X211" i="23" s="1"/>
  <c r="W250" i="23"/>
  <c r="X250" i="23" s="1"/>
  <c r="W277" i="23"/>
  <c r="W304" i="23"/>
  <c r="X304" i="23" s="1"/>
  <c r="W322" i="23"/>
  <c r="X322" i="23" s="1"/>
  <c r="W329" i="23"/>
  <c r="W396" i="23"/>
  <c r="W494" i="23"/>
  <c r="X494" i="23" s="1"/>
  <c r="W509" i="23"/>
  <c r="X509" i="23" s="1"/>
  <c r="W526" i="23"/>
  <c r="X526" i="23" s="1"/>
  <c r="W532" i="23"/>
  <c r="X532" i="23" s="1"/>
  <c r="W562" i="23"/>
  <c r="X562" i="23" s="1"/>
  <c r="W566" i="23"/>
  <c r="X566" i="23" s="1"/>
  <c r="W598" i="23"/>
  <c r="X598" i="23" s="1"/>
  <c r="W628" i="23"/>
  <c r="W168" i="23"/>
  <c r="W181" i="23"/>
  <c r="X181" i="23" s="1"/>
  <c r="W464" i="23"/>
  <c r="X464" i="23" s="1"/>
  <c r="X604" i="23"/>
  <c r="W615" i="23"/>
  <c r="W10" i="23"/>
  <c r="W33" i="23"/>
  <c r="X33" i="23" s="1"/>
  <c r="W35" i="23"/>
  <c r="X35" i="23" s="1"/>
  <c r="W37" i="23"/>
  <c r="X37" i="23" s="1"/>
  <c r="W68" i="23"/>
  <c r="X68" i="23" s="1"/>
  <c r="W70" i="23"/>
  <c r="X70" i="23" s="1"/>
  <c r="W72" i="23"/>
  <c r="X72" i="23" s="1"/>
  <c r="W105" i="23"/>
  <c r="X105" i="23" s="1"/>
  <c r="W107" i="23"/>
  <c r="X107" i="23" s="1"/>
  <c r="W109" i="23"/>
  <c r="X109" i="23" s="1"/>
  <c r="W140" i="23"/>
  <c r="W142" i="23"/>
  <c r="X142" i="23" s="1"/>
  <c r="W155" i="23"/>
  <c r="W183" i="23"/>
  <c r="X183" i="23" s="1"/>
  <c r="W310" i="23"/>
  <c r="X310" i="23" s="1"/>
  <c r="W326" i="23"/>
  <c r="X326" i="23" s="1"/>
  <c r="W358" i="23"/>
  <c r="X358" i="23" s="1"/>
  <c r="W376" i="23"/>
  <c r="X376" i="23" s="1"/>
  <c r="W421" i="23"/>
  <c r="W468" i="23"/>
  <c r="W487" i="23"/>
  <c r="W515" i="23"/>
  <c r="X515" i="23" s="1"/>
  <c r="W587" i="23"/>
  <c r="X587" i="23" s="1"/>
  <c r="W610" i="23"/>
  <c r="W630" i="23"/>
  <c r="W12" i="23"/>
  <c r="X12" i="23" s="1"/>
  <c r="W14" i="23"/>
  <c r="X14" i="23" s="1"/>
  <c r="W45" i="23"/>
  <c r="X45" i="23" s="1"/>
  <c r="W47" i="23"/>
  <c r="X47" i="23" s="1"/>
  <c r="W49" i="23"/>
  <c r="X49" i="23" s="1"/>
  <c r="W80" i="23"/>
  <c r="X80" i="23" s="1"/>
  <c r="W82" i="23"/>
  <c r="X82" i="23" s="1"/>
  <c r="W84" i="23"/>
  <c r="X84" i="23" s="1"/>
  <c r="W117" i="23"/>
  <c r="X117" i="23" s="1"/>
  <c r="W119" i="23"/>
  <c r="X119" i="23" s="1"/>
  <c r="W121" i="23"/>
  <c r="X121" i="23" s="1"/>
  <c r="W174" i="23"/>
  <c r="X174" i="23" s="1"/>
  <c r="W189" i="23"/>
  <c r="X189" i="23" s="1"/>
  <c r="W202" i="23"/>
  <c r="X202" i="23" s="1"/>
  <c r="W204" i="23"/>
  <c r="X204" i="23" s="1"/>
  <c r="W328" i="23"/>
  <c r="X328" i="23" s="1"/>
  <c r="W337" i="23"/>
  <c r="X337" i="23" s="1"/>
  <c r="W373" i="23"/>
  <c r="X373" i="23" s="1"/>
  <c r="W427" i="23"/>
  <c r="W461" i="23"/>
  <c r="X461" i="23" s="1"/>
  <c r="W472" i="23"/>
  <c r="X472" i="23" s="1"/>
  <c r="W504" i="23"/>
  <c r="W540" i="23"/>
  <c r="W576" i="23"/>
  <c r="W612" i="23"/>
  <c r="W2" i="23"/>
  <c r="X2" i="23" s="1"/>
  <c r="W22" i="23"/>
  <c r="X22" i="23" s="1"/>
  <c r="W57" i="23"/>
  <c r="X57" i="23" s="1"/>
  <c r="W178" i="23"/>
  <c r="X178" i="23" s="1"/>
  <c r="W476" i="23"/>
  <c r="X476" i="23" s="1"/>
  <c r="W30" i="23"/>
  <c r="X30" i="23" s="1"/>
  <c r="W65" i="23"/>
  <c r="X65" i="23" s="1"/>
  <c r="W98" i="23"/>
  <c r="X98" i="23" s="1"/>
  <c r="W137" i="23"/>
  <c r="X137" i="23" s="1"/>
  <c r="W375" i="23"/>
  <c r="X375" i="23" s="1"/>
  <c r="X431" i="23"/>
  <c r="W605" i="23"/>
  <c r="X605" i="23" s="1"/>
  <c r="W3" i="23"/>
  <c r="X3" i="23" s="1"/>
  <c r="W5" i="23"/>
  <c r="X5" i="23" s="1"/>
  <c r="W32" i="23"/>
  <c r="X32" i="23" s="1"/>
  <c r="W34" i="23"/>
  <c r="X34" i="23" s="1"/>
  <c r="W36" i="23"/>
  <c r="X36" i="23" s="1"/>
  <c r="W69" i="23"/>
  <c r="X69" i="23" s="1"/>
  <c r="W71" i="23"/>
  <c r="X71" i="23" s="1"/>
  <c r="W73" i="23"/>
  <c r="X73" i="23" s="1"/>
  <c r="W104" i="23"/>
  <c r="X104" i="23" s="1"/>
  <c r="W106" i="23"/>
  <c r="X106" i="23" s="1"/>
  <c r="W108" i="23"/>
  <c r="X108" i="23" s="1"/>
  <c r="W141" i="23"/>
  <c r="X141" i="23" s="1"/>
  <c r="X154" i="23"/>
  <c r="W156" i="23"/>
  <c r="X156" i="23" s="1"/>
  <c r="W182" i="23"/>
  <c r="W184" i="23"/>
  <c r="X184" i="23" s="1"/>
  <c r="W186" i="23"/>
  <c r="X186" i="23" s="1"/>
  <c r="W199" i="23"/>
  <c r="X199" i="23" s="1"/>
  <c r="W214" i="23"/>
  <c r="X214" i="23" s="1"/>
  <c r="W216" i="23"/>
  <c r="X216" i="23" s="1"/>
  <c r="W234" i="23"/>
  <c r="X234" i="23" s="1"/>
  <c r="X246" i="23"/>
  <c r="X357" i="23"/>
  <c r="W418" i="23"/>
  <c r="X418" i="23" s="1"/>
  <c r="W465" i="23"/>
  <c r="X465" i="23" s="1"/>
  <c r="W503" i="23"/>
  <c r="X503" i="23" s="1"/>
  <c r="X514" i="23"/>
  <c r="W533" i="23"/>
  <c r="X533" i="23" s="1"/>
  <c r="W554" i="23"/>
  <c r="X554" i="23" s="1"/>
  <c r="W571" i="23"/>
  <c r="W575" i="23"/>
  <c r="X575" i="23" s="1"/>
  <c r="X586" i="23"/>
  <c r="W24" i="23"/>
  <c r="X24" i="23" s="1"/>
  <c r="W61" i="23"/>
  <c r="W94" i="23"/>
  <c r="X94" i="23" s="1"/>
  <c r="W96" i="23"/>
  <c r="X96" i="23" s="1"/>
  <c r="W129" i="23"/>
  <c r="X129" i="23" s="1"/>
  <c r="W131" i="23"/>
  <c r="X131" i="23" s="1"/>
  <c r="W150" i="23"/>
  <c r="X150" i="23" s="1"/>
  <c r="W232" i="23"/>
  <c r="X232" i="23" s="1"/>
  <c r="W414" i="23"/>
  <c r="W491" i="23"/>
  <c r="W497" i="23"/>
  <c r="X497" i="23" s="1"/>
  <c r="W499" i="23"/>
  <c r="W28" i="23"/>
  <c r="X28" i="23" s="1"/>
  <c r="W63" i="23"/>
  <c r="X63" i="23" s="1"/>
  <c r="W100" i="23"/>
  <c r="X100" i="23" s="1"/>
  <c r="W135" i="23"/>
  <c r="X135" i="23" s="1"/>
  <c r="W195" i="23"/>
  <c r="X195" i="23" s="1"/>
  <c r="X292" i="23"/>
  <c r="X364" i="23"/>
  <c r="W607" i="23"/>
  <c r="W9" i="23"/>
  <c r="X9" i="23" s="1"/>
  <c r="W38" i="23"/>
  <c r="X38" i="23" s="1"/>
  <c r="W40" i="23"/>
  <c r="X40" i="23" s="1"/>
  <c r="W42" i="23"/>
  <c r="X42" i="23" s="1"/>
  <c r="W75" i="23"/>
  <c r="X75" i="23" s="1"/>
  <c r="W77" i="23"/>
  <c r="X77" i="23" s="1"/>
  <c r="W79" i="23"/>
  <c r="X79" i="23" s="1"/>
  <c r="W110" i="23"/>
  <c r="X110" i="23" s="1"/>
  <c r="W112" i="23"/>
  <c r="X112" i="23" s="1"/>
  <c r="W114" i="23"/>
  <c r="X114" i="23" s="1"/>
  <c r="W145" i="23"/>
  <c r="X145" i="23" s="1"/>
  <c r="W255" i="23"/>
  <c r="W264" i="23"/>
  <c r="X280" i="23"/>
  <c r="W352" i="23"/>
  <c r="X352" i="23" s="1"/>
  <c r="W392" i="23"/>
  <c r="X392" i="23" s="1"/>
  <c r="W454" i="23"/>
  <c r="X454" i="23" s="1"/>
  <c r="W518" i="23"/>
  <c r="X518" i="23" s="1"/>
  <c r="W59" i="23"/>
  <c r="X59" i="23" s="1"/>
  <c r="W92" i="23"/>
  <c r="X92" i="23" s="1"/>
  <c r="W133" i="23"/>
  <c r="X133" i="23" s="1"/>
  <c r="W180" i="23"/>
  <c r="X180" i="23" s="1"/>
  <c r="W193" i="23"/>
  <c r="X193" i="23" s="1"/>
  <c r="W210" i="23"/>
  <c r="X210" i="23" s="1"/>
  <c r="W544" i="23"/>
  <c r="X544" i="23" s="1"/>
  <c r="W26" i="23"/>
  <c r="X26" i="23" s="1"/>
  <c r="W67" i="23"/>
  <c r="W102" i="23"/>
  <c r="X102" i="23" s="1"/>
  <c r="W139" i="23"/>
  <c r="X388" i="23"/>
  <c r="W450" i="23"/>
  <c r="W44" i="23"/>
  <c r="X44" i="23" s="1"/>
  <c r="W46" i="23"/>
  <c r="X46" i="23" s="1"/>
  <c r="W48" i="23"/>
  <c r="X48" i="23" s="1"/>
  <c r="W81" i="23"/>
  <c r="X81" i="23" s="1"/>
  <c r="W83" i="23"/>
  <c r="X83" i="23" s="1"/>
  <c r="W85" i="23"/>
  <c r="X85" i="23" s="1"/>
  <c r="W116" i="23"/>
  <c r="X116" i="23" s="1"/>
  <c r="W118" i="23"/>
  <c r="X118" i="23" s="1"/>
  <c r="W120" i="23"/>
  <c r="X120" i="23" s="1"/>
  <c r="W201" i="23"/>
  <c r="X201" i="23" s="1"/>
  <c r="W205" i="23"/>
  <c r="X205" i="23" s="1"/>
  <c r="W207" i="23"/>
  <c r="X207" i="23" s="1"/>
  <c r="W220" i="23"/>
  <c r="X220" i="23" s="1"/>
  <c r="W248" i="23"/>
  <c r="X248" i="23" s="1"/>
  <c r="W302" i="23"/>
  <c r="X302" i="23" s="1"/>
  <c r="W370" i="23"/>
  <c r="W430" i="23"/>
  <c r="X430" i="23" s="1"/>
  <c r="W441" i="23"/>
  <c r="W522" i="23"/>
  <c r="W537" i="23"/>
  <c r="E5" i="22" a="1"/>
  <c r="E5" i="22" s="1"/>
  <c r="V141" i="21"/>
  <c r="V151" i="21"/>
  <c r="V239" i="21"/>
  <c r="W239" i="21" s="1"/>
  <c r="V245" i="21"/>
  <c r="W245" i="21" s="1"/>
  <c r="V267" i="21"/>
  <c r="W267" i="21" s="1"/>
  <c r="V273" i="21"/>
  <c r="W273" i="21" s="1"/>
  <c r="V279" i="21"/>
  <c r="V293" i="21"/>
  <c r="W293" i="21" s="1"/>
  <c r="V299" i="21"/>
  <c r="W299" i="21" s="1"/>
  <c r="V309" i="21"/>
  <c r="W309" i="21" s="1"/>
  <c r="V311" i="21"/>
  <c r="W311" i="21" s="1"/>
  <c r="V317" i="21"/>
  <c r="W317" i="21" s="1"/>
  <c r="V335" i="21"/>
  <c r="W335" i="21" s="1"/>
  <c r="V345" i="21"/>
  <c r="V347" i="21"/>
  <c r="W347" i="21" s="1"/>
  <c r="V389" i="21"/>
  <c r="W389" i="21" s="1"/>
  <c r="V425" i="21"/>
  <c r="W425" i="21" s="1"/>
  <c r="V439" i="21"/>
  <c r="W439" i="21" s="1"/>
  <c r="V445" i="21"/>
  <c r="V463" i="21"/>
  <c r="W463" i="21" s="1"/>
  <c r="V475" i="21"/>
  <c r="W475" i="21" s="1"/>
  <c r="V481" i="21"/>
  <c r="W481" i="21" s="1"/>
  <c r="V493" i="21"/>
  <c r="W493" i="21" s="1"/>
  <c r="V499" i="21"/>
  <c r="W499" i="21" s="1"/>
  <c r="V505" i="21"/>
  <c r="V517" i="21"/>
  <c r="V519" i="21"/>
  <c r="V541" i="21"/>
  <c r="W541" i="21" s="1"/>
  <c r="V124" i="21"/>
  <c r="W124" i="21" s="1"/>
  <c r="V130" i="21"/>
  <c r="W130" i="21" s="1"/>
  <c r="V140" i="21"/>
  <c r="V250" i="21"/>
  <c r="W250" i="21" s="1"/>
  <c r="V254" i="21"/>
  <c r="W254" i="21" s="1"/>
  <c r="V256" i="21"/>
  <c r="W256" i="21" s="1"/>
  <c r="V258" i="21"/>
  <c r="W258" i="21" s="1"/>
  <c r="V262" i="21"/>
  <c r="W262" i="21" s="1"/>
  <c r="V272" i="21"/>
  <c r="W272" i="21" s="1"/>
  <c r="V276" i="21"/>
  <c r="W276" i="21" s="1"/>
  <c r="V284" i="21"/>
  <c r="W284" i="21" s="1"/>
  <c r="V288" i="21"/>
  <c r="W288" i="21" s="1"/>
  <c r="V10" i="21"/>
  <c r="W10" i="21" s="1"/>
  <c r="V28" i="21"/>
  <c r="W28" i="21" s="1"/>
  <c r="V40" i="21"/>
  <c r="W40" i="21" s="1"/>
  <c r="V46" i="21"/>
  <c r="W46" i="21" s="1"/>
  <c r="V58" i="21"/>
  <c r="W58" i="21" s="1"/>
  <c r="V320" i="21"/>
  <c r="W320" i="21" s="1"/>
  <c r="V326" i="21"/>
  <c r="W326" i="21" s="1"/>
  <c r="V332" i="21"/>
  <c r="W332" i="21" s="1"/>
  <c r="V336" i="21"/>
  <c r="W336" i="21" s="1"/>
  <c r="V338" i="21"/>
  <c r="W338" i="21" s="1"/>
  <c r="V344" i="21"/>
  <c r="W344" i="21" s="1"/>
  <c r="V348" i="21"/>
  <c r="W348" i="21" s="1"/>
  <c r="V350" i="21"/>
  <c r="W350" i="21" s="1"/>
  <c r="V354" i="21"/>
  <c r="W354" i="21" s="1"/>
  <c r="V358" i="21"/>
  <c r="W358" i="21" s="1"/>
  <c r="V360" i="21"/>
  <c r="W360" i="21" s="1"/>
  <c r="V364" i="21"/>
  <c r="W364" i="21" s="1"/>
  <c r="V376" i="21"/>
  <c r="W376" i="21" s="1"/>
  <c r="V378" i="21"/>
  <c r="W378" i="21" s="1"/>
  <c r="V414" i="21"/>
  <c r="W414" i="21" s="1"/>
  <c r="V426" i="21"/>
  <c r="W426" i="21" s="1"/>
  <c r="V428" i="21"/>
  <c r="W428" i="21" s="1"/>
  <c r="V432" i="21"/>
  <c r="W432" i="21" s="1"/>
  <c r="V436" i="21"/>
  <c r="W436" i="21" s="1"/>
  <c r="V438" i="21"/>
  <c r="W438" i="21" s="1"/>
  <c r="V448" i="21"/>
  <c r="W448" i="21" s="1"/>
  <c r="V456" i="21"/>
  <c r="W456" i="21" s="1"/>
  <c r="V458" i="21"/>
  <c r="W458" i="21" s="1"/>
  <c r="V466" i="21"/>
  <c r="W466" i="21" s="1"/>
  <c r="V472" i="21"/>
  <c r="W472" i="21" s="1"/>
  <c r="V490" i="21"/>
  <c r="W490" i="21" s="1"/>
  <c r="V492" i="21"/>
  <c r="W492" i="21" s="1"/>
  <c r="V494" i="21"/>
  <c r="W494" i="21" s="1"/>
  <c r="V496" i="21"/>
  <c r="W496" i="21" s="1"/>
  <c r="V528" i="21"/>
  <c r="W528" i="21" s="1"/>
  <c r="V153" i="21"/>
  <c r="W153" i="21" s="1"/>
  <c r="V238" i="21"/>
  <c r="W238" i="21" s="1"/>
  <c r="V142" i="21"/>
  <c r="W142" i="21" s="1"/>
  <c r="V152" i="21"/>
  <c r="W152" i="21" s="1"/>
  <c r="V156" i="21"/>
  <c r="W156" i="21" s="1"/>
  <c r="V164" i="21"/>
  <c r="W164" i="21" s="1"/>
  <c r="V176" i="21"/>
  <c r="W176" i="21" s="1"/>
  <c r="V182" i="21"/>
  <c r="W182" i="21" s="1"/>
  <c r="V184" i="21"/>
  <c r="W184" i="21" s="1"/>
  <c r="V186" i="21"/>
  <c r="W186" i="21" s="1"/>
  <c r="V190" i="21"/>
  <c r="W190" i="21" s="1"/>
  <c r="V200" i="21"/>
  <c r="W200" i="21" s="1"/>
  <c r="V202" i="21"/>
  <c r="W202" i="21" s="1"/>
  <c r="V204" i="21"/>
  <c r="W204" i="21" s="1"/>
  <c r="V208" i="21"/>
  <c r="W208" i="21" s="1"/>
  <c r="V214" i="21"/>
  <c r="W214" i="21" s="1"/>
  <c r="V218" i="21"/>
  <c r="W218" i="21" s="1"/>
  <c r="V220" i="21"/>
  <c r="W220" i="21" s="1"/>
  <c r="V222" i="21"/>
  <c r="W222" i="21" s="1"/>
  <c r="V226" i="21"/>
  <c r="W226" i="21" s="1"/>
  <c r="V236" i="21"/>
  <c r="W236" i="21" s="1"/>
  <c r="V329" i="21"/>
  <c r="W329" i="21" s="1"/>
  <c r="V609" i="21"/>
  <c r="V244" i="21"/>
  <c r="W244" i="21" s="1"/>
  <c r="V412" i="21"/>
  <c r="W412" i="21" s="1"/>
  <c r="V474" i="21"/>
  <c r="W474" i="21" s="1"/>
  <c r="V478" i="21"/>
  <c r="W478" i="21" s="1"/>
  <c r="V365" i="21"/>
  <c r="W365" i="21" s="1"/>
  <c r="V7" i="21"/>
  <c r="W7" i="21" s="1"/>
  <c r="V37" i="21"/>
  <c r="W37" i="21" s="1"/>
  <c r="V43" i="21"/>
  <c r="W43" i="21" s="1"/>
  <c r="V61" i="21"/>
  <c r="W61" i="21" s="1"/>
  <c r="V67" i="21"/>
  <c r="W67" i="21" s="1"/>
  <c r="V73" i="21"/>
  <c r="W73" i="21" s="1"/>
  <c r="V79" i="21"/>
  <c r="W79" i="21" s="1"/>
  <c r="V85" i="21"/>
  <c r="W85" i="21" s="1"/>
  <c r="V91" i="21"/>
  <c r="W91" i="21" s="1"/>
  <c r="V97" i="21"/>
  <c r="W97" i="21" s="1"/>
  <c r="V103" i="21"/>
  <c r="W103" i="21" s="1"/>
  <c r="V109" i="21"/>
  <c r="W109" i="21" s="1"/>
  <c r="V115" i="21"/>
  <c r="W115" i="21" s="1"/>
  <c r="V121" i="21"/>
  <c r="W121" i="21" s="1"/>
  <c r="V139" i="21"/>
  <c r="W139" i="21" s="1"/>
  <c r="V398" i="21"/>
  <c r="W398" i="21" s="1"/>
  <c r="V626" i="21"/>
  <c r="V308" i="21"/>
  <c r="W308" i="21" s="1"/>
  <c r="V408" i="21"/>
  <c r="W408" i="21" s="1"/>
  <c r="V163" i="21"/>
  <c r="W163" i="21" s="1"/>
  <c r="V165" i="21"/>
  <c r="W165" i="21" s="1"/>
  <c r="V175" i="21"/>
  <c r="W175" i="21" s="1"/>
  <c r="V177" i="21"/>
  <c r="W177" i="21" s="1"/>
  <c r="V187" i="21"/>
  <c r="W187" i="21" s="1"/>
  <c r="V195" i="21"/>
  <c r="W195" i="21" s="1"/>
  <c r="V209" i="21"/>
  <c r="W209" i="21" s="1"/>
  <c r="V223" i="21"/>
  <c r="W223" i="21" s="1"/>
  <c r="V231" i="21"/>
  <c r="W231" i="21" s="1"/>
  <c r="V482" i="21"/>
  <c r="W482" i="21" s="1"/>
  <c r="V504" i="21"/>
  <c r="W504" i="21" s="1"/>
  <c r="V510" i="21"/>
  <c r="W510" i="21" s="1"/>
  <c r="V522" i="21"/>
  <c r="W522" i="21" s="1"/>
  <c r="V542" i="21"/>
  <c r="W542" i="21" s="1"/>
  <c r="V548" i="21"/>
  <c r="W548" i="21" s="1"/>
  <c r="V554" i="21"/>
  <c r="W554" i="21" s="1"/>
  <c r="V560" i="21"/>
  <c r="W560" i="21" s="1"/>
  <c r="V566" i="21"/>
  <c r="W566" i="21" s="1"/>
  <c r="V570" i="21"/>
  <c r="W570" i="21" s="1"/>
  <c r="V582" i="21"/>
  <c r="W582" i="21" s="1"/>
  <c r="V588" i="21"/>
  <c r="W588" i="21" s="1"/>
  <c r="V594" i="21"/>
  <c r="W594" i="21" s="1"/>
  <c r="V600" i="21"/>
  <c r="W600" i="21" s="1"/>
  <c r="V606" i="21"/>
  <c r="W606" i="21" s="1"/>
  <c r="V387" i="21"/>
  <c r="W387" i="21" s="1"/>
  <c r="V401" i="21"/>
  <c r="W401" i="21" s="1"/>
  <c r="V263" i="21"/>
  <c r="W263" i="21" s="1"/>
  <c r="V421" i="21"/>
  <c r="W421" i="21" s="1"/>
  <c r="V11" i="21"/>
  <c r="W11" i="21" s="1"/>
  <c r="V17" i="21"/>
  <c r="W17" i="21" s="1"/>
  <c r="V27" i="21"/>
  <c r="W27" i="21" s="1"/>
  <c r="V429" i="21"/>
  <c r="W429" i="21" s="1"/>
  <c r="V437" i="21"/>
  <c r="W437" i="21" s="1"/>
  <c r="V47" i="21"/>
  <c r="W47" i="21" s="1"/>
  <c r="V53" i="21"/>
  <c r="W53" i="21" s="1"/>
  <c r="V192" i="21"/>
  <c r="W192" i="21" s="1"/>
  <c r="V196" i="21"/>
  <c r="W196" i="21" s="1"/>
  <c r="V281" i="21"/>
  <c r="W281" i="21" s="1"/>
  <c r="V285" i="21"/>
  <c r="W285" i="21" s="1"/>
  <c r="V449" i="21"/>
  <c r="W449" i="21" s="1"/>
  <c r="V453" i="21"/>
  <c r="W453" i="21" s="1"/>
  <c r="V455" i="21"/>
  <c r="W455" i="21" s="1"/>
  <c r="V457" i="21"/>
  <c r="W457" i="21" s="1"/>
  <c r="V459" i="21"/>
  <c r="W459" i="21" s="1"/>
  <c r="V461" i="21"/>
  <c r="W461" i="21" s="1"/>
  <c r="V467" i="21"/>
  <c r="W467" i="21" s="1"/>
  <c r="V618" i="21"/>
  <c r="V362" i="21"/>
  <c r="W362" i="21" s="1"/>
  <c r="V620" i="21"/>
  <c r="V143" i="21"/>
  <c r="W143" i="21" s="1"/>
  <c r="V228" i="21"/>
  <c r="W228" i="21" s="1"/>
  <c r="V232" i="21"/>
  <c r="W232" i="21" s="1"/>
  <c r="V240" i="21"/>
  <c r="W240" i="21" s="1"/>
  <c r="V323" i="21"/>
  <c r="W323" i="21" s="1"/>
  <c r="V327" i="21"/>
  <c r="W327" i="21" s="1"/>
  <c r="V382" i="21"/>
  <c r="W382" i="21" s="1"/>
  <c r="V390" i="21"/>
  <c r="W390" i="21" s="1"/>
  <c r="V396" i="21"/>
  <c r="W396" i="21" s="1"/>
  <c r="V400" i="21"/>
  <c r="W400" i="21" s="1"/>
  <c r="V483" i="21"/>
  <c r="W483" i="21" s="1"/>
  <c r="V485" i="21"/>
  <c r="W485" i="21" s="1"/>
  <c r="V489" i="21"/>
  <c r="W489" i="21" s="1"/>
  <c r="V495" i="21"/>
  <c r="W495" i="21" s="1"/>
  <c r="V531" i="21"/>
  <c r="W531" i="21" s="1"/>
  <c r="V533" i="21"/>
  <c r="W533" i="21" s="1"/>
  <c r="V535" i="21"/>
  <c r="W535" i="21" s="1"/>
  <c r="V537" i="21"/>
  <c r="W537" i="21" s="1"/>
  <c r="V539" i="21"/>
  <c r="W539" i="21" s="1"/>
  <c r="V227" i="21"/>
  <c r="W227" i="21" s="1"/>
  <c r="V385" i="21"/>
  <c r="W385" i="21" s="1"/>
  <c r="V498" i="21"/>
  <c r="W498" i="21" s="1"/>
  <c r="V512" i="21"/>
  <c r="W512" i="21" s="1"/>
  <c r="V524" i="21"/>
  <c r="W524" i="21" s="1"/>
  <c r="V546" i="21"/>
  <c r="W546" i="21" s="1"/>
  <c r="V564" i="21"/>
  <c r="W564" i="21" s="1"/>
  <c r="V572" i="21"/>
  <c r="W572" i="21" s="1"/>
  <c r="V578" i="21"/>
  <c r="W578" i="21" s="1"/>
  <c r="V584" i="21"/>
  <c r="W584" i="21" s="1"/>
  <c r="V590" i="21"/>
  <c r="W590" i="21" s="1"/>
  <c r="V602" i="21"/>
  <c r="W602" i="21" s="1"/>
  <c r="V608" i="21"/>
  <c r="V9" i="21"/>
  <c r="W9" i="21" s="1"/>
  <c r="V23" i="21"/>
  <c r="W23" i="21" s="1"/>
  <c r="V29" i="21"/>
  <c r="W29" i="21" s="1"/>
  <c r="V168" i="21"/>
  <c r="W168" i="21" s="1"/>
  <c r="V275" i="21"/>
  <c r="W275" i="21" s="1"/>
  <c r="V45" i="21"/>
  <c r="W45" i="21" s="1"/>
  <c r="V125" i="21"/>
  <c r="W125" i="21" s="1"/>
  <c r="V129" i="21"/>
  <c r="W129" i="21" s="1"/>
  <c r="V264" i="21"/>
  <c r="W264" i="21" s="1"/>
  <c r="V268" i="21"/>
  <c r="W268" i="21" s="1"/>
  <c r="V418" i="21"/>
  <c r="W418" i="21" s="1"/>
  <c r="V611" i="21"/>
  <c r="V6" i="21"/>
  <c r="W6" i="21" s="1"/>
  <c r="V341" i="21"/>
  <c r="W341" i="21" s="1"/>
  <c r="V434" i="21"/>
  <c r="W434" i="21" s="1"/>
  <c r="V617" i="21"/>
  <c r="V500" i="21"/>
  <c r="W500" i="21" s="1"/>
  <c r="V506" i="21"/>
  <c r="W506" i="21" s="1"/>
  <c r="V514" i="21"/>
  <c r="W514" i="21" s="1"/>
  <c r="V552" i="21"/>
  <c r="W552" i="21" s="1"/>
  <c r="V558" i="21"/>
  <c r="W558" i="21" s="1"/>
  <c r="V576" i="21"/>
  <c r="W576" i="21" s="1"/>
  <c r="V596" i="21"/>
  <c r="W596" i="21" s="1"/>
  <c r="V423" i="21"/>
  <c r="W423" i="21" s="1"/>
  <c r="V21" i="21"/>
  <c r="W21" i="21" s="1"/>
  <c r="V33" i="21"/>
  <c r="W33" i="21" s="1"/>
  <c r="V629" i="21"/>
  <c r="V57" i="21"/>
  <c r="W57" i="21" s="1"/>
  <c r="V123" i="21"/>
  <c r="W123" i="21" s="1"/>
  <c r="V131" i="21"/>
  <c r="W131" i="21" s="1"/>
  <c r="V2" i="21"/>
  <c r="W2" i="21" s="1"/>
  <c r="V14" i="21"/>
  <c r="W14" i="21" s="1"/>
  <c r="V50" i="21"/>
  <c r="W50" i="21" s="1"/>
  <c r="V60" i="21"/>
  <c r="W60" i="21" s="1"/>
  <c r="V62" i="21"/>
  <c r="W62" i="21" s="1"/>
  <c r="V66" i="21"/>
  <c r="W66" i="21" s="1"/>
  <c r="V68" i="21"/>
  <c r="W68" i="21" s="1"/>
  <c r="V72" i="21"/>
  <c r="W72" i="21" s="1"/>
  <c r="V74" i="21"/>
  <c r="W74" i="21" s="1"/>
  <c r="V78" i="21"/>
  <c r="W78" i="21" s="1"/>
  <c r="V80" i="21"/>
  <c r="W80" i="21" s="1"/>
  <c r="V84" i="21"/>
  <c r="W84" i="21" s="1"/>
  <c r="V86" i="21"/>
  <c r="W86" i="21" s="1"/>
  <c r="V90" i="21"/>
  <c r="W90" i="21" s="1"/>
  <c r="V92" i="21"/>
  <c r="W92" i="21" s="1"/>
  <c r="V96" i="21"/>
  <c r="W96" i="21" s="1"/>
  <c r="V98" i="21"/>
  <c r="W98" i="21" s="1"/>
  <c r="V102" i="21"/>
  <c r="W102" i="21" s="1"/>
  <c r="V104" i="21"/>
  <c r="W104" i="21" s="1"/>
  <c r="V108" i="21"/>
  <c r="W108" i="21" s="1"/>
  <c r="V110" i="21"/>
  <c r="W110" i="21" s="1"/>
  <c r="V114" i="21"/>
  <c r="W114" i="21" s="1"/>
  <c r="V116" i="21"/>
  <c r="W116" i="21" s="1"/>
  <c r="V120" i="21"/>
  <c r="W120" i="21" s="1"/>
  <c r="V122" i="21"/>
  <c r="W122" i="21" s="1"/>
  <c r="V132" i="21"/>
  <c r="W132" i="21" s="1"/>
  <c r="V136" i="21"/>
  <c r="W136" i="21" s="1"/>
  <c r="V191" i="21"/>
  <c r="W191" i="21" s="1"/>
  <c r="V203" i="21"/>
  <c r="W203" i="21" s="1"/>
  <c r="V278" i="21"/>
  <c r="W278" i="21" s="1"/>
  <c r="V280" i="21"/>
  <c r="W280" i="21" s="1"/>
  <c r="V296" i="21"/>
  <c r="W296" i="21" s="1"/>
  <c r="V300" i="21"/>
  <c r="W300" i="21" s="1"/>
  <c r="V302" i="21"/>
  <c r="W302" i="21" s="1"/>
  <c r="V353" i="21"/>
  <c r="W353" i="21" s="1"/>
  <c r="V371" i="21"/>
  <c r="W371" i="21" s="1"/>
  <c r="V450" i="21"/>
  <c r="W450" i="21" s="1"/>
  <c r="V464" i="21"/>
  <c r="W464" i="21" s="1"/>
  <c r="V495" i="1"/>
  <c r="W495" i="1" s="1"/>
  <c r="W260" i="1"/>
  <c r="W275" i="1"/>
  <c r="V275" i="1"/>
  <c r="V546" i="1"/>
  <c r="W546" i="1" s="1"/>
  <c r="V13" i="1"/>
  <c r="W13" i="1" s="1"/>
  <c r="W37" i="1"/>
  <c r="W103" i="1"/>
  <c r="V174" i="1"/>
  <c r="W174" i="1" s="1"/>
  <c r="V550" i="1"/>
  <c r="W550" i="1" s="1"/>
  <c r="V64" i="1"/>
  <c r="W64" i="1" s="1"/>
  <c r="W4" i="1"/>
  <c r="V28" i="1"/>
  <c r="W28" i="1"/>
  <c r="W61" i="1"/>
  <c r="W528" i="1"/>
  <c r="V528" i="1"/>
  <c r="W46" i="1"/>
  <c r="V46" i="1"/>
  <c r="W341" i="1"/>
  <c r="V341" i="1"/>
  <c r="W1" i="1"/>
  <c r="W25" i="1"/>
  <c r="V100" i="1"/>
  <c r="W100" i="1"/>
  <c r="W137" i="1"/>
  <c r="V137" i="1"/>
  <c r="V193" i="1"/>
  <c r="W193" i="1" s="1"/>
  <c r="V395" i="1"/>
  <c r="W395" i="1"/>
  <c r="W121" i="1"/>
  <c r="V599" i="1"/>
  <c r="W599" i="1" s="1"/>
  <c r="W200" i="1"/>
  <c r="W377" i="1"/>
  <c r="W562" i="1"/>
  <c r="V590" i="1"/>
  <c r="W590" i="1" s="1"/>
  <c r="W49" i="1"/>
  <c r="V252" i="1"/>
  <c r="W252" i="1"/>
  <c r="V414" i="1"/>
  <c r="W414" i="1"/>
  <c r="V149" i="1"/>
  <c r="W149" i="1" s="1"/>
  <c r="V10" i="1"/>
  <c r="W10" i="1"/>
  <c r="V465" i="1"/>
  <c r="W465" i="1" s="1"/>
  <c r="W109" i="1"/>
  <c r="V581" i="1"/>
  <c r="W581" i="1" s="1"/>
  <c r="V82" i="1"/>
  <c r="W82" i="1"/>
  <c r="W115" i="1"/>
  <c r="V321" i="1"/>
  <c r="W321" i="1" s="1"/>
  <c r="W266" i="1"/>
  <c r="V266" i="1"/>
  <c r="W19" i="1"/>
  <c r="W85" i="1"/>
  <c r="V165" i="1"/>
  <c r="W165" i="1" s="1"/>
  <c r="V592" i="1"/>
  <c r="W592" i="1" s="1"/>
  <c r="W118" i="1"/>
  <c r="V118" i="1"/>
  <c r="W67" i="1"/>
  <c r="W31" i="1"/>
  <c r="W132" i="1"/>
  <c r="V132" i="1"/>
  <c r="V151" i="1"/>
  <c r="W151" i="1" s="1"/>
  <c r="V211" i="1"/>
  <c r="W211" i="1" s="1"/>
  <c r="V532" i="1"/>
  <c r="W532" i="1" s="1"/>
  <c r="W569" i="1"/>
  <c r="V569" i="1"/>
  <c r="W631" i="1"/>
  <c r="V631" i="1"/>
  <c r="V7" i="1"/>
  <c r="W7" i="1" s="1"/>
  <c r="V125" i="1"/>
  <c r="W125" i="1" s="1"/>
  <c r="W127" i="1"/>
  <c r="W143" i="1"/>
  <c r="V146" i="1"/>
  <c r="W146" i="1" s="1"/>
  <c r="V162" i="1"/>
  <c r="W162" i="1" s="1"/>
  <c r="W197" i="1"/>
  <c r="V197" i="1"/>
  <c r="W221" i="1"/>
  <c r="W288" i="1"/>
  <c r="W311" i="1"/>
  <c r="V336" i="1"/>
  <c r="W336" i="1"/>
  <c r="V338" i="1"/>
  <c r="W338" i="1" s="1"/>
  <c r="V562" i="1"/>
  <c r="W576" i="1"/>
  <c r="W618" i="1"/>
  <c r="V618" i="1"/>
  <c r="V4" i="1"/>
  <c r="V25" i="1"/>
  <c r="V43" i="1"/>
  <c r="W43" i="1" s="1"/>
  <c r="V61" i="1"/>
  <c r="V79" i="1"/>
  <c r="W79" i="1" s="1"/>
  <c r="V97" i="1"/>
  <c r="W97" i="1" s="1"/>
  <c r="V115" i="1"/>
  <c r="V129" i="1"/>
  <c r="W129" i="1" s="1"/>
  <c r="W192" i="1"/>
  <c r="W199" i="1"/>
  <c r="W215" i="1"/>
  <c r="V218" i="1"/>
  <c r="W218" i="1" s="1"/>
  <c r="V233" i="1"/>
  <c r="W233" i="1" s="1"/>
  <c r="V240" i="1"/>
  <c r="W240" i="1"/>
  <c r="V308" i="1"/>
  <c r="W308" i="1" s="1"/>
  <c r="W329" i="1"/>
  <c r="V396" i="1"/>
  <c r="W396" i="1"/>
  <c r="V413" i="1"/>
  <c r="W413" i="1" s="1"/>
  <c r="V427" i="1"/>
  <c r="W427" i="1" s="1"/>
  <c r="V429" i="1"/>
  <c r="W429" i="1" s="1"/>
  <c r="W438" i="1"/>
  <c r="V496" i="1"/>
  <c r="W496" i="1" s="1"/>
  <c r="V571" i="1"/>
  <c r="W571" i="1" s="1"/>
  <c r="V600" i="1"/>
  <c r="W600" i="1" s="1"/>
  <c r="V369" i="1"/>
  <c r="W369" i="1"/>
  <c r="V403" i="1"/>
  <c r="W403" i="1"/>
  <c r="V467" i="1"/>
  <c r="W467" i="1"/>
  <c r="V139" i="1"/>
  <c r="W139" i="1" s="1"/>
  <c r="V176" i="1"/>
  <c r="W176" i="1" s="1"/>
  <c r="W585" i="1"/>
  <c r="W160" i="1"/>
  <c r="V492" i="1"/>
  <c r="W492" i="1" s="1"/>
  <c r="V587" i="1"/>
  <c r="W587" i="1" s="1"/>
  <c r="W629" i="1"/>
  <c r="V629" i="1"/>
  <c r="V1" i="1"/>
  <c r="V127" i="1"/>
  <c r="W131" i="1"/>
  <c r="V143" i="1"/>
  <c r="W157" i="1"/>
  <c r="V171" i="1"/>
  <c r="W171" i="1" s="1"/>
  <c r="V173" i="1"/>
  <c r="W173" i="1" s="1"/>
  <c r="V359" i="1"/>
  <c r="W359" i="1" s="1"/>
  <c r="V382" i="1"/>
  <c r="W382" i="1" s="1"/>
  <c r="V394" i="1"/>
  <c r="W394" i="1" s="1"/>
  <c r="V420" i="1"/>
  <c r="W420" i="1" s="1"/>
  <c r="V453" i="1"/>
  <c r="W453" i="1" s="1"/>
  <c r="V455" i="1"/>
  <c r="W455" i="1"/>
  <c r="W527" i="1"/>
  <c r="V527" i="1"/>
  <c r="V549" i="1"/>
  <c r="W549" i="1" s="1"/>
  <c r="V564" i="1"/>
  <c r="W564" i="1" s="1"/>
  <c r="W622" i="1"/>
  <c r="V622" i="1"/>
  <c r="V488" i="1"/>
  <c r="W488" i="1"/>
  <c r="V501" i="1"/>
  <c r="W501" i="1" s="1"/>
  <c r="V539" i="1"/>
  <c r="W539" i="1" s="1"/>
  <c r="W556" i="1"/>
  <c r="V362" i="1"/>
  <c r="W362" i="1" s="1"/>
  <c r="V150" i="1"/>
  <c r="W150" i="1" s="1"/>
  <c r="W168" i="1"/>
  <c r="V187" i="1"/>
  <c r="W187" i="1" s="1"/>
  <c r="V215" i="1"/>
  <c r="V384" i="1"/>
  <c r="W384" i="1" s="1"/>
  <c r="V402" i="1"/>
  <c r="W402" i="1" s="1"/>
  <c r="V466" i="1"/>
  <c r="W466" i="1" s="1"/>
  <c r="V518" i="1"/>
  <c r="W518" i="1" s="1"/>
  <c r="W611" i="1"/>
  <c r="V611" i="1"/>
  <c r="V186" i="1"/>
  <c r="W186" i="1" s="1"/>
  <c r="V434" i="1"/>
  <c r="W434" i="1"/>
  <c r="V594" i="1"/>
  <c r="W594" i="1" s="1"/>
  <c r="V190" i="1"/>
  <c r="W190" i="1" s="1"/>
  <c r="V140" i="1"/>
  <c r="W140" i="1" s="1"/>
  <c r="V175" i="1"/>
  <c r="W175" i="1" s="1"/>
  <c r="V260" i="1"/>
  <c r="V287" i="1"/>
  <c r="W287" i="1" s="1"/>
  <c r="V354" i="1"/>
  <c r="W354" i="1" s="1"/>
  <c r="V377" i="1"/>
  <c r="V435" i="1"/>
  <c r="W435" i="1" s="1"/>
  <c r="V482" i="1"/>
  <c r="W482" i="1"/>
  <c r="V557" i="1"/>
  <c r="W557" i="1" s="1"/>
  <c r="V559" i="1"/>
  <c r="W559" i="1" s="1"/>
  <c r="W561" i="1"/>
  <c r="V561" i="1"/>
  <c r="V604" i="1"/>
  <c r="W604" i="1" s="1"/>
  <c r="V209" i="1"/>
  <c r="W209" i="1" s="1"/>
  <c r="W293" i="1"/>
  <c r="W460" i="1"/>
  <c r="V19" i="1"/>
  <c r="V37" i="1"/>
  <c r="V55" i="1"/>
  <c r="W55" i="1" s="1"/>
  <c r="V73" i="1"/>
  <c r="W73" i="1" s="1"/>
  <c r="V91" i="1"/>
  <c r="W91" i="1" s="1"/>
  <c r="V109" i="1"/>
  <c r="W124" i="1"/>
  <c r="V154" i="1"/>
  <c r="W154" i="1" s="1"/>
  <c r="V168" i="1"/>
  <c r="W189" i="1"/>
  <c r="W196" i="1"/>
  <c r="V212" i="1"/>
  <c r="W212" i="1" s="1"/>
  <c r="W255" i="1"/>
  <c r="V326" i="1"/>
  <c r="W326" i="1" s="1"/>
  <c r="V410" i="1"/>
  <c r="W410" i="1"/>
  <c r="V448" i="1"/>
  <c r="W448" i="1" s="1"/>
  <c r="W513" i="1"/>
  <c r="V520" i="1"/>
  <c r="W520" i="1" s="1"/>
  <c r="V522" i="1"/>
  <c r="W522" i="1" s="1"/>
  <c r="V126" i="1"/>
  <c r="W126" i="1" s="1"/>
  <c r="V161" i="1"/>
  <c r="W161" i="1" s="1"/>
  <c r="W163" i="1"/>
  <c r="W179" i="1"/>
  <c r="V257" i="1"/>
  <c r="W257" i="1" s="1"/>
  <c r="V305" i="1"/>
  <c r="W305" i="1" s="1"/>
  <c r="W324" i="1"/>
  <c r="W374" i="1"/>
  <c r="V477" i="1"/>
  <c r="W477" i="1" s="1"/>
  <c r="V506" i="1"/>
  <c r="W506" i="1" s="1"/>
  <c r="W511" i="1"/>
  <c r="V515" i="1"/>
  <c r="W515" i="1" s="1"/>
  <c r="V563" i="1"/>
  <c r="W563" i="1" s="1"/>
  <c r="W148" i="1"/>
  <c r="W184" i="1"/>
  <c r="V285" i="1"/>
  <c r="W285" i="1" s="1"/>
  <c r="V290" i="1"/>
  <c r="W290" i="1" s="1"/>
  <c r="V300" i="1"/>
  <c r="W300" i="1" s="1"/>
  <c r="V351" i="1"/>
  <c r="W351" i="1" s="1"/>
  <c r="V391" i="1"/>
  <c r="W391" i="1" s="1"/>
  <c r="V417" i="1"/>
  <c r="W417" i="1" s="1"/>
  <c r="W424" i="1"/>
  <c r="V424" i="1"/>
  <c r="V457" i="1"/>
  <c r="W457" i="1" s="1"/>
  <c r="V491" i="1"/>
  <c r="W491" i="1" s="1"/>
  <c r="V566" i="1"/>
  <c r="W566" i="1" s="1"/>
  <c r="W573" i="1"/>
  <c r="V573" i="1"/>
  <c r="W580" i="1"/>
  <c r="W145" i="1"/>
  <c r="W181" i="1"/>
  <c r="V323" i="1"/>
  <c r="W323" i="1" s="1"/>
  <c r="V381" i="1"/>
  <c r="W381" i="1" s="1"/>
  <c r="W481" i="1"/>
  <c r="V503" i="1"/>
  <c r="W503" i="1"/>
  <c r="W510" i="1"/>
  <c r="V510" i="1"/>
  <c r="V545" i="1"/>
  <c r="W545" i="1" s="1"/>
  <c r="V582" i="1"/>
  <c r="W582" i="1" s="1"/>
  <c r="W617" i="1"/>
  <c r="V617" i="1"/>
  <c r="V249" i="1"/>
  <c r="W254" i="1"/>
  <c r="V254" i="1"/>
  <c r="V264" i="1"/>
  <c r="V282" i="1"/>
  <c r="W282" i="1" s="1"/>
  <c r="V297" i="1"/>
  <c r="W297" i="1" s="1"/>
  <c r="V315" i="1"/>
  <c r="W315" i="1"/>
  <c r="V348" i="1"/>
  <c r="W348" i="1"/>
  <c r="V419" i="1"/>
  <c r="W419" i="1"/>
  <c r="W459" i="1"/>
  <c r="V459" i="1"/>
  <c r="W471" i="1"/>
  <c r="V533" i="1"/>
  <c r="W533" i="1" s="1"/>
  <c r="V554" i="1"/>
  <c r="W554" i="1" s="1"/>
  <c r="V568" i="1"/>
  <c r="W568" i="1" s="1"/>
  <c r="V575" i="1"/>
  <c r="W575" i="1" s="1"/>
  <c r="V605" i="1"/>
  <c r="W605" i="1" s="1"/>
  <c r="W626" i="1"/>
  <c r="V626" i="1"/>
  <c r="V128" i="1"/>
  <c r="W128" i="1" s="1"/>
  <c r="W136" i="1"/>
  <c r="V142" i="1"/>
  <c r="W142" i="1" s="1"/>
  <c r="V153" i="1"/>
  <c r="W153" i="1" s="1"/>
  <c r="V164" i="1"/>
  <c r="W164" i="1" s="1"/>
  <c r="V178" i="1"/>
  <c r="W178" i="1" s="1"/>
  <c r="V189" i="1"/>
  <c r="V200" i="1"/>
  <c r="V214" i="1"/>
  <c r="W214" i="1" s="1"/>
  <c r="V236" i="1"/>
  <c r="W236" i="1" s="1"/>
  <c r="W249" i="1"/>
  <c r="W264" i="1"/>
  <c r="V279" i="1"/>
  <c r="W279" i="1"/>
  <c r="V312" i="1"/>
  <c r="W312" i="1"/>
  <c r="W330" i="1"/>
  <c r="V335" i="1"/>
  <c r="W335" i="1" s="1"/>
  <c r="W363" i="1"/>
  <c r="V368" i="1"/>
  <c r="W368" i="1" s="1"/>
  <c r="W407" i="1"/>
  <c r="V428" i="1"/>
  <c r="W428" i="1"/>
  <c r="V445" i="1"/>
  <c r="W445" i="1" s="1"/>
  <c r="V452" i="1"/>
  <c r="W452" i="1"/>
  <c r="V454" i="1"/>
  <c r="W454" i="1" s="1"/>
  <c r="V471" i="1"/>
  <c r="W478" i="1"/>
  <c r="V478" i="1"/>
  <c r="V500" i="1"/>
  <c r="W500" i="1"/>
  <c r="V521" i="1"/>
  <c r="W521" i="1" s="1"/>
  <c r="W523" i="1"/>
  <c r="V540" i="1"/>
  <c r="W540" i="1" s="1"/>
  <c r="V556" i="1"/>
  <c r="V558" i="1"/>
  <c r="W558" i="1" s="1"/>
  <c r="V593" i="1"/>
  <c r="W593" i="1" s="1"/>
  <c r="W595" i="1"/>
  <c r="V612" i="1"/>
  <c r="V628" i="1"/>
  <c r="W630" i="1"/>
  <c r="V630" i="1"/>
  <c r="W133" i="1"/>
  <c r="W169" i="1"/>
  <c r="W205" i="1"/>
  <c r="V251" i="1"/>
  <c r="W251" i="1" s="1"/>
  <c r="W365" i="1"/>
  <c r="V385" i="1"/>
  <c r="W385" i="1" s="1"/>
  <c r="V409" i="1"/>
  <c r="W409" i="1" s="1"/>
  <c r="V514" i="1"/>
  <c r="W514" i="1" s="1"/>
  <c r="V551" i="1"/>
  <c r="W551" i="1" s="1"/>
  <c r="V586" i="1"/>
  <c r="W586" i="1" s="1"/>
  <c r="V621" i="1"/>
  <c r="W623" i="1"/>
  <c r="V623" i="1"/>
  <c r="W130" i="1"/>
  <c r="V136" i="1"/>
  <c r="W166" i="1"/>
  <c r="V172" i="1"/>
  <c r="W172" i="1" s="1"/>
  <c r="W202" i="1"/>
  <c r="V208" i="1"/>
  <c r="W208" i="1" s="1"/>
  <c r="V243" i="1"/>
  <c r="W243" i="1" s="1"/>
  <c r="W246" i="1"/>
  <c r="V258" i="1"/>
  <c r="W258" i="1" s="1"/>
  <c r="W261" i="1"/>
  <c r="V276" i="1"/>
  <c r="W276" i="1"/>
  <c r="V291" i="1"/>
  <c r="W291" i="1" s="1"/>
  <c r="W294" i="1"/>
  <c r="W327" i="1"/>
  <c r="V380" i="1"/>
  <c r="W380" i="1" s="1"/>
  <c r="V392" i="1"/>
  <c r="W392" i="1"/>
  <c r="W399" i="1"/>
  <c r="V432" i="1"/>
  <c r="W432" i="1" s="1"/>
  <c r="V437" i="1"/>
  <c r="W437" i="1" s="1"/>
  <c r="V442" i="1"/>
  <c r="W442" i="1" s="1"/>
  <c r="V485" i="1"/>
  <c r="W485" i="1" s="1"/>
  <c r="V509" i="1"/>
  <c r="W509" i="1" s="1"/>
  <c r="V523" i="1"/>
  <c r="V530" i="1"/>
  <c r="W530" i="1" s="1"/>
  <c r="V537" i="1"/>
  <c r="W537" i="1" s="1"/>
  <c r="W544" i="1"/>
  <c r="V595" i="1"/>
  <c r="V602" i="1"/>
  <c r="W602" i="1" s="1"/>
  <c r="W609" i="1"/>
  <c r="V609" i="1"/>
  <c r="V237" i="1"/>
  <c r="V273" i="1"/>
  <c r="V309" i="1"/>
  <c r="W309" i="1" s="1"/>
  <c r="V401" i="1"/>
  <c r="W401" i="1" s="1"/>
  <c r="V421" i="1"/>
  <c r="W421" i="1" s="1"/>
  <c r="V449" i="1"/>
  <c r="W449" i="1" s="1"/>
  <c r="W388" i="1"/>
  <c r="V406" i="1"/>
  <c r="W406" i="1" s="1"/>
  <c r="V464" i="1"/>
  <c r="W464" i="1"/>
  <c r="W237" i="1"/>
  <c r="V267" i="1"/>
  <c r="W267" i="1" s="1"/>
  <c r="W273" i="1"/>
  <c r="V303" i="1"/>
  <c r="W303" i="1" s="1"/>
  <c r="W345" i="1"/>
  <c r="V398" i="1"/>
  <c r="W398" i="1" s="1"/>
  <c r="V431" i="1"/>
  <c r="W431" i="1" s="1"/>
  <c r="W439" i="1"/>
  <c r="V446" i="1"/>
  <c r="W446" i="1"/>
  <c r="W456" i="1"/>
  <c r="V489" i="1"/>
  <c r="W489" i="1" s="1"/>
  <c r="V504" i="1"/>
  <c r="W504" i="1" s="1"/>
  <c r="V507" i="1"/>
  <c r="W507" i="1" s="1"/>
  <c r="V519" i="1"/>
  <c r="W519" i="1" s="1"/>
  <c r="V536" i="1"/>
  <c r="W536" i="1" s="1"/>
  <c r="V541" i="1"/>
  <c r="W541" i="1" s="1"/>
  <c r="V548" i="1"/>
  <c r="W548" i="1" s="1"/>
  <c r="W555" i="1"/>
  <c r="V555" i="1"/>
  <c r="V572" i="1"/>
  <c r="W572" i="1" s="1"/>
  <c r="V577" i="1"/>
  <c r="W577" i="1" s="1"/>
  <c r="V584" i="1"/>
  <c r="W584" i="1" s="1"/>
  <c r="V591" i="1"/>
  <c r="W591" i="1" s="1"/>
  <c r="W608" i="1"/>
  <c r="V608" i="1"/>
  <c r="V613" i="1"/>
  <c r="W620" i="1"/>
  <c r="V620" i="1"/>
  <c r="W627" i="1"/>
  <c r="V627" i="1"/>
  <c r="V404" i="1"/>
  <c r="W404" i="1" s="1"/>
  <c r="V440" i="1"/>
  <c r="W440" i="1" s="1"/>
  <c r="V476" i="1"/>
  <c r="W476" i="1" s="1"/>
  <c r="V512" i="1"/>
  <c r="W512" i="1" s="1"/>
  <c r="V389" i="1"/>
  <c r="W389" i="1" s="1"/>
  <c r="V425" i="1"/>
  <c r="W425" i="1" s="1"/>
  <c r="V461" i="1"/>
  <c r="W461" i="1" s="1"/>
  <c r="V497" i="1"/>
  <c r="W497" i="1" s="1"/>
  <c r="W524" i="1"/>
  <c r="V524" i="1"/>
  <c r="V542" i="1"/>
  <c r="W542" i="1" s="1"/>
  <c r="V560" i="1"/>
  <c r="W560" i="1" s="1"/>
  <c r="W578" i="1"/>
  <c r="V578" i="1"/>
  <c r="V596" i="1"/>
  <c r="W596" i="1" s="1"/>
  <c r="W614" i="1"/>
  <c r="V614" i="1"/>
  <c r="W632" i="1"/>
  <c r="V632" i="1"/>
  <c r="V386" i="1"/>
  <c r="W386" i="1" s="1"/>
  <c r="V422" i="1"/>
  <c r="W422" i="1" s="1"/>
  <c r="V458" i="1"/>
  <c r="W458" i="1" s="1"/>
  <c r="V494" i="1"/>
  <c r="W494" i="1" s="1"/>
  <c r="V123" i="11"/>
  <c r="W123" i="11" s="1"/>
  <c r="V156" i="11"/>
  <c r="W156" i="11" s="1"/>
  <c r="V519" i="11"/>
  <c r="W519" i="11" s="1"/>
  <c r="W580" i="11"/>
  <c r="V171" i="11"/>
  <c r="W171" i="11" s="1"/>
  <c r="V495" i="11"/>
  <c r="W495" i="11" s="1"/>
  <c r="V582" i="11"/>
  <c r="W582" i="11" s="1"/>
  <c r="V57" i="11"/>
  <c r="W57" i="11" s="1"/>
  <c r="V232" i="11"/>
  <c r="W232" i="11"/>
  <c r="V270" i="11"/>
  <c r="W270" i="11" s="1"/>
  <c r="W434" i="11"/>
  <c r="V580" i="11"/>
  <c r="W621" i="11"/>
  <c r="V621" i="11"/>
  <c r="W339" i="11"/>
  <c r="V339" i="11"/>
  <c r="V407" i="11"/>
  <c r="W407" i="11" s="1"/>
  <c r="W462" i="11"/>
  <c r="W484" i="11"/>
  <c r="V544" i="11"/>
  <c r="W544" i="11" s="1"/>
  <c r="V52" i="11"/>
  <c r="W52" i="11" s="1"/>
  <c r="V321" i="11"/>
  <c r="W321" i="11" s="1"/>
  <c r="V434" i="11"/>
  <c r="V512" i="11"/>
  <c r="W512" i="11" s="1"/>
  <c r="W616" i="11"/>
  <c r="V616" i="11"/>
  <c r="W625" i="11"/>
  <c r="V625" i="11"/>
  <c r="W629" i="11"/>
  <c r="V629" i="11"/>
  <c r="W631" i="11"/>
  <c r="V631" i="11"/>
  <c r="V16" i="11"/>
  <c r="W16" i="11" s="1"/>
  <c r="W36" i="11"/>
  <c r="W54" i="11"/>
  <c r="V54" i="11"/>
  <c r="V398" i="11"/>
  <c r="W398" i="11" s="1"/>
  <c r="W429" i="11"/>
  <c r="V429" i="11"/>
  <c r="V462" i="11"/>
  <c r="V490" i="11"/>
  <c r="W490" i="11" s="1"/>
  <c r="V514" i="11"/>
  <c r="W514" i="11" s="1"/>
  <c r="W537" i="11"/>
  <c r="V537" i="11"/>
  <c r="V567" i="11"/>
  <c r="W567" i="11" s="1"/>
  <c r="V555" i="11"/>
  <c r="W555" i="11" s="1"/>
  <c r="V39" i="11"/>
  <c r="W39" i="11" s="1"/>
  <c r="W369" i="11"/>
  <c r="V166" i="11"/>
  <c r="W166" i="11" s="1"/>
  <c r="W184" i="11"/>
  <c r="V184" i="11"/>
  <c r="V349" i="11"/>
  <c r="W349" i="11" s="1"/>
  <c r="V505" i="11"/>
  <c r="W505" i="11" s="1"/>
  <c r="W99" i="11"/>
  <c r="W479" i="11"/>
  <c r="V159" i="11"/>
  <c r="W159" i="11" s="1"/>
  <c r="V220" i="11"/>
  <c r="W220" i="11" s="1"/>
  <c r="V607" i="11"/>
  <c r="W607" i="11" s="1"/>
  <c r="V174" i="11"/>
  <c r="W174" i="11" s="1"/>
  <c r="W183" i="11"/>
  <c r="W192" i="11"/>
  <c r="W202" i="11"/>
  <c r="W291" i="11"/>
  <c r="V298" i="11"/>
  <c r="W298" i="11" s="1"/>
  <c r="V417" i="11"/>
  <c r="V479" i="11"/>
  <c r="V594" i="11"/>
  <c r="W594" i="11" s="1"/>
  <c r="V100" i="11"/>
  <c r="W100" i="11"/>
  <c r="V217" i="11"/>
  <c r="W217" i="11"/>
  <c r="W306" i="11"/>
  <c r="W352" i="11"/>
  <c r="V445" i="11"/>
  <c r="W445" i="11"/>
  <c r="W3" i="11"/>
  <c r="W64" i="11"/>
  <c r="W118" i="11"/>
  <c r="V151" i="11"/>
  <c r="W151" i="11" s="1"/>
  <c r="V199" i="11"/>
  <c r="W199" i="11"/>
  <c r="W90" i="11"/>
  <c r="V366" i="11"/>
  <c r="W366" i="11" s="1"/>
  <c r="V571" i="11"/>
  <c r="W571" i="11" s="1"/>
  <c r="V316" i="11"/>
  <c r="W316" i="11" s="1"/>
  <c r="W358" i="11"/>
  <c r="V605" i="11"/>
  <c r="W605" i="11" s="1"/>
  <c r="V4" i="11"/>
  <c r="W4" i="11" s="1"/>
  <c r="W207" i="11"/>
  <c r="V334" i="11"/>
  <c r="W334" i="11" s="1"/>
  <c r="V558" i="11"/>
  <c r="W558" i="11" s="1"/>
  <c r="V105" i="11"/>
  <c r="W105" i="11" s="1"/>
  <c r="W136" i="11"/>
  <c r="W187" i="11"/>
  <c r="V207" i="11"/>
  <c r="V237" i="11"/>
  <c r="W237" i="11" s="1"/>
  <c r="W253" i="11"/>
  <c r="V255" i="11"/>
  <c r="W255" i="11"/>
  <c r="W280" i="11"/>
  <c r="W355" i="11"/>
  <c r="V384" i="11"/>
  <c r="W384" i="11" s="1"/>
  <c r="W393" i="11"/>
  <c r="W412" i="11"/>
  <c r="V481" i="11"/>
  <c r="W481" i="11" s="1"/>
  <c r="W551" i="11"/>
  <c r="V600" i="11"/>
  <c r="W600" i="11" s="1"/>
  <c r="W21" i="11"/>
  <c r="W313" i="11"/>
  <c r="W324" i="11"/>
  <c r="V1" i="11"/>
  <c r="W1" i="11"/>
  <c r="W10" i="11"/>
  <c r="W75" i="11"/>
  <c r="V82" i="11"/>
  <c r="W82" i="11"/>
  <c r="V376" i="11"/>
  <c r="W376" i="11"/>
  <c r="V523" i="11"/>
  <c r="W523" i="11" s="1"/>
  <c r="W525" i="11"/>
  <c r="V525" i="11"/>
  <c r="W160" i="11"/>
  <c r="V288" i="11"/>
  <c r="W288" i="11" s="1"/>
  <c r="W403" i="11"/>
  <c r="V469" i="11"/>
  <c r="W469" i="11" s="1"/>
  <c r="V75" i="11"/>
  <c r="V133" i="11"/>
  <c r="W133" i="11" s="1"/>
  <c r="V306" i="11"/>
  <c r="V72" i="11"/>
  <c r="W72" i="11" s="1"/>
  <c r="W108" i="11"/>
  <c r="W141" i="11"/>
  <c r="W389" i="11"/>
  <c r="V389" i="11"/>
  <c r="V509" i="11"/>
  <c r="W509" i="11" s="1"/>
  <c r="V19" i="11"/>
  <c r="W19" i="11" s="1"/>
  <c r="V138" i="11"/>
  <c r="W138" i="11"/>
  <c r="W235" i="11"/>
  <c r="V291" i="11"/>
  <c r="W417" i="11"/>
  <c r="V450" i="11"/>
  <c r="W450" i="11" s="1"/>
  <c r="W489" i="11"/>
  <c r="V500" i="11"/>
  <c r="W500" i="11" s="1"/>
  <c r="V553" i="11"/>
  <c r="W553" i="11" s="1"/>
  <c r="V587" i="11"/>
  <c r="W587" i="11" s="1"/>
  <c r="V598" i="11"/>
  <c r="W598" i="11" s="1"/>
  <c r="W115" i="11"/>
  <c r="V363" i="11"/>
  <c r="W363" i="11" s="1"/>
  <c r="W502" i="11"/>
  <c r="W539" i="11"/>
  <c r="V589" i="11"/>
  <c r="W589" i="11" s="1"/>
  <c r="W234" i="11"/>
  <c r="W285" i="11"/>
  <c r="V400" i="11"/>
  <c r="W400" i="11" s="1"/>
  <c r="V464" i="11"/>
  <c r="W464" i="11" s="1"/>
  <c r="V115" i="11"/>
  <c r="W120" i="11"/>
  <c r="V346" i="11"/>
  <c r="W346" i="11" s="1"/>
  <c r="W433" i="11"/>
  <c r="V433" i="11"/>
  <c r="V64" i="11"/>
  <c r="W97" i="11"/>
  <c r="V135" i="11"/>
  <c r="W135" i="11" s="1"/>
  <c r="W201" i="11"/>
  <c r="V234" i="11"/>
  <c r="V280" i="11"/>
  <c r="W318" i="11"/>
  <c r="V328" i="11"/>
  <c r="W328" i="11" s="1"/>
  <c r="V351" i="11"/>
  <c r="W351" i="11" s="1"/>
  <c r="W426" i="11"/>
  <c r="W459" i="11"/>
  <c r="V480" i="11"/>
  <c r="W480" i="11" s="1"/>
  <c r="V492" i="11"/>
  <c r="W492" i="11" s="1"/>
  <c r="V566" i="11"/>
  <c r="W566" i="11" s="1"/>
  <c r="W46" i="11"/>
  <c r="V61" i="11"/>
  <c r="W61" i="11" s="1"/>
  <c r="W84" i="11"/>
  <c r="V160" i="11"/>
  <c r="W343" i="11"/>
  <c r="W428" i="11"/>
  <c r="W437" i="11"/>
  <c r="V454" i="11"/>
  <c r="W454" i="11" s="1"/>
  <c r="V456" i="11"/>
  <c r="W456" i="11" s="1"/>
  <c r="W579" i="11"/>
  <c r="V615" i="11"/>
  <c r="W626" i="11"/>
  <c r="V626" i="11"/>
  <c r="V10" i="11"/>
  <c r="V28" i="11"/>
  <c r="W28" i="11" s="1"/>
  <c r="V30" i="11"/>
  <c r="W30" i="11" s="1"/>
  <c r="V33" i="11"/>
  <c r="W33" i="11" s="1"/>
  <c r="W66" i="11"/>
  <c r="V76" i="11"/>
  <c r="W76" i="11" s="1"/>
  <c r="V99" i="11"/>
  <c r="W145" i="11"/>
  <c r="W165" i="11"/>
  <c r="V183" i="11"/>
  <c r="W213" i="11"/>
  <c r="V216" i="11"/>
  <c r="W216" i="11" s="1"/>
  <c r="V226" i="11"/>
  <c r="W226" i="11" s="1"/>
  <c r="V244" i="11"/>
  <c r="W244" i="11" s="1"/>
  <c r="V246" i="11"/>
  <c r="W246" i="11" s="1"/>
  <c r="W277" i="11"/>
  <c r="W282" i="11"/>
  <c r="V292" i="11"/>
  <c r="W292" i="11" s="1"/>
  <c r="V315" i="11"/>
  <c r="W315" i="11" s="1"/>
  <c r="W372" i="11"/>
  <c r="V390" i="11"/>
  <c r="W390" i="11" s="1"/>
  <c r="V397" i="11"/>
  <c r="W397" i="11" s="1"/>
  <c r="V406" i="11"/>
  <c r="W406" i="11" s="1"/>
  <c r="W430" i="11"/>
  <c r="W442" i="11"/>
  <c r="V444" i="11"/>
  <c r="W444" i="11" s="1"/>
  <c r="V489" i="11"/>
  <c r="V531" i="11"/>
  <c r="W531" i="11" s="1"/>
  <c r="V545" i="11"/>
  <c r="W545" i="11" s="1"/>
  <c r="V572" i="11"/>
  <c r="W572" i="11" s="1"/>
  <c r="W574" i="11"/>
  <c r="W608" i="11"/>
  <c r="V608" i="11"/>
  <c r="W630" i="11"/>
  <c r="V630" i="11"/>
  <c r="W331" i="11"/>
  <c r="W373" i="11"/>
  <c r="V381" i="11"/>
  <c r="W381" i="11" s="1"/>
  <c r="V476" i="11"/>
  <c r="W476" i="11" s="1"/>
  <c r="V562" i="11"/>
  <c r="W562" i="11" s="1"/>
  <c r="V575" i="11"/>
  <c r="W575" i="11" s="1"/>
  <c r="W550" i="11"/>
  <c r="V196" i="11"/>
  <c r="W196" i="11" s="1"/>
  <c r="V267" i="11"/>
  <c r="W267" i="11" s="1"/>
  <c r="W310" i="11"/>
  <c r="W336" i="11"/>
  <c r="V497" i="11"/>
  <c r="W497" i="11" s="1"/>
  <c r="V520" i="11"/>
  <c r="W520" i="11" s="1"/>
  <c r="V539" i="11"/>
  <c r="V577" i="11"/>
  <c r="W577" i="11" s="1"/>
  <c r="V593" i="11"/>
  <c r="W593" i="11" s="1"/>
  <c r="V3" i="11"/>
  <c r="V36" i="11"/>
  <c r="W102" i="11"/>
  <c r="W198" i="11"/>
  <c r="W249" i="11"/>
  <c r="V262" i="11"/>
  <c r="W262" i="11" s="1"/>
  <c r="V285" i="11"/>
  <c r="V357" i="11"/>
  <c r="W357" i="11" s="1"/>
  <c r="V360" i="11"/>
  <c r="W360" i="11" s="1"/>
  <c r="V370" i="11"/>
  <c r="W370" i="11" s="1"/>
  <c r="V511" i="11"/>
  <c r="W511" i="11" s="1"/>
  <c r="V534" i="11"/>
  <c r="W534" i="11" s="1"/>
  <c r="V550" i="11"/>
  <c r="V15" i="11"/>
  <c r="W15" i="11" s="1"/>
  <c r="W58" i="11"/>
  <c r="W219" i="11"/>
  <c r="V231" i="11"/>
  <c r="W231" i="11" s="1"/>
  <c r="W252" i="11"/>
  <c r="W274" i="11"/>
  <c r="W354" i="11"/>
  <c r="W404" i="11"/>
  <c r="V494" i="11"/>
  <c r="W494" i="11" s="1"/>
  <c r="W7" i="11"/>
  <c r="W22" i="11"/>
  <c r="V25" i="11"/>
  <c r="W25" i="11" s="1"/>
  <c r="V43" i="11"/>
  <c r="W43" i="11" s="1"/>
  <c r="W48" i="11"/>
  <c r="V55" i="11"/>
  <c r="W55" i="11" s="1"/>
  <c r="V58" i="11"/>
  <c r="W91" i="11"/>
  <c r="V124" i="11"/>
  <c r="W124" i="11" s="1"/>
  <c r="V129" i="11"/>
  <c r="W129" i="11" s="1"/>
  <c r="V195" i="11"/>
  <c r="W195" i="11" s="1"/>
  <c r="W223" i="11"/>
  <c r="W238" i="11"/>
  <c r="V241" i="11"/>
  <c r="W241" i="11" s="1"/>
  <c r="V259" i="11"/>
  <c r="W259" i="11" s="1"/>
  <c r="W264" i="11"/>
  <c r="V274" i="11"/>
  <c r="W307" i="11"/>
  <c r="V340" i="11"/>
  <c r="W340" i="11" s="1"/>
  <c r="V345" i="11"/>
  <c r="W345" i="11" s="1"/>
  <c r="W392" i="11"/>
  <c r="V404" i="11"/>
  <c r="V428" i="11"/>
  <c r="V437" i="11"/>
  <c r="V458" i="11"/>
  <c r="W458" i="11" s="1"/>
  <c r="W477" i="11"/>
  <c r="V484" i="11"/>
  <c r="V501" i="11"/>
  <c r="W501" i="11" s="1"/>
  <c r="W538" i="11"/>
  <c r="V561" i="11"/>
  <c r="W561" i="11" s="1"/>
  <c r="W576" i="11"/>
  <c r="V576" i="11"/>
  <c r="W612" i="11"/>
  <c r="V612" i="11"/>
  <c r="V628" i="11"/>
  <c r="V87" i="11"/>
  <c r="W87" i="11" s="1"/>
  <c r="V303" i="11"/>
  <c r="W303" i="11" s="1"/>
  <c r="V148" i="11"/>
  <c r="W148" i="11" s="1"/>
  <c r="V447" i="11"/>
  <c r="W447" i="11" s="1"/>
  <c r="V51" i="11"/>
  <c r="W51" i="11" s="1"/>
  <c r="W79" i="11"/>
  <c r="V130" i="11"/>
  <c r="W130" i="11" s="1"/>
  <c r="W163" i="11"/>
  <c r="V313" i="11"/>
  <c r="W440" i="11"/>
  <c r="W487" i="11"/>
  <c r="W584" i="11"/>
  <c r="V584" i="11"/>
  <c r="W595" i="11"/>
  <c r="W620" i="11"/>
  <c r="V620" i="11"/>
  <c r="V18" i="11"/>
  <c r="W18" i="11" s="1"/>
  <c r="V69" i="11"/>
  <c r="W69" i="11" s="1"/>
  <c r="V112" i="11"/>
  <c r="W112" i="11" s="1"/>
  <c r="W181" i="11"/>
  <c r="V393" i="11"/>
  <c r="V395" i="11"/>
  <c r="W395" i="11" s="1"/>
  <c r="V411" i="11"/>
  <c r="W411" i="11" s="1"/>
  <c r="W506" i="11"/>
  <c r="W568" i="11"/>
  <c r="W597" i="11"/>
  <c r="V597" i="11"/>
  <c r="V94" i="11"/>
  <c r="W94" i="11" s="1"/>
  <c r="W127" i="11"/>
  <c r="V295" i="11"/>
  <c r="W295" i="11" s="1"/>
  <c r="W300" i="11"/>
  <c r="W451" i="11"/>
  <c r="V40" i="11"/>
  <c r="W40" i="11" s="1"/>
  <c r="W126" i="11"/>
  <c r="V162" i="11"/>
  <c r="W162" i="11" s="1"/>
  <c r="W177" i="11"/>
  <c r="V210" i="11"/>
  <c r="W210" i="11" s="1"/>
  <c r="V213" i="11"/>
  <c r="V256" i="11"/>
  <c r="W256" i="11" s="1"/>
  <c r="W325" i="11"/>
  <c r="W342" i="11"/>
  <c r="W367" i="11"/>
  <c r="V372" i="11"/>
  <c r="V401" i="11"/>
  <c r="W401" i="11" s="1"/>
  <c r="W425" i="11"/>
  <c r="V425" i="11"/>
  <c r="W439" i="11"/>
  <c r="V465" i="11"/>
  <c r="W465" i="11" s="1"/>
  <c r="V470" i="11"/>
  <c r="W470" i="11" s="1"/>
  <c r="V475" i="11"/>
  <c r="W475" i="11" s="1"/>
  <c r="W486" i="11"/>
  <c r="W528" i="11"/>
  <c r="V533" i="11"/>
  <c r="W533" i="11" s="1"/>
  <c r="W549" i="11"/>
  <c r="V574" i="11"/>
  <c r="V610" i="11"/>
  <c r="W414" i="11"/>
  <c r="V422" i="11"/>
  <c r="W422" i="11" s="1"/>
  <c r="W467" i="11"/>
  <c r="V472" i="11"/>
  <c r="W472" i="11" s="1"/>
  <c r="V516" i="11"/>
  <c r="W516" i="11" s="1"/>
  <c r="W536" i="11"/>
  <c r="V541" i="11"/>
  <c r="W541" i="11" s="1"/>
  <c r="W548" i="11"/>
  <c r="W378" i="11"/>
  <c r="V386" i="11"/>
  <c r="W386" i="11" s="1"/>
  <c r="W431" i="11"/>
  <c r="V436" i="11"/>
  <c r="W436" i="11" s="1"/>
  <c r="V461" i="11"/>
  <c r="W461" i="11" s="1"/>
  <c r="V483" i="11"/>
  <c r="W483" i="11" s="1"/>
  <c r="W503" i="11"/>
  <c r="W508" i="11"/>
  <c r="V508" i="11"/>
  <c r="W515" i="11"/>
  <c r="V530" i="11"/>
  <c r="W530" i="11" s="1"/>
  <c r="W547" i="11"/>
  <c r="W569" i="11"/>
  <c r="V569" i="11"/>
  <c r="V590" i="11"/>
  <c r="W590" i="11" s="1"/>
  <c r="V602" i="11"/>
  <c r="W602" i="11" s="1"/>
  <c r="W611" i="11"/>
  <c r="V611" i="11"/>
  <c r="W623" i="11"/>
  <c r="V623" i="11"/>
  <c r="V552" i="11"/>
  <c r="W552" i="11" s="1"/>
  <c r="W375" i="11"/>
  <c r="V408" i="11"/>
  <c r="W408" i="11" s="1"/>
  <c r="W443" i="11"/>
  <c r="W466" i="11"/>
  <c r="W473" i="11"/>
  <c r="W522" i="11"/>
  <c r="W542" i="11"/>
  <c r="W419" i="11"/>
  <c r="W527" i="11"/>
  <c r="V563" i="11"/>
  <c r="W563" i="11" s="1"/>
  <c r="V581" i="11"/>
  <c r="W581" i="11" s="1"/>
  <c r="V599" i="11"/>
  <c r="W599" i="11" s="1"/>
  <c r="W617" i="11"/>
  <c r="V617" i="11"/>
  <c r="W380" i="11"/>
  <c r="W416" i="11"/>
  <c r="W452" i="11"/>
  <c r="W524" i="11"/>
  <c r="W560" i="11"/>
  <c r="V383" i="11"/>
  <c r="W383" i="11" s="1"/>
  <c r="V394" i="11"/>
  <c r="W394" i="11" s="1"/>
  <c r="V405" i="11"/>
  <c r="W405" i="11" s="1"/>
  <c r="W413" i="11"/>
  <c r="V419" i="11"/>
  <c r="V430" i="11"/>
  <c r="V441" i="11"/>
  <c r="W441" i="11" s="1"/>
  <c r="W449" i="11"/>
  <c r="V455" i="11"/>
  <c r="W455" i="11" s="1"/>
  <c r="V466" i="11"/>
  <c r="V477" i="11"/>
  <c r="W485" i="11"/>
  <c r="V491" i="11"/>
  <c r="W491" i="11" s="1"/>
  <c r="V502" i="11"/>
  <c r="V513" i="11"/>
  <c r="W513" i="11" s="1"/>
  <c r="W521" i="11"/>
  <c r="V527" i="11"/>
  <c r="V538" i="11"/>
  <c r="V549" i="11"/>
  <c r="W557" i="11"/>
  <c r="V568" i="11"/>
  <c r="V573" i="11"/>
  <c r="W573" i="11" s="1"/>
  <c r="V578" i="11"/>
  <c r="W578" i="11" s="1"/>
  <c r="V586" i="11"/>
  <c r="W586" i="11" s="1"/>
  <c r="V591" i="11"/>
  <c r="W591" i="11" s="1"/>
  <c r="V596" i="11"/>
  <c r="W596" i="11" s="1"/>
  <c r="V604" i="11"/>
  <c r="W604" i="11" s="1"/>
  <c r="V609" i="11"/>
  <c r="W614" i="11"/>
  <c r="V614" i="11"/>
  <c r="V622" i="11"/>
  <c r="V627" i="11"/>
  <c r="W632" i="11"/>
  <c r="V632" i="11"/>
  <c r="W410" i="11"/>
  <c r="W446" i="11"/>
  <c r="W482" i="11"/>
  <c r="V488" i="11"/>
  <c r="W488" i="11" s="1"/>
  <c r="W518" i="11"/>
  <c r="V524" i="11"/>
  <c r="W554" i="11"/>
  <c r="V560" i="11"/>
  <c r="W522" i="16"/>
  <c r="W475" i="16"/>
  <c r="V148" i="16"/>
  <c r="W148" i="16" s="1"/>
  <c r="V178" i="16"/>
  <c r="W178" i="16" s="1"/>
  <c r="W187" i="16"/>
  <c r="V363" i="16"/>
  <c r="W363" i="16" s="1"/>
  <c r="V400" i="16"/>
  <c r="W400" i="16" s="1"/>
  <c r="W315" i="16"/>
  <c r="V88" i="16"/>
  <c r="W88" i="16" s="1"/>
  <c r="V327" i="16"/>
  <c r="W327" i="16" s="1"/>
  <c r="V348" i="16"/>
  <c r="W348" i="16" s="1"/>
  <c r="V444" i="16"/>
  <c r="W444" i="16" s="1"/>
  <c r="W482" i="16"/>
  <c r="V482" i="16"/>
  <c r="V495" i="16"/>
  <c r="W495" i="16"/>
  <c r="V541" i="16"/>
  <c r="W541" i="16" s="1"/>
  <c r="W223" i="16"/>
  <c r="V315" i="16"/>
  <c r="V355" i="16"/>
  <c r="W355" i="16" s="1"/>
  <c r="V379" i="16"/>
  <c r="W379" i="16" s="1"/>
  <c r="V437" i="16"/>
  <c r="W437" i="16" s="1"/>
  <c r="V446" i="16"/>
  <c r="W446" i="16" s="1"/>
  <c r="V545" i="16"/>
  <c r="W545" i="16" s="1"/>
  <c r="V598" i="16"/>
  <c r="W598" i="16" s="1"/>
  <c r="W2" i="16"/>
  <c r="V16" i="16"/>
  <c r="W16" i="16" s="1"/>
  <c r="W49" i="16"/>
  <c r="W52" i="16"/>
  <c r="V184" i="16"/>
  <c r="W184" i="16" s="1"/>
  <c r="V214" i="16"/>
  <c r="W214" i="16" s="1"/>
  <c r="V232" i="16"/>
  <c r="W232" i="16" s="1"/>
  <c r="V250" i="16"/>
  <c r="W250" i="16" s="1"/>
  <c r="V264" i="16"/>
  <c r="W264" i="16" s="1"/>
  <c r="V289" i="16"/>
  <c r="W289" i="16" s="1"/>
  <c r="W343" i="16"/>
  <c r="V343" i="16"/>
  <c r="V439" i="16"/>
  <c r="W439" i="16"/>
  <c r="V457" i="16"/>
  <c r="W457" i="16" s="1"/>
  <c r="W486" i="16"/>
  <c r="V486" i="16"/>
  <c r="V534" i="16"/>
  <c r="W534" i="16" s="1"/>
  <c r="W558" i="16"/>
  <c r="V587" i="16"/>
  <c r="W587" i="16" s="1"/>
  <c r="W620" i="16"/>
  <c r="V620" i="16"/>
  <c r="W13" i="16"/>
  <c r="V23" i="16"/>
  <c r="W23" i="16"/>
  <c r="V35" i="16"/>
  <c r="W35" i="16" s="1"/>
  <c r="V109" i="16"/>
  <c r="W109" i="16"/>
  <c r="V223" i="16"/>
  <c r="V241" i="16"/>
  <c r="W241" i="16" s="1"/>
  <c r="W259" i="16"/>
  <c r="W279" i="16"/>
  <c r="V312" i="16"/>
  <c r="W312" i="16" s="1"/>
  <c r="W369" i="16"/>
  <c r="V408" i="16"/>
  <c r="W408" i="16" s="1"/>
  <c r="V466" i="16"/>
  <c r="W466" i="16"/>
  <c r="V475" i="16"/>
  <c r="V477" i="16"/>
  <c r="W477" i="16"/>
  <c r="W547" i="16"/>
  <c r="V271" i="16"/>
  <c r="W271" i="16" s="1"/>
  <c r="V462" i="16"/>
  <c r="W462" i="16" s="1"/>
  <c r="V26" i="16"/>
  <c r="W26" i="16" s="1"/>
  <c r="W121" i="16"/>
  <c r="V187" i="16"/>
  <c r="V196" i="16"/>
  <c r="W196" i="16" s="1"/>
  <c r="W205" i="16"/>
  <c r="V581" i="16"/>
  <c r="W581" i="16" s="1"/>
  <c r="W7" i="16"/>
  <c r="W38" i="16"/>
  <c r="V268" i="16"/>
  <c r="W268" i="16" s="1"/>
  <c r="V270" i="16"/>
  <c r="W270" i="16" s="1"/>
  <c r="V291" i="16"/>
  <c r="W291" i="16"/>
  <c r="W333" i="16"/>
  <c r="W401" i="16"/>
  <c r="V401" i="16"/>
  <c r="V591" i="16"/>
  <c r="W591" i="16" s="1"/>
  <c r="V432" i="16"/>
  <c r="W432" i="16" s="1"/>
  <c r="V1" i="16"/>
  <c r="W1" i="16" s="1"/>
  <c r="W151" i="16"/>
  <c r="V333" i="16"/>
  <c r="W414" i="16"/>
  <c r="V443" i="16"/>
  <c r="W443" i="16" s="1"/>
  <c r="V494" i="16"/>
  <c r="W494" i="16" s="1"/>
  <c r="V595" i="16"/>
  <c r="W595" i="16" s="1"/>
  <c r="W626" i="16"/>
  <c r="V626" i="16"/>
  <c r="W44" i="16"/>
  <c r="V106" i="16"/>
  <c r="W106" i="16" s="1"/>
  <c r="V378" i="16"/>
  <c r="W378" i="16" s="1"/>
  <c r="W436" i="16"/>
  <c r="V436" i="16"/>
  <c r="V325" i="16"/>
  <c r="W325" i="16" s="1"/>
  <c r="V306" i="16"/>
  <c r="W306" i="16" s="1"/>
  <c r="W384" i="16"/>
  <c r="V384" i="16"/>
  <c r="W508" i="16"/>
  <c r="V563" i="16"/>
  <c r="W563" i="16" s="1"/>
  <c r="W85" i="16"/>
  <c r="W261" i="16"/>
  <c r="V261" i="16"/>
  <c r="V37" i="16"/>
  <c r="W37" i="16"/>
  <c r="V527" i="16"/>
  <c r="W527" i="16" s="1"/>
  <c r="W118" i="16"/>
  <c r="V538" i="16"/>
  <c r="W538" i="16"/>
  <c r="W540" i="16"/>
  <c r="V553" i="16"/>
  <c r="W553" i="16" s="1"/>
  <c r="W562" i="16"/>
  <c r="V562" i="16"/>
  <c r="W82" i="16"/>
  <c r="W389" i="16"/>
  <c r="V396" i="16"/>
  <c r="W396" i="16" s="1"/>
  <c r="W403" i="16"/>
  <c r="V544" i="16"/>
  <c r="W544" i="16" s="1"/>
  <c r="W8" i="16"/>
  <c r="W32" i="16"/>
  <c r="V41" i="16"/>
  <c r="W41" i="16" s="1"/>
  <c r="W46" i="16"/>
  <c r="V70" i="16"/>
  <c r="W70" i="16" s="1"/>
  <c r="V151" i="16"/>
  <c r="V160" i="16"/>
  <c r="W160" i="16" s="1"/>
  <c r="W169" i="16"/>
  <c r="V283" i="16"/>
  <c r="W283" i="16" s="1"/>
  <c r="W297" i="16"/>
  <c r="V337" i="16"/>
  <c r="W337" i="16" s="1"/>
  <c r="W342" i="16"/>
  <c r="V342" i="16"/>
  <c r="W351" i="16"/>
  <c r="V361" i="16"/>
  <c r="W361" i="16" s="1"/>
  <c r="W394" i="16"/>
  <c r="W418" i="16"/>
  <c r="V522" i="16"/>
  <c r="V533" i="16"/>
  <c r="W533" i="16" s="1"/>
  <c r="V588" i="16"/>
  <c r="W588" i="16" s="1"/>
  <c r="W601" i="16"/>
  <c r="V619" i="16"/>
  <c r="W619" i="16"/>
  <c r="W103" i="16"/>
  <c r="W67" i="16"/>
  <c r="V491" i="16"/>
  <c r="W491" i="16" s="1"/>
  <c r="V19" i="16"/>
  <c r="W19" i="16" s="1"/>
  <c r="V166" i="16"/>
  <c r="W166" i="16" s="1"/>
  <c r="W301" i="16"/>
  <c r="V301" i="16"/>
  <c r="V73" i="16"/>
  <c r="W73" i="16"/>
  <c r="V202" i="16"/>
  <c r="W202" i="16" s="1"/>
  <c r="W319" i="16"/>
  <c r="V319" i="16"/>
  <c r="V220" i="16"/>
  <c r="W220" i="16" s="1"/>
  <c r="V238" i="16"/>
  <c r="W238" i="16" s="1"/>
  <c r="W307" i="16"/>
  <c r="V307" i="16"/>
  <c r="V470" i="16"/>
  <c r="W470" i="16" s="1"/>
  <c r="V490" i="16"/>
  <c r="W490" i="16" s="1"/>
  <c r="W529" i="16"/>
  <c r="V529" i="16"/>
  <c r="W551" i="16"/>
  <c r="W613" i="16"/>
  <c r="V613" i="16"/>
  <c r="V142" i="16"/>
  <c r="W142" i="16" s="1"/>
  <c r="V276" i="16"/>
  <c r="W276" i="16" s="1"/>
  <c r="V373" i="16"/>
  <c r="W373" i="16" s="1"/>
  <c r="V405" i="16"/>
  <c r="W405" i="16"/>
  <c r="V5" i="16"/>
  <c r="W5" i="16" s="1"/>
  <c r="W10" i="16"/>
  <c r="V34" i="16"/>
  <c r="W34" i="16" s="1"/>
  <c r="W139" i="16"/>
  <c r="W258" i="16"/>
  <c r="V258" i="16"/>
  <c r="V389" i="16"/>
  <c r="V420" i="16"/>
  <c r="W420" i="16"/>
  <c r="W451" i="16"/>
  <c r="W515" i="16"/>
  <c r="V515" i="16"/>
  <c r="W517" i="16"/>
  <c r="V577" i="16"/>
  <c r="W577" i="16" s="1"/>
  <c r="V294" i="16"/>
  <c r="W294" i="16" s="1"/>
  <c r="V330" i="16"/>
  <c r="W330" i="16" s="1"/>
  <c r="V366" i="16"/>
  <c r="W366" i="16" s="1"/>
  <c r="V386" i="16"/>
  <c r="W386" i="16" s="1"/>
  <c r="W398" i="16"/>
  <c r="V415" i="16"/>
  <c r="W415" i="16" s="1"/>
  <c r="V434" i="16"/>
  <c r="W434" i="16" s="1"/>
  <c r="W472" i="16"/>
  <c r="V472" i="16"/>
  <c r="W479" i="16"/>
  <c r="V505" i="16"/>
  <c r="W505" i="16" s="1"/>
  <c r="W519" i="16"/>
  <c r="W548" i="16"/>
  <c r="W555" i="16"/>
  <c r="V572" i="16"/>
  <c r="W572" i="16" s="1"/>
  <c r="W605" i="16"/>
  <c r="W631" i="16"/>
  <c r="V631" i="16"/>
  <c r="V29" i="16"/>
  <c r="W29" i="16" s="1"/>
  <c r="W145" i="16"/>
  <c r="W163" i="16"/>
  <c r="W181" i="16"/>
  <c r="W199" i="16"/>
  <c r="W217" i="16"/>
  <c r="W235" i="16"/>
  <c r="W253" i="16"/>
  <c r="V273" i="16"/>
  <c r="W273" i="16" s="1"/>
  <c r="W286" i="16"/>
  <c r="W304" i="16"/>
  <c r="V309" i="16"/>
  <c r="W309" i="16" s="1"/>
  <c r="W322" i="16"/>
  <c r="W340" i="16"/>
  <c r="V345" i="16"/>
  <c r="W345" i="16" s="1"/>
  <c r="W358" i="16"/>
  <c r="W376" i="16"/>
  <c r="W410" i="16"/>
  <c r="V410" i="16"/>
  <c r="V422" i="16"/>
  <c r="W422" i="16" s="1"/>
  <c r="V429" i="16"/>
  <c r="W429" i="16" s="1"/>
  <c r="V448" i="16"/>
  <c r="W448" i="16"/>
  <c r="V455" i="16"/>
  <c r="W455" i="16" s="1"/>
  <c r="W481" i="16"/>
  <c r="W500" i="16"/>
  <c r="V610" i="16"/>
  <c r="W610" i="16"/>
  <c r="W624" i="16"/>
  <c r="V624" i="16"/>
  <c r="W497" i="16"/>
  <c r="V298" i="16"/>
  <c r="W298" i="16" s="1"/>
  <c r="W334" i="16"/>
  <c r="V334" i="16"/>
  <c r="V383" i="16"/>
  <c r="W383" i="16" s="1"/>
  <c r="W407" i="16"/>
  <c r="V419" i="16"/>
  <c r="W419" i="16" s="1"/>
  <c r="V469" i="16"/>
  <c r="W469" i="16" s="1"/>
  <c r="V476" i="16"/>
  <c r="W476" i="16" s="1"/>
  <c r="V552" i="16"/>
  <c r="W552" i="16" s="1"/>
  <c r="W229" i="16"/>
  <c r="W247" i="16"/>
  <c r="V280" i="16"/>
  <c r="W280" i="16" s="1"/>
  <c r="V316" i="16"/>
  <c r="W316" i="16" s="1"/>
  <c r="V352" i="16"/>
  <c r="W352" i="16" s="1"/>
  <c r="V497" i="16"/>
  <c r="V528" i="16"/>
  <c r="W528" i="16" s="1"/>
  <c r="V530" i="16"/>
  <c r="W530" i="16" s="1"/>
  <c r="V540" i="16"/>
  <c r="V559" i="16"/>
  <c r="W559" i="16" s="1"/>
  <c r="W564" i="16"/>
  <c r="V576" i="16"/>
  <c r="W576" i="16" s="1"/>
  <c r="V578" i="16"/>
  <c r="W578" i="16" s="1"/>
  <c r="W583" i="16"/>
  <c r="V614" i="16"/>
  <c r="W265" i="16"/>
  <c r="W370" i="16"/>
  <c r="V370" i="16"/>
  <c r="V621" i="16"/>
  <c r="W621" i="16"/>
  <c r="W20" i="16"/>
  <c r="V31" i="16"/>
  <c r="W31" i="16" s="1"/>
  <c r="W56" i="16"/>
  <c r="V67" i="16"/>
  <c r="V103" i="16"/>
  <c r="V139" i="16"/>
  <c r="W255" i="16"/>
  <c r="V262" i="16"/>
  <c r="W262" i="16" s="1"/>
  <c r="V265" i="16"/>
  <c r="W295" i="16"/>
  <c r="W331" i="16"/>
  <c r="W367" i="16"/>
  <c r="V385" i="16"/>
  <c r="W385" i="16" s="1"/>
  <c r="V397" i="16"/>
  <c r="W397" i="16" s="1"/>
  <c r="V407" i="16"/>
  <c r="V414" i="16"/>
  <c r="V433" i="16"/>
  <c r="W433" i="16" s="1"/>
  <c r="W447" i="16"/>
  <c r="W459" i="16"/>
  <c r="V487" i="16"/>
  <c r="W487" i="16" s="1"/>
  <c r="V506" i="16"/>
  <c r="W506" i="16" s="1"/>
  <c r="V547" i="16"/>
  <c r="V554" i="16"/>
  <c r="W554" i="16" s="1"/>
  <c r="V566" i="16"/>
  <c r="W566" i="16" s="1"/>
  <c r="V573" i="16"/>
  <c r="W573" i="16" s="1"/>
  <c r="V592" i="16"/>
  <c r="W592" i="16"/>
  <c r="V599" i="16"/>
  <c r="W599" i="16" s="1"/>
  <c r="W616" i="16"/>
  <c r="V616" i="16"/>
  <c r="V509" i="16"/>
  <c r="W509" i="16" s="1"/>
  <c r="V390" i="16"/>
  <c r="W390" i="16" s="1"/>
  <c r="W523" i="16"/>
  <c r="W590" i="16"/>
  <c r="V11" i="16"/>
  <c r="W11" i="16" s="1"/>
  <c r="W17" i="16"/>
  <c r="V47" i="16"/>
  <c r="W47" i="16" s="1"/>
  <c r="W53" i="16"/>
  <c r="W154" i="16"/>
  <c r="V157" i="16"/>
  <c r="W157" i="16" s="1"/>
  <c r="W172" i="16"/>
  <c r="V175" i="16"/>
  <c r="W175" i="16" s="1"/>
  <c r="W190" i="16"/>
  <c r="V193" i="16"/>
  <c r="W193" i="16" s="1"/>
  <c r="W208" i="16"/>
  <c r="V211" i="16"/>
  <c r="W211" i="16" s="1"/>
  <c r="W226" i="16"/>
  <c r="V229" i="16"/>
  <c r="W244" i="16"/>
  <c r="V247" i="16"/>
  <c r="W404" i="16"/>
  <c r="W411" i="16"/>
  <c r="V423" i="16"/>
  <c r="W423" i="16" s="1"/>
  <c r="V428" i="16"/>
  <c r="W428" i="16" s="1"/>
  <c r="W461" i="16"/>
  <c r="V480" i="16"/>
  <c r="W480" i="16" s="1"/>
  <c r="W492" i="16"/>
  <c r="V504" i="16"/>
  <c r="W504" i="16" s="1"/>
  <c r="W511" i="16"/>
  <c r="V518" i="16"/>
  <c r="W518" i="16" s="1"/>
  <c r="V520" i="16"/>
  <c r="W520" i="16" s="1"/>
  <c r="V542" i="16"/>
  <c r="W542" i="16" s="1"/>
  <c r="V549" i="16"/>
  <c r="W549" i="16" s="1"/>
  <c r="W580" i="16"/>
  <c r="W585" i="16"/>
  <c r="W606" i="16"/>
  <c r="V630" i="16"/>
  <c r="W256" i="16"/>
  <c r="W292" i="16"/>
  <c r="W328" i="16"/>
  <c r="W364" i="16"/>
  <c r="W426" i="16"/>
  <c r="W464" i="16"/>
  <c r="V484" i="16"/>
  <c r="W484" i="16" s="1"/>
  <c r="W512" i="16"/>
  <c r="W570" i="16"/>
  <c r="V628" i="16"/>
  <c r="W277" i="16"/>
  <c r="W313" i="16"/>
  <c r="W349" i="16"/>
  <c r="W425" i="16"/>
  <c r="V458" i="16"/>
  <c r="W458" i="16" s="1"/>
  <c r="V473" i="16"/>
  <c r="W473" i="16" s="1"/>
  <c r="W483" i="16"/>
  <c r="V516" i="16"/>
  <c r="W516" i="16" s="1"/>
  <c r="W569" i="16"/>
  <c r="V602" i="16"/>
  <c r="W602" i="16" s="1"/>
  <c r="W617" i="16"/>
  <c r="V617" i="16"/>
  <c r="W274" i="16"/>
  <c r="W310" i="16"/>
  <c r="W346" i="16"/>
  <c r="W392" i="16"/>
  <c r="V412" i="16"/>
  <c r="W412" i="16" s="1"/>
  <c r="W440" i="16"/>
  <c r="W498" i="16"/>
  <c r="W536" i="16"/>
  <c r="V556" i="16"/>
  <c r="W556" i="16" s="1"/>
  <c r="W584" i="16"/>
  <c r="W395" i="16"/>
  <c r="W431" i="16"/>
  <c r="W467" i="16"/>
  <c r="W503" i="16"/>
  <c r="W539" i="16"/>
  <c r="W575" i="16"/>
  <c r="W380" i="16"/>
  <c r="W416" i="16"/>
  <c r="W452" i="16"/>
  <c r="W488" i="16"/>
  <c r="W524" i="16"/>
  <c r="W560" i="16"/>
  <c r="W596" i="16"/>
  <c r="W632" i="16"/>
  <c r="V632" i="16"/>
  <c r="W413" i="16"/>
  <c r="W449" i="16"/>
  <c r="W485" i="16"/>
  <c r="W521" i="16"/>
  <c r="W557" i="16"/>
  <c r="W593" i="16"/>
  <c r="V178" i="21"/>
  <c r="W178" i="21" s="1"/>
  <c r="W633" i="21"/>
  <c r="V633" i="21"/>
  <c r="V22" i="21"/>
  <c r="W22" i="21" s="1"/>
  <c r="V34" i="21"/>
  <c r="W34" i="21" s="1"/>
  <c r="V18" i="21"/>
  <c r="W18" i="21" s="1"/>
  <c r="V20" i="21"/>
  <c r="W20" i="21" s="1"/>
  <c r="V486" i="21"/>
  <c r="W486" i="21" s="1"/>
  <c r="V407" i="21"/>
  <c r="W407" i="21" s="1"/>
  <c r="V63" i="21"/>
  <c r="W63" i="21" s="1"/>
  <c r="V69" i="21"/>
  <c r="W69" i="21" s="1"/>
  <c r="V150" i="21"/>
  <c r="W150" i="21" s="1"/>
  <c r="V305" i="21"/>
  <c r="W305" i="21" s="1"/>
  <c r="V32" i="21"/>
  <c r="W32" i="21" s="1"/>
  <c r="V75" i="21"/>
  <c r="W75" i="21" s="1"/>
  <c r="V95" i="21"/>
  <c r="W95" i="21" s="1"/>
  <c r="V113" i="21"/>
  <c r="W113" i="21" s="1"/>
  <c r="V210" i="21"/>
  <c r="W210" i="21" s="1"/>
  <c r="V386" i="21"/>
  <c r="W386" i="21" s="1"/>
  <c r="V488" i="21"/>
  <c r="W488" i="21" s="1"/>
  <c r="V167" i="21"/>
  <c r="W167" i="21" s="1"/>
  <c r="V197" i="21"/>
  <c r="W197" i="21" s="1"/>
  <c r="V233" i="21"/>
  <c r="W233" i="21" s="1"/>
  <c r="V269" i="21"/>
  <c r="W269" i="21" s="1"/>
  <c r="V373" i="21"/>
  <c r="W373" i="21" s="1"/>
  <c r="V409" i="21"/>
  <c r="W409" i="21" s="1"/>
  <c r="V411" i="21"/>
  <c r="W411" i="21" s="1"/>
  <c r="V441" i="21"/>
  <c r="W441" i="21" s="1"/>
  <c r="V443" i="21"/>
  <c r="W443" i="21" s="1"/>
  <c r="V477" i="21"/>
  <c r="W477" i="21" s="1"/>
  <c r="V515" i="21"/>
  <c r="W515" i="21" s="1"/>
  <c r="V612" i="21"/>
  <c r="V621" i="21"/>
  <c r="V3" i="21"/>
  <c r="W3" i="21" s="1"/>
  <c r="V5" i="21"/>
  <c r="W5" i="21" s="1"/>
  <c r="V13" i="21"/>
  <c r="W13" i="21" s="1"/>
  <c r="V44" i="21"/>
  <c r="W44" i="21" s="1"/>
  <c r="V48" i="21"/>
  <c r="W48" i="21" s="1"/>
  <c r="V52" i="21"/>
  <c r="W52" i="21" s="1"/>
  <c r="V117" i="21"/>
  <c r="W117" i="21" s="1"/>
  <c r="V126" i="21"/>
  <c r="W126" i="21" s="1"/>
  <c r="V154" i="21"/>
  <c r="W154" i="21" s="1"/>
  <c r="V160" i="21"/>
  <c r="W160" i="21" s="1"/>
  <c r="V241" i="21"/>
  <c r="W241" i="21" s="1"/>
  <c r="V290" i="21"/>
  <c r="W290" i="21" s="1"/>
  <c r="V375" i="21"/>
  <c r="W375" i="21" s="1"/>
  <c r="V392" i="21"/>
  <c r="W392" i="21" s="1"/>
  <c r="V415" i="21"/>
  <c r="W415" i="21" s="1"/>
  <c r="V447" i="21"/>
  <c r="W447" i="21" s="1"/>
  <c r="V462" i="21"/>
  <c r="W462" i="21" s="1"/>
  <c r="V479" i="21"/>
  <c r="W479" i="21" s="1"/>
  <c r="V521" i="21"/>
  <c r="W521" i="21" s="1"/>
  <c r="V525" i="21"/>
  <c r="W525" i="21" s="1"/>
  <c r="V527" i="21"/>
  <c r="W527" i="21" s="1"/>
  <c r="V614" i="21"/>
  <c r="V623" i="21"/>
  <c r="V630" i="21"/>
  <c r="V65" i="21"/>
  <c r="W65" i="21" s="1"/>
  <c r="V403" i="21"/>
  <c r="W403" i="21" s="1"/>
  <c r="V497" i="21"/>
  <c r="W497" i="21" s="1"/>
  <c r="V24" i="21"/>
  <c r="W24" i="21" s="1"/>
  <c r="V77" i="21"/>
  <c r="W77" i="21" s="1"/>
  <c r="V89" i="21"/>
  <c r="W89" i="21" s="1"/>
  <c r="V105" i="21"/>
  <c r="W105" i="21" s="1"/>
  <c r="V509" i="21"/>
  <c r="W509" i="21" s="1"/>
  <c r="V38" i="21"/>
  <c r="W38" i="21" s="1"/>
  <c r="V42" i="21"/>
  <c r="W42" i="21" s="1"/>
  <c r="V119" i="21"/>
  <c r="W119" i="21" s="1"/>
  <c r="V128" i="21"/>
  <c r="W128" i="21" s="1"/>
  <c r="V15" i="21"/>
  <c r="W15" i="21" s="1"/>
  <c r="V19" i="21"/>
  <c r="W19" i="21" s="1"/>
  <c r="V54" i="21"/>
  <c r="W54" i="21" s="1"/>
  <c r="V56" i="21"/>
  <c r="W56" i="21" s="1"/>
  <c r="V64" i="21"/>
  <c r="W64" i="21" s="1"/>
  <c r="V70" i="21"/>
  <c r="W70" i="21" s="1"/>
  <c r="V149" i="21"/>
  <c r="W149" i="21" s="1"/>
  <c r="W151" i="21"/>
  <c r="V381" i="21"/>
  <c r="W381" i="21" s="1"/>
  <c r="V404" i="21"/>
  <c r="W404" i="21" s="1"/>
  <c r="V417" i="21"/>
  <c r="W417" i="21" s="1"/>
  <c r="V468" i="21"/>
  <c r="W468" i="21" s="1"/>
  <c r="V470" i="21"/>
  <c r="W470" i="21" s="1"/>
  <c r="V543" i="21"/>
  <c r="W543" i="21" s="1"/>
  <c r="V545" i="21"/>
  <c r="W545" i="21" s="1"/>
  <c r="V549" i="21"/>
  <c r="W549" i="21" s="1"/>
  <c r="V551" i="21"/>
  <c r="W551" i="21" s="1"/>
  <c r="V555" i="21"/>
  <c r="W555" i="21" s="1"/>
  <c r="V557" i="21"/>
  <c r="W557" i="21" s="1"/>
  <c r="V561" i="21"/>
  <c r="W561" i="21" s="1"/>
  <c r="V563" i="21"/>
  <c r="W563" i="21" s="1"/>
  <c r="V567" i="21"/>
  <c r="W567" i="21" s="1"/>
  <c r="V569" i="21"/>
  <c r="W569" i="21" s="1"/>
  <c r="V573" i="21"/>
  <c r="W573" i="21" s="1"/>
  <c r="V575" i="21"/>
  <c r="W575" i="21" s="1"/>
  <c r="V579" i="21"/>
  <c r="W579" i="21" s="1"/>
  <c r="V581" i="21"/>
  <c r="W581" i="21" s="1"/>
  <c r="V585" i="21"/>
  <c r="W585" i="21" s="1"/>
  <c r="V587" i="21"/>
  <c r="W587" i="21" s="1"/>
  <c r="V591" i="21"/>
  <c r="W591" i="21" s="1"/>
  <c r="V593" i="21"/>
  <c r="W593" i="21" s="1"/>
  <c r="V597" i="21"/>
  <c r="W597" i="21" s="1"/>
  <c r="V599" i="21"/>
  <c r="W599" i="21" s="1"/>
  <c r="V603" i="21"/>
  <c r="W603" i="21" s="1"/>
  <c r="V605" i="21"/>
  <c r="W605" i="21" s="1"/>
  <c r="V632" i="21"/>
  <c r="V59" i="21"/>
  <c r="W59" i="21" s="1"/>
  <c r="V501" i="21"/>
  <c r="W501" i="21" s="1"/>
  <c r="V30" i="21"/>
  <c r="W30" i="21" s="1"/>
  <c r="V87" i="21"/>
  <c r="W87" i="21" s="1"/>
  <c r="V99" i="21"/>
  <c r="W99" i="21" s="1"/>
  <c r="V473" i="21"/>
  <c r="W473" i="21" s="1"/>
  <c r="V513" i="21"/>
  <c r="W513" i="21" s="1"/>
  <c r="V36" i="21"/>
  <c r="W36" i="21" s="1"/>
  <c r="V25" i="21"/>
  <c r="W25" i="21" s="1"/>
  <c r="V31" i="21"/>
  <c r="W31" i="21" s="1"/>
  <c r="V76" i="21"/>
  <c r="W76" i="21" s="1"/>
  <c r="V82" i="21"/>
  <c r="W82" i="21" s="1"/>
  <c r="V88" i="21"/>
  <c r="W88" i="21" s="1"/>
  <c r="V94" i="21"/>
  <c r="W94" i="21" s="1"/>
  <c r="V100" i="21"/>
  <c r="W100" i="21" s="1"/>
  <c r="V106" i="21"/>
  <c r="W106" i="21" s="1"/>
  <c r="V112" i="21"/>
  <c r="W112" i="21" s="1"/>
  <c r="V138" i="21"/>
  <c r="W138" i="21" s="1"/>
  <c r="V166" i="21"/>
  <c r="W166" i="21" s="1"/>
  <c r="V213" i="21"/>
  <c r="W213" i="21" s="1"/>
  <c r="V249" i="21"/>
  <c r="W249" i="21" s="1"/>
  <c r="V368" i="21"/>
  <c r="W368" i="21" s="1"/>
  <c r="V440" i="21"/>
  <c r="W440" i="21" s="1"/>
  <c r="V487" i="21"/>
  <c r="W487" i="21" s="1"/>
  <c r="V508" i="21"/>
  <c r="W508" i="21" s="1"/>
  <c r="V627" i="21"/>
  <c r="V367" i="21"/>
  <c r="W367" i="21" s="1"/>
  <c r="V503" i="21"/>
  <c r="W503" i="21" s="1"/>
  <c r="V26" i="21"/>
  <c r="W26" i="21" s="1"/>
  <c r="V71" i="21"/>
  <c r="W71" i="21" s="1"/>
  <c r="V81" i="21"/>
  <c r="W81" i="21" s="1"/>
  <c r="V101" i="21"/>
  <c r="W101" i="21" s="1"/>
  <c r="V111" i="21"/>
  <c r="W111" i="21" s="1"/>
  <c r="V507" i="21"/>
  <c r="W507" i="21" s="1"/>
  <c r="W140" i="21"/>
  <c r="V4" i="21"/>
  <c r="W4" i="21" s="1"/>
  <c r="V35" i="21"/>
  <c r="W35" i="21" s="1"/>
  <c r="V39" i="21"/>
  <c r="W39" i="21" s="1"/>
  <c r="V41" i="21"/>
  <c r="W41" i="21" s="1"/>
  <c r="V49" i="21"/>
  <c r="W49" i="21" s="1"/>
  <c r="V118" i="21"/>
  <c r="W118" i="21" s="1"/>
  <c r="V127" i="21"/>
  <c r="W127" i="21" s="1"/>
  <c r="V155" i="21"/>
  <c r="W155" i="21" s="1"/>
  <c r="V174" i="21"/>
  <c r="W174" i="21" s="1"/>
  <c r="V179" i="21"/>
  <c r="W179" i="21" s="1"/>
  <c r="V183" i="21"/>
  <c r="W183" i="21" s="1"/>
  <c r="V185" i="21"/>
  <c r="W185" i="21" s="1"/>
  <c r="V215" i="21"/>
  <c r="W215" i="21" s="1"/>
  <c r="V221" i="21"/>
  <c r="W221" i="21" s="1"/>
  <c r="V251" i="21"/>
  <c r="W251" i="21" s="1"/>
  <c r="V257" i="21"/>
  <c r="W257" i="21" s="1"/>
  <c r="V287" i="21"/>
  <c r="W287" i="21" s="1"/>
  <c r="V291" i="21"/>
  <c r="W291" i="21" s="1"/>
  <c r="V314" i="21"/>
  <c r="W314" i="21" s="1"/>
  <c r="V318" i="21"/>
  <c r="W318" i="21" s="1"/>
  <c r="V374" i="21"/>
  <c r="W374" i="21" s="1"/>
  <c r="V410" i="21"/>
  <c r="W410" i="21" s="1"/>
  <c r="V444" i="21"/>
  <c r="W444" i="21" s="1"/>
  <c r="V476" i="21"/>
  <c r="W476" i="21" s="1"/>
  <c r="V491" i="21"/>
  <c r="W491" i="21" s="1"/>
  <c r="V516" i="21"/>
  <c r="W516" i="21" s="1"/>
  <c r="V518" i="21"/>
  <c r="W518" i="21" s="1"/>
  <c r="V526" i="21"/>
  <c r="W526" i="21" s="1"/>
  <c r="V422" i="21"/>
  <c r="W422" i="21" s="1"/>
  <c r="V471" i="21"/>
  <c r="W471" i="21" s="1"/>
  <c r="V83" i="21"/>
  <c r="W83" i="21" s="1"/>
  <c r="V93" i="21"/>
  <c r="W93" i="21" s="1"/>
  <c r="V107" i="21"/>
  <c r="W107" i="21" s="1"/>
  <c r="V246" i="21"/>
  <c r="W246" i="21" s="1"/>
  <c r="V356" i="21"/>
  <c r="W356" i="21" s="1"/>
  <c r="V8" i="21"/>
  <c r="W8" i="21" s="1"/>
  <c r="V12" i="21"/>
  <c r="W12" i="21" s="1"/>
  <c r="V16" i="21"/>
  <c r="W16" i="21" s="1"/>
  <c r="V51" i="21"/>
  <c r="W51" i="21" s="1"/>
  <c r="V55" i="21"/>
  <c r="W55" i="21" s="1"/>
  <c r="V361" i="21"/>
  <c r="W361" i="21" s="1"/>
  <c r="V363" i="21"/>
  <c r="W363" i="21" s="1"/>
  <c r="V397" i="21"/>
  <c r="W397" i="21" s="1"/>
  <c r="V399" i="21"/>
  <c r="W399" i="21" s="1"/>
  <c r="V433" i="21"/>
  <c r="W433" i="21" s="1"/>
  <c r="V435" i="21"/>
  <c r="W435" i="21" s="1"/>
  <c r="V452" i="21"/>
  <c r="W452" i="21" s="1"/>
  <c r="V465" i="21"/>
  <c r="W465" i="21" s="1"/>
  <c r="V480" i="21"/>
  <c r="W480" i="21" s="1"/>
  <c r="V530" i="21"/>
  <c r="W530" i="21" s="1"/>
  <c r="V534" i="21"/>
  <c r="W534" i="21" s="1"/>
  <c r="V536" i="21"/>
  <c r="W536" i="21" s="1"/>
  <c r="V540" i="21"/>
  <c r="W540" i="21" s="1"/>
  <c r="V615" i="21"/>
  <c r="V624" i="21"/>
  <c r="F11" i="13"/>
  <c r="W313" i="23"/>
  <c r="X313" i="23" s="1"/>
  <c r="W579" i="23"/>
  <c r="X579" i="23" s="1"/>
  <c r="W4" i="23"/>
  <c r="X4" i="23" s="1"/>
  <c r="W492" i="23"/>
  <c r="X492" i="23" s="1"/>
  <c r="W402" i="23"/>
  <c r="X402" i="23" s="1"/>
  <c r="W447" i="23"/>
  <c r="X447" i="23" s="1"/>
  <c r="W534" i="23"/>
  <c r="X534" i="23" s="1"/>
  <c r="W170" i="23"/>
  <c r="X170" i="23" s="1"/>
  <c r="W272" i="23"/>
  <c r="X272" i="23" s="1"/>
  <c r="X397" i="23"/>
  <c r="W203" i="23"/>
  <c r="X203" i="23" s="1"/>
  <c r="W371" i="23"/>
  <c r="X371" i="23" s="1"/>
  <c r="W359" i="23"/>
  <c r="X359" i="23" s="1"/>
  <c r="W510" i="23"/>
  <c r="X510" i="23" s="1"/>
  <c r="W227" i="23"/>
  <c r="X227" i="23" s="1"/>
  <c r="W420" i="23"/>
  <c r="X420" i="23" s="1"/>
  <c r="W552" i="23"/>
  <c r="X552" i="23" s="1"/>
  <c r="W152" i="23"/>
  <c r="X152" i="23" s="1"/>
  <c r="X191" i="23"/>
  <c r="X224" i="23"/>
  <c r="W284" i="23"/>
  <c r="X284" i="23" s="1"/>
  <c r="W415" i="23"/>
  <c r="X415" i="23" s="1"/>
  <c r="W460" i="23"/>
  <c r="X460" i="23"/>
  <c r="W563" i="23"/>
  <c r="X563" i="23" s="1"/>
  <c r="W574" i="23"/>
  <c r="X574" i="23" s="1"/>
  <c r="X626" i="23"/>
  <c r="W626" i="23"/>
  <c r="W179" i="23"/>
  <c r="X179" i="23" s="1"/>
  <c r="W242" i="23"/>
  <c r="X242" i="23" s="1"/>
  <c r="W245" i="23"/>
  <c r="X245" i="23" s="1"/>
  <c r="W320" i="23"/>
  <c r="X320" i="23" s="1"/>
  <c r="X395" i="23"/>
  <c r="W442" i="23"/>
  <c r="X442" i="23" s="1"/>
  <c r="W478" i="23"/>
  <c r="X478" i="23"/>
  <c r="W505" i="23"/>
  <c r="X505" i="23" s="1"/>
  <c r="W538" i="23"/>
  <c r="X538" i="23" s="1"/>
  <c r="W567" i="23"/>
  <c r="X567" i="23" s="1"/>
  <c r="W592" i="23"/>
  <c r="X592" i="23" s="1"/>
  <c r="X617" i="23"/>
  <c r="W617" i="23"/>
  <c r="W624" i="23"/>
  <c r="W164" i="23"/>
  <c r="X164" i="23" s="1"/>
  <c r="X188" i="23"/>
  <c r="W191" i="23"/>
  <c r="X200" i="23"/>
  <c r="W224" i="23"/>
  <c r="W262" i="23"/>
  <c r="X262" i="23" s="1"/>
  <c r="X274" i="23"/>
  <c r="X305" i="23"/>
  <c r="X334" i="23"/>
  <c r="W344" i="23"/>
  <c r="X344" i="23" s="1"/>
  <c r="W356" i="23"/>
  <c r="X356" i="23" s="1"/>
  <c r="W385" i="23"/>
  <c r="X385" i="23" s="1"/>
  <c r="W387" i="23"/>
  <c r="X387" i="23" s="1"/>
  <c r="W397" i="23"/>
  <c r="W399" i="23"/>
  <c r="X399" i="23" s="1"/>
  <c r="W433" i="23"/>
  <c r="X433" i="23" s="1"/>
  <c r="W435" i="23"/>
  <c r="X435" i="23" s="1"/>
  <c r="X440" i="23"/>
  <c r="X471" i="23"/>
  <c r="W480" i="23"/>
  <c r="X480" i="23" s="1"/>
  <c r="X482" i="23"/>
  <c r="W498" i="23"/>
  <c r="X498" i="23" s="1"/>
  <c r="X632" i="23"/>
  <c r="W632" i="23"/>
  <c r="W16" i="23"/>
  <c r="X16" i="23" s="1"/>
  <c r="W149" i="23"/>
  <c r="X149" i="23" s="1"/>
  <c r="X221" i="23"/>
  <c r="W239" i="23"/>
  <c r="X239" i="23" s="1"/>
  <c r="W269" i="23"/>
  <c r="X269" i="23" s="1"/>
  <c r="X271" i="23"/>
  <c r="W281" i="23"/>
  <c r="X281" i="23" s="1"/>
  <c r="W298" i="23"/>
  <c r="X298" i="23" s="1"/>
  <c r="X341" i="23"/>
  <c r="X370" i="23"/>
  <c r="W380" i="23"/>
  <c r="X380" i="23" s="1"/>
  <c r="W408" i="23"/>
  <c r="X408" i="23" s="1"/>
  <c r="W410" i="23"/>
  <c r="X410" i="23" s="1"/>
  <c r="X419" i="23"/>
  <c r="X444" i="23"/>
  <c r="W444" i="23"/>
  <c r="W455" i="23"/>
  <c r="X455" i="23" s="1"/>
  <c r="W473" i="23"/>
  <c r="X473" i="23" s="1"/>
  <c r="X491" i="23"/>
  <c r="W520" i="23"/>
  <c r="X520" i="23" s="1"/>
  <c r="W531" i="23"/>
  <c r="X531" i="23" s="1"/>
  <c r="X607" i="23"/>
  <c r="X621" i="23"/>
  <c r="W621" i="23"/>
  <c r="X167" i="23"/>
  <c r="X349" i="23"/>
  <c r="X438" i="23"/>
  <c r="W438" i="23"/>
  <c r="W449" i="23"/>
  <c r="X449" i="23" s="1"/>
  <c r="X458" i="23"/>
  <c r="X581" i="23"/>
  <c r="W599" i="23"/>
  <c r="X599" i="23" s="1"/>
  <c r="X254" i="23"/>
  <c r="W259" i="23"/>
  <c r="X259" i="23" s="1"/>
  <c r="W317" i="23"/>
  <c r="X317" i="23" s="1"/>
  <c r="W493" i="23"/>
  <c r="X493" i="23" s="1"/>
  <c r="X209" i="23"/>
  <c r="W295" i="23"/>
  <c r="X295" i="23" s="1"/>
  <c r="W353" i="23"/>
  <c r="X353" i="23" s="1"/>
  <c r="W553" i="23"/>
  <c r="X553" i="23" s="1"/>
  <c r="W600" i="23"/>
  <c r="X600" i="23" s="1"/>
  <c r="X614" i="23"/>
  <c r="W614" i="23"/>
  <c r="W331" i="23"/>
  <c r="X331" i="23" s="1"/>
  <c r="X416" i="23"/>
  <c r="W416" i="23"/>
  <c r="X421" i="23"/>
  <c r="X591" i="23"/>
  <c r="W185" i="23"/>
  <c r="X185" i="23" s="1"/>
  <c r="W263" i="23"/>
  <c r="X263" i="23" s="1"/>
  <c r="W367" i="23"/>
  <c r="X367" i="23" s="1"/>
  <c r="W506" i="23"/>
  <c r="X506" i="23" s="1"/>
  <c r="X287" i="23"/>
  <c r="W299" i="23"/>
  <c r="X299" i="23" s="1"/>
  <c r="W470" i="23"/>
  <c r="X470" i="23" s="1"/>
  <c r="W591" i="23"/>
  <c r="W215" i="23"/>
  <c r="X215" i="23" s="1"/>
  <c r="X308" i="23"/>
  <c r="X390" i="23"/>
  <c r="X404" i="23"/>
  <c r="X487" i="23"/>
  <c r="W401" i="23"/>
  <c r="X401" i="23" s="1"/>
  <c r="X290" i="23"/>
  <c r="X423" i="23"/>
  <c r="W423" i="23"/>
  <c r="X602" i="23"/>
  <c r="W197" i="23"/>
  <c r="X197" i="23" s="1"/>
  <c r="W254" i="23"/>
  <c r="W307" i="23"/>
  <c r="X307" i="23" s="1"/>
  <c r="W377" i="23"/>
  <c r="X377" i="23" s="1"/>
  <c r="X379" i="23"/>
  <c r="X384" i="23"/>
  <c r="W384" i="23"/>
  <c r="W391" i="23"/>
  <c r="X391" i="23" s="1"/>
  <c r="W546" i="23"/>
  <c r="X546" i="23" s="1"/>
  <c r="W564" i="23"/>
  <c r="X564" i="23" s="1"/>
  <c r="X625" i="23"/>
  <c r="W625" i="23"/>
  <c r="X627" i="23"/>
  <c r="W627" i="23"/>
  <c r="X13" i="23"/>
  <c r="W161" i="23"/>
  <c r="X161" i="23" s="1"/>
  <c r="X173" i="23"/>
  <c r="W209" i="23"/>
  <c r="W343" i="23"/>
  <c r="X343" i="23" s="1"/>
  <c r="X362" i="23"/>
  <c r="X466" i="23"/>
  <c r="W477" i="23"/>
  <c r="X477" i="23" s="1"/>
  <c r="W593" i="23"/>
  <c r="X593" i="23" s="1"/>
  <c r="W7" i="23"/>
  <c r="X7" i="23" s="1"/>
  <c r="X10" i="23"/>
  <c r="X155" i="23"/>
  <c r="W173" i="23"/>
  <c r="X182" i="23"/>
  <c r="W206" i="23"/>
  <c r="X206" i="23" s="1"/>
  <c r="W218" i="23"/>
  <c r="X218" i="23" s="1"/>
  <c r="W251" i="23"/>
  <c r="X251" i="23" s="1"/>
  <c r="X277" i="23"/>
  <c r="X323" i="23"/>
  <c r="W335" i="23"/>
  <c r="X335" i="23" s="1"/>
  <c r="W362" i="23"/>
  <c r="W409" i="23"/>
  <c r="X409" i="23" s="1"/>
  <c r="W411" i="23"/>
  <c r="X411" i="23" s="1"/>
  <c r="W445" i="23"/>
  <c r="X445" i="23" s="1"/>
  <c r="W452" i="23"/>
  <c r="X452" i="23" s="1"/>
  <c r="W456" i="23"/>
  <c r="X456" i="23" s="1"/>
  <c r="X501" i="23"/>
  <c r="X519" i="23"/>
  <c r="W519" i="23"/>
  <c r="W521" i="23"/>
  <c r="X521" i="23" s="1"/>
  <c r="W530" i="23"/>
  <c r="X530" i="23" s="1"/>
  <c r="X539" i="23"/>
  <c r="W548" i="23"/>
  <c r="X548" i="23" s="1"/>
  <c r="W559" i="23"/>
  <c r="X559" i="23" s="1"/>
  <c r="X584" i="23"/>
  <c r="W606" i="23"/>
  <c r="X606" i="23" s="1"/>
  <c r="W611" i="23"/>
  <c r="X611" i="23"/>
  <c r="X620" i="23"/>
  <c r="W620" i="23"/>
  <c r="X158" i="23"/>
  <c r="X266" i="23"/>
  <c r="X338" i="23"/>
  <c r="X374" i="23"/>
  <c r="W406" i="23"/>
  <c r="X406" i="23"/>
  <c r="X437" i="23"/>
  <c r="X463" i="23"/>
  <c r="W496" i="23"/>
  <c r="X496" i="23" s="1"/>
  <c r="X524" i="23"/>
  <c r="X543" i="23"/>
  <c r="X146" i="23"/>
  <c r="X236" i="23"/>
  <c r="X260" i="23"/>
  <c r="W386" i="23"/>
  <c r="X386" i="23" s="1"/>
  <c r="W398" i="23"/>
  <c r="X398" i="23" s="1"/>
  <c r="W434" i="23"/>
  <c r="X434" i="23" s="1"/>
  <c r="W488" i="23"/>
  <c r="X488" i="23" s="1"/>
  <c r="W507" i="23"/>
  <c r="X507" i="23" s="1"/>
  <c r="W573" i="23"/>
  <c r="X573" i="23" s="1"/>
  <c r="X143" i="23"/>
  <c r="X176" i="23"/>
  <c r="X194" i="23"/>
  <c r="X212" i="23"/>
  <c r="X233" i="23"/>
  <c r="X405" i="23"/>
  <c r="X412" i="23"/>
  <c r="W424" i="23"/>
  <c r="X424" i="23" s="1"/>
  <c r="W429" i="23"/>
  <c r="X429" i="23" s="1"/>
  <c r="X462" i="23"/>
  <c r="W481" i="23"/>
  <c r="X481" i="23" s="1"/>
  <c r="W528" i="23"/>
  <c r="X528" i="23" s="1"/>
  <c r="W535" i="23"/>
  <c r="X535" i="23" s="1"/>
  <c r="W568" i="23"/>
  <c r="X568" i="23"/>
  <c r="W622" i="23"/>
  <c r="X622" i="23"/>
  <c r="X631" i="23"/>
  <c r="W631" i="23"/>
  <c r="X140" i="23"/>
  <c r="W146" i="23"/>
  <c r="X230" i="23"/>
  <c r="W236" i="23"/>
  <c r="W260" i="23"/>
  <c r="W296" i="23"/>
  <c r="X296" i="23" s="1"/>
  <c r="W332" i="23"/>
  <c r="X332" i="23" s="1"/>
  <c r="W368" i="23"/>
  <c r="X368" i="23" s="1"/>
  <c r="W448" i="23"/>
  <c r="X448" i="23" s="1"/>
  <c r="W467" i="23"/>
  <c r="X467" i="23"/>
  <c r="X483" i="23"/>
  <c r="W483" i="23"/>
  <c r="W495" i="23"/>
  <c r="X495" i="23" s="1"/>
  <c r="W516" i="23"/>
  <c r="X516" i="23" s="1"/>
  <c r="W542" i="23"/>
  <c r="X542" i="23" s="1"/>
  <c r="X549" i="23"/>
  <c r="X556" i="23"/>
  <c r="W582" i="23"/>
  <c r="X582" i="23" s="1"/>
  <c r="W589" i="23"/>
  <c r="X589" i="23" s="1"/>
  <c r="X596" i="23"/>
  <c r="W601" i="23"/>
  <c r="X601" i="23" s="1"/>
  <c r="X257" i="23"/>
  <c r="X293" i="23"/>
  <c r="X329" i="23"/>
  <c r="X365" i="23"/>
  <c r="X427" i="23"/>
  <c r="W485" i="23"/>
  <c r="X485" i="23" s="1"/>
  <c r="X513" i="23"/>
  <c r="X571" i="23"/>
  <c r="W629" i="23"/>
  <c r="X560" i="23"/>
  <c r="W578" i="23"/>
  <c r="X578" i="23" s="1"/>
  <c r="X278" i="23"/>
  <c r="X314" i="23"/>
  <c r="X350" i="23"/>
  <c r="X426" i="23"/>
  <c r="W459" i="23"/>
  <c r="X459" i="23" s="1"/>
  <c r="W474" i="23"/>
  <c r="X474" i="23" s="1"/>
  <c r="X484" i="23"/>
  <c r="W517" i="23"/>
  <c r="X517" i="23" s="1"/>
  <c r="X570" i="23"/>
  <c r="W603" i="23"/>
  <c r="X603" i="23" s="1"/>
  <c r="X618" i="23"/>
  <c r="W618" i="23"/>
  <c r="X275" i="23"/>
  <c r="X311" i="23"/>
  <c r="X347" i="23"/>
  <c r="X393" i="23"/>
  <c r="W413" i="23"/>
  <c r="X413" i="23" s="1"/>
  <c r="X441" i="23"/>
  <c r="X499" i="23"/>
  <c r="X537" i="23"/>
  <c r="W545" i="23"/>
  <c r="X545" i="23" s="1"/>
  <c r="X550" i="23"/>
  <c r="W555" i="23"/>
  <c r="X555" i="23" s="1"/>
  <c r="W557" i="23"/>
  <c r="X557" i="23" s="1"/>
  <c r="W560" i="23"/>
  <c r="X585" i="23"/>
  <c r="W588" i="23"/>
  <c r="X588" i="23" s="1"/>
  <c r="X396" i="23"/>
  <c r="X432" i="23"/>
  <c r="X468" i="23"/>
  <c r="X504" i="23"/>
  <c r="X540" i="23"/>
  <c r="X576" i="23"/>
  <c r="X381" i="23"/>
  <c r="X417" i="23"/>
  <c r="X453" i="23"/>
  <c r="X489" i="23"/>
  <c r="X525" i="23"/>
  <c r="X561" i="23"/>
  <c r="X597" i="23"/>
  <c r="X633" i="23"/>
  <c r="W633" i="23"/>
  <c r="X414" i="23"/>
  <c r="X450" i="23"/>
  <c r="X486" i="23"/>
  <c r="X522" i="23"/>
  <c r="X558" i="23"/>
  <c r="X594" i="23"/>
  <c r="V424" i="21"/>
  <c r="W424" i="21" s="1"/>
  <c r="V413" i="21"/>
  <c r="W413" i="21" s="1"/>
  <c r="V135" i="21"/>
  <c r="W135" i="21" s="1"/>
  <c r="V146" i="21"/>
  <c r="W146" i="21" s="1"/>
  <c r="V157" i="21"/>
  <c r="W157" i="21" s="1"/>
  <c r="V171" i="21"/>
  <c r="W171" i="21" s="1"/>
  <c r="V205" i="21"/>
  <c r="W205" i="21" s="1"/>
  <c r="V259" i="21"/>
  <c r="W259" i="21" s="1"/>
  <c r="V274" i="21"/>
  <c r="W274" i="21" s="1"/>
  <c r="V286" i="21"/>
  <c r="W286" i="21" s="1"/>
  <c r="V295" i="21"/>
  <c r="W295" i="21" s="1"/>
  <c r="V304" i="21"/>
  <c r="W304" i="21" s="1"/>
  <c r="V313" i="21"/>
  <c r="W313" i="21" s="1"/>
  <c r="V322" i="21"/>
  <c r="W322" i="21" s="1"/>
  <c r="V331" i="21"/>
  <c r="W331" i="21" s="1"/>
  <c r="V340" i="21"/>
  <c r="W340" i="21" s="1"/>
  <c r="V349" i="21"/>
  <c r="W349" i="21" s="1"/>
  <c r="V402" i="21"/>
  <c r="W402" i="21" s="1"/>
  <c r="V384" i="21"/>
  <c r="W384" i="21" s="1"/>
  <c r="V395" i="21"/>
  <c r="W395" i="21" s="1"/>
  <c r="V406" i="21"/>
  <c r="W406" i="21" s="1"/>
  <c r="V469" i="21"/>
  <c r="W469" i="21" s="1"/>
  <c r="V137" i="21"/>
  <c r="W137" i="21" s="1"/>
  <c r="V148" i="21"/>
  <c r="W148" i="21" s="1"/>
  <c r="V162" i="21"/>
  <c r="W162" i="21" s="1"/>
  <c r="V173" i="21"/>
  <c r="W173" i="21" s="1"/>
  <c r="V189" i="21"/>
  <c r="W189" i="21" s="1"/>
  <c r="V194" i="21"/>
  <c r="W194" i="21" s="1"/>
  <c r="V207" i="21"/>
  <c r="W207" i="21" s="1"/>
  <c r="V212" i="21"/>
  <c r="W212" i="21" s="1"/>
  <c r="V225" i="21"/>
  <c r="W225" i="21" s="1"/>
  <c r="V230" i="21"/>
  <c r="W230" i="21" s="1"/>
  <c r="V243" i="21"/>
  <c r="W243" i="21" s="1"/>
  <c r="V248" i="21"/>
  <c r="W248" i="21" s="1"/>
  <c r="V261" i="21"/>
  <c r="W261" i="21" s="1"/>
  <c r="V266" i="21"/>
  <c r="W266" i="21" s="1"/>
  <c r="V271" i="21"/>
  <c r="W271" i="21" s="1"/>
  <c r="V283" i="21"/>
  <c r="W283" i="21" s="1"/>
  <c r="V297" i="21"/>
  <c r="W297" i="21" s="1"/>
  <c r="V306" i="21"/>
  <c r="W306" i="21" s="1"/>
  <c r="V315" i="21"/>
  <c r="W315" i="21" s="1"/>
  <c r="V324" i="21"/>
  <c r="W324" i="21" s="1"/>
  <c r="V333" i="21"/>
  <c r="W333" i="21" s="1"/>
  <c r="V342" i="21"/>
  <c r="W342" i="21" s="1"/>
  <c r="V351" i="21"/>
  <c r="W351" i="21" s="1"/>
  <c r="V430" i="21"/>
  <c r="W430" i="21" s="1"/>
  <c r="V454" i="21"/>
  <c r="W454" i="21" s="1"/>
  <c r="V134" i="21"/>
  <c r="W134" i="21" s="1"/>
  <c r="V145" i="21"/>
  <c r="W145" i="21" s="1"/>
  <c r="V159" i="21"/>
  <c r="W159" i="21" s="1"/>
  <c r="V170" i="21"/>
  <c r="W170" i="21" s="1"/>
  <c r="V181" i="21"/>
  <c r="W181" i="21" s="1"/>
  <c r="V199" i="21"/>
  <c r="W199" i="21" s="1"/>
  <c r="V217" i="21"/>
  <c r="W217" i="21" s="1"/>
  <c r="V235" i="21"/>
  <c r="W235" i="21" s="1"/>
  <c r="V253" i="21"/>
  <c r="W253" i="21" s="1"/>
  <c r="V292" i="21"/>
  <c r="W292" i="21" s="1"/>
  <c r="V301" i="21"/>
  <c r="W301" i="21" s="1"/>
  <c r="V310" i="21"/>
  <c r="W310" i="21" s="1"/>
  <c r="V319" i="21"/>
  <c r="W319" i="21" s="1"/>
  <c r="V328" i="21"/>
  <c r="W328" i="21" s="1"/>
  <c r="V337" i="21"/>
  <c r="W337" i="21" s="1"/>
  <c r="V346" i="21"/>
  <c r="W346" i="21" s="1"/>
  <c r="V366" i="21"/>
  <c r="W366" i="21" s="1"/>
  <c r="V377" i="21"/>
  <c r="W377" i="21" s="1"/>
  <c r="V388" i="21"/>
  <c r="W388" i="21" s="1"/>
  <c r="V419" i="21"/>
  <c r="W419" i="21" s="1"/>
  <c r="W505" i="21"/>
  <c r="V538" i="21"/>
  <c r="W538" i="21" s="1"/>
  <c r="V379" i="21"/>
  <c r="W379" i="21" s="1"/>
  <c r="V460" i="21"/>
  <c r="W460" i="21" s="1"/>
  <c r="V484" i="21"/>
  <c r="W484" i="21" s="1"/>
  <c r="V532" i="21"/>
  <c r="W532" i="21" s="1"/>
  <c r="V359" i="21"/>
  <c r="W359" i="21" s="1"/>
  <c r="V370" i="21"/>
  <c r="W370" i="21" s="1"/>
  <c r="V451" i="21"/>
  <c r="W451" i="21" s="1"/>
  <c r="V161" i="21"/>
  <c r="W161" i="21" s="1"/>
  <c r="V172" i="21"/>
  <c r="W172" i="21" s="1"/>
  <c r="V188" i="21"/>
  <c r="W188" i="21" s="1"/>
  <c r="V201" i="21"/>
  <c r="W201" i="21" s="1"/>
  <c r="V206" i="21"/>
  <c r="W206" i="21" s="1"/>
  <c r="V219" i="21"/>
  <c r="W219" i="21" s="1"/>
  <c r="V224" i="21"/>
  <c r="W224" i="21" s="1"/>
  <c r="V237" i="21"/>
  <c r="W237" i="21" s="1"/>
  <c r="V242" i="21"/>
  <c r="W242" i="21" s="1"/>
  <c r="V255" i="21"/>
  <c r="W255" i="21" s="1"/>
  <c r="V260" i="21"/>
  <c r="W260" i="21" s="1"/>
  <c r="V294" i="21"/>
  <c r="W294" i="21" s="1"/>
  <c r="V303" i="21"/>
  <c r="W303" i="21" s="1"/>
  <c r="V312" i="21"/>
  <c r="W312" i="21" s="1"/>
  <c r="V321" i="21"/>
  <c r="W321" i="21" s="1"/>
  <c r="V330" i="21"/>
  <c r="W330" i="21" s="1"/>
  <c r="V339" i="21"/>
  <c r="W339" i="21" s="1"/>
  <c r="V133" i="21"/>
  <c r="W133" i="21" s="1"/>
  <c r="W141" i="21"/>
  <c r="V147" i="21"/>
  <c r="W147" i="21" s="1"/>
  <c r="V158" i="21"/>
  <c r="W158" i="21" s="1"/>
  <c r="V169" i="21"/>
  <c r="W169" i="21" s="1"/>
  <c r="V193" i="21"/>
  <c r="W193" i="21" s="1"/>
  <c r="V211" i="21"/>
  <c r="W211" i="21" s="1"/>
  <c r="V229" i="21"/>
  <c r="W229" i="21" s="1"/>
  <c r="V247" i="21"/>
  <c r="W247" i="21" s="1"/>
  <c r="V265" i="21"/>
  <c r="W265" i="21" s="1"/>
  <c r="V270" i="21"/>
  <c r="W270" i="21" s="1"/>
  <c r="V282" i="21"/>
  <c r="W282" i="21" s="1"/>
  <c r="V298" i="21"/>
  <c r="W298" i="21" s="1"/>
  <c r="V307" i="21"/>
  <c r="W307" i="21" s="1"/>
  <c r="V316" i="21"/>
  <c r="W316" i="21" s="1"/>
  <c r="V325" i="21"/>
  <c r="W325" i="21" s="1"/>
  <c r="V334" i="21"/>
  <c r="W334" i="21" s="1"/>
  <c r="V343" i="21"/>
  <c r="W343" i="21" s="1"/>
  <c r="V352" i="21"/>
  <c r="W352" i="21" s="1"/>
  <c r="V431" i="21"/>
  <c r="W431" i="21" s="1"/>
  <c r="V144" i="21"/>
  <c r="W144" i="21" s="1"/>
  <c r="V180" i="21"/>
  <c r="W180" i="21" s="1"/>
  <c r="V198" i="21"/>
  <c r="W198" i="21" s="1"/>
  <c r="V216" i="21"/>
  <c r="W216" i="21" s="1"/>
  <c r="V234" i="21"/>
  <c r="W234" i="21" s="1"/>
  <c r="V252" i="21"/>
  <c r="W252" i="21" s="1"/>
  <c r="V277" i="21"/>
  <c r="W277" i="21" s="1"/>
  <c r="W279" i="21"/>
  <c r="V289" i="21"/>
  <c r="W289" i="21" s="1"/>
  <c r="W345" i="21"/>
  <c r="V372" i="21"/>
  <c r="W372" i="21" s="1"/>
  <c r="V383" i="21"/>
  <c r="W383" i="21" s="1"/>
  <c r="V394" i="21"/>
  <c r="W394" i="21" s="1"/>
  <c r="V420" i="21"/>
  <c r="W420" i="21" s="1"/>
  <c r="V442" i="21"/>
  <c r="W442" i="21" s="1"/>
  <c r="V523" i="21"/>
  <c r="W523" i="21" s="1"/>
  <c r="V547" i="21"/>
  <c r="W547" i="21" s="1"/>
  <c r="V553" i="21"/>
  <c r="W553" i="21" s="1"/>
  <c r="V559" i="21"/>
  <c r="W559" i="21" s="1"/>
  <c r="V565" i="21"/>
  <c r="W565" i="21" s="1"/>
  <c r="V571" i="21"/>
  <c r="W571" i="21" s="1"/>
  <c r="V577" i="21"/>
  <c r="W577" i="21" s="1"/>
  <c r="V583" i="21"/>
  <c r="W583" i="21" s="1"/>
  <c r="V589" i="21"/>
  <c r="W589" i="21" s="1"/>
  <c r="V595" i="21"/>
  <c r="W595" i="21" s="1"/>
  <c r="V601" i="21"/>
  <c r="W601" i="21" s="1"/>
  <c r="V607" i="21"/>
  <c r="W607" i="21" s="1"/>
  <c r="W616" i="21"/>
  <c r="V616" i="21"/>
  <c r="W625" i="21"/>
  <c r="V625" i="21"/>
  <c r="V355" i="21"/>
  <c r="W355" i="21" s="1"/>
  <c r="V369" i="21"/>
  <c r="W369" i="21" s="1"/>
  <c r="V380" i="21"/>
  <c r="W380" i="21" s="1"/>
  <c r="V391" i="21"/>
  <c r="W391" i="21" s="1"/>
  <c r="V405" i="21"/>
  <c r="W405" i="21" s="1"/>
  <c r="V416" i="21"/>
  <c r="W416" i="21" s="1"/>
  <c r="V427" i="21"/>
  <c r="W427" i="21" s="1"/>
  <c r="V446" i="21"/>
  <c r="W446" i="21" s="1"/>
  <c r="W613" i="21"/>
  <c r="V613" i="21"/>
  <c r="W622" i="21"/>
  <c r="V622" i="21"/>
  <c r="W631" i="21"/>
  <c r="V631" i="21"/>
  <c r="V550" i="21"/>
  <c r="W550" i="21" s="1"/>
  <c r="V556" i="21"/>
  <c r="W556" i="21" s="1"/>
  <c r="V562" i="21"/>
  <c r="W562" i="21" s="1"/>
  <c r="V568" i="21"/>
  <c r="W568" i="21" s="1"/>
  <c r="V574" i="21"/>
  <c r="W574" i="21" s="1"/>
  <c r="V580" i="21"/>
  <c r="W580" i="21" s="1"/>
  <c r="V586" i="21"/>
  <c r="W586" i="21" s="1"/>
  <c r="V592" i="21"/>
  <c r="W592" i="21" s="1"/>
  <c r="V598" i="21"/>
  <c r="W598" i="21" s="1"/>
  <c r="V604" i="21"/>
  <c r="W604" i="21" s="1"/>
  <c r="W445" i="21"/>
  <c r="V502" i="21"/>
  <c r="W502" i="21" s="1"/>
  <c r="V511" i="21"/>
  <c r="W511" i="21" s="1"/>
  <c r="V520" i="21"/>
  <c r="W520" i="21" s="1"/>
  <c r="V529" i="21"/>
  <c r="W529" i="21" s="1"/>
  <c r="V544" i="21"/>
  <c r="W544" i="21" s="1"/>
  <c r="V357" i="21"/>
  <c r="W357" i="21" s="1"/>
  <c r="V393" i="21"/>
  <c r="W393" i="21" s="1"/>
  <c r="W610" i="21"/>
  <c r="V610" i="21"/>
  <c r="W619" i="21"/>
  <c r="V619" i="21"/>
  <c r="W628" i="21"/>
  <c r="V628" i="21"/>
  <c r="W517" i="21"/>
  <c r="W519" i="21"/>
  <c r="V633" i="16"/>
  <c r="K19" i="15"/>
  <c r="K4" i="15"/>
  <c r="Q32" i="14"/>
  <c r="Q80" i="14"/>
  <c r="Q116" i="14"/>
  <c r="Q152" i="14"/>
  <c r="Q164" i="14"/>
  <c r="Q200" i="14"/>
  <c r="Q272" i="14"/>
  <c r="Q380" i="14"/>
  <c r="Q416" i="14"/>
  <c r="Q452" i="14"/>
  <c r="Q548" i="14"/>
  <c r="Q560" i="14"/>
  <c r="Q584" i="14"/>
  <c r="Q596" i="14"/>
  <c r="Q9" i="14"/>
  <c r="Q21" i="14"/>
  <c r="Q45" i="14"/>
  <c r="Q69" i="14"/>
  <c r="Q93" i="14"/>
  <c r="Q105" i="14"/>
  <c r="Q117" i="14"/>
  <c r="Q129" i="14"/>
  <c r="Q141" i="14"/>
  <c r="Q153" i="14"/>
  <c r="Q177" i="14"/>
  <c r="Q189" i="14"/>
  <c r="Q225" i="14"/>
  <c r="Q273" i="14"/>
  <c r="Q309" i="14"/>
  <c r="Q357" i="14"/>
  <c r="Q369" i="14"/>
  <c r="Q393" i="14"/>
  <c r="Q417" i="14"/>
  <c r="Q465" i="14"/>
  <c r="Q14" i="14"/>
  <c r="Q86" i="14"/>
  <c r="Q613" i="14"/>
  <c r="Q4" i="14"/>
  <c r="Q16" i="14"/>
  <c r="Q143" i="14"/>
  <c r="Q167" i="14"/>
  <c r="Q179" i="14"/>
  <c r="Q215" i="14"/>
  <c r="Q359" i="14"/>
  <c r="Q407" i="14"/>
  <c r="Q443" i="14"/>
  <c r="Q479" i="14"/>
  <c r="Q491" i="14"/>
  <c r="Q515" i="14"/>
  <c r="Q539" i="14"/>
  <c r="Q551" i="14"/>
  <c r="Q280" i="14"/>
  <c r="Q484" i="14"/>
  <c r="Q592" i="14"/>
  <c r="Q324" i="14"/>
  <c r="Q122" i="14"/>
  <c r="Q134" i="14"/>
  <c r="Q158" i="14"/>
  <c r="Q194" i="14"/>
  <c r="Q254" i="14"/>
  <c r="Q314" i="14"/>
  <c r="Q326" i="14"/>
  <c r="Q458" i="14"/>
  <c r="Q470" i="14"/>
  <c r="Q494" i="14"/>
  <c r="Q530" i="14"/>
  <c r="Q566" i="14"/>
  <c r="Q578" i="14"/>
  <c r="Q161" i="14"/>
  <c r="Q485" i="14"/>
  <c r="Q629" i="14"/>
  <c r="Q140" i="14"/>
  <c r="Q483" i="14"/>
  <c r="Q627" i="14"/>
  <c r="Q11" i="14"/>
  <c r="Q35" i="14"/>
  <c r="Q59" i="14"/>
  <c r="Q102" i="14"/>
  <c r="Q126" i="14"/>
  <c r="Q294" i="14"/>
  <c r="Q366" i="14"/>
  <c r="Q553" i="14"/>
  <c r="Q589" i="14"/>
  <c r="Q594" i="14"/>
  <c r="Q81" i="14"/>
  <c r="Q528" i="14"/>
  <c r="Q424" i="14"/>
  <c r="Q549" i="14"/>
  <c r="Q24" i="14"/>
  <c r="Q41" i="14"/>
  <c r="Q120" i="14"/>
  <c r="Q132" i="14"/>
  <c r="Q144" i="14"/>
  <c r="Q211" i="14"/>
  <c r="Q343" i="14"/>
  <c r="Q348" i="14"/>
  <c r="Q427" i="14"/>
  <c r="Q463" i="14"/>
  <c r="Q571" i="14"/>
  <c r="Q607" i="14"/>
  <c r="Q22" i="14"/>
  <c r="Q138" i="14"/>
  <c r="Q190" i="14"/>
  <c r="Q540" i="14"/>
  <c r="Q197" i="14"/>
  <c r="Q171" i="14"/>
  <c r="Q384" i="14"/>
  <c r="Q422" i="14"/>
  <c r="Q150" i="14"/>
  <c r="Q370" i="14"/>
  <c r="Q396" i="14"/>
  <c r="Q538" i="14"/>
  <c r="Q531" i="14"/>
  <c r="Q602" i="14"/>
  <c r="Q271" i="14"/>
  <c r="Q299" i="14"/>
  <c r="Q394" i="14"/>
  <c r="Q614" i="14"/>
  <c r="Q238" i="14"/>
  <c r="Q292" i="14"/>
  <c r="Q574" i="14"/>
  <c r="Q612" i="14"/>
  <c r="Q501" i="14"/>
  <c r="Q371" i="14"/>
  <c r="Q123" i="14"/>
  <c r="Q227" i="14"/>
  <c r="Q352" i="14"/>
  <c r="Q364" i="14"/>
  <c r="Q499" i="14"/>
  <c r="Q558" i="14"/>
  <c r="Q603" i="14"/>
  <c r="Q291" i="14"/>
  <c r="Q372" i="14"/>
  <c r="Q172" i="14"/>
  <c r="Q342" i="14"/>
  <c r="Q567" i="14"/>
  <c r="Q593" i="14"/>
  <c r="Q630" i="14"/>
  <c r="Q78" i="14"/>
  <c r="Q236" i="14"/>
  <c r="Q290" i="14"/>
  <c r="Q397" i="14"/>
  <c r="Q26" i="14"/>
  <c r="Q33" i="14"/>
  <c r="Q57" i="14"/>
  <c r="Q62" i="14"/>
  <c r="Q135" i="14"/>
  <c r="Q199" i="14"/>
  <c r="Q239" i="14"/>
  <c r="Q253" i="14"/>
  <c r="Q260" i="14"/>
  <c r="Q265" i="14"/>
  <c r="Q274" i="14"/>
  <c r="Q300" i="14"/>
  <c r="Q319" i="14"/>
  <c r="Q381" i="14"/>
  <c r="Q395" i="14"/>
  <c r="Q440" i="14"/>
  <c r="Q445" i="14"/>
  <c r="Q497" i="14"/>
  <c r="Q509" i="14"/>
  <c r="Q48" i="14"/>
  <c r="Q310" i="14"/>
  <c r="Q585" i="14"/>
  <c r="Q564" i="14"/>
  <c r="Q363" i="14"/>
  <c r="Q467" i="14"/>
  <c r="Q325" i="14"/>
  <c r="Q616" i="14"/>
  <c r="Q399" i="14"/>
  <c r="Q23" i="14"/>
  <c r="Q546" i="14"/>
  <c r="Q107" i="14"/>
  <c r="Q147" i="14"/>
  <c r="Q232" i="14"/>
  <c r="Q312" i="14"/>
  <c r="Q355" i="14"/>
  <c r="Q362" i="14"/>
  <c r="Q438" i="14"/>
  <c r="Q535" i="14"/>
  <c r="Q561" i="14"/>
  <c r="Q587" i="14"/>
  <c r="Q267" i="14"/>
  <c r="Q277" i="14"/>
  <c r="Q431" i="14"/>
  <c r="Q513" i="14"/>
  <c r="Q520" i="14"/>
  <c r="Q579" i="14"/>
  <c r="Q621" i="14"/>
  <c r="Q131" i="14"/>
  <c r="Q340" i="14"/>
  <c r="Q268" i="14"/>
  <c r="Q18" i="14"/>
  <c r="Q376" i="14"/>
  <c r="Q610" i="14"/>
  <c r="Q19" i="14"/>
  <c r="Q166" i="14"/>
  <c r="Q204" i="14"/>
  <c r="Q623" i="14"/>
  <c r="Q203" i="14"/>
  <c r="Q331" i="14"/>
  <c r="Q322" i="14"/>
  <c r="Q252" i="14"/>
  <c r="Q259" i="14"/>
  <c r="Q556" i="14"/>
  <c r="Q44" i="14"/>
  <c r="Q599" i="14"/>
  <c r="Q157" i="14"/>
  <c r="Q447" i="14"/>
  <c r="Q186" i="14"/>
  <c r="Q563" i="14"/>
  <c r="Q39" i="14"/>
  <c r="Q72" i="14"/>
  <c r="Q63" i="14"/>
  <c r="Q98" i="14"/>
  <c r="Q306" i="14"/>
  <c r="Q74" i="14"/>
  <c r="Q216" i="14"/>
  <c r="Q250" i="14"/>
  <c r="Q304" i="14"/>
  <c r="Q313" i="14"/>
  <c r="Q358" i="14"/>
  <c r="Q367" i="14"/>
  <c r="Q411" i="14"/>
  <c r="Q429" i="14"/>
  <c r="Q525" i="14"/>
  <c r="Q534" i="14"/>
  <c r="Q570" i="14"/>
  <c r="Q588" i="14"/>
  <c r="Q597" i="14"/>
  <c r="Q286" i="14"/>
  <c r="Q295" i="14"/>
  <c r="Q345" i="14"/>
  <c r="Q502" i="14"/>
  <c r="Q552" i="14"/>
  <c r="Q586" i="14"/>
  <c r="Q606" i="14"/>
  <c r="Q68" i="14"/>
  <c r="Q196" i="14"/>
  <c r="Q205" i="14"/>
  <c r="Q255" i="14"/>
  <c r="Q262" i="14"/>
  <c r="Q327" i="14"/>
  <c r="Q398" i="14"/>
  <c r="Q414" i="14"/>
  <c r="Q507" i="14"/>
  <c r="Q516" i="14"/>
  <c r="Q550" i="14"/>
  <c r="Q615" i="14"/>
  <c r="Q298" i="14"/>
  <c r="Q323" i="14"/>
  <c r="Q341" i="14"/>
  <c r="Q361" i="14"/>
  <c r="Q383" i="14"/>
  <c r="Q466" i="14"/>
  <c r="Q489" i="14"/>
  <c r="Q573" i="14"/>
  <c r="Q591" i="14"/>
  <c r="Q244" i="14"/>
  <c r="Q269" i="14"/>
  <c r="Q412" i="14"/>
  <c r="Q430" i="14"/>
  <c r="Q453" i="14"/>
  <c r="Q519" i="14"/>
  <c r="Q555" i="14"/>
  <c r="Q609" i="14"/>
  <c r="Q233" i="14"/>
  <c r="Q305" i="14"/>
  <c r="Q337" i="14"/>
  <c r="Q210" i="14"/>
  <c r="Q289" i="14"/>
  <c r="Q307" i="14"/>
  <c r="Q316" i="14"/>
  <c r="Q448" i="14"/>
  <c r="Q537" i="14"/>
  <c r="Q624" i="14"/>
  <c r="Q5" i="14"/>
  <c r="Q251" i="14"/>
  <c r="Q419" i="14"/>
  <c r="Q222" i="14"/>
  <c r="Q287" i="14"/>
  <c r="Q620" i="14"/>
  <c r="Q12" i="14"/>
  <c r="Q84" i="14"/>
  <c r="Q256" i="14"/>
  <c r="Q285" i="14"/>
  <c r="Q328" i="14"/>
  <c r="Q333" i="14"/>
  <c r="Q377" i="14"/>
  <c r="Q386" i="14"/>
  <c r="Q388" i="14"/>
  <c r="Q460" i="14"/>
  <c r="Q471" i="14"/>
  <c r="Q478" i="14"/>
  <c r="Q576" i="14"/>
  <c r="Q618" i="14"/>
  <c r="Q633" i="14"/>
  <c r="Q185" i="14"/>
  <c r="Q208" i="14"/>
  <c r="Q435" i="14"/>
  <c r="Q449" i="14"/>
  <c r="Q476" i="14"/>
  <c r="Q168" i="14"/>
  <c r="Q188" i="14"/>
  <c r="Q213" i="14"/>
  <c r="Q473" i="14"/>
  <c r="Q488" i="14"/>
  <c r="Q121" i="14"/>
  <c r="Q240" i="14"/>
  <c r="Q282" i="14"/>
  <c r="Q400" i="14"/>
  <c r="Q601" i="14"/>
  <c r="Q455" i="14"/>
  <c r="Q71" i="14"/>
  <c r="Q95" i="14"/>
  <c r="Q109" i="14"/>
  <c r="Q264" i="14"/>
  <c r="Q568" i="14"/>
  <c r="Q13" i="14"/>
  <c r="Q40" i="14"/>
  <c r="Q47" i="14"/>
  <c r="Q506" i="14"/>
  <c r="Q28" i="14"/>
  <c r="Q104" i="14"/>
  <c r="Q201" i="14"/>
  <c r="Q237" i="14"/>
  <c r="Q297" i="14"/>
  <c r="Q308" i="14"/>
  <c r="Q169" i="14"/>
  <c r="Q212" i="14"/>
  <c r="Q223" i="14"/>
  <c r="Q127" i="14"/>
  <c r="Q25" i="14"/>
  <c r="Q56" i="14"/>
  <c r="Q89" i="14"/>
  <c r="Q303" i="14"/>
  <c r="Q374" i="14"/>
  <c r="Q631" i="14"/>
  <c r="Q20" i="14"/>
  <c r="Q58" i="14"/>
  <c r="Q65" i="14"/>
  <c r="Q103" i="14"/>
  <c r="Q110" i="14"/>
  <c r="Q136" i="14"/>
  <c r="Q173" i="14"/>
  <c r="Q234" i="14"/>
  <c r="Q439" i="14"/>
  <c r="Q626" i="14"/>
  <c r="Q486" i="14"/>
  <c r="Q43" i="14"/>
  <c r="Q100" i="14"/>
  <c r="Q391" i="14"/>
  <c r="Q462" i="14"/>
  <c r="Q511" i="14"/>
  <c r="Q76" i="14"/>
  <c r="Q83" i="14"/>
  <c r="Q517" i="14"/>
  <c r="Q575" i="14"/>
  <c r="Q64" i="14"/>
  <c r="Q130" i="14"/>
  <c r="Q137" i="14"/>
  <c r="Q149" i="14"/>
  <c r="Q293" i="14"/>
  <c r="Q97" i="14"/>
  <c r="Q275" i="14"/>
  <c r="Q315" i="14"/>
  <c r="Q368" i="14"/>
  <c r="Q504" i="14"/>
  <c r="Q8" i="14"/>
  <c r="Q73" i="14"/>
  <c r="Q160" i="14"/>
  <c r="Q230" i="14"/>
  <c r="Q408" i="14"/>
  <c r="Q557" i="14"/>
  <c r="Q49" i="14"/>
  <c r="Q10" i="14"/>
  <c r="Q113" i="14"/>
  <c r="Q270" i="14"/>
  <c r="Q288" i="14"/>
  <c r="Q82" i="14"/>
  <c r="Q155" i="14"/>
  <c r="Q180" i="14"/>
  <c r="Q182" i="14"/>
  <c r="Q321" i="14"/>
  <c r="Q2" i="14"/>
  <c r="Q17" i="14"/>
  <c r="Q46" i="14"/>
  <c r="Q53" i="14"/>
  <c r="Q77" i="14"/>
  <c r="Q91" i="14"/>
  <c r="Q191" i="14"/>
  <c r="Q193" i="14"/>
  <c r="Q218" i="14"/>
  <c r="Q220" i="14"/>
  <c r="Q245" i="14"/>
  <c r="Q258" i="14"/>
  <c r="Q278" i="14"/>
  <c r="Q336" i="14"/>
  <c r="Q356" i="14"/>
  <c r="Q526" i="14"/>
  <c r="Q617" i="14"/>
  <c r="Q55" i="14"/>
  <c r="Q320" i="14"/>
  <c r="Q329" i="14"/>
  <c r="Q31" i="14"/>
  <c r="Q128" i="14"/>
  <c r="Q353" i="14"/>
  <c r="Q532" i="14"/>
  <c r="Q50" i="14"/>
  <c r="Q224" i="14"/>
  <c r="Q249" i="14"/>
  <c r="Q335" i="14"/>
  <c r="Q344" i="14"/>
  <c r="Q38" i="14"/>
  <c r="Q154" i="14"/>
  <c r="Q163" i="14"/>
  <c r="Q235" i="14"/>
  <c r="Q85" i="14"/>
  <c r="Q219" i="14"/>
  <c r="Q257" i="14"/>
  <c r="Q442" i="14"/>
  <c r="Q527" i="14"/>
  <c r="Q632" i="14"/>
  <c r="Q118" i="14"/>
  <c r="Q139" i="14"/>
  <c r="Q146" i="14"/>
  <c r="Q174" i="14"/>
  <c r="Q61" i="14"/>
  <c r="Q92" i="14"/>
  <c r="Q187" i="14"/>
  <c r="Q248" i="14"/>
  <c r="Q330" i="14"/>
  <c r="Q37" i="14"/>
  <c r="Q94" i="14"/>
  <c r="Q101" i="14"/>
  <c r="Q148" i="14"/>
  <c r="Q162" i="14"/>
  <c r="Q354" i="14"/>
  <c r="Q512" i="14"/>
  <c r="Q207" i="14"/>
  <c r="Q29" i="14"/>
  <c r="Q67" i="14"/>
  <c r="Q79" i="14"/>
  <c r="Q112" i="14"/>
  <c r="Q119" i="14"/>
  <c r="Q145" i="14"/>
  <c r="Q202" i="14"/>
  <c r="Q296" i="14"/>
  <c r="Q351" i="14"/>
  <c r="Q409" i="14"/>
  <c r="Q426" i="14"/>
  <c r="Q545" i="14"/>
  <c r="Q115" i="14"/>
  <c r="Q133" i="14"/>
  <c r="Q151" i="14"/>
  <c r="Q176" i="14"/>
  <c r="Q198" i="14"/>
  <c r="Q266" i="14"/>
  <c r="Q311" i="14"/>
  <c r="Q318" i="14"/>
  <c r="Q493" i="14"/>
  <c r="Q508" i="14"/>
  <c r="Q581" i="14"/>
  <c r="Q261" i="14"/>
  <c r="Q360" i="14"/>
  <c r="Q404" i="14"/>
  <c r="Q444" i="14"/>
  <c r="Q495" i="14"/>
  <c r="Q421" i="14"/>
  <c r="Q34" i="14"/>
  <c r="Q52" i="14"/>
  <c r="Q70" i="14"/>
  <c r="Q88" i="14"/>
  <c r="Q106" i="14"/>
  <c r="Q124" i="14"/>
  <c r="Q142" i="14"/>
  <c r="Q165" i="14"/>
  <c r="Q279" i="14"/>
  <c r="Q423" i="14"/>
  <c r="Q481" i="14"/>
  <c r="Q529" i="14"/>
  <c r="Q580" i="14"/>
  <c r="Q598" i="14"/>
  <c r="Q472" i="14"/>
  <c r="Q490" i="14"/>
  <c r="Q432" i="14"/>
  <c r="Q434" i="14"/>
  <c r="Q441" i="14"/>
  <c r="Q503" i="14"/>
  <c r="Q547" i="14"/>
  <c r="Q7" i="14"/>
  <c r="Q184" i="14"/>
  <c r="Q209" i="14"/>
  <c r="Q226" i="14"/>
  <c r="Q246" i="14"/>
  <c r="Q338" i="14"/>
  <c r="Q403" i="14"/>
  <c r="Q405" i="14"/>
  <c r="Q418" i="14"/>
  <c r="Q524" i="14"/>
  <c r="Q542" i="14"/>
  <c r="Q436" i="14"/>
  <c r="Q457" i="14"/>
  <c r="Q480" i="14"/>
  <c r="Q365" i="14"/>
  <c r="Q392" i="14"/>
  <c r="Q475" i="14"/>
  <c r="Q583" i="14"/>
  <c r="Q544" i="14"/>
  <c r="Q565" i="14"/>
  <c r="Q611" i="14"/>
  <c r="Q159" i="14"/>
  <c r="Q170" i="14"/>
  <c r="Q181" i="14"/>
  <c r="Q206" i="14"/>
  <c r="Q217" i="14"/>
  <c r="Q231" i="14"/>
  <c r="Q242" i="14"/>
  <c r="Q276" i="14"/>
  <c r="Q284" i="14"/>
  <c r="Q302" i="14"/>
  <c r="Q332" i="14"/>
  <c r="Q347" i="14"/>
  <c r="Q350" i="14"/>
  <c r="Q378" i="14"/>
  <c r="Q390" i="14"/>
  <c r="Q450" i="14"/>
  <c r="Q459" i="14"/>
  <c r="Q468" i="14"/>
  <c r="Q496" i="14"/>
  <c r="Q498" i="14"/>
  <c r="Q604" i="14"/>
  <c r="Q628" i="14"/>
  <c r="Q156" i="14"/>
  <c r="Q192" i="14"/>
  <c r="Q228" i="14"/>
  <c r="Q263" i="14"/>
  <c r="Q317" i="14"/>
  <c r="Q385" i="14"/>
  <c r="Q406" i="14"/>
  <c r="Q413" i="14"/>
  <c r="Q454" i="14"/>
  <c r="Q477" i="14"/>
  <c r="Q514" i="14"/>
  <c r="Q521" i="14"/>
  <c r="Q562" i="14"/>
  <c r="Q625" i="14"/>
  <c r="Q382" i="14"/>
  <c r="Q387" i="14"/>
  <c r="Q428" i="14"/>
  <c r="Q464" i="14"/>
  <c r="Q500" i="14"/>
  <c r="Q536" i="14"/>
  <c r="Q572" i="14"/>
  <c r="Q608" i="14"/>
  <c r="Q410" i="14"/>
  <c r="Q446" i="14"/>
  <c r="Q482" i="14"/>
  <c r="Q518" i="14"/>
  <c r="Q554" i="14"/>
  <c r="Q590" i="14"/>
  <c r="Q622" i="14"/>
  <c r="Q415" i="14"/>
  <c r="Q433" i="14"/>
  <c r="Q451" i="14"/>
  <c r="Q469" i="14"/>
  <c r="Q487" i="14"/>
  <c r="Q505" i="14"/>
  <c r="Q523" i="14"/>
  <c r="Q541" i="14"/>
  <c r="Q559" i="14"/>
  <c r="Q577" i="14"/>
  <c r="Q595" i="14"/>
  <c r="Q619" i="14"/>
  <c r="W633" i="11"/>
  <c r="V633" i="1"/>
  <c r="D94" i="25"/>
  <c r="D90" i="25"/>
  <c r="D74" i="25"/>
  <c r="D101" i="25"/>
  <c r="E45" i="25"/>
  <c r="E16" i="25"/>
  <c r="E31" i="25"/>
  <c r="E19" i="25"/>
  <c r="D65" i="25"/>
  <c r="D97" i="25"/>
  <c r="D107" i="25"/>
  <c r="D81" i="25"/>
  <c r="E24" i="25"/>
  <c r="E42" i="25"/>
  <c r="E11" i="25"/>
  <c r="E33" i="25"/>
  <c r="D109" i="25"/>
  <c r="D61" i="25"/>
  <c r="D84" i="25"/>
  <c r="D80" i="25"/>
  <c r="D99" i="25"/>
  <c r="E8" i="25"/>
  <c r="E44" i="25"/>
  <c r="E43" i="25"/>
  <c r="E10" i="25"/>
  <c r="D87" i="25"/>
  <c r="D106" i="25"/>
  <c r="D75" i="25"/>
  <c r="E22" i="25"/>
  <c r="E50" i="25"/>
  <c r="E34" i="25"/>
  <c r="E14" i="25"/>
  <c r="D102" i="25"/>
  <c r="D63" i="25"/>
  <c r="D103" i="25"/>
  <c r="D77" i="25"/>
  <c r="E25" i="25"/>
  <c r="E46" i="25"/>
  <c r="E40" i="25"/>
  <c r="E37" i="25"/>
  <c r="D78" i="25"/>
  <c r="D69" i="25"/>
  <c r="D86" i="25"/>
  <c r="D72" i="25"/>
  <c r="E6" i="25"/>
  <c r="E53" i="25"/>
  <c r="E49" i="25"/>
  <c r="E30" i="25"/>
  <c r="E52" i="25"/>
  <c r="E32" i="25"/>
  <c r="D71" i="25"/>
  <c r="D73" i="25"/>
  <c r="D62" i="25"/>
  <c r="E51" i="25"/>
  <c r="E5" i="25"/>
  <c r="E12" i="25"/>
  <c r="D67" i="25"/>
  <c r="D100" i="25"/>
  <c r="D68" i="25"/>
  <c r="E35" i="25"/>
  <c r="E27" i="25"/>
  <c r="E9" i="25"/>
  <c r="D64" i="25"/>
  <c r="D85" i="25"/>
  <c r="D60" i="25"/>
  <c r="D105" i="25"/>
  <c r="E18" i="25"/>
  <c r="E29" i="25"/>
  <c r="E7" i="25"/>
  <c r="E15" i="25"/>
  <c r="D88" i="25"/>
  <c r="D91" i="25"/>
  <c r="D92" i="25"/>
  <c r="D82" i="25"/>
  <c r="E54" i="25"/>
  <c r="E39" i="25"/>
  <c r="E23" i="25"/>
  <c r="E36" i="25"/>
  <c r="D95" i="25"/>
  <c r="D98" i="25"/>
  <c r="D70" i="25"/>
  <c r="D83" i="25"/>
  <c r="E48" i="25"/>
  <c r="E20" i="25"/>
  <c r="E41" i="25"/>
  <c r="E47" i="25"/>
  <c r="D108" i="25"/>
  <c r="D104" i="25"/>
  <c r="D66" i="25"/>
  <c r="D79" i="25"/>
  <c r="E13" i="25"/>
  <c r="E17" i="25"/>
  <c r="D89" i="25"/>
  <c r="E28" i="25"/>
  <c r="D96" i="25"/>
  <c r="E26" i="25"/>
  <c r="G5" i="13"/>
  <c r="H4" i="13"/>
  <c r="H17" i="15"/>
  <c r="H7" i="15"/>
  <c r="H16" i="15"/>
  <c r="H6" i="15"/>
  <c r="H15" i="15"/>
  <c r="H20" i="15"/>
  <c r="H8" i="15"/>
  <c r="H11" i="15"/>
  <c r="H9" i="15"/>
  <c r="H14" i="15"/>
  <c r="H13" i="15"/>
  <c r="H10" i="15"/>
  <c r="H5" i="15"/>
  <c r="H19" i="15"/>
  <c r="H12" i="15"/>
  <c r="H4" i="15"/>
  <c r="H18" i="15"/>
  <c r="I4" i="13" l="1"/>
  <c r="G6" i="13"/>
  <c r="H5" i="13"/>
  <c r="I5" i="13" l="1"/>
  <c r="H6" i="13"/>
  <c r="G7" i="13"/>
  <c r="I6" i="13" l="1"/>
  <c r="G8" i="13"/>
  <c r="H7" i="13"/>
  <c r="I7" i="13" l="1"/>
  <c r="H8" i="13"/>
  <c r="G9" i="13"/>
  <c r="I8" i="13" l="1"/>
  <c r="G10" i="13"/>
  <c r="H9" i="13"/>
  <c r="I9" i="13" l="1"/>
  <c r="G11" i="13"/>
  <c r="H10" i="13"/>
  <c r="I10" i="1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<sst xmlns="http://schemas.openxmlformats.org/spreadsheetml/2006/main" count="37126" uniqueCount="1472">
  <si>
    <t>OrderID</t>
  </si>
  <si>
    <t>OrderDate</t>
  </si>
  <si>
    <t>RequiredDate</t>
  </si>
  <si>
    <t>Region</t>
  </si>
  <si>
    <t>Country</t>
  </si>
  <si>
    <t>City</t>
  </si>
  <si>
    <t>CustomerSegment</t>
  </si>
  <si>
    <t>Channel</t>
  </si>
  <si>
    <t>Salesperson</t>
  </si>
  <si>
    <t>ProductCategory</t>
  </si>
  <si>
    <t>SKU</t>
  </si>
  <si>
    <t>UnitCost</t>
  </si>
  <si>
    <t>UnitPrice</t>
  </si>
  <si>
    <t>DiscountPct</t>
  </si>
  <si>
    <t>Quantity</t>
  </si>
  <si>
    <t>ORD-2024-275203</t>
  </si>
  <si>
    <t>Africa</t>
  </si>
  <si>
    <t>Kenya</t>
  </si>
  <si>
    <t>Kisumu</t>
  </si>
  <si>
    <t>Corporate</t>
  </si>
  <si>
    <t>Retail</t>
  </si>
  <si>
    <t>C. Otieno</t>
  </si>
  <si>
    <t>Components</t>
  </si>
  <si>
    <t>CMP-8270</t>
  </si>
  <si>
    <t>ORD-2024-358795</t>
  </si>
  <si>
    <t>Nigeria</t>
  </si>
  <si>
    <t>Port Harcourt</t>
  </si>
  <si>
    <t>Education</t>
  </si>
  <si>
    <t>Online</t>
  </si>
  <si>
    <t>J. Njeri</t>
  </si>
  <si>
    <t>Printers</t>
  </si>
  <si>
    <t>PRN-9322</t>
  </si>
  <si>
    <t>ORD-2023-373538</t>
  </si>
  <si>
    <t>Nairobi</t>
  </si>
  <si>
    <t>I. Johnson</t>
  </si>
  <si>
    <t>Networking</t>
  </si>
  <si>
    <t>NET-9666</t>
  </si>
  <si>
    <t>ORD-2025-168148</t>
  </si>
  <si>
    <t>Lagos</t>
  </si>
  <si>
    <t>Non-Profit</t>
  </si>
  <si>
    <t>Marketplace</t>
  </si>
  <si>
    <t>G. Dubois</t>
  </si>
  <si>
    <t>Phones</t>
  </si>
  <si>
    <t>PHN-4556</t>
  </si>
  <si>
    <t>ORD-2023-824839</t>
  </si>
  <si>
    <t>Asia</t>
  </si>
  <si>
    <t>Japan</t>
  </si>
  <si>
    <t>Osaka</t>
  </si>
  <si>
    <t>Consumer</t>
  </si>
  <si>
    <t>L. Okafor</t>
  </si>
  <si>
    <t>PRN-8041</t>
  </si>
  <si>
    <t>ORD-2023-723587</t>
  </si>
  <si>
    <t>Americas</t>
  </si>
  <si>
    <t>Canada</t>
  </si>
  <si>
    <t>Toronto</t>
  </si>
  <si>
    <t>Distributor</t>
  </si>
  <si>
    <t>B. Chen</t>
  </si>
  <si>
    <t>Laptops</t>
  </si>
  <si>
    <t>LAP-8555</t>
  </si>
  <si>
    <t>ORD-2024-336584</t>
  </si>
  <si>
    <t>India</t>
  </si>
  <si>
    <t>Bengaluru</t>
  </si>
  <si>
    <t>Small Business</t>
  </si>
  <si>
    <t>E. Garcia</t>
  </si>
  <si>
    <t>Monitors</t>
  </si>
  <si>
    <t>MON-8629</t>
  </si>
  <si>
    <t>ORD-2023-112666</t>
  </si>
  <si>
    <t>Abuja</t>
  </si>
  <si>
    <t>O. Wang</t>
  </si>
  <si>
    <t>PRN-6276</t>
  </si>
  <si>
    <t>ORD-2024-589570</t>
  </si>
  <si>
    <t>MON-6892</t>
  </si>
  <si>
    <t>ORD-2025-997421</t>
  </si>
  <si>
    <t>Brazil</t>
  </si>
  <si>
    <t>São Paulo</t>
  </si>
  <si>
    <t>A. Patel</t>
  </si>
  <si>
    <t>CMP-3731</t>
  </si>
  <si>
    <t>ORD-2024-210687</t>
  </si>
  <si>
    <t>Europe</t>
  </si>
  <si>
    <t>Germany</t>
  </si>
  <si>
    <t>Berlin</t>
  </si>
  <si>
    <t>Accessories</t>
  </si>
  <si>
    <t>ACC-7938</t>
  </si>
  <si>
    <t>ORD-2025-515515</t>
  </si>
  <si>
    <t>F. Müller</t>
  </si>
  <si>
    <t>PHN-7019</t>
  </si>
  <si>
    <t>ORD-2025-487261</t>
  </si>
  <si>
    <t>Brasília</t>
  </si>
  <si>
    <t>CMP-3693</t>
  </si>
  <si>
    <t>ORD-2024-890180</t>
  </si>
  <si>
    <t>France</t>
  </si>
  <si>
    <t>Marseille</t>
  </si>
  <si>
    <t>H. Kim</t>
  </si>
  <si>
    <t>PRN-8392</t>
  </si>
  <si>
    <t>ORD-2025-840976</t>
  </si>
  <si>
    <t>K. Singh</t>
  </si>
  <si>
    <t>ACC-1663</t>
  </si>
  <si>
    <t>ORD-2023-937291</t>
  </si>
  <si>
    <t>Direct</t>
  </si>
  <si>
    <t>LAP-1698</t>
  </si>
  <si>
    <t>ORD-2024-206081</t>
  </si>
  <si>
    <t>PRN-6791</t>
  </si>
  <si>
    <t>ORD-2025-233883</t>
  </si>
  <si>
    <t>PHN-1197</t>
  </si>
  <si>
    <t>ORD-2025-843974</t>
  </si>
  <si>
    <t>Enterprise</t>
  </si>
  <si>
    <t>ACC-8098</t>
  </si>
  <si>
    <t>ORD-2025-745263</t>
  </si>
  <si>
    <t>United Kingdom</t>
  </si>
  <si>
    <t>Birmingham</t>
  </si>
  <si>
    <t>M. Rossi</t>
  </si>
  <si>
    <t>LAP-3385</t>
  </si>
  <si>
    <t>ORD-2024-798002</t>
  </si>
  <si>
    <t>Mombasa</t>
  </si>
  <si>
    <t>LAP-9815</t>
  </si>
  <si>
    <t>ORD-2023-867836</t>
  </si>
  <si>
    <t>China</t>
  </si>
  <si>
    <t>Shenzhen</t>
  </si>
  <si>
    <t>NET-3255</t>
  </si>
  <si>
    <t>ORD-2025-580047</t>
  </si>
  <si>
    <t>ACC-3961</t>
  </si>
  <si>
    <t>ORD-2024-500109</t>
  </si>
  <si>
    <t>USA</t>
  </si>
  <si>
    <t>Chicago</t>
  </si>
  <si>
    <t>LAP-4987</t>
  </si>
  <si>
    <t>ORD-2023-271836</t>
  </si>
  <si>
    <t>N. Brown</t>
  </si>
  <si>
    <t>CMP-2693</t>
  </si>
  <si>
    <t>ORD-2024-215294</t>
  </si>
  <si>
    <t>ACC-8683</t>
  </si>
  <si>
    <t>ORD-2024-788105</t>
  </si>
  <si>
    <t>PRN-4170</t>
  </si>
  <si>
    <t>ORD-2024-855073</t>
  </si>
  <si>
    <t>PHN-6854</t>
  </si>
  <si>
    <t>ORD-2023-897079</t>
  </si>
  <si>
    <t>Nakuru</t>
  </si>
  <si>
    <t>PHN-1784</t>
  </si>
  <si>
    <t>ORD-2025-548982</t>
  </si>
  <si>
    <t>Lyon</t>
  </si>
  <si>
    <t>NET-9716</t>
  </si>
  <si>
    <t>ORD-2024-170313</t>
  </si>
  <si>
    <t>Delhi</t>
  </si>
  <si>
    <t>CMP-6919</t>
  </si>
  <si>
    <t>ORD-2023-562894</t>
  </si>
  <si>
    <t>Montreal</t>
  </si>
  <si>
    <t>D. Smith</t>
  </si>
  <si>
    <t>PHN-4854</t>
  </si>
  <si>
    <t>ORD-2025-474710</t>
  </si>
  <si>
    <t>South Africa</t>
  </si>
  <si>
    <t>Johannesburg</t>
  </si>
  <si>
    <t>NET-7966</t>
  </si>
  <si>
    <t>ORD-2024-629525</t>
  </si>
  <si>
    <t>London</t>
  </si>
  <si>
    <t>LAP-9932</t>
  </si>
  <si>
    <t>ORD-2024-167215</t>
  </si>
  <si>
    <t>CMP-1559</t>
  </si>
  <si>
    <t>ORD-2023-864121</t>
  </si>
  <si>
    <t>PRN-4506</t>
  </si>
  <si>
    <t>ORD-2024-692673</t>
  </si>
  <si>
    <t>Munich</t>
  </si>
  <si>
    <t>CMP-7617</t>
  </si>
  <si>
    <t>ORD-2025-718992</t>
  </si>
  <si>
    <t>Shanghai</t>
  </si>
  <si>
    <t>CMP-8390</t>
  </si>
  <si>
    <t>ORD-2024-599522</t>
  </si>
  <si>
    <t>PRN-7303</t>
  </si>
  <si>
    <t>ORD-2023-651638</t>
  </si>
  <si>
    <t>San Francisco</t>
  </si>
  <si>
    <t>PRN-6536</t>
  </si>
  <si>
    <t>ORD-2024-635626</t>
  </si>
  <si>
    <t>MON-9967</t>
  </si>
  <si>
    <t>ORD-2024-296582</t>
  </si>
  <si>
    <t>Durban</t>
  </si>
  <si>
    <t>NET-1412</t>
  </si>
  <si>
    <t>ORD-2024-998320</t>
  </si>
  <si>
    <t>PRN-3143</t>
  </si>
  <si>
    <t>ORD-2025-820255</t>
  </si>
  <si>
    <t>PRN-9787</t>
  </si>
  <si>
    <t>ORD-2024-389336</t>
  </si>
  <si>
    <t>Vancouver</t>
  </si>
  <si>
    <t>CMP-5946</t>
  </si>
  <si>
    <t>ORD-2023-308124</t>
  </si>
  <si>
    <t>NET-2062</t>
  </si>
  <si>
    <t>ORD-2023-128295</t>
  </si>
  <si>
    <t>PRN-2542</t>
  </si>
  <si>
    <t>ORD-2024-548345</t>
  </si>
  <si>
    <t>NET-2365</t>
  </si>
  <si>
    <t>ORD-2024-966651</t>
  </si>
  <si>
    <t>NET-5268</t>
  </si>
  <si>
    <t>ORD-2023-292714</t>
  </si>
  <si>
    <t>PRN-1504</t>
  </si>
  <si>
    <t>ORD-2024-468501</t>
  </si>
  <si>
    <t>ACC-6348</t>
  </si>
  <si>
    <t>ORD-2024-260775</t>
  </si>
  <si>
    <t>MON-4330</t>
  </si>
  <si>
    <t>ORD-2023-419187</t>
  </si>
  <si>
    <t>LAP-7819</t>
  </si>
  <si>
    <t>ORD-2025-578007</t>
  </si>
  <si>
    <t>LAP-3779</t>
  </si>
  <si>
    <t>ORD-2023-235230</t>
  </si>
  <si>
    <t>NET-9989</t>
  </si>
  <si>
    <t>ORD-2025-765220</t>
  </si>
  <si>
    <t>MON-4925</t>
  </si>
  <si>
    <t>ORD-2025-931538</t>
  </si>
  <si>
    <t>LAP-6989</t>
  </si>
  <si>
    <t>ORD-2024-289089</t>
  </si>
  <si>
    <t>ACC-5780</t>
  </si>
  <si>
    <t>ORD-2025-639542</t>
  </si>
  <si>
    <t>ACC-1770</t>
  </si>
  <si>
    <t>ORD-2025-762301</t>
  </si>
  <si>
    <t>ACC-2252</t>
  </si>
  <si>
    <t>ORD-2024-906395</t>
  </si>
  <si>
    <t>CMP-8002</t>
  </si>
  <si>
    <t>ORD-2025-779574</t>
  </si>
  <si>
    <t>Tokyo</t>
  </si>
  <si>
    <t>CMP-6971</t>
  </si>
  <si>
    <t>ORD-2025-526650</t>
  </si>
  <si>
    <t>Paris</t>
  </si>
  <si>
    <t>PHN-8350</t>
  </si>
  <si>
    <t>ORD-2024-247979</t>
  </si>
  <si>
    <t>Mumbai</t>
  </si>
  <si>
    <t>MON-5188</t>
  </si>
  <si>
    <t>ORD-2023-480975</t>
  </si>
  <si>
    <t>LAP-3393</t>
  </si>
  <si>
    <t>ORD-2023-239789</t>
  </si>
  <si>
    <t>Rio de Janeiro</t>
  </si>
  <si>
    <t>PHN-4644</t>
  </si>
  <si>
    <t>ORD-2023-548874</t>
  </si>
  <si>
    <t>Manchester</t>
  </si>
  <si>
    <t>ACC-9150</t>
  </si>
  <si>
    <t>ORD-2024-347736</t>
  </si>
  <si>
    <t>Nagoya</t>
  </si>
  <si>
    <t>MON-6870</t>
  </si>
  <si>
    <t>ORD-2023-749324</t>
  </si>
  <si>
    <t>MON-2296</t>
  </si>
  <si>
    <t>ORD-2023-809913</t>
  </si>
  <si>
    <t>CMP-7371</t>
  </si>
  <si>
    <t>ORD-2024-287210</t>
  </si>
  <si>
    <t>ACC-2761</t>
  </si>
  <si>
    <t>ORD-2025-640677</t>
  </si>
  <si>
    <t>LAP-4517</t>
  </si>
  <si>
    <t>ORD-2024-939873</t>
  </si>
  <si>
    <t>LAP-8489</t>
  </si>
  <si>
    <t>ORD-2024-800947</t>
  </si>
  <si>
    <t>NET-1846</t>
  </si>
  <si>
    <t>ORD-2023-382272</t>
  </si>
  <si>
    <t>CMP-5208</t>
  </si>
  <si>
    <t>ORD-2023-722117</t>
  </si>
  <si>
    <t>CMP-1009</t>
  </si>
  <si>
    <t>ORD-2024-446699</t>
  </si>
  <si>
    <t>ACC-4490</t>
  </si>
  <si>
    <t>ORD-2024-451005</t>
  </si>
  <si>
    <t>ACC-9162</t>
  </si>
  <si>
    <t>ORD-2023-290279</t>
  </si>
  <si>
    <t>CMP-5820</t>
  </si>
  <si>
    <t>ORD-2024-192263</t>
  </si>
  <si>
    <t>MON-7943</t>
  </si>
  <si>
    <t>ORD-2023-159379</t>
  </si>
  <si>
    <t>Cape Town</t>
  </si>
  <si>
    <t>NET-5018</t>
  </si>
  <si>
    <t>ORD-2023-343322</t>
  </si>
  <si>
    <t>PRN-9669</t>
  </si>
  <si>
    <t>ORD-2025-114382</t>
  </si>
  <si>
    <t>CMP-2865</t>
  </si>
  <si>
    <t>ORD-2025-488349</t>
  </si>
  <si>
    <t>MON-3371</t>
  </si>
  <si>
    <t>ORD-2025-330203</t>
  </si>
  <si>
    <t>NET-7166</t>
  </si>
  <si>
    <t>ORD-2023-841426</t>
  </si>
  <si>
    <t>CMP-4531</t>
  </si>
  <si>
    <t>ORD-2024-594592</t>
  </si>
  <si>
    <t>CMP-8196</t>
  </si>
  <si>
    <t>ORD-2025-863978</t>
  </si>
  <si>
    <t>CMP-2854</t>
  </si>
  <si>
    <t>ORD-2024-604471</t>
  </si>
  <si>
    <t>MON-8973</t>
  </si>
  <si>
    <t>ORD-2023-258768</t>
  </si>
  <si>
    <t>MON-2990</t>
  </si>
  <si>
    <t>ORD-2025-626047</t>
  </si>
  <si>
    <t>NET-1966</t>
  </si>
  <si>
    <t>ORD-2025-526752</t>
  </si>
  <si>
    <t>Hyderabad</t>
  </si>
  <si>
    <t>PHN-3482</t>
  </si>
  <si>
    <t>ORD-2023-374486</t>
  </si>
  <si>
    <t>PRN-6490</t>
  </si>
  <si>
    <t>ORD-2024-997336</t>
  </si>
  <si>
    <t>ACC-9038</t>
  </si>
  <si>
    <t>ORD-2025-725646</t>
  </si>
  <si>
    <t>PHN-6954</t>
  </si>
  <si>
    <t>ORD-2023-868734</t>
  </si>
  <si>
    <t>PRN-8970</t>
  </si>
  <si>
    <t>ORD-2025-262491</t>
  </si>
  <si>
    <t>MON-1822</t>
  </si>
  <si>
    <t>ORD-2024-638884</t>
  </si>
  <si>
    <t>ACC-5177</t>
  </si>
  <si>
    <t>ORD-2025-541501</t>
  </si>
  <si>
    <t>NET-1804</t>
  </si>
  <si>
    <t>ORD-2023-422918</t>
  </si>
  <si>
    <t>LAP-3679</t>
  </si>
  <si>
    <t>ORD-2025-328504</t>
  </si>
  <si>
    <t>PHN-8368</t>
  </si>
  <si>
    <t>ORD-2024-851883</t>
  </si>
  <si>
    <t>CMP-8141</t>
  </si>
  <si>
    <t>ORD-2025-662997</t>
  </si>
  <si>
    <t>LAP-7136</t>
  </si>
  <si>
    <t>ORD-2024-478165</t>
  </si>
  <si>
    <t>ACC-2386</t>
  </si>
  <si>
    <t>ORD-2024-771210</t>
  </si>
  <si>
    <t>LAP-5150</t>
  </si>
  <si>
    <t>ORD-2024-155337</t>
  </si>
  <si>
    <t>CMP-8101</t>
  </si>
  <si>
    <t>ORD-2023-251563</t>
  </si>
  <si>
    <t>PHN-8970</t>
  </si>
  <si>
    <t>ORD-2024-286833</t>
  </si>
  <si>
    <t>PHN-2341</t>
  </si>
  <si>
    <t>ORD-2024-792558</t>
  </si>
  <si>
    <t>NET-6387</t>
  </si>
  <si>
    <t>ORD-2024-166150</t>
  </si>
  <si>
    <t>ACC-9820</t>
  </si>
  <si>
    <t>ORD-2024-909942</t>
  </si>
  <si>
    <t>CMP-6392</t>
  </si>
  <si>
    <t>ORD-2024-223618</t>
  </si>
  <si>
    <t>LAP-9230</t>
  </si>
  <si>
    <t>ORD-2024-919471</t>
  </si>
  <si>
    <t>NET-4241</t>
  </si>
  <si>
    <t>ORD-2025-649239</t>
  </si>
  <si>
    <t>Austin</t>
  </si>
  <si>
    <t>ACC-4511</t>
  </si>
  <si>
    <t>ORD-2023-975863</t>
  </si>
  <si>
    <t>NET-3033</t>
  </si>
  <si>
    <t>ORD-2023-869884</t>
  </si>
  <si>
    <t>MON-2828</t>
  </si>
  <si>
    <t>ORD-2025-698069</t>
  </si>
  <si>
    <t>PRN-6429</t>
  </si>
  <si>
    <t>ORD-2024-474999</t>
  </si>
  <si>
    <t>Frankfurt</t>
  </si>
  <si>
    <t>LAP-8214</t>
  </si>
  <si>
    <t>ORD-2023-427304</t>
  </si>
  <si>
    <t>Beijing</t>
  </si>
  <si>
    <t>MON-9194</t>
  </si>
  <si>
    <t>ORD-2025-956101</t>
  </si>
  <si>
    <t>LAP-2218</t>
  </si>
  <si>
    <t>ORD-2025-184082</t>
  </si>
  <si>
    <t>NET-6370</t>
  </si>
  <si>
    <t>ORD-2023-576840</t>
  </si>
  <si>
    <t>MON-3745</t>
  </si>
  <si>
    <t>ORD-2023-178249</t>
  </si>
  <si>
    <t>PHN-7924</t>
  </si>
  <si>
    <t>ORD-2024-588972</t>
  </si>
  <si>
    <t>NET-8561</t>
  </si>
  <si>
    <t>ORD-2023-603238</t>
  </si>
  <si>
    <t>CMP-2136</t>
  </si>
  <si>
    <t>ORD-2023-883066</t>
  </si>
  <si>
    <t>CMP-6352</t>
  </si>
  <si>
    <t>ORD-2024-584090</t>
  </si>
  <si>
    <t>CMP-2040</t>
  </si>
  <si>
    <t>ORD-2025-537785</t>
  </si>
  <si>
    <t>CMP-6346</t>
  </si>
  <si>
    <t>ORD-2024-605518</t>
  </si>
  <si>
    <t>PHN-4356</t>
  </si>
  <si>
    <t>ORD-2023-521818</t>
  </si>
  <si>
    <t>NET-4155</t>
  </si>
  <si>
    <t>ORD-2025-650719</t>
  </si>
  <si>
    <t>MON-5179</t>
  </si>
  <si>
    <t>ORD-2025-501927</t>
  </si>
  <si>
    <t>ACC-4056</t>
  </si>
  <si>
    <t>ORD-2023-430904</t>
  </si>
  <si>
    <t>LAP-9782</t>
  </si>
  <si>
    <t>ORD-2025-354346</t>
  </si>
  <si>
    <t>PHN-2875</t>
  </si>
  <si>
    <t>ORD-2024-164288</t>
  </si>
  <si>
    <t>PRN-4788</t>
  </si>
  <si>
    <t>ORD-2023-867285</t>
  </si>
  <si>
    <t>MON-3043</t>
  </si>
  <si>
    <t>ORD-2024-836421</t>
  </si>
  <si>
    <t>CMP-3720</t>
  </si>
  <si>
    <t>ORD-2023-613287</t>
  </si>
  <si>
    <t>PHN-8014</t>
  </si>
  <si>
    <t>ORD-2024-783321</t>
  </si>
  <si>
    <t>PRN-4911</t>
  </si>
  <si>
    <t>ORD-2024-232632</t>
  </si>
  <si>
    <t>ACC-1021</t>
  </si>
  <si>
    <t>ORD-2023-906481</t>
  </si>
  <si>
    <t>MON-2266</t>
  </si>
  <si>
    <t>ORD-2024-902741</t>
  </si>
  <si>
    <t>PHN-8057</t>
  </si>
  <si>
    <t>ORD-2023-912395</t>
  </si>
  <si>
    <t>New York</t>
  </si>
  <si>
    <t>ACC-7078</t>
  </si>
  <si>
    <t>ORD-2024-389102</t>
  </si>
  <si>
    <t>PRN-4453</t>
  </si>
  <si>
    <t>ORD-2023-309373</t>
  </si>
  <si>
    <t>NET-2394</t>
  </si>
  <si>
    <t>ORD-2023-825495</t>
  </si>
  <si>
    <t>LAP-1525</t>
  </si>
  <si>
    <t>ORD-2025-244832</t>
  </si>
  <si>
    <t>LAP-3278</t>
  </si>
  <si>
    <t>ORD-2024-211453</t>
  </si>
  <si>
    <t>ACC-6543</t>
  </si>
  <si>
    <t>ORD-2023-192324</t>
  </si>
  <si>
    <t>PRN-4432</t>
  </si>
  <si>
    <t>ORD-2024-438404</t>
  </si>
  <si>
    <t>PHN-4568</t>
  </si>
  <si>
    <t>ORD-2025-246470</t>
  </si>
  <si>
    <t>PRN-6178</t>
  </si>
  <si>
    <t>ORD-2023-497686</t>
  </si>
  <si>
    <t>LAP-6342</t>
  </si>
  <si>
    <t>ORD-2023-596758</t>
  </si>
  <si>
    <t>PRN-8175</t>
  </si>
  <si>
    <t>ORD-2024-201376</t>
  </si>
  <si>
    <t>PRN-7089</t>
  </si>
  <si>
    <t>ORD-2023-842488</t>
  </si>
  <si>
    <t>ACC-4124</t>
  </si>
  <si>
    <t>ORD-2024-136321</t>
  </si>
  <si>
    <t>NET-7924</t>
  </si>
  <si>
    <t>ORD-2024-764468</t>
  </si>
  <si>
    <t>NET-8761</t>
  </si>
  <si>
    <t>ORD-2024-553449</t>
  </si>
  <si>
    <t>CMP-3875</t>
  </si>
  <si>
    <t>ORD-2025-766923</t>
  </si>
  <si>
    <t>ACC-3989</t>
  </si>
  <si>
    <t>ORD-2025-418232</t>
  </si>
  <si>
    <t>PHN-9234</t>
  </si>
  <si>
    <t>ORD-2023-848013</t>
  </si>
  <si>
    <t>MON-9906</t>
  </si>
  <si>
    <t>ORD-2024-357368</t>
  </si>
  <si>
    <t>CMP-4610</t>
  </si>
  <si>
    <t>ORD-2024-219735</t>
  </si>
  <si>
    <t>PHN-5445</t>
  </si>
  <si>
    <t>ORD-2023-240507</t>
  </si>
  <si>
    <t>MON-9227</t>
  </si>
  <si>
    <t>ORD-2024-134084</t>
  </si>
  <si>
    <t>PRN-4097</t>
  </si>
  <si>
    <t>ORD-2023-884625</t>
  </si>
  <si>
    <t>MON-6699</t>
  </si>
  <si>
    <t>ORD-2023-157993</t>
  </si>
  <si>
    <t>LAP-1482</t>
  </si>
  <si>
    <t>ORD-2024-329104</t>
  </si>
  <si>
    <t>MON-2100</t>
  </si>
  <si>
    <t>ORD-2023-304451</t>
  </si>
  <si>
    <t>MON-7602</t>
  </si>
  <si>
    <t>ORD-2024-942981</t>
  </si>
  <si>
    <t>CMP-1072</t>
  </si>
  <si>
    <t>ORD-2024-605629</t>
  </si>
  <si>
    <t>ACC-2735</t>
  </si>
  <si>
    <t>ORD-2023-450877</t>
  </si>
  <si>
    <t>CMP-5211</t>
  </si>
  <si>
    <t>ORD-2023-286994</t>
  </si>
  <si>
    <t>CMP-1632</t>
  </si>
  <si>
    <t>ORD-2025-700847</t>
  </si>
  <si>
    <t>LAP-7099</t>
  </si>
  <si>
    <t>ORD-2024-970848</t>
  </si>
  <si>
    <t>PRN-3785</t>
  </si>
  <si>
    <t>ORD-2025-845715</t>
  </si>
  <si>
    <t>MON-6962</t>
  </si>
  <si>
    <t>ORD-2023-664749</t>
  </si>
  <si>
    <t>PRN-5107</t>
  </si>
  <si>
    <t>ORD-2024-960952</t>
  </si>
  <si>
    <t>CMP-9264</t>
  </si>
  <si>
    <t>ORD-2023-987700</t>
  </si>
  <si>
    <t>MON-5259</t>
  </si>
  <si>
    <t>ORD-2025-652467</t>
  </si>
  <si>
    <t>PRN-8137</t>
  </si>
  <si>
    <t>ORD-2025-667201</t>
  </si>
  <si>
    <t>ACC-6777</t>
  </si>
  <si>
    <t>ORD-2024-237478</t>
  </si>
  <si>
    <t>PHN-7488</t>
  </si>
  <si>
    <t>ORD-2025-898843</t>
  </si>
  <si>
    <t>ACC-9591</t>
  </si>
  <si>
    <t>ORD-2023-334213</t>
  </si>
  <si>
    <t>MON-5517</t>
  </si>
  <si>
    <t>ORD-2024-640340</t>
  </si>
  <si>
    <t>MON-8758</t>
  </si>
  <si>
    <t>ORD-2023-399631</t>
  </si>
  <si>
    <t>ACC-3385</t>
  </si>
  <si>
    <t>ORD-2025-542939</t>
  </si>
  <si>
    <t>MON-1593</t>
  </si>
  <si>
    <t>ACC-4631</t>
  </si>
  <si>
    <t>ORD-2023-825836</t>
  </si>
  <si>
    <t>MON-7869</t>
  </si>
  <si>
    <t>ORD-2024-503082</t>
  </si>
  <si>
    <t>MON-4271</t>
  </si>
  <si>
    <t>ORD-2024-760799</t>
  </si>
  <si>
    <t>LAP-5531</t>
  </si>
  <si>
    <t>ORD-2023-197661</t>
  </si>
  <si>
    <t>MON-7511</t>
  </si>
  <si>
    <t>ORD-2024-212990</t>
  </si>
  <si>
    <t>LAP-7979</t>
  </si>
  <si>
    <t>ORD-2023-925146</t>
  </si>
  <si>
    <t>PRN-4983</t>
  </si>
  <si>
    <t>ORD-2023-177794</t>
  </si>
  <si>
    <t>NET-5941</t>
  </si>
  <si>
    <t>ORD-2024-444710</t>
  </si>
  <si>
    <t>MON-6341</t>
  </si>
  <si>
    <t>ORD-2024-668926</t>
  </si>
  <si>
    <t>PHN-9789</t>
  </si>
  <si>
    <t>ORD-2024-968374</t>
  </si>
  <si>
    <t>PHN-5082</t>
  </si>
  <si>
    <t>ORD-2023-575584</t>
  </si>
  <si>
    <t>NET-3460</t>
  </si>
  <si>
    <t>ORD-2023-701153</t>
  </si>
  <si>
    <t>PRN-7019</t>
  </si>
  <si>
    <t>ORD-2023-382017</t>
  </si>
  <si>
    <t>PHN-3159</t>
  </si>
  <si>
    <t>ORD-2024-999607</t>
  </si>
  <si>
    <t>PRN-8604</t>
  </si>
  <si>
    <t>ORD-2023-133848</t>
  </si>
  <si>
    <t>PHN-2013</t>
  </si>
  <si>
    <t>ORD-2023-586275</t>
  </si>
  <si>
    <t>NET-6036</t>
  </si>
  <si>
    <t>ORD-2025-964661</t>
  </si>
  <si>
    <t>MON-4959</t>
  </si>
  <si>
    <t>ORD-2023-390998</t>
  </si>
  <si>
    <t>MON-1663</t>
  </si>
  <si>
    <t>ORD-2023-920483</t>
  </si>
  <si>
    <t>CMP-7256</t>
  </si>
  <si>
    <t>ORD-2025-146850</t>
  </si>
  <si>
    <t>ACC-1659</t>
  </si>
  <si>
    <t>ORD-2024-687100</t>
  </si>
  <si>
    <t>PRN-6068</t>
  </si>
  <si>
    <t>ORD-2025-629393</t>
  </si>
  <si>
    <t>ACC-8999</t>
  </si>
  <si>
    <t>ORD-2024-686712</t>
  </si>
  <si>
    <t>CMP-3978</t>
  </si>
  <si>
    <t>ORD-2025-586799</t>
  </si>
  <si>
    <t>MON-7868</t>
  </si>
  <si>
    <t>ORD-2024-988736</t>
  </si>
  <si>
    <t>PRN-3014</t>
  </si>
  <si>
    <t>ORD-2025-564184</t>
  </si>
  <si>
    <t>PHN-1671</t>
  </si>
  <si>
    <t>ORD-2023-653343</t>
  </si>
  <si>
    <t>ACC-5260</t>
  </si>
  <si>
    <t>ORD-2024-197852</t>
  </si>
  <si>
    <t>NET-7588</t>
  </si>
  <si>
    <t>ORD-2023-431328</t>
  </si>
  <si>
    <t>MON-1572</t>
  </si>
  <si>
    <t>ORD-2023-613317</t>
  </si>
  <si>
    <t>MON-2537</t>
  </si>
  <si>
    <t>ORD-2024-720756</t>
  </si>
  <si>
    <t>PRN-5666</t>
  </si>
  <si>
    <t>ORD-2024-777623</t>
  </si>
  <si>
    <t>PRN-2749</t>
  </si>
  <si>
    <t>ORD-2025-762212</t>
  </si>
  <si>
    <t>CMP-4970</t>
  </si>
  <si>
    <t>ORD-2023-271918</t>
  </si>
  <si>
    <t>ACC-3551</t>
  </si>
  <si>
    <t>ORD-2023-713375</t>
  </si>
  <si>
    <t>CMP-7063</t>
  </si>
  <si>
    <t>ORD-2025-678688</t>
  </si>
  <si>
    <t>NET-1612</t>
  </si>
  <si>
    <t>ORD-2023-501220</t>
  </si>
  <si>
    <t>LAP-9766</t>
  </si>
  <si>
    <t>ORD-2023-195665</t>
  </si>
  <si>
    <t>PHN-7274</t>
  </si>
  <si>
    <t>ORD-2023-290237</t>
  </si>
  <si>
    <t>NET-1645</t>
  </si>
  <si>
    <t>ORD-2023-302041</t>
  </si>
  <si>
    <t>ACC-5079</t>
  </si>
  <si>
    <t>ORD-2025-289139</t>
  </si>
  <si>
    <t>PRN-2098</t>
  </si>
  <si>
    <t>ORD-2023-949710</t>
  </si>
  <si>
    <t>PRN-7049</t>
  </si>
  <si>
    <t>ORD-2023-603650</t>
  </si>
  <si>
    <t>CMP-6925</t>
  </si>
  <si>
    <t>ORD-2025-757957</t>
  </si>
  <si>
    <t>PHN-2787</t>
  </si>
  <si>
    <t>ORD-2024-423853</t>
  </si>
  <si>
    <t>PRN-1141</t>
  </si>
  <si>
    <t>ORD-2024-569164</t>
  </si>
  <si>
    <t>MON-5249</t>
  </si>
  <si>
    <t>ORD-2023-946143</t>
  </si>
  <si>
    <t>CMP-8230</t>
  </si>
  <si>
    <t>ORD-2024-281211</t>
  </si>
  <si>
    <t>PRN-7816</t>
  </si>
  <si>
    <t>ORD-2024-805860</t>
  </si>
  <si>
    <t>PHN-8804</t>
  </si>
  <si>
    <t>ORD-2025-132174</t>
  </si>
  <si>
    <t>CMP-8851</t>
  </si>
  <si>
    <t>ORD-2023-964434</t>
  </si>
  <si>
    <t>PHN-2447</t>
  </si>
  <si>
    <t>ORD-2024-897622</t>
  </si>
  <si>
    <t>LAP-2846</t>
  </si>
  <si>
    <t>ORD-2023-517216</t>
  </si>
  <si>
    <t>PRN-5005</t>
  </si>
  <si>
    <t>ORD-2025-509940</t>
  </si>
  <si>
    <t>PHN-3800</t>
  </si>
  <si>
    <t>ORD-2025-646342</t>
  </si>
  <si>
    <t>LAP-4828</t>
  </si>
  <si>
    <t>ORD-2024-866535</t>
  </si>
  <si>
    <t>PRN-5492</t>
  </si>
  <si>
    <t>ORD-2023-747341</t>
  </si>
  <si>
    <t>PHN-7132</t>
  </si>
  <si>
    <t>ORD-2024-853298</t>
  </si>
  <si>
    <t>PHN-4741</t>
  </si>
  <si>
    <t>ORD-2024-544865</t>
  </si>
  <si>
    <t>LAP-2774</t>
  </si>
  <si>
    <t>ORD-2025-946490</t>
  </si>
  <si>
    <t>MON-2842</t>
  </si>
  <si>
    <t>ORD-2024-320972</t>
  </si>
  <si>
    <t>NET-2628</t>
  </si>
  <si>
    <t>ORD-2025-248586</t>
  </si>
  <si>
    <t>MON-2998</t>
  </si>
  <si>
    <t>ORD-2024-664046</t>
  </si>
  <si>
    <t>CMP-7563</t>
  </si>
  <si>
    <t>ORD-2023-276806</t>
  </si>
  <si>
    <t>LAP-6160</t>
  </si>
  <si>
    <t>ORD-2024-220234</t>
  </si>
  <si>
    <t>MON-4361</t>
  </si>
  <si>
    <t>ORD-2024-301260</t>
  </si>
  <si>
    <t>PRN-2829</t>
  </si>
  <si>
    <t>ORD-2024-350100</t>
  </si>
  <si>
    <t>MON-8939</t>
  </si>
  <si>
    <t>ORD-2024-855600</t>
  </si>
  <si>
    <t>LAP-5009</t>
  </si>
  <si>
    <t>ORD-2023-474313</t>
  </si>
  <si>
    <t>CMP-4807</t>
  </si>
  <si>
    <t>ORD-2023-256951</t>
  </si>
  <si>
    <t>NET-2439</t>
  </si>
  <si>
    <t>ORD-2025-184754</t>
  </si>
  <si>
    <t>MON-7626</t>
  </si>
  <si>
    <t>ORD-2023-888140</t>
  </si>
  <si>
    <t>ACC-3567</t>
  </si>
  <si>
    <t>ORD-2023-638181</t>
  </si>
  <si>
    <t>CMP-4630</t>
  </si>
  <si>
    <t>ORD-2023-521280</t>
  </si>
  <si>
    <t>ACC-1882</t>
  </si>
  <si>
    <t>ORD-2023-630430</t>
  </si>
  <si>
    <t>NET-9125</t>
  </si>
  <si>
    <t>ORD-2025-908258</t>
  </si>
  <si>
    <t>PHN-3819</t>
  </si>
  <si>
    <t>ORD-2025-440093</t>
  </si>
  <si>
    <t>LAP-3490</t>
  </si>
  <si>
    <t>ORD-2025-898022</t>
  </si>
  <si>
    <t>PRN-1276</t>
  </si>
  <si>
    <t>ORD-2024-500511</t>
  </si>
  <si>
    <t>MON-9733</t>
  </si>
  <si>
    <t>ORD-2023-632893</t>
  </si>
  <si>
    <t>CMP-9392</t>
  </si>
  <si>
    <t>ORD-2023-967239</t>
  </si>
  <si>
    <t>PHN-3014</t>
  </si>
  <si>
    <t>ORD-2024-885858</t>
  </si>
  <si>
    <t>PRN-6776</t>
  </si>
  <si>
    <t>ORD-2023-253245</t>
  </si>
  <si>
    <t>ACC-3951</t>
  </si>
  <si>
    <t>ORD-2025-484073</t>
  </si>
  <si>
    <t>MON-1436</t>
  </si>
  <si>
    <t>ORD-2024-745822</t>
  </si>
  <si>
    <t>MON-8651</t>
  </si>
  <si>
    <t>ORD-2023-369160</t>
  </si>
  <si>
    <t>MON-3307</t>
  </si>
  <si>
    <t>ORD-2024-834983</t>
  </si>
  <si>
    <t>PRN-8758</t>
  </si>
  <si>
    <t>ORD-2024-499009</t>
  </si>
  <si>
    <t>LAP-7056</t>
  </si>
  <si>
    <t>ORD-2024-948800</t>
  </si>
  <si>
    <t>NET-5523</t>
  </si>
  <si>
    <t>ORD-2025-678328</t>
  </si>
  <si>
    <t>ACC-8094</t>
  </si>
  <si>
    <t>ORD-2024-580808</t>
  </si>
  <si>
    <t>PHN-6832</t>
  </si>
  <si>
    <t>ORD-2023-211715</t>
  </si>
  <si>
    <t>LAP-2378</t>
  </si>
  <si>
    <t>ORD-2023-715175</t>
  </si>
  <si>
    <t>MON-5424</t>
  </si>
  <si>
    <t>ORD-2025-685236</t>
  </si>
  <si>
    <t>NET-8430</t>
  </si>
  <si>
    <t>ORD-2023-274037</t>
  </si>
  <si>
    <t>PHN-1234</t>
  </si>
  <si>
    <t>ORD-2025-983096</t>
  </si>
  <si>
    <t>LAP-9016</t>
  </si>
  <si>
    <t>ORD-2024-366010</t>
  </si>
  <si>
    <t>LAP-9931</t>
  </si>
  <si>
    <t>ORD-2023-610470</t>
  </si>
  <si>
    <t>PHN-6818</t>
  </si>
  <si>
    <t>ORD-2025-541048</t>
  </si>
  <si>
    <t>PHN-3803</t>
  </si>
  <si>
    <t>ORD-2024-862371</t>
  </si>
  <si>
    <t>NET-9835</t>
  </si>
  <si>
    <t>ORD-2024-277241</t>
  </si>
  <si>
    <t>ACC-6223</t>
  </si>
  <si>
    <t>ORD-2023-369150</t>
  </si>
  <si>
    <t>CMP-8659</t>
  </si>
  <si>
    <t>ORD-2025-922513</t>
  </si>
  <si>
    <t>ACC-4483</t>
  </si>
  <si>
    <t>ORD-2025-752845</t>
  </si>
  <si>
    <t>PRN-8763</t>
  </si>
  <si>
    <t>ORD-2023-667815</t>
  </si>
  <si>
    <t>ACC-8557</t>
  </si>
  <si>
    <t>ORD-2023-375011</t>
  </si>
  <si>
    <t>ACC-1492</t>
  </si>
  <si>
    <t>ORD-2025-487025</t>
  </si>
  <si>
    <t>CMP-3743</t>
  </si>
  <si>
    <t>ORD-2025-398335</t>
  </si>
  <si>
    <t>LAP-1619</t>
  </si>
  <si>
    <t>ORD-2024-792137</t>
  </si>
  <si>
    <t>PRN-7976</t>
  </si>
  <si>
    <t>ORD-2023-602648</t>
  </si>
  <si>
    <t>MON-4326</t>
  </si>
  <si>
    <t>ORD-2024-207096</t>
  </si>
  <si>
    <t>MON-5444</t>
  </si>
  <si>
    <t>ORD-2025-939953</t>
  </si>
  <si>
    <t>ACC-5422</t>
  </si>
  <si>
    <t>ORD-2025-191328</t>
  </si>
  <si>
    <t>CMP-9307</t>
  </si>
  <si>
    <t>ORD-2023-166668</t>
  </si>
  <si>
    <t>PRN-6520</t>
  </si>
  <si>
    <t>ORD-2023-594700</t>
  </si>
  <si>
    <t>NET-1699</t>
  </si>
  <si>
    <t>ORD-2025-278048</t>
  </si>
  <si>
    <t>PHN-5316</t>
  </si>
  <si>
    <t>ORD-2024-878493</t>
  </si>
  <si>
    <t>LAP-4607</t>
  </si>
  <si>
    <t>ORD-2025-138578</t>
  </si>
  <si>
    <t>MON-5276</t>
  </si>
  <si>
    <t>ORD-2025-944081</t>
  </si>
  <si>
    <t>ACC-9533</t>
  </si>
  <si>
    <t>ORD-2025-364852</t>
  </si>
  <si>
    <t>NET-3749</t>
  </si>
  <si>
    <t>ORD-2025-415018</t>
  </si>
  <si>
    <t>PRN-2991</t>
  </si>
  <si>
    <t>ORD-2023-884192</t>
  </si>
  <si>
    <t>LAP-4551</t>
  </si>
  <si>
    <t>ORD-2024-165942</t>
  </si>
  <si>
    <t>MON-6310</t>
  </si>
  <si>
    <t>ORD-2024-403664</t>
  </si>
  <si>
    <t>NET-1166</t>
  </si>
  <si>
    <t>ORD-2023-890605</t>
  </si>
  <si>
    <t>ACC-2903</t>
  </si>
  <si>
    <t>ORD-2024-925626</t>
  </si>
  <si>
    <t>PRN-2293</t>
  </si>
  <si>
    <t>ORD-2024-427031</t>
  </si>
  <si>
    <t>MON-1389</t>
  </si>
  <si>
    <t>ORD-2025-231184</t>
  </si>
  <si>
    <t>CMP-4093</t>
  </si>
  <si>
    <t>ORD-2023-363031</t>
  </si>
  <si>
    <t>PHN-6131</t>
  </si>
  <si>
    <t>ORD-2023-619570</t>
  </si>
  <si>
    <t>NET-4104</t>
  </si>
  <si>
    <t>ORD-2025-861401</t>
  </si>
  <si>
    <t>MON-9319</t>
  </si>
  <si>
    <t>ORD-2023-835010</t>
  </si>
  <si>
    <t>ACC-2988</t>
  </si>
  <si>
    <t>ORD-2024-819979</t>
  </si>
  <si>
    <t>PHN-9399</t>
  </si>
  <si>
    <t>ORD-2024-719055</t>
  </si>
  <si>
    <t>NET-4554</t>
  </si>
  <si>
    <t>ORD-2023-888245</t>
  </si>
  <si>
    <t>NET-5195</t>
  </si>
  <si>
    <t>ORD-2024-206121</t>
  </si>
  <si>
    <t>CMP-9801</t>
  </si>
  <si>
    <t>ORD-2024-500890</t>
  </si>
  <si>
    <t>CMP-3093</t>
  </si>
  <si>
    <t>ORD-2023-144816</t>
  </si>
  <si>
    <t>ACC-2364</t>
  </si>
  <si>
    <t>ORD-2024-153053</t>
  </si>
  <si>
    <t>CMP-5138</t>
  </si>
  <si>
    <t>ORD-2023-536542</t>
  </si>
  <si>
    <t>PHN-2337</t>
  </si>
  <si>
    <t>ORD-2025-779530</t>
  </si>
  <si>
    <t>MON-2993</t>
  </si>
  <si>
    <t>ORD-2023-163610</t>
  </si>
  <si>
    <t>LAP-9024</t>
  </si>
  <si>
    <t>ORD-2025-653781</t>
  </si>
  <si>
    <t>PHN-6307</t>
  </si>
  <si>
    <t>ORD-2025-737787</t>
  </si>
  <si>
    <t>NET-9003</t>
  </si>
  <si>
    <t>ORD-2023-944052</t>
  </si>
  <si>
    <t>ACC-3068</t>
  </si>
  <si>
    <t>ORD-2023-181257</t>
  </si>
  <si>
    <t>ACC-1060</t>
  </si>
  <si>
    <t>ORD-2025-323492</t>
  </si>
  <si>
    <t>PHN-3854</t>
  </si>
  <si>
    <t>ORD-2024-332076</t>
  </si>
  <si>
    <t>PRN-1086</t>
  </si>
  <si>
    <t>ORD-2024-571797</t>
  </si>
  <si>
    <t>PHN-7815</t>
  </si>
  <si>
    <t>ORD-2024-129345</t>
  </si>
  <si>
    <t>PRN-5384</t>
  </si>
  <si>
    <t>ORD-2023-660608</t>
  </si>
  <si>
    <t>ACC-8178</t>
  </si>
  <si>
    <t>ORD-2023-825084</t>
  </si>
  <si>
    <t>MON-1018</t>
  </si>
  <si>
    <t>ORD-2023-261081</t>
  </si>
  <si>
    <t>ACC-1238</t>
  </si>
  <si>
    <t>ORD-2023-766015</t>
  </si>
  <si>
    <t>NET-1816</t>
  </si>
  <si>
    <t>ORD-2024-333192</t>
  </si>
  <si>
    <t>PRN-4893</t>
  </si>
  <si>
    <t>ORD-2024-647473</t>
  </si>
  <si>
    <t>PHN-1717</t>
  </si>
  <si>
    <t>ORD-2024-892908</t>
  </si>
  <si>
    <t>NET-9575</t>
  </si>
  <si>
    <t>ORD-2023-573146</t>
  </si>
  <si>
    <t>LAP-3604</t>
  </si>
  <si>
    <t>ORD-2024-901115</t>
  </si>
  <si>
    <t>ACC-6626</t>
  </si>
  <si>
    <t>ORD-2023-898009</t>
  </si>
  <si>
    <t>PHN-1670</t>
  </si>
  <si>
    <t>ORD-2023-208944</t>
  </si>
  <si>
    <t>CMP-4792</t>
  </si>
  <si>
    <t>ORD-2025-480172</t>
  </si>
  <si>
    <t>LAP-1990</t>
  </si>
  <si>
    <t>ORD-2023-735274</t>
  </si>
  <si>
    <t>PRN-7410</t>
  </si>
  <si>
    <t>ORD-2023-212701</t>
  </si>
  <si>
    <t>MON-4278</t>
  </si>
  <si>
    <t>ORD-2023-479747</t>
  </si>
  <si>
    <t>ACC-5334</t>
  </si>
  <si>
    <t>ORD-2024-915495</t>
  </si>
  <si>
    <t>NET-8957</t>
  </si>
  <si>
    <t>ORD-2024-225829</t>
  </si>
  <si>
    <t>PRN-9960</t>
  </si>
  <si>
    <t>ORD-2024-921935</t>
  </si>
  <si>
    <t>ACC-3103</t>
  </si>
  <si>
    <t>ORD-2025-949776</t>
  </si>
  <si>
    <t>PRN-9490</t>
  </si>
  <si>
    <t>ORD-2024-510591</t>
  </si>
  <si>
    <t>NET-3850</t>
  </si>
  <si>
    <t>ORD-2024-961756</t>
  </si>
  <si>
    <t>ACC-7047</t>
  </si>
  <si>
    <t>ORD-2024-892173</t>
  </si>
  <si>
    <t>PRN-6660</t>
  </si>
  <si>
    <t>ORD-2024-704056</t>
  </si>
  <si>
    <t>ACC-7838</t>
  </si>
  <si>
    <t>ORD-2025-591006</t>
  </si>
  <si>
    <t>PHN-5383</t>
  </si>
  <si>
    <t>ORD-2023-159821</t>
  </si>
  <si>
    <t>LAP-3904</t>
  </si>
  <si>
    <t>ORD-2024-343877</t>
  </si>
  <si>
    <t>MON-5749</t>
  </si>
  <si>
    <t>ORD-2023-386663</t>
  </si>
  <si>
    <t>PRN-3690</t>
  </si>
  <si>
    <t>ORD-2025-125517</t>
  </si>
  <si>
    <t>CMP-7055</t>
  </si>
  <si>
    <t>ORD-2024-819778</t>
  </si>
  <si>
    <t>PHN-6866</t>
  </si>
  <si>
    <t>ORD-2025-624006</t>
  </si>
  <si>
    <t>CMP-3259</t>
  </si>
  <si>
    <t>ORD-2023-132101</t>
  </si>
  <si>
    <t>LAP-6750</t>
  </si>
  <si>
    <t>ORD-2025-306903</t>
  </si>
  <si>
    <t>PRN-3775</t>
  </si>
  <si>
    <t>ORD-2023-813340</t>
  </si>
  <si>
    <t>LAP-2942</t>
  </si>
  <si>
    <t>ORD-2023-855675</t>
  </si>
  <si>
    <t>PHN-2036</t>
  </si>
  <si>
    <t>ORD-2023-545150</t>
  </si>
  <si>
    <t>MON-4373</t>
  </si>
  <si>
    <t>ORD-2025-269934</t>
  </si>
  <si>
    <t>PRN-8657</t>
  </si>
  <si>
    <t>ORD-2024-690270</t>
  </si>
  <si>
    <t>PHN-7974</t>
  </si>
  <si>
    <t>ORD-2024-868223</t>
  </si>
  <si>
    <t>PHN-4915</t>
  </si>
  <si>
    <t>ORD-2025-188059</t>
  </si>
  <si>
    <t>NET-3535</t>
  </si>
  <si>
    <t>ORD-2023-281890</t>
  </si>
  <si>
    <t>CMP-2574</t>
  </si>
  <si>
    <t>ORD-2025-636162</t>
  </si>
  <si>
    <t>NET-7901</t>
  </si>
  <si>
    <t>ORD-2025-915869</t>
  </si>
  <si>
    <t>NET-5482</t>
  </si>
  <si>
    <t>ORD-2025-192876</t>
  </si>
  <si>
    <t>ORD-2025-822030</t>
  </si>
  <si>
    <t>NET-1336</t>
  </si>
  <si>
    <t>ORD-2025-789245</t>
  </si>
  <si>
    <t>PRN-5876</t>
  </si>
  <si>
    <t>ORD-2023-594955</t>
  </si>
  <si>
    <t>NET-3828</t>
  </si>
  <si>
    <t>ORD-2024-398783</t>
  </si>
  <si>
    <t>MON-7622</t>
  </si>
  <si>
    <t>ORD-2023-676553</t>
  </si>
  <si>
    <t>LAP-2806</t>
  </si>
  <si>
    <t>ORD-2025-866565</t>
  </si>
  <si>
    <t>PRN-8850</t>
  </si>
  <si>
    <t>ORD-2024-527858</t>
  </si>
  <si>
    <t>LAP-9100</t>
  </si>
  <si>
    <t>ORD-2023-619385</t>
  </si>
  <si>
    <t>LAP-5763</t>
  </si>
  <si>
    <t>ORD-2023-835226</t>
  </si>
  <si>
    <t>LAP-7320</t>
  </si>
  <si>
    <t>ORD-2025-485946</t>
  </si>
  <si>
    <t>MON-5891</t>
  </si>
  <si>
    <t>ORD-2024-307849</t>
  </si>
  <si>
    <t>PRN-1183</t>
  </si>
  <si>
    <t>ORD-2023-368449</t>
  </si>
  <si>
    <t>CMP-2096</t>
  </si>
  <si>
    <t>ORD-2024-251426</t>
  </si>
  <si>
    <t>PHN-3398</t>
  </si>
  <si>
    <t>ORD-2023-927385</t>
  </si>
  <si>
    <t>CMP-8545</t>
  </si>
  <si>
    <t>ORD-2025-486350</t>
  </si>
  <si>
    <t>ACC-1249</t>
  </si>
  <si>
    <t>ORD-2025-677880</t>
  </si>
  <si>
    <t>MON-9662</t>
  </si>
  <si>
    <t>ORD-2024-102866</t>
  </si>
  <si>
    <t>LAP-8347</t>
  </si>
  <si>
    <t>ORD-2025-588029</t>
  </si>
  <si>
    <t>CMP-6898</t>
  </si>
  <si>
    <t>ORD-2024-972999</t>
  </si>
  <si>
    <t>MON-3504</t>
  </si>
  <si>
    <t>ORD-2025-608069</t>
  </si>
  <si>
    <t>NET-3432</t>
  </si>
  <si>
    <t>ORD-2024-626750</t>
  </si>
  <si>
    <t>PRN-5591</t>
  </si>
  <si>
    <t>ORD-2024-170021</t>
  </si>
  <si>
    <t>CMP-2015</t>
  </si>
  <si>
    <t>ORD-2024-678110</t>
  </si>
  <si>
    <t>LAP-9901</t>
  </si>
  <si>
    <t>ORD-2025-909340</t>
  </si>
  <si>
    <t>CMP-8658</t>
  </si>
  <si>
    <t>ORD-2023-854471</t>
  </si>
  <si>
    <t>MON-2073</t>
  </si>
  <si>
    <t>ORD-2024-390951</t>
  </si>
  <si>
    <t>PRN-9378</t>
  </si>
  <si>
    <t>ORD-2025-881624</t>
  </si>
  <si>
    <t>PHN-5887</t>
  </si>
  <si>
    <t>ORD-2025-512310</t>
  </si>
  <si>
    <t>LAP-8119</t>
  </si>
  <si>
    <t>ORD-2023-674887</t>
  </si>
  <si>
    <t>ACC-9644</t>
  </si>
  <si>
    <t>ORD-2024-542244</t>
  </si>
  <si>
    <t>LAP-7009</t>
  </si>
  <si>
    <t>ORD-2024-375848</t>
  </si>
  <si>
    <t>PRN-1725</t>
  </si>
  <si>
    <t>ORD-2023-933238</t>
  </si>
  <si>
    <t>PHN-8483</t>
  </si>
  <si>
    <t>ORD-2023-732585</t>
  </si>
  <si>
    <t>PHN-3971</t>
  </si>
  <si>
    <t>ORD-2024-465898</t>
  </si>
  <si>
    <t>NET-6578</t>
  </si>
  <si>
    <t>ORD-2023-987081</t>
  </si>
  <si>
    <t>PRN-9975</t>
  </si>
  <si>
    <t>ORD-2024-655710</t>
  </si>
  <si>
    <t>ACC-1075</t>
  </si>
  <si>
    <t>ORD-2025-411385</t>
  </si>
  <si>
    <t>ACC-2902</t>
  </si>
  <si>
    <t>ORD-2025-222035</t>
  </si>
  <si>
    <t>PRN-5815</t>
  </si>
  <si>
    <t>ORD-2024-749242</t>
  </si>
  <si>
    <t>MON-4195</t>
  </si>
  <si>
    <t>ORD-2023-623293</t>
  </si>
  <si>
    <t>PHN-8478</t>
  </si>
  <si>
    <t>ORD-2025-276968</t>
  </si>
  <si>
    <t>PHN-1044</t>
  </si>
  <si>
    <t>ORD-2025-650841</t>
  </si>
  <si>
    <t>LAP-8910</t>
  </si>
  <si>
    <t>ORD-2025-831576</t>
  </si>
  <si>
    <t>PHN-2859</t>
  </si>
  <si>
    <t>ORD-2024-468655</t>
  </si>
  <si>
    <t>PRN-6308</t>
  </si>
  <si>
    <t>ORD-2024-515105</t>
  </si>
  <si>
    <t>LAP-8469</t>
  </si>
  <si>
    <t>ORD-2025-803803</t>
  </si>
  <si>
    <t>LAP-7553</t>
  </si>
  <si>
    <t>ORD-2024-993481</t>
  </si>
  <si>
    <t>PHN-3077</t>
  </si>
  <si>
    <t>ORD-2024-811752</t>
  </si>
  <si>
    <t>MON-3350</t>
  </si>
  <si>
    <t>ORD-2025-673091</t>
  </si>
  <si>
    <t>PHN-5683</t>
  </si>
  <si>
    <t>ORD-2024-381197</t>
  </si>
  <si>
    <t>PRN-2409</t>
  </si>
  <si>
    <t>ORD-2024-651852</t>
  </si>
  <si>
    <t>LAP-8825</t>
  </si>
  <si>
    <t>ORD-2023-659070</t>
  </si>
  <si>
    <t>MON-8697</t>
  </si>
  <si>
    <t>ORD-2024-837651</t>
  </si>
  <si>
    <t>MON-4789</t>
  </si>
  <si>
    <t>ORD-2024-581530</t>
  </si>
  <si>
    <t>NET-7998</t>
  </si>
  <si>
    <t>ORD-2023-378104</t>
  </si>
  <si>
    <t>PHN-8891</t>
  </si>
  <si>
    <t>ORD-2024-972318</t>
  </si>
  <si>
    <t>NET-9832</t>
  </si>
  <si>
    <t>ORD-2023-752962</t>
  </si>
  <si>
    <t>CMP-8604</t>
  </si>
  <si>
    <t>ORD-2023-808024</t>
  </si>
  <si>
    <t>ACC-6594</t>
  </si>
  <si>
    <t>ORD-2023-156396</t>
  </si>
  <si>
    <t>NET-2499</t>
  </si>
  <si>
    <t>ORD-2023-184577</t>
  </si>
  <si>
    <t>PRN-1923</t>
  </si>
  <si>
    <t>ORD-2024-446030</t>
  </si>
  <si>
    <t>PHN-4346</t>
  </si>
  <si>
    <t>ORD-2023-842820</t>
  </si>
  <si>
    <t>ACC-1375</t>
  </si>
  <si>
    <t>ORD-2024-745424</t>
  </si>
  <si>
    <t>PRN-4892</t>
  </si>
  <si>
    <t>ORD-2024-510520</t>
  </si>
  <si>
    <t>PRN-9557</t>
  </si>
  <si>
    <t>ORD-2023-769774</t>
  </si>
  <si>
    <t>PRN-8008</t>
  </si>
  <si>
    <t>ORD-2023-580751</t>
  </si>
  <si>
    <t>LAP-1946</t>
  </si>
  <si>
    <t>ORD-2025-473192</t>
  </si>
  <si>
    <t>MON-7106</t>
  </si>
  <si>
    <t>ORD-2024-886939</t>
  </si>
  <si>
    <t>MON-5386</t>
  </si>
  <si>
    <t>ORD-2024-566589</t>
  </si>
  <si>
    <t>PHN-2436</t>
  </si>
  <si>
    <t>ORD-2023-109927</t>
  </si>
  <si>
    <t>PRN-2301</t>
  </si>
  <si>
    <t>ORD-2023-780206</t>
  </si>
  <si>
    <t>ACC-3645</t>
  </si>
  <si>
    <t>ORD-2024-851993</t>
  </si>
  <si>
    <t>CMP-6811</t>
  </si>
  <si>
    <t>ORD-2025-417942</t>
  </si>
  <si>
    <t>PHN-5675</t>
  </si>
  <si>
    <t>ORD-2023-172095</t>
  </si>
  <si>
    <t>MON-6882</t>
  </si>
  <si>
    <t>ORD-2024-257550</t>
  </si>
  <si>
    <t>ACC-8620</t>
  </si>
  <si>
    <t>ORD-2023-581799</t>
  </si>
  <si>
    <t>PHN-6506</t>
  </si>
  <si>
    <t>ORD-2023-880296</t>
  </si>
  <si>
    <t>MON-5086</t>
  </si>
  <si>
    <t>ORD-2023-191563</t>
  </si>
  <si>
    <t>LAP-4899</t>
  </si>
  <si>
    <t>ORD-2024-202166</t>
  </si>
  <si>
    <t>CMP-3313</t>
  </si>
  <si>
    <t>ORD-2023-539967</t>
  </si>
  <si>
    <t>CMP-6649</t>
  </si>
  <si>
    <t>ORD-2023-704111</t>
  </si>
  <si>
    <t>ACC-5206</t>
  </si>
  <si>
    <t>ORD-2024-356812</t>
  </si>
  <si>
    <t>PRN-6911</t>
  </si>
  <si>
    <t>ORD-2025-306251</t>
  </si>
  <si>
    <t>NET-5270</t>
  </si>
  <si>
    <t>ORD-2025-496178</t>
  </si>
  <si>
    <t>CMP-5658</t>
  </si>
  <si>
    <t>ORD-2024-508213</t>
  </si>
  <si>
    <t>CMP-3938</t>
  </si>
  <si>
    <t>ORD-2024-787018</t>
  </si>
  <si>
    <t>ACC-7671</t>
  </si>
  <si>
    <t>ORD-2023-728177</t>
  </si>
  <si>
    <t>NET-6014</t>
  </si>
  <si>
    <t>ORD-2025-795385</t>
  </si>
  <si>
    <t>CMP-4159</t>
  </si>
  <si>
    <t>ORD-2025-947929</t>
  </si>
  <si>
    <t>PRN-3159</t>
  </si>
  <si>
    <t>ORD-2023-931633</t>
  </si>
  <si>
    <t>PRN-9488</t>
  </si>
  <si>
    <t>ORD-2023-243704</t>
  </si>
  <si>
    <t>PRN-7079</t>
  </si>
  <si>
    <t>ORD-2025-779659</t>
  </si>
  <si>
    <t>CMP-1220</t>
  </si>
  <si>
    <t>ORD-2024-647571</t>
  </si>
  <si>
    <t>MON-2462</t>
  </si>
  <si>
    <t>ORD-2025-683043</t>
  </si>
  <si>
    <t>PHN-9465</t>
  </si>
  <si>
    <t>ORD-2023-588455</t>
  </si>
  <si>
    <t>PRN-1271</t>
  </si>
  <si>
    <t>ORD-2024-641220</t>
  </si>
  <si>
    <t>LAP-1066</t>
  </si>
  <si>
    <t>ORD-2023-799597</t>
  </si>
  <si>
    <t>CMP-8675</t>
  </si>
  <si>
    <t>ORD-2023-569862</t>
  </si>
  <si>
    <t>LAP-1178</t>
  </si>
  <si>
    <t>ORD-2023-609394</t>
  </si>
  <si>
    <t>ACC-1731</t>
  </si>
  <si>
    <t>ORD-2024-105586</t>
  </si>
  <si>
    <t>NET-1893</t>
  </si>
  <si>
    <t>ORD-2024-207792</t>
  </si>
  <si>
    <t>PRN-3917</t>
  </si>
  <si>
    <t>ORD-2025-417336</t>
  </si>
  <si>
    <t>LAP-3220</t>
  </si>
  <si>
    <t>ORD-2025-252117</t>
  </si>
  <si>
    <t>PHN-2462</t>
  </si>
  <si>
    <t>ORD-2023-867175</t>
  </si>
  <si>
    <t>NET-2894</t>
  </si>
  <si>
    <t>ORD-2024-382152</t>
  </si>
  <si>
    <t>CMP-2335</t>
  </si>
  <si>
    <t>ORD-2023-597666</t>
  </si>
  <si>
    <t>PHN-5938</t>
  </si>
  <si>
    <t>ORD-2024-371409</t>
  </si>
  <si>
    <t>PRN-1371</t>
  </si>
  <si>
    <t>ORD-2024-973420</t>
  </si>
  <si>
    <t>PRN-5813</t>
  </si>
  <si>
    <t>ORD-2025-254721</t>
  </si>
  <si>
    <t>PHN-6480</t>
  </si>
  <si>
    <t>ORD-2024-247032</t>
  </si>
  <si>
    <t>ACC-2990</t>
  </si>
  <si>
    <t>ORD-2024-792353</t>
  </si>
  <si>
    <t>CMP-5435</t>
  </si>
  <si>
    <t>ORD-2025-703623</t>
  </si>
  <si>
    <t>ACC-1596</t>
  </si>
  <si>
    <t>ORD-2024-516704</t>
  </si>
  <si>
    <t>PHN-7852</t>
  </si>
  <si>
    <t>ORD-2024-578646</t>
  </si>
  <si>
    <t>ACC-7240</t>
  </si>
  <si>
    <t>ORD-2024-433936</t>
  </si>
  <si>
    <t>MON-8867</t>
  </si>
  <si>
    <t>ORD-2023-434071</t>
  </si>
  <si>
    <t>NET-1228</t>
  </si>
  <si>
    <t>ORD-2024-728474</t>
  </si>
  <si>
    <t>NET-1145</t>
  </si>
  <si>
    <t>ORD-2023-406606</t>
  </si>
  <si>
    <t>ACC-2867</t>
  </si>
  <si>
    <t>ORD-2025-823055</t>
  </si>
  <si>
    <t>MON-9274</t>
  </si>
  <si>
    <t>ORD-2023-573656</t>
  </si>
  <si>
    <t>MON-4830</t>
  </si>
  <si>
    <t>ORD-2024-567435</t>
  </si>
  <si>
    <t>PHN-9107</t>
  </si>
  <si>
    <t>ORD-2023-744942</t>
  </si>
  <si>
    <t>PRN-1060</t>
  </si>
  <si>
    <t>ORD-2025-331237</t>
  </si>
  <si>
    <t>NET-8329</t>
  </si>
  <si>
    <t>ORD-2025-680118</t>
  </si>
  <si>
    <t>NET-6269</t>
  </si>
  <si>
    <t>ORD-2024-310809</t>
  </si>
  <si>
    <t>CMP-6529</t>
  </si>
  <si>
    <t>ORD-2025-474368</t>
  </si>
  <si>
    <t>PHN-8776</t>
  </si>
  <si>
    <t>ORD-2024-732543</t>
  </si>
  <si>
    <t>NET-3728</t>
  </si>
  <si>
    <t>ORD-2023-867166</t>
  </si>
  <si>
    <t>LAP-3565</t>
  </si>
  <si>
    <t>ORD-2024-776337</t>
  </si>
  <si>
    <t>LAP-5078</t>
  </si>
  <si>
    <t>ORD-2023-913592</t>
  </si>
  <si>
    <t>MON-2465</t>
  </si>
  <si>
    <t>ORD-2024-961501</t>
  </si>
  <si>
    <t>CMP-3223</t>
  </si>
  <si>
    <t>ORD-2024-964950</t>
  </si>
  <si>
    <t>CMP-8127</t>
  </si>
  <si>
    <t>ORD-2023-349264</t>
  </si>
  <si>
    <t>PHN-1924</t>
  </si>
  <si>
    <t>ORD-2025-137394</t>
  </si>
  <si>
    <t>CMP-1156</t>
  </si>
  <si>
    <t>ORD-2025-635337</t>
  </si>
  <si>
    <t>LAP-3905</t>
  </si>
  <si>
    <t>ORD-2023-568013</t>
  </si>
  <si>
    <t>PRN-1786</t>
  </si>
  <si>
    <t>ORD-2025-828263</t>
  </si>
  <si>
    <t>ACC-3349</t>
  </si>
  <si>
    <t>ORD-2024-402240</t>
  </si>
  <si>
    <t>NET-4228</t>
  </si>
  <si>
    <t>ORD-2023-125739</t>
  </si>
  <si>
    <t>CMP-5633</t>
  </si>
  <si>
    <t>ORD-2024-892879</t>
  </si>
  <si>
    <t>CMP-5825</t>
  </si>
  <si>
    <t>ORD-2023-472050</t>
  </si>
  <si>
    <t>LAP-6499</t>
  </si>
  <si>
    <t>ORD-2024-468615</t>
  </si>
  <si>
    <t>ACC-3721</t>
  </si>
  <si>
    <t>ORD-2024-833375</t>
  </si>
  <si>
    <t>MON-6190</t>
  </si>
  <si>
    <t>ORD-2024-206311</t>
  </si>
  <si>
    <t>CMP-2410</t>
  </si>
  <si>
    <t>ORD-2024-364080</t>
  </si>
  <si>
    <t>PRN-2641</t>
  </si>
  <si>
    <t>ORD-2025-460466</t>
  </si>
  <si>
    <t>PRN-1882</t>
  </si>
  <si>
    <t>ORD-2023-700699</t>
  </si>
  <si>
    <t>PRN-1641</t>
  </si>
  <si>
    <t>ORD-2024-713332</t>
  </si>
  <si>
    <t>LAP-1739</t>
  </si>
  <si>
    <t>ORD-2023-640022</t>
  </si>
  <si>
    <t>PRN-4732</t>
  </si>
  <si>
    <t>ORD-2024-532184</t>
  </si>
  <si>
    <t>NET-9569</t>
  </si>
  <si>
    <t>ORD-2025-926547</t>
  </si>
  <si>
    <t>PHN-3007</t>
  </si>
  <si>
    <t>ORD-2025-778145</t>
  </si>
  <si>
    <t>MON-9216</t>
  </si>
  <si>
    <t>ORD-2023-525643</t>
  </si>
  <si>
    <t>PHN-8072</t>
  </si>
  <si>
    <t>ORD-2025-312803</t>
  </si>
  <si>
    <t>LAP-1308</t>
  </si>
  <si>
    <t>ORD-2025-149156</t>
  </si>
  <si>
    <t>LAP-7353</t>
  </si>
  <si>
    <t>ORD-2023-215819</t>
  </si>
  <si>
    <t>NET-6533</t>
  </si>
  <si>
    <t>ORD-2024-353078</t>
  </si>
  <si>
    <t>ORD-2023-621393</t>
  </si>
  <si>
    <t>ACC-9445</t>
  </si>
  <si>
    <t>ORD-2023-974506</t>
  </si>
  <si>
    <t>PRN-1654</t>
  </si>
  <si>
    <t>ORD-2023-811823</t>
  </si>
  <si>
    <t>NET-8787</t>
  </si>
  <si>
    <t>ORD-2023-286720</t>
  </si>
  <si>
    <t>LAP-1989</t>
  </si>
  <si>
    <t>ORD-2024-626925</t>
  </si>
  <si>
    <t>MON-8688</t>
  </si>
  <si>
    <t>ORD-2023-960380</t>
  </si>
  <si>
    <t>ACC-8242</t>
  </si>
  <si>
    <t>ORD-2023-453699</t>
  </si>
  <si>
    <t>LAP-4666</t>
  </si>
  <si>
    <t>ORD-2025-960931</t>
  </si>
  <si>
    <t>NET-5196</t>
  </si>
  <si>
    <t>ORD-2024-419248</t>
  </si>
  <si>
    <t>MON-8422</t>
  </si>
  <si>
    <t>ORD-2023-488227</t>
  </si>
  <si>
    <t>ACC-3415</t>
  </si>
  <si>
    <t>ORD-2023-472078</t>
  </si>
  <si>
    <t>PRN-9624</t>
  </si>
  <si>
    <t>ORD-2024-202877</t>
  </si>
  <si>
    <t>MON-6287</t>
  </si>
  <si>
    <t>ORD-2024-140633</t>
  </si>
  <si>
    <t>NET-4491</t>
  </si>
  <si>
    <t>ORD-2025-419532</t>
  </si>
  <si>
    <t>MON-4317</t>
  </si>
  <si>
    <t>ORD-2023-139236</t>
  </si>
  <si>
    <t>NET-7349</t>
  </si>
  <si>
    <t>ORD-2025-337268</t>
  </si>
  <si>
    <t>ACC-5150</t>
  </si>
  <si>
    <t>ORD-2025-332931</t>
  </si>
  <si>
    <t>ACC-5144</t>
  </si>
  <si>
    <t>ORD-2024-536442</t>
  </si>
  <si>
    <t>PHN-6111</t>
  </si>
  <si>
    <t>ORD-2023-957692</t>
  </si>
  <si>
    <t>ACC-9283</t>
  </si>
  <si>
    <t>ORD-2025-874124</t>
  </si>
  <si>
    <t>PRN-2407</t>
  </si>
  <si>
    <t>ORD-2024-687073</t>
  </si>
  <si>
    <t>MON-7099</t>
  </si>
  <si>
    <t>ORD-2024-555229</t>
  </si>
  <si>
    <t>ACC-7354</t>
  </si>
  <si>
    <t>ORD-2024-872291</t>
  </si>
  <si>
    <t>PRN-6585</t>
  </si>
  <si>
    <t>ORD-2024-250862</t>
  </si>
  <si>
    <t>CMP-9498</t>
  </si>
  <si>
    <t>ORD-2024-331226</t>
  </si>
  <si>
    <t>PHN-1919</t>
  </si>
  <si>
    <t>ORD-2023-356427</t>
  </si>
  <si>
    <t>MON-6053</t>
  </si>
  <si>
    <t>ORD-2025-659650</t>
  </si>
  <si>
    <t>NET-2502</t>
  </si>
  <si>
    <t>ORD-2024-207669</t>
  </si>
  <si>
    <t>LAP-5689</t>
  </si>
  <si>
    <t>ORD-2024-979401</t>
  </si>
  <si>
    <t>CMP-5911</t>
  </si>
  <si>
    <t>ORD-2025-929414</t>
  </si>
  <si>
    <t>LAP-7523</t>
  </si>
  <si>
    <t>ORD-2024-766980</t>
  </si>
  <si>
    <t>MON-1118</t>
  </si>
  <si>
    <t>ORD-2024-437164</t>
  </si>
  <si>
    <t>NET-9177</t>
  </si>
  <si>
    <t>ORD-2025-169093</t>
  </si>
  <si>
    <t>CMP-6495</t>
  </si>
  <si>
    <t>ORD-2023-868460</t>
  </si>
  <si>
    <t>ACC-4587</t>
  </si>
  <si>
    <t>ORD-2025-177994</t>
  </si>
  <si>
    <t>PHN-4395</t>
  </si>
  <si>
    <t>ORD-2024-355095</t>
  </si>
  <si>
    <t>LAP-3581</t>
  </si>
  <si>
    <t>ORD-2023-126505</t>
  </si>
  <si>
    <t>MON-6065</t>
  </si>
  <si>
    <t>ORD-2023-340056</t>
  </si>
  <si>
    <t>CMP-4945</t>
  </si>
  <si>
    <t>ORD-2025-281413</t>
  </si>
  <si>
    <t>NET-3785</t>
  </si>
  <si>
    <t>ORD-2023-713614</t>
  </si>
  <si>
    <t>NET-3689</t>
  </si>
  <si>
    <t>ORD-2023-173313</t>
  </si>
  <si>
    <t>ACC-3833</t>
  </si>
  <si>
    <t>ORD-2024-496601</t>
  </si>
  <si>
    <t>NET-2932</t>
  </si>
  <si>
    <t>ORD-2025-155182</t>
  </si>
  <si>
    <t>PHN-7636</t>
  </si>
  <si>
    <t>ORD-2023-244375</t>
  </si>
  <si>
    <t>CMP-1223</t>
  </si>
  <si>
    <t>ORD-2023-856322</t>
  </si>
  <si>
    <t>MON-7207</t>
  </si>
  <si>
    <t>ORD-2024-594527</t>
  </si>
  <si>
    <t>LAP-4483</t>
  </si>
  <si>
    <t>ORD-2024-689872</t>
  </si>
  <si>
    <t>LAP-1969</t>
  </si>
  <si>
    <t>ORD-2025-246692</t>
  </si>
  <si>
    <t>PHN-4566</t>
  </si>
  <si>
    <t>ORD-2023-378676</t>
  </si>
  <si>
    <t>PHN-5366</t>
  </si>
  <si>
    <t>ORD-2024-243988</t>
  </si>
  <si>
    <t>CMP-9001</t>
  </si>
  <si>
    <t>ORD-2024-572312</t>
  </si>
  <si>
    <t>PHN-9677</t>
  </si>
  <si>
    <t>ORD-2025-281062</t>
  </si>
  <si>
    <t>ACC-1604</t>
  </si>
  <si>
    <t>ORD-2023-727290</t>
  </si>
  <si>
    <t>ACC-4815</t>
  </si>
  <si>
    <t>ORD-2025-993993</t>
  </si>
  <si>
    <t>CMP-5311</t>
  </si>
  <si>
    <t>ORD-2023-619493</t>
  </si>
  <si>
    <t>NET-1282</t>
  </si>
  <si>
    <t>ORD-2024-947056</t>
  </si>
  <si>
    <t>MON-1564</t>
  </si>
  <si>
    <t>ORD-2025-856556</t>
  </si>
  <si>
    <t>ACC-7906</t>
  </si>
  <si>
    <t>ORD-2024-442776</t>
  </si>
  <si>
    <t>LAP-6577</t>
  </si>
  <si>
    <t>ORD-2025-705398</t>
  </si>
  <si>
    <t>CMP-5065</t>
  </si>
  <si>
    <t>ORD-2023-689428</t>
  </si>
  <si>
    <t>PRN-4787</t>
  </si>
  <si>
    <t>ORD-2025-683247</t>
  </si>
  <si>
    <t>PRN-9867</t>
  </si>
  <si>
    <t>ORD-2024-585443</t>
  </si>
  <si>
    <t>MON-2849</t>
  </si>
  <si>
    <t>ORD-2024-907733</t>
  </si>
  <si>
    <t>LAP-8633</t>
  </si>
  <si>
    <t>ORD-2024-550400</t>
  </si>
  <si>
    <t>PRN-9793</t>
  </si>
  <si>
    <t>ORD-2025-189846</t>
  </si>
  <si>
    <t>NET-6218</t>
  </si>
  <si>
    <t>ORD-2025-752192</t>
  </si>
  <si>
    <t>PRN-6131</t>
  </si>
  <si>
    <t>ORD-2023-294716</t>
  </si>
  <si>
    <t>PRN-5067</t>
  </si>
  <si>
    <t>ORD-2023-552115</t>
  </si>
  <si>
    <t>LAP-4932</t>
  </si>
  <si>
    <t>ORD-2023-107265</t>
  </si>
  <si>
    <t>ACC-7713</t>
  </si>
  <si>
    <t>ORD-2025-262434</t>
  </si>
  <si>
    <t>PHN-7379</t>
  </si>
  <si>
    <t>ORD-2024-266562</t>
  </si>
  <si>
    <t>PRN-5569</t>
  </si>
  <si>
    <t>ORD-2024-838925</t>
  </si>
  <si>
    <t>CMP-1470</t>
  </si>
  <si>
    <t>ORD-2023-664790</t>
  </si>
  <si>
    <t>PRN-9249</t>
  </si>
  <si>
    <t>ORD-2024-331408</t>
  </si>
  <si>
    <t>PRN-4906</t>
  </si>
  <si>
    <t>ORD-2024-741404</t>
  </si>
  <si>
    <t>MON-8129</t>
  </si>
  <si>
    <t>ORD-2024-341535</t>
  </si>
  <si>
    <t>NET-5987</t>
  </si>
  <si>
    <t>ORD-2023-451931</t>
  </si>
  <si>
    <t>NET-5423</t>
  </si>
  <si>
    <t>ORD-2025-532859</t>
  </si>
  <si>
    <t>PRN-5264</t>
  </si>
  <si>
    <t>ORD-2023-502205</t>
  </si>
  <si>
    <t>NET-8856</t>
  </si>
  <si>
    <t>ORD-2024-930679</t>
  </si>
  <si>
    <t>MON-4215</t>
  </si>
  <si>
    <t>ORD-2025-150713</t>
  </si>
  <si>
    <t>PRN-5753</t>
  </si>
  <si>
    <t>ORD-2024-756884</t>
  </si>
  <si>
    <t>CMP-5006</t>
  </si>
  <si>
    <t>ORD-2023-755337</t>
  </si>
  <si>
    <t>ACC-4766</t>
  </si>
  <si>
    <t>ORD-2025-907040</t>
  </si>
  <si>
    <t>NET-8610</t>
  </si>
  <si>
    <t>ORD-2024-817997</t>
  </si>
  <si>
    <t>NET-4675</t>
  </si>
  <si>
    <t>ORD-2025-649633</t>
  </si>
  <si>
    <t>ACC-1028</t>
  </si>
  <si>
    <t>ORD-2023-885216</t>
  </si>
  <si>
    <t>NET-4735</t>
  </si>
  <si>
    <t>ORD-2023-561823</t>
  </si>
  <si>
    <t>NET-2460</t>
  </si>
  <si>
    <t>ORD-2023-249805</t>
  </si>
  <si>
    <t>CMP-1555</t>
  </si>
  <si>
    <t>ORD-2023-548934</t>
  </si>
  <si>
    <t>MON-3773</t>
  </si>
  <si>
    <t>ORD-2023-921939</t>
  </si>
  <si>
    <t>PHN-4677</t>
  </si>
  <si>
    <t>ORD-2023-961864</t>
  </si>
  <si>
    <t>CMP-1940</t>
  </si>
  <si>
    <t>ORD-2023-455933</t>
  </si>
  <si>
    <t>PHN-9184</t>
  </si>
  <si>
    <t>ORD-2025-728935</t>
  </si>
  <si>
    <t>LAP-3017</t>
  </si>
  <si>
    <t>Not Provided</t>
  </si>
  <si>
    <t>Leadtime days</t>
  </si>
  <si>
    <t>Gross Revenue</t>
  </si>
  <si>
    <t>Cost of Goods</t>
  </si>
  <si>
    <t>Gross Profit</t>
  </si>
  <si>
    <t>Margin Percentage</t>
  </si>
  <si>
    <t>Quarter</t>
  </si>
  <si>
    <t>Month</t>
  </si>
  <si>
    <t>Region Hierachy</t>
  </si>
  <si>
    <t>Product  Category</t>
  </si>
  <si>
    <t>Derived Price Band</t>
  </si>
  <si>
    <t>Price Band</t>
  </si>
  <si>
    <t>Row Labels</t>
  </si>
  <si>
    <t>Grand Total</t>
  </si>
  <si>
    <t>Jan-2023</t>
  </si>
  <si>
    <t>Feb-2023</t>
  </si>
  <si>
    <t>Mar-2023</t>
  </si>
  <si>
    <t>Apr-2023</t>
  </si>
  <si>
    <t>May-2023</t>
  </si>
  <si>
    <t>Jun-2023</t>
  </si>
  <si>
    <t>Jul-2023</t>
  </si>
  <si>
    <t>Aug-2023</t>
  </si>
  <si>
    <t>Sept-2023</t>
  </si>
  <si>
    <t>Oct-2023</t>
  </si>
  <si>
    <t>Nov-2023</t>
  </si>
  <si>
    <t>Dec-2023</t>
  </si>
  <si>
    <t>Jan-2024</t>
  </si>
  <si>
    <t>Feb-2024</t>
  </si>
  <si>
    <t>Mar-2024</t>
  </si>
  <si>
    <t>Apr-2024</t>
  </si>
  <si>
    <t>May-2024</t>
  </si>
  <si>
    <t>Jun-2024</t>
  </si>
  <si>
    <t>Jul-2024</t>
  </si>
  <si>
    <t>Aug-2024</t>
  </si>
  <si>
    <t>Sept-2024</t>
  </si>
  <si>
    <t>Oct-2024</t>
  </si>
  <si>
    <t>Nov-2024</t>
  </si>
  <si>
    <t>Dec-2024</t>
  </si>
  <si>
    <t>Jan-2025</t>
  </si>
  <si>
    <t>Feb-2025</t>
  </si>
  <si>
    <t>Mar-2025</t>
  </si>
  <si>
    <t>Apr-2025</t>
  </si>
  <si>
    <t>May-2025</t>
  </si>
  <si>
    <t>Jun-2025</t>
  </si>
  <si>
    <t>Jul-2025</t>
  </si>
  <si>
    <t>Aug-2025</t>
  </si>
  <si>
    <t>Sept-2025</t>
  </si>
  <si>
    <t>Column Labels</t>
  </si>
  <si>
    <t>(All)</t>
  </si>
  <si>
    <t>Order Month</t>
  </si>
  <si>
    <t>Cohort Month</t>
  </si>
  <si>
    <t>First Sale Date</t>
  </si>
  <si>
    <t>Dec-2025</t>
  </si>
  <si>
    <t>Nov-2025</t>
  </si>
  <si>
    <t>Oct-2025</t>
  </si>
  <si>
    <t>Sum of Gross Revenue</t>
  </si>
  <si>
    <t>Revenue Per Order</t>
  </si>
  <si>
    <t>Count of OrderID</t>
  </si>
  <si>
    <t>Average Orders Per Month</t>
  </si>
  <si>
    <t>Sum of Gross Profit</t>
  </si>
  <si>
    <t>GP/Order</t>
  </si>
  <si>
    <t>Highest Rank</t>
  </si>
  <si>
    <t>Lowest Rank</t>
  </si>
  <si>
    <t>Sales Person</t>
  </si>
  <si>
    <t>Revenue % Share</t>
  </si>
  <si>
    <t>Month two we have channel migration</t>
  </si>
  <si>
    <t>Month 3 , Market place is the prefered channel.</t>
  </si>
  <si>
    <t>Market Place</t>
  </si>
  <si>
    <t>Sum of Leadtime days</t>
  </si>
  <si>
    <t>Service Level %</t>
  </si>
  <si>
    <t>Performance Band</t>
  </si>
  <si>
    <t>Sum of DiscountPct</t>
  </si>
  <si>
    <t>High Discount Flag</t>
  </si>
  <si>
    <t>Share Of High Discount Orders</t>
  </si>
  <si>
    <t>Scenario Control</t>
  </si>
  <si>
    <t>Parameter</t>
  </si>
  <si>
    <t>Cell</t>
  </si>
  <si>
    <t>Min</t>
  </si>
  <si>
    <t>Max</t>
  </si>
  <si>
    <t>Current Value</t>
  </si>
  <si>
    <t>Global Discount Cap</t>
  </si>
  <si>
    <t>UnitCost Inflation</t>
  </si>
  <si>
    <t>Quantity Uplift</t>
  </si>
  <si>
    <t>C5</t>
  </si>
  <si>
    <t>C6</t>
  </si>
  <si>
    <t>C7</t>
  </si>
  <si>
    <t>Original Data</t>
  </si>
  <si>
    <t>Scenario Data</t>
  </si>
  <si>
    <t>Revenue</t>
  </si>
  <si>
    <t>Current</t>
  </si>
  <si>
    <t>Scenario</t>
  </si>
  <si>
    <t>Revenue Contribution %</t>
  </si>
  <si>
    <t>Frequency</t>
  </si>
  <si>
    <t>Cummulative %</t>
  </si>
  <si>
    <t>Class</t>
  </si>
  <si>
    <t>Product Category</t>
  </si>
  <si>
    <t>B</t>
  </si>
  <si>
    <t>C</t>
  </si>
  <si>
    <t>A</t>
  </si>
  <si>
    <t>Africa Region : Generated the highest revenue contribution accounting for approximately 25.72% of total sales indicating strong market demand and effective channel coverage.</t>
  </si>
  <si>
    <t>Discount Management : Several sales persons and regions showed discount rates  exceeding 20% yet these transactions did not consistently produce higer revenue or profit indicating opportunities to improve pricing compliance and margin protection.</t>
  </si>
  <si>
    <t>SKU Concentration: The top 10SKUs contributed approximately 24% of total revenue , revealing a high reliance on a relatively number of products and suggesting the need for inventory prioritization.</t>
  </si>
  <si>
    <t>Channel Profitability: The retail channel generated the largest share of revenue while the online channel delivered the highest profit marginindicating stronger profitability despite lower sales volume.</t>
  </si>
  <si>
    <t>Asia Region: Recorded the fastest month over month revenue growth driven primarily by strong performance in the online channel and increased sales.</t>
  </si>
  <si>
    <t>Europe : Achieved the highest revenue percentage in the direct channel of 33% suggesting better pricing discipline and lower discount dependency compared to other regions.</t>
  </si>
  <si>
    <t>Online sales appear more profitable than traditional channels.</t>
  </si>
  <si>
    <t>Margin%</t>
  </si>
  <si>
    <t>On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</si>
</sst>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mmm\-yyyy"/>
    <numFmt numFmtId="166" formatCode="dd\-mmm\-yyyy"/>
    <numFmt numFmtId="167" formatCode="0.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bottom style="thin">
        <color theme="4" tint="0.39997558519241921"/>
      </bottom>
      <diagonal/>
    </border>
    <border>
      <left style="thin">
        <color auto="1"/>
      </left>
      <right style="thin">
        <color auto="1"/>
      </right>
      <top/>
      <bottom style="thin">
        <color auto="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s>
  <cellStyleXfs count="1">
    <xf numFmtId="0" fontId="0" fillId="0" borderId="0"/>
  </cellStyleXfs>
  <cellXfs count="52">
    <xf numFmtId="0" fontId="0" fillId="0" borderId="0" xfId="0"/>
    <xf numFmtId="0" fontId="1" fillId="0" borderId="1" xfId="0" applyFont="1" applyBorder="1" applyAlignment="1">
      <alignment horizontal="center" vertical="top"/>
    </xf>
    <xf numFmtId="164" fontId="0" fillId="0" borderId="0" xfId="0" applyNumberFormat="1"/>
    <xf numFmtId="2" fontId="1" fillId="0" borderId="1" xfId="0" applyNumberFormat="1" applyFont="1" applyBorder="1" applyAlignment="1">
      <alignment horizontal="center" vertical="top"/>
    </xf>
    <xf numFmtId="2" fontId="0" fillId="0" borderId="0" xfId="0" applyNumberFormat="1"/>
    <xf numFmtId="2" fontId="1" fillId="0" borderId="1" xfId="0" applyNumberFormat="1" applyFont="1" applyFill="1" applyBorder="1" applyAlignment="1">
      <alignment horizontal="center" vertical="top"/>
    </xf>
    <xf numFmtId="165" fontId="1" fillId="0" borderId="1" xfId="0" applyNumberFormat="1" applyFont="1" applyBorder="1" applyAlignment="1">
      <alignment horizontal="center" vertical="top"/>
    </xf>
    <xf numFmtId="165" fontId="0" fillId="0" borderId="0" xfId="0" applyNumberFormat="1"/>
    <xf numFmtId="2" fontId="0" fillId="0" borderId="0" xfId="0" quotePrefix="1"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166" fontId="0" fillId="0" borderId="0" xfId="0" applyNumberFormat="1"/>
    <xf numFmtId="15" fontId="0" fillId="0" borderId="0" xfId="0" applyNumberFormat="1"/>
    <xf numFmtId="2" fontId="1" fillId="0" borderId="2" xfId="0" applyNumberFormat="1" applyFont="1" applyFill="1" applyBorder="1" applyAlignment="1">
      <alignment horizontal="center" vertical="top"/>
    </xf>
    <xf numFmtId="0" fontId="1" fillId="0" borderId="0" xfId="0" applyFont="1"/>
    <xf numFmtId="1" fontId="0" fillId="0" borderId="0" xfId="0" applyNumberFormat="1"/>
    <xf numFmtId="10" fontId="0" fillId="0" borderId="0" xfId="0" applyNumberFormat="1"/>
    <xf numFmtId="10" fontId="1" fillId="0" borderId="0" xfId="0" applyNumberFormat="1" applyFont="1"/>
    <xf numFmtId="10" fontId="0" fillId="2" borderId="0" xfId="0" applyNumberFormat="1" applyFill="1"/>
    <xf numFmtId="9" fontId="0" fillId="0" borderId="0" xfId="0" applyNumberFormat="1"/>
    <xf numFmtId="167" fontId="0" fillId="0" borderId="0" xfId="0" applyNumberFormat="1"/>
    <xf numFmtId="2" fontId="1" fillId="0" borderId="0" xfId="0" applyNumberFormat="1" applyFont="1" applyBorder="1" applyAlignment="1">
      <alignment horizontal="center" vertical="top"/>
    </xf>
    <xf numFmtId="0" fontId="0" fillId="0" borderId="1" xfId="0" applyBorder="1"/>
    <xf numFmtId="2" fontId="0" fillId="0" borderId="1" xfId="0" applyNumberFormat="1" applyBorder="1"/>
    <xf numFmtId="2" fontId="0" fillId="0" borderId="0" xfId="0" applyNumberFormat="1" applyBorder="1"/>
    <xf numFmtId="0" fontId="1" fillId="0" borderId="1" xfId="0" applyFont="1" applyBorder="1"/>
    <xf numFmtId="10" fontId="0" fillId="0" borderId="0" xfId="0" applyNumberFormat="1" applyAlignment="1">
      <alignment horizontal="left"/>
    </xf>
    <xf numFmtId="0" fontId="1" fillId="0" borderId="3" xfId="0" applyFont="1" applyBorder="1" applyAlignment="1">
      <alignment horizontal="left"/>
    </xf>
    <xf numFmtId="0" fontId="1" fillId="0" borderId="3" xfId="0" applyNumberFormat="1" applyFont="1" applyBorder="1"/>
    <xf numFmtId="0" fontId="1" fillId="0" borderId="0" xfId="0" applyNumberFormat="1" applyFont="1"/>
    <xf numFmtId="2" fontId="1" fillId="0" borderId="0" xfId="0" applyNumberFormat="1" applyFont="1"/>
    <xf numFmtId="0" fontId="1" fillId="0" borderId="4" xfId="0" applyFont="1" applyBorder="1" applyAlignment="1">
      <alignment horizontal="center" vertical="top"/>
    </xf>
    <xf numFmtId="165" fontId="1" fillId="0" borderId="4" xfId="0" applyNumberFormat="1" applyFont="1" applyBorder="1" applyAlignment="1">
      <alignment horizontal="center" vertical="top"/>
    </xf>
    <xf numFmtId="2" fontId="1" fillId="0" borderId="4" xfId="0" applyNumberFormat="1" applyFont="1" applyBorder="1" applyAlignment="1">
      <alignment horizontal="center" vertical="top"/>
    </xf>
    <xf numFmtId="2" fontId="1" fillId="0" borderId="4" xfId="0" applyNumberFormat="1" applyFont="1" applyFill="1" applyBorder="1" applyAlignment="1">
      <alignment horizontal="center" vertical="top"/>
    </xf>
    <xf numFmtId="0" fontId="0" fillId="3" borderId="5" xfId="0" applyFont="1" applyFill="1" applyBorder="1"/>
    <xf numFmtId="0" fontId="0" fillId="0" borderId="5" xfId="0" applyFont="1" applyBorder="1"/>
    <xf numFmtId="0" fontId="0" fillId="3" borderId="7" xfId="0" applyFont="1" applyFill="1" applyBorder="1"/>
    <xf numFmtId="165" fontId="0" fillId="3" borderId="5" xfId="0" applyNumberFormat="1" applyFont="1" applyFill="1" applyBorder="1"/>
    <xf numFmtId="164" fontId="0" fillId="3" borderId="5" xfId="0" applyNumberFormat="1" applyFont="1" applyFill="1" applyBorder="1"/>
    <xf numFmtId="2" fontId="0" fillId="3" borderId="5" xfId="0" applyNumberFormat="1" applyFont="1" applyFill="1" applyBorder="1"/>
    <xf numFmtId="2" fontId="0" fillId="3" borderId="5" xfId="0" quotePrefix="1" applyNumberFormat="1" applyFont="1" applyFill="1" applyBorder="1"/>
    <xf numFmtId="2" fontId="0" fillId="3" borderId="6" xfId="0" applyNumberFormat="1" applyFont="1" applyFill="1" applyBorder="1"/>
    <xf numFmtId="0" fontId="0" fillId="0" borderId="7" xfId="0" applyFont="1" applyBorder="1"/>
    <xf numFmtId="165" fontId="0" fillId="0" borderId="5" xfId="0" applyNumberFormat="1" applyFont="1" applyBorder="1"/>
    <xf numFmtId="164" fontId="0" fillId="0" borderId="5" xfId="0" applyNumberFormat="1" applyFont="1" applyBorder="1"/>
    <xf numFmtId="2" fontId="0" fillId="0" borderId="5" xfId="0" applyNumberFormat="1" applyFont="1" applyBorder="1"/>
    <xf numFmtId="2" fontId="0" fillId="0" borderId="5" xfId="0" quotePrefix="1" applyNumberFormat="1" applyFont="1" applyBorder="1"/>
    <xf numFmtId="2" fontId="0" fillId="0" borderId="6" xfId="0" applyNumberFormat="1" applyFont="1" applyBorder="1"/>
    <xf numFmtId="49" fontId="0" fillId="0" borderId="0" xfId="0" applyNumberFormat="1"/>
  </cellXfs>
  <cellStyles count="1">
    <cellStyle name="Normal" xfId="0" builtinId="0"/>
  </cellStyles>
  <dxfs count="3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yyyy\-mm\-dd"/>
    </dxf>
    <dxf>
      <numFmt numFmtId="165" formatCode="m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6.xml"/><Relationship Id="rId39" Type="http://schemas.microsoft.com/office/2007/relationships/slicerCache" Target="slicerCaches/slicerCache12.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34" Type="http://schemas.microsoft.com/office/2007/relationships/slicerCache" Target="slicerCaches/slicerCache7.xml"/><Relationship Id="rId42"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5.xml"/><Relationship Id="rId33" Type="http://schemas.microsoft.com/office/2007/relationships/slicerCache" Target="slicerCaches/slicerCache6.xml"/><Relationship Id="rId38" Type="http://schemas.microsoft.com/office/2007/relationships/slicerCache" Target="slicerCaches/slicerCache1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2.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4.xml"/><Relationship Id="rId32" Type="http://schemas.microsoft.com/office/2007/relationships/slicerCache" Target="slicerCaches/slicerCache5.xml"/><Relationship Id="rId37" Type="http://schemas.microsoft.com/office/2007/relationships/slicerCache" Target="slicerCaches/slicerCache10.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3.xml"/><Relationship Id="rId28" Type="http://schemas.microsoft.com/office/2007/relationships/slicerCache" Target="slicerCaches/slicerCache1.xml"/><Relationship Id="rId36" Type="http://schemas.microsoft.com/office/2007/relationships/slicerCache" Target="slicerCaches/slicerCache9.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4.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2.xml"/><Relationship Id="rId27" Type="http://schemas.openxmlformats.org/officeDocument/2006/relationships/pivotCacheDefinition" Target="pivotCache/pivotCacheDefinition7.xml"/><Relationship Id="rId30" Type="http://schemas.microsoft.com/office/2007/relationships/slicerCache" Target="slicerCaches/slicerCache3.xml"/><Relationship Id="rId35" Type="http://schemas.microsoft.com/office/2007/relationships/slicerCache" Target="slicerCaches/slicerCache8.xml"/><Relationship Id="rId43"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[Assigment 2.xlsx]Pivot ABC Data!PivotTable2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ABC Data'!$E$16</c:f>
              <c:strCache>
                <c:ptCount val="1"/>
                <c:pt idx="0">
                  <c:v>Total</c:v>
                </c:pt>
              </c:strCache>
            </c:strRef>
          </c:tx>
          <c:spPr>
            <a:solidFill>
              <a:schemeClr val="accent1"/>
            </a:solidFill>
            <a:ln>
              <a:noFill/>
            </a:ln>
            <a:effectLst/>
          </c:spPr>
          <c:invertIfNegative val="0"/>
          <c:cat>
            <c:multiLvlStrRef>
              <c:f>'Pivot ABC Data'!$D$17:$D$31</c:f>
              <c:multiLvlStrCache>
                <c:ptCount val="7"/>
                <c:lvl>
                  <c:pt idx="0">
                    <c:v>B</c:v>
                  </c:pt>
                  <c:pt idx="1">
                    <c:v>C</c:v>
                  </c:pt>
                  <c:pt idx="2">
                    <c:v>A</c:v>
                  </c:pt>
                  <c:pt idx="3">
                    <c:v>A</c:v>
                  </c:pt>
                  <c:pt idx="4">
                    <c:v>A</c:v>
                  </c:pt>
                  <c:pt idx="5">
                    <c:v>A</c:v>
                  </c:pt>
                  <c:pt idx="6">
                    <c:v>A</c:v>
                  </c:pt>
                </c:lvl>
                <c:lvl>
                  <c:pt idx="0">
                    <c:v>Accessories</c:v>
                  </c:pt>
                  <c:pt idx="1">
                    <c:v>Components</c:v>
                  </c:pt>
                  <c:pt idx="2">
                    <c:v>Laptops</c:v>
                  </c:pt>
                  <c:pt idx="3">
                    <c:v>Monitors</c:v>
                  </c:pt>
                  <c:pt idx="4">
                    <c:v>Networking</c:v>
                  </c:pt>
                  <c:pt idx="5">
                    <c:v>Phones</c:v>
                  </c:pt>
                  <c:pt idx="6">
                    <c:v>Printers</c:v>
                  </c:pt>
                </c:lvl>
              </c:multiLvlStrCache>
            </c:multiLvlStrRef>
          </c:cat>
          <c:val>
            <c:numRef>
              <c:f>'Pivot ABC Data'!$E$17:$E$31</c:f>
              <c:numCache>
                <c:formatCode>General</c:formatCode>
                <c:ptCount val="7"/>
                <c:pt idx="0">
                  <c:v>1352771.8338100002</c:v>
                </c:pt>
                <c:pt idx="1">
                  <c:v>1248766.6529700004</c:v>
                </c:pt>
                <c:pt idx="2">
                  <c:v>1405895.7169900001</c:v>
                </c:pt>
                <c:pt idx="3">
                  <c:v>1493059.8076100003</c:v>
                </c:pt>
                <c:pt idx="4">
                  <c:v>1471202.46594</c:v>
                </c:pt>
                <c:pt idx="5">
                  <c:v>1573214.03728</c:v>
                </c:pt>
                <c:pt idx="6">
                  <c:v>1926575.4344300001</c:v>
                </c:pt>
              </c:numCache>
            </c:numRef>
          </c:val>
          <c:extLst>
            <c:ext xmlns:c16="http://schemas.microsoft.com/office/drawing/2014/chart" uri="{C3380CC4-5D6E-409C-BE32-E72D297353CC}">
              <c16:uniqueId val="{00000000-1C6B-45EB-B69A-305CCA8062D6}"/>
            </c:ext>
          </c:extLst>
        </c:ser>
        <c:dLbls>
          <c:showLegendKey val="0"/>
          <c:showVal val="0"/>
          <c:showCatName val="0"/>
          <c:showSerName val="0"/>
          <c:showPercent val="0"/>
          <c:showBubbleSize val="0"/>
        </c:dLbls>
        <c:gapWidth val="150"/>
        <c:overlap val="100"/>
        <c:axId val="582258904"/>
        <c:axId val="582256280"/>
      </c:barChart>
      <c:catAx>
        <c:axId val="582258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82256280"/>
        <c:crosses val="autoZero"/>
        <c:auto val="1"/>
        <c:lblAlgn val="ctr"/>
        <c:lblOffset val="100"/>
        <c:noMultiLvlLbl val="0"/>
      </c:catAx>
      <c:valAx>
        <c:axId val="582256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82258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col"/>
        <c:grouping val="clustered"/>
        <c:varyColors val="0"/>
        <c:ser>
          <c:idx val="0"/>
          <c:order val="0"/>
          <c:tx>
            <c:strRef>
              <c:f>'Sales person Pivot'!$F$3</c:f>
              <c:strCache>
                <c:ptCount val="1"/>
                <c:pt idx="0">
                  <c:v>Revenue Per Order</c:v>
                </c:pt>
              </c:strCache>
            </c:strRef>
          </c:tx>
          <c:spPr>
            <a:solidFill>
              <a:schemeClr val="accent1"/>
            </a:solidFill>
            <a:ln>
              <a:noFill/>
            </a:ln>
            <a:effectLst/>
          </c:spPr>
          <c:invertIfNegative val="0"/>
          <c:cat>
            <c:strRef>
              <c:f>'Sales person Pivot'!$E$4:$E$19</c:f>
              <c:strCache>
                <c:ptCount val="16"/>
                <c:pt idx="0">
                  <c:v>O. Wang</c:v>
                </c:pt>
                <c:pt idx="1">
                  <c:v>Not Provided</c:v>
                </c:pt>
                <c:pt idx="2">
                  <c:v>N. Brown</c:v>
                </c:pt>
                <c:pt idx="3">
                  <c:v>M. Rossi</c:v>
                </c:pt>
                <c:pt idx="4">
                  <c:v>L. Okafor</c:v>
                </c:pt>
                <c:pt idx="5">
                  <c:v>K. Singh</c:v>
                </c:pt>
                <c:pt idx="6">
                  <c:v>J. Njeri</c:v>
                </c:pt>
                <c:pt idx="7">
                  <c:v>I. Johnson</c:v>
                </c:pt>
                <c:pt idx="8">
                  <c:v>H. Kim</c:v>
                </c:pt>
                <c:pt idx="9">
                  <c:v>G. Dubois</c:v>
                </c:pt>
                <c:pt idx="10">
                  <c:v>F. Müller</c:v>
                </c:pt>
                <c:pt idx="11">
                  <c:v>E. Garcia</c:v>
                </c:pt>
                <c:pt idx="12">
                  <c:v>D. Smith</c:v>
                </c:pt>
                <c:pt idx="13">
                  <c:v>C. Otieno</c:v>
                </c:pt>
                <c:pt idx="14">
                  <c:v>B. Chen</c:v>
                </c:pt>
                <c:pt idx="15">
                  <c:v>A. Patel</c:v>
                </c:pt>
              </c:strCache>
            </c:strRef>
          </c:cat>
          <c:val>
            <c:numRef>
              <c:f>'Sales person Pivot'!$F$4:$F$19</c:f>
              <c:numCache>
                <c:formatCode>0.00</c:formatCode>
                <c:ptCount val="16"/>
                <c:pt idx="0">
                  <c:v>17388.643956216212</c:v>
                </c:pt>
                <c:pt idx="1">
                  <c:v>24051.574898749997</c:v>
                </c:pt>
                <c:pt idx="2">
                  <c:v>16290.509833750004</c:v>
                </c:pt>
                <c:pt idx="3">
                  <c:v>15999.650141874998</c:v>
                </c:pt>
                <c:pt idx="4">
                  <c:v>15871.240650434778</c:v>
                </c:pt>
                <c:pt idx="5">
                  <c:v>20529.390231136364</c:v>
                </c:pt>
                <c:pt idx="6">
                  <c:v>15450.870679999998</c:v>
                </c:pt>
                <c:pt idx="7">
                  <c:v>15426.493877894738</c:v>
                </c:pt>
                <c:pt idx="8">
                  <c:v>15102.098098888893</c:v>
                </c:pt>
                <c:pt idx="9">
                  <c:v>20771.717332666663</c:v>
                </c:pt>
                <c:pt idx="10">
                  <c:v>21388.230059411766</c:v>
                </c:pt>
                <c:pt idx="11">
                  <c:v>14191.833629705883</c:v>
                </c:pt>
                <c:pt idx="12">
                  <c:v>14805.831474999995</c:v>
                </c:pt>
                <c:pt idx="13">
                  <c:v>14511.758131891891</c:v>
                </c:pt>
                <c:pt idx="14">
                  <c:v>16235.266306874997</c:v>
                </c:pt>
                <c:pt idx="15">
                  <c:v>13029.913478043474</c:v>
                </c:pt>
              </c:numCache>
            </c:numRef>
          </c:val>
          <c:extLst>
            <c:ext xmlns:c16="http://schemas.microsoft.com/office/drawing/2014/chart" uri="{C3380CC4-5D6E-409C-BE32-E72D297353CC}">
              <c16:uniqueId val="{00000000-7DAF-4DB6-9329-0B2397251E9C}"/>
            </c:ext>
          </c:extLst>
        </c:ser>
        <c:dLbls>
          <c:showLegendKey val="0"/>
          <c:showVal val="0"/>
          <c:showCatName val="0"/>
          <c:showSerName val="0"/>
          <c:showPercent val="0"/>
          <c:showBubbleSize val="0"/>
        </c:dLbls>
        <c:gapWidth val="219"/>
        <c:overlap val="-27"/>
        <c:axId val="589798144"/>
        <c:axId val="589801096"/>
      </c:barChart>
      <c:catAx>
        <c:axId val="589798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89801096"/>
        <c:crosses val="autoZero"/>
        <c:auto val="1"/>
        <c:lblAlgn val="ctr"/>
        <c:lblOffset val="100"/>
        <c:noMultiLvlLbl val="0"/>
      </c:catAx>
      <c:valAx>
        <c:axId val="5898010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89798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[Assigment 2.xlsx]Sales person Pivot!PivotTable6</c:name>
    <c:fmtId val="29"/>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'Sales person Pivot'!$B$3</c:f>
              <c:strCache>
                <c:ptCount val="1"/>
                <c:pt idx="0">
                  <c:v>Sum of Gross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 person Pivot'!$A$4:$A$20</c:f>
              <c:strCache>
                <c:ptCount val="16"/>
                <c:pt idx="0">
                  <c:v>A. Patel</c:v>
                </c:pt>
                <c:pt idx="1">
                  <c:v>B. Chen</c:v>
                </c:pt>
                <c:pt idx="2">
                  <c:v>C. Otieno</c:v>
                </c:pt>
                <c:pt idx="3">
                  <c:v>D. Smith</c:v>
                </c:pt>
                <c:pt idx="4">
                  <c:v>E. Garcia</c:v>
                </c:pt>
                <c:pt idx="5">
                  <c:v>F. Müller</c:v>
                </c:pt>
                <c:pt idx="6">
                  <c:v>G. Dubois</c:v>
                </c:pt>
                <c:pt idx="7">
                  <c:v>H. Kim</c:v>
                </c:pt>
                <c:pt idx="8">
                  <c:v>I. Johnson</c:v>
                </c:pt>
                <c:pt idx="9">
                  <c:v>J. Njeri</c:v>
                </c:pt>
                <c:pt idx="10">
                  <c:v>K. Singh</c:v>
                </c:pt>
                <c:pt idx="11">
                  <c:v>L. Okafor</c:v>
                </c:pt>
                <c:pt idx="12">
                  <c:v>M. Rossi</c:v>
                </c:pt>
                <c:pt idx="13">
                  <c:v>N. Brown</c:v>
                </c:pt>
                <c:pt idx="14">
                  <c:v>Not Provided</c:v>
                </c:pt>
                <c:pt idx="15">
                  <c:v>O. Wang</c:v>
                </c:pt>
              </c:strCache>
            </c:strRef>
          </c:cat>
          <c:val>
            <c:numRef>
              <c:f>'Sales person Pivot'!$B$4:$B$20</c:f>
              <c:numCache>
                <c:formatCode>General</c:formatCode>
                <c:ptCount val="16"/>
                <c:pt idx="0">
                  <c:v>599376.01998999983</c:v>
                </c:pt>
                <c:pt idx="1">
                  <c:v>779292.78272999986</c:v>
                </c:pt>
                <c:pt idx="2">
                  <c:v>536935.05088</c:v>
                </c:pt>
                <c:pt idx="3">
                  <c:v>562621.59604999982</c:v>
                </c:pt>
                <c:pt idx="4">
                  <c:v>482522.34341000003</c:v>
                </c:pt>
                <c:pt idx="5">
                  <c:v>1090799.73303</c:v>
                </c:pt>
                <c:pt idx="6">
                  <c:v>623151.51997999987</c:v>
                </c:pt>
                <c:pt idx="7">
                  <c:v>679594.41445000016</c:v>
                </c:pt>
                <c:pt idx="8">
                  <c:v>586206.76736000006</c:v>
                </c:pt>
                <c:pt idx="9">
                  <c:v>772543.53399999987</c:v>
                </c:pt>
                <c:pt idx="10">
                  <c:v>903293.17016999994</c:v>
                </c:pt>
                <c:pt idx="11">
                  <c:v>730077.06991999981</c:v>
                </c:pt>
                <c:pt idx="12">
                  <c:v>767983.20680999989</c:v>
                </c:pt>
                <c:pt idx="13">
                  <c:v>521296.31468000013</c:v>
                </c:pt>
                <c:pt idx="14">
                  <c:v>192412.59918999998</c:v>
                </c:pt>
                <c:pt idx="15">
                  <c:v>643379.82637999987</c:v>
                </c:pt>
              </c:numCache>
            </c:numRef>
          </c:val>
          <c:smooth val="0"/>
          <c:extLst>
            <c:ext xmlns:c16="http://schemas.microsoft.com/office/drawing/2014/chart" uri="{C3380CC4-5D6E-409C-BE32-E72D297353CC}">
              <c16:uniqueId val="{00000000-91D8-498A-AF13-39B3DDE47FA7}"/>
            </c:ext>
          </c:extLst>
        </c:ser>
        <c:ser>
          <c:idx val="1"/>
          <c:order val="1"/>
          <c:tx>
            <c:strRef>
              <c:f>'Sales person Pivot'!$C$3</c:f>
              <c:strCache>
                <c:ptCount val="1"/>
                <c:pt idx="0">
                  <c:v>Count of OrderID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'Sales person Pivot'!$A$4:$A$20</c:f>
              <c:strCache>
                <c:ptCount val="16"/>
                <c:pt idx="0">
                  <c:v>A. Patel</c:v>
                </c:pt>
                <c:pt idx="1">
                  <c:v>B. Chen</c:v>
                </c:pt>
                <c:pt idx="2">
                  <c:v>C. Otieno</c:v>
                </c:pt>
                <c:pt idx="3">
                  <c:v>D. Smith</c:v>
                </c:pt>
                <c:pt idx="4">
                  <c:v>E. Garcia</c:v>
                </c:pt>
                <c:pt idx="5">
                  <c:v>F. Müller</c:v>
                </c:pt>
                <c:pt idx="6">
                  <c:v>G. Dubois</c:v>
                </c:pt>
                <c:pt idx="7">
                  <c:v>H. Kim</c:v>
                </c:pt>
                <c:pt idx="8">
                  <c:v>I. Johnson</c:v>
                </c:pt>
                <c:pt idx="9">
                  <c:v>J. Njeri</c:v>
                </c:pt>
                <c:pt idx="10">
                  <c:v>K. Singh</c:v>
                </c:pt>
                <c:pt idx="11">
                  <c:v>L. Okafor</c:v>
                </c:pt>
                <c:pt idx="12">
                  <c:v>M. Rossi</c:v>
                </c:pt>
                <c:pt idx="13">
                  <c:v>N. Brown</c:v>
                </c:pt>
                <c:pt idx="14">
                  <c:v>Not Provided</c:v>
                </c:pt>
                <c:pt idx="15">
                  <c:v>O. Wang</c:v>
                </c:pt>
              </c:strCache>
            </c:strRef>
          </c:cat>
          <c:val>
            <c:numRef>
              <c:f>'Sales person Pivot'!$C$4:$C$20</c:f>
              <c:numCache>
                <c:formatCode>General</c:formatCode>
                <c:ptCount val="16"/>
                <c:pt idx="0">
                  <c:v>46</c:v>
                </c:pt>
                <c:pt idx="1">
                  <c:v>48</c:v>
                </c:pt>
                <c:pt idx="2">
                  <c:v>37</c:v>
                </c:pt>
                <c:pt idx="3">
                  <c:v>38</c:v>
                </c:pt>
                <c:pt idx="4">
                  <c:v>34</c:v>
                </c:pt>
                <c:pt idx="5">
                  <c:v>51</c:v>
                </c:pt>
                <c:pt idx="6">
                  <c:v>30</c:v>
                </c:pt>
                <c:pt idx="7">
                  <c:v>45</c:v>
                </c:pt>
                <c:pt idx="8">
                  <c:v>38</c:v>
                </c:pt>
                <c:pt idx="9">
                  <c:v>50</c:v>
                </c:pt>
                <c:pt idx="10">
                  <c:v>44</c:v>
                </c:pt>
                <c:pt idx="11">
                  <c:v>46</c:v>
                </c:pt>
                <c:pt idx="12">
                  <c:v>48</c:v>
                </c:pt>
                <c:pt idx="13">
                  <c:v>32</c:v>
                </c:pt>
                <c:pt idx="14">
                  <c:v>8</c:v>
                </c:pt>
                <c:pt idx="15">
                  <c:v>37</c:v>
                </c:pt>
              </c:numCache>
            </c:numRef>
          </c:val>
          <c:smooth val="0"/>
          <c:extLst>
            <c:ext xmlns:c16="http://schemas.microsoft.com/office/drawing/2014/chart" uri="{C3380CC4-5D6E-409C-BE32-E72D297353CC}">
              <c16:uniqueId val="{00000001-91D8-498A-AF13-39B3DDE47FA7}"/>
            </c:ext>
          </c:extLst>
        </c:ser>
        <c:ser>
          <c:idx val="2"/>
          <c:order val="2"/>
          <c:tx>
            <c:strRef>
              <c:f>'Sales person Pivot'!$D$3</c:f>
              <c:strCache>
                <c:ptCount val="1"/>
                <c:pt idx="0">
                  <c:v>Sum of Gross Profit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'Sales person Pivot'!$A$4:$A$20</c:f>
              <c:strCache>
                <c:ptCount val="16"/>
                <c:pt idx="0">
                  <c:v>A. Patel</c:v>
                </c:pt>
                <c:pt idx="1">
                  <c:v>B. Chen</c:v>
                </c:pt>
                <c:pt idx="2">
                  <c:v>C. Otieno</c:v>
                </c:pt>
                <c:pt idx="3">
                  <c:v>D. Smith</c:v>
                </c:pt>
                <c:pt idx="4">
                  <c:v>E. Garcia</c:v>
                </c:pt>
                <c:pt idx="5">
                  <c:v>F. Müller</c:v>
                </c:pt>
                <c:pt idx="6">
                  <c:v>G. Dubois</c:v>
                </c:pt>
                <c:pt idx="7">
                  <c:v>H. Kim</c:v>
                </c:pt>
                <c:pt idx="8">
                  <c:v>I. Johnson</c:v>
                </c:pt>
                <c:pt idx="9">
                  <c:v>J. Njeri</c:v>
                </c:pt>
                <c:pt idx="10">
                  <c:v>K. Singh</c:v>
                </c:pt>
                <c:pt idx="11">
                  <c:v>L. Okafor</c:v>
                </c:pt>
                <c:pt idx="12">
                  <c:v>M. Rossi</c:v>
                </c:pt>
                <c:pt idx="13">
                  <c:v>N. Brown</c:v>
                </c:pt>
                <c:pt idx="14">
                  <c:v>Not Provided</c:v>
                </c:pt>
                <c:pt idx="15">
                  <c:v>O. Wang</c:v>
                </c:pt>
              </c:strCache>
            </c:strRef>
          </c:cat>
          <c:val>
            <c:numRef>
              <c:f>'Sales person Pivot'!$D$4:$D$20</c:f>
              <c:numCache>
                <c:formatCode>General</c:formatCode>
                <c:ptCount val="16"/>
                <c:pt idx="0">
                  <c:v>4160.9699900000087</c:v>
                </c:pt>
                <c:pt idx="1">
                  <c:v>201527.09272999997</c:v>
                </c:pt>
                <c:pt idx="2">
                  <c:v>77518.21087999997</c:v>
                </c:pt>
                <c:pt idx="3">
                  <c:v>136878.33605000004</c:v>
                </c:pt>
                <c:pt idx="4">
                  <c:v>143657.24340999994</c:v>
                </c:pt>
                <c:pt idx="5">
                  <c:v>529895.57303000009</c:v>
                </c:pt>
                <c:pt idx="6">
                  <c:v>284939.67998000002</c:v>
                </c:pt>
                <c:pt idx="7">
                  <c:v>119046.92444999995</c:v>
                </c:pt>
                <c:pt idx="8">
                  <c:v>185062.78736000002</c:v>
                </c:pt>
                <c:pt idx="9">
                  <c:v>243271.98399999997</c:v>
                </c:pt>
                <c:pt idx="10">
                  <c:v>298707.31016999995</c:v>
                </c:pt>
                <c:pt idx="11">
                  <c:v>146755.09991999998</c:v>
                </c:pt>
                <c:pt idx="12">
                  <c:v>104341.27681000004</c:v>
                </c:pt>
                <c:pt idx="13">
                  <c:v>243617.63468000002</c:v>
                </c:pt>
                <c:pt idx="14">
                  <c:v>43483.749190000002</c:v>
                </c:pt>
                <c:pt idx="15">
                  <c:v>180874.36638000002</c:v>
                </c:pt>
              </c:numCache>
            </c:numRef>
          </c:val>
          <c:smooth val="0"/>
          <c:extLst>
            <c:ext xmlns:c16="http://schemas.microsoft.com/office/drawing/2014/chart" uri="{C3380CC4-5D6E-409C-BE32-E72D297353CC}">
              <c16:uniqueId val="{00000002-91D8-498A-AF13-39B3DDE47FA7}"/>
            </c:ext>
          </c:extLst>
        </c:ser>
        <c:dLbls>
          <c:showLegendKey val="0"/>
          <c:showVal val="0"/>
          <c:showCatName val="0"/>
          <c:showSerName val="0"/>
          <c:showPercent val="0"/>
          <c:showBubbleSize val="0"/>
        </c:dLbls>
        <c:marker val="1"/>
        <c:smooth val="0"/>
        <c:axId val="570901888"/>
        <c:axId val="570902216"/>
      </c:lineChart>
      <c:catAx>
        <c:axId val="57090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70902216"/>
        <c:crosses val="autoZero"/>
        <c:auto val="1"/>
        <c:lblAlgn val="ctr"/>
        <c:lblOffset val="100"/>
        <c:noMultiLvlLbl val="0"/>
      </c:catAx>
      <c:valAx>
        <c:axId val="570902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70901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[Assigment 2.xlsx]Channel Mix Pivot!PivotTable1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'Channel Mix Pivot'!$B$3:$B$4</c:f>
              <c:strCache>
                <c:ptCount val="1"/>
                <c:pt idx="0">
                  <c:v>Direct</c:v>
                </c:pt>
              </c:strCache>
            </c:strRef>
          </c:tx>
          <c:spPr>
            <a:solidFill>
              <a:schemeClr val="accent1"/>
            </a:solidFill>
            <a:ln>
              <a:noFill/>
            </a:ln>
            <a:effectLst/>
          </c:spPr>
          <c:invertIfNegative val="0"/>
          <c:cat>
            <c:strRef>
              <c:f>'Channel Mix Pivot'!$A$5:$A$9</c:f>
              <c:strCache>
                <c:ptCount val="4"/>
                <c:pt idx="0">
                  <c:v>Africa</c:v>
                </c:pt>
                <c:pt idx="1">
                  <c:v>Americas</c:v>
                </c:pt>
                <c:pt idx="2">
                  <c:v>Asia</c:v>
                </c:pt>
                <c:pt idx="3">
                  <c:v>Europe</c:v>
                </c:pt>
              </c:strCache>
            </c:strRef>
          </c:cat>
          <c:val>
            <c:numRef>
              <c:f>'Channel Mix Pivot'!$B$5:$B$9</c:f>
              <c:numCache>
                <c:formatCode>General</c:formatCode>
                <c:ptCount val="4"/>
                <c:pt idx="0">
                  <c:v>221557.91543999998</c:v>
                </c:pt>
                <c:pt idx="1">
                  <c:v>810323.27522000019</c:v>
                </c:pt>
                <c:pt idx="2">
                  <c:v>502810.96600000007</c:v>
                </c:pt>
                <c:pt idx="3">
                  <c:v>864934.80995000002</c:v>
                </c:pt>
              </c:numCache>
            </c:numRef>
          </c:val>
          <c:extLst>
            <c:ext xmlns:c16="http://schemas.microsoft.com/office/drawing/2014/chart" uri="{C3380CC4-5D6E-409C-BE32-E72D297353CC}">
              <c16:uniqueId val="{00000000-142D-4D1B-A444-A40A3C9E52EF}"/>
            </c:ext>
          </c:extLst>
        </c:ser>
        <c:ser>
          <c:idx val="1"/>
          <c:order val="1"/>
          <c:tx>
            <c:strRef>
              <c:f>'Channel Mix Pivot'!$C$3:$C$4</c:f>
              <c:strCache>
                <c:ptCount val="1"/>
                <c:pt idx="0">
                  <c:v>Distributor</c:v>
                </c:pt>
              </c:strCache>
            </c:strRef>
          </c:tx>
          <c:spPr>
            <a:solidFill>
              <a:schemeClr val="accent2"/>
            </a:solidFill>
            <a:ln>
              <a:noFill/>
            </a:ln>
            <a:effectLst/>
          </c:spPr>
          <c:invertIfNegative val="0"/>
          <c:cat>
            <c:strRef>
              <c:f>'Channel Mix Pivot'!$A$5:$A$9</c:f>
              <c:strCache>
                <c:ptCount val="4"/>
                <c:pt idx="0">
                  <c:v>Africa</c:v>
                </c:pt>
                <c:pt idx="1">
                  <c:v>Americas</c:v>
                </c:pt>
                <c:pt idx="2">
                  <c:v>Asia</c:v>
                </c:pt>
                <c:pt idx="3">
                  <c:v>Europe</c:v>
                </c:pt>
              </c:strCache>
            </c:strRef>
          </c:cat>
          <c:val>
            <c:numRef>
              <c:f>'Channel Mix Pivot'!$C$5:$C$9</c:f>
              <c:numCache>
                <c:formatCode>General</c:formatCode>
                <c:ptCount val="4"/>
                <c:pt idx="0">
                  <c:v>609034.81166000001</c:v>
                </c:pt>
                <c:pt idx="1">
                  <c:v>535213.82120000001</c:v>
                </c:pt>
                <c:pt idx="2">
                  <c:v>733734.99893000012</c:v>
                </c:pt>
                <c:pt idx="3">
                  <c:v>280509.11341000005</c:v>
                </c:pt>
              </c:numCache>
            </c:numRef>
          </c:val>
          <c:extLst>
            <c:ext xmlns:c16="http://schemas.microsoft.com/office/drawing/2014/chart" uri="{C3380CC4-5D6E-409C-BE32-E72D297353CC}">
              <c16:uniqueId val="{00000001-5E1D-4790-822E-76AFAD0826BD}"/>
            </c:ext>
          </c:extLst>
        </c:ser>
        <c:ser>
          <c:idx val="2"/>
          <c:order val="2"/>
          <c:tx>
            <c:strRef>
              <c:f>'Channel Mix Pivot'!$D$3:$D$4</c:f>
              <c:strCache>
                <c:ptCount val="1"/>
                <c:pt idx="0">
                  <c:v>Marketplace</c:v>
                </c:pt>
              </c:strCache>
            </c:strRef>
          </c:tx>
          <c:spPr>
            <a:solidFill>
              <a:schemeClr val="accent3"/>
            </a:solidFill>
            <a:ln>
              <a:noFill/>
            </a:ln>
            <a:effectLst/>
          </c:spPr>
          <c:invertIfNegative val="0"/>
          <c:cat>
            <c:strRef>
              <c:f>'Channel Mix Pivot'!$A$5:$A$9</c:f>
              <c:strCache>
                <c:ptCount val="4"/>
                <c:pt idx="0">
                  <c:v>Africa</c:v>
                </c:pt>
                <c:pt idx="1">
                  <c:v>Americas</c:v>
                </c:pt>
                <c:pt idx="2">
                  <c:v>Asia</c:v>
                </c:pt>
                <c:pt idx="3">
                  <c:v>Europe</c:v>
                </c:pt>
              </c:strCache>
            </c:strRef>
          </c:cat>
          <c:val>
            <c:numRef>
              <c:f>'Channel Mix Pivot'!$D$5:$D$9</c:f>
              <c:numCache>
                <c:formatCode>General</c:formatCode>
                <c:ptCount val="4"/>
                <c:pt idx="0">
                  <c:v>547113.83230000001</c:v>
                </c:pt>
                <c:pt idx="1">
                  <c:v>378272.95461000007</c:v>
                </c:pt>
                <c:pt idx="2">
                  <c:v>533246.94006000005</c:v>
                </c:pt>
                <c:pt idx="3">
                  <c:v>529056.67933000007</c:v>
                </c:pt>
              </c:numCache>
            </c:numRef>
          </c:val>
          <c:extLst>
            <c:ext xmlns:c16="http://schemas.microsoft.com/office/drawing/2014/chart" uri="{C3380CC4-5D6E-409C-BE32-E72D297353CC}">
              <c16:uniqueId val="{00000002-5E1D-4790-822E-76AFAD0826BD}"/>
            </c:ext>
          </c:extLst>
        </c:ser>
        <c:ser>
          <c:idx val="3"/>
          <c:order val="3"/>
          <c:tx>
            <c:strRef>
              <c:f>'Channel Mix Pivot'!$E$3:$E$4</c:f>
              <c:strCache>
                <c:ptCount val="1"/>
                <c:pt idx="0">
                  <c:v>Not Provided</c:v>
                </c:pt>
              </c:strCache>
            </c:strRef>
          </c:tx>
          <c:spPr>
            <a:solidFill>
              <a:schemeClr val="accent4"/>
            </a:solidFill>
            <a:ln>
              <a:noFill/>
            </a:ln>
            <a:effectLst/>
          </c:spPr>
          <c:invertIfNegative val="0"/>
          <c:cat>
            <c:strRef>
              <c:f>'Channel Mix Pivot'!$A$5:$A$9</c:f>
              <c:strCache>
                <c:ptCount val="4"/>
                <c:pt idx="0">
                  <c:v>Africa</c:v>
                </c:pt>
                <c:pt idx="1">
                  <c:v>Americas</c:v>
                </c:pt>
                <c:pt idx="2">
                  <c:v>Asia</c:v>
                </c:pt>
                <c:pt idx="3">
                  <c:v>Europe</c:v>
                </c:pt>
              </c:strCache>
            </c:strRef>
          </c:cat>
          <c:val>
            <c:numRef>
              <c:f>'Channel Mix Pivot'!$E$5:$E$9</c:f>
              <c:numCache>
                <c:formatCode>General</c:formatCode>
                <c:ptCount val="4"/>
                <c:pt idx="0">
                  <c:v>32176.557119999994</c:v>
                </c:pt>
                <c:pt idx="1">
                  <c:v>0</c:v>
                </c:pt>
                <c:pt idx="2">
                  <c:v>30599.393100000001</c:v>
                </c:pt>
                <c:pt idx="3">
                  <c:v>20690.58468</c:v>
                </c:pt>
              </c:numCache>
            </c:numRef>
          </c:val>
          <c:extLst>
            <c:ext xmlns:c16="http://schemas.microsoft.com/office/drawing/2014/chart" uri="{C3380CC4-5D6E-409C-BE32-E72D297353CC}">
              <c16:uniqueId val="{00000003-5E1D-4790-822E-76AFAD0826BD}"/>
            </c:ext>
          </c:extLst>
        </c:ser>
        <c:ser>
          <c:idx val="4"/>
          <c:order val="4"/>
          <c:tx>
            <c:strRef>
              <c:f>'Channel Mix Pivot'!$F$3:$F$4</c:f>
              <c:strCache>
                <c:ptCount val="1"/>
                <c:pt idx="0">
                  <c:v>Online</c:v>
                </c:pt>
              </c:strCache>
            </c:strRef>
          </c:tx>
          <c:spPr>
            <a:solidFill>
              <a:schemeClr val="accent5"/>
            </a:solidFill>
            <a:ln>
              <a:noFill/>
            </a:ln>
            <a:effectLst/>
          </c:spPr>
          <c:invertIfNegative val="0"/>
          <c:cat>
            <c:strRef>
              <c:f>'Channel Mix Pivot'!$A$5:$A$9</c:f>
              <c:strCache>
                <c:ptCount val="4"/>
                <c:pt idx="0">
                  <c:v>Africa</c:v>
                </c:pt>
                <c:pt idx="1">
                  <c:v>Americas</c:v>
                </c:pt>
                <c:pt idx="2">
                  <c:v>Asia</c:v>
                </c:pt>
                <c:pt idx="3">
                  <c:v>Europe</c:v>
                </c:pt>
              </c:strCache>
            </c:strRef>
          </c:cat>
          <c:val>
            <c:numRef>
              <c:f>'Channel Mix Pivot'!$F$5:$F$9</c:f>
              <c:numCache>
                <c:formatCode>General</c:formatCode>
                <c:ptCount val="4"/>
                <c:pt idx="0">
                  <c:v>488253.39859000011</c:v>
                </c:pt>
                <c:pt idx="1">
                  <c:v>684409.16889999993</c:v>
                </c:pt>
                <c:pt idx="2">
                  <c:v>461186.45322000008</c:v>
                </c:pt>
                <c:pt idx="3">
                  <c:v>450760.49241999997</c:v>
                </c:pt>
              </c:numCache>
            </c:numRef>
          </c:val>
          <c:extLst>
            <c:ext xmlns:c16="http://schemas.microsoft.com/office/drawing/2014/chart" uri="{C3380CC4-5D6E-409C-BE32-E72D297353CC}">
              <c16:uniqueId val="{00000004-5E1D-4790-822E-76AFAD0826BD}"/>
            </c:ext>
          </c:extLst>
        </c:ser>
        <c:ser>
          <c:idx val="5"/>
          <c:order val="5"/>
          <c:tx>
            <c:strRef>
              <c:f>'Channel Mix Pivot'!$G$3:$G$4</c:f>
              <c:strCache>
                <c:ptCount val="1"/>
                <c:pt idx="0">
                  <c:v>Retail</c:v>
                </c:pt>
              </c:strCache>
            </c:strRef>
          </c:tx>
          <c:spPr>
            <a:solidFill>
              <a:schemeClr val="accent6"/>
            </a:solidFill>
            <a:ln>
              <a:noFill/>
            </a:ln>
            <a:effectLst/>
          </c:spPr>
          <c:invertIfNegative val="0"/>
          <c:cat>
            <c:strRef>
              <c:f>'Channel Mix Pivot'!$A$5:$A$9</c:f>
              <c:strCache>
                <c:ptCount val="4"/>
                <c:pt idx="0">
                  <c:v>Africa</c:v>
                </c:pt>
                <c:pt idx="1">
                  <c:v>Americas</c:v>
                </c:pt>
                <c:pt idx="2">
                  <c:v>Asia</c:v>
                </c:pt>
                <c:pt idx="3">
                  <c:v>Europe</c:v>
                </c:pt>
              </c:strCache>
            </c:strRef>
          </c:cat>
          <c:val>
            <c:numRef>
              <c:f>'Channel Mix Pivot'!$G$5:$G$9</c:f>
              <c:numCache>
                <c:formatCode>General</c:formatCode>
                <c:ptCount val="4"/>
                <c:pt idx="0">
                  <c:v>469950.91472999996</c:v>
                </c:pt>
                <c:pt idx="1">
                  <c:v>251720.18796000001</c:v>
                </c:pt>
                <c:pt idx="2">
                  <c:v>591814.68848000001</c:v>
                </c:pt>
                <c:pt idx="3">
                  <c:v>444113.99171999999</c:v>
                </c:pt>
              </c:numCache>
            </c:numRef>
          </c:val>
          <c:extLst>
            <c:ext xmlns:c16="http://schemas.microsoft.com/office/drawing/2014/chart" uri="{C3380CC4-5D6E-409C-BE32-E72D297353CC}">
              <c16:uniqueId val="{00000005-5E1D-4790-822E-76AFAD0826BD}"/>
            </c:ext>
          </c:extLst>
        </c:ser>
        <c:dLbls>
          <c:showLegendKey val="0"/>
          <c:showVal val="0"/>
          <c:showCatName val="0"/>
          <c:showSerName val="0"/>
          <c:showPercent val="0"/>
          <c:showBubbleSize val="0"/>
        </c:dLbls>
        <c:gapWidth val="150"/>
        <c:overlap val="100"/>
        <c:axId val="591226592"/>
        <c:axId val="591226920"/>
      </c:barChart>
      <c:catAx>
        <c:axId val="591226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91226920"/>
        <c:crosses val="autoZero"/>
        <c:auto val="1"/>
        <c:lblAlgn val="ctr"/>
        <c:lblOffset val="100"/>
        <c:noMultiLvlLbl val="0"/>
      </c:catAx>
      <c:valAx>
        <c:axId val="591226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91226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[Assigment 2.xlsx]Service Level Pivot!PivotTable3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'Service Level Pivot'!$B$3</c:f>
              <c:strCache>
                <c:ptCount val="1"/>
                <c:pt idx="0">
                  <c:v>Count of OrderID</c:v>
                </c:pt>
              </c:strCache>
            </c:strRef>
          </c:tx>
          <c:spPr>
            <a:solidFill>
              <a:schemeClr val="accent1"/>
            </a:solidFill>
            <a:ln>
              <a:noFill/>
            </a:ln>
            <a:effectLst/>
          </c:spPr>
          <c:invertIfNegative val="0"/>
          <c:cat>
            <c:multiLvlStrRef>
              <c:f>'Service Level Pivot'!$A$4:$A$28</c:f>
              <c:multiLvlStrCache>
                <c:ptCount val="21"/>
                <c:lvl>
                  <c:pt idx="0">
                    <c:v>Accessories</c:v>
                  </c:pt>
                  <c:pt idx="1">
                    <c:v>Components</c:v>
                  </c:pt>
                  <c:pt idx="2">
                    <c:v>Laptops</c:v>
                  </c:pt>
                  <c:pt idx="3">
                    <c:v>Monitors</c:v>
                  </c:pt>
                  <c:pt idx="4">
                    <c:v>Networking</c:v>
                  </c:pt>
                  <c:pt idx="5">
                    <c:v>Phones</c:v>
                  </c:pt>
                  <c:pt idx="6">
                    <c:v>Printers</c:v>
                  </c:pt>
                  <c:pt idx="7">
                    <c:v>Accessories</c:v>
                  </c:pt>
                  <c:pt idx="8">
                    <c:v>Components</c:v>
                  </c:pt>
                  <c:pt idx="9">
                    <c:v>Laptops</c:v>
                  </c:pt>
                  <c:pt idx="10">
                    <c:v>Monitors</c:v>
                  </c:pt>
                  <c:pt idx="11">
                    <c:v>Networking</c:v>
                  </c:pt>
                  <c:pt idx="12">
                    <c:v>Phones</c:v>
                  </c:pt>
                  <c:pt idx="13">
                    <c:v>Printers</c:v>
                  </c:pt>
                  <c:pt idx="14">
                    <c:v>Accessories</c:v>
                  </c:pt>
                  <c:pt idx="15">
                    <c:v>Components</c:v>
                  </c:pt>
                  <c:pt idx="16">
                    <c:v>Laptops</c:v>
                  </c:pt>
                  <c:pt idx="17">
                    <c:v>Monitors</c:v>
                  </c:pt>
                  <c:pt idx="18">
                    <c:v>Networking</c:v>
                  </c:pt>
                  <c:pt idx="19">
                    <c:v>Phones</c:v>
                  </c:pt>
                  <c:pt idx="20">
                    <c:v>Printers</c:v>
                  </c:pt>
                </c:lvl>
                <c:lvl>
                  <c:pt idx="0">
                    <c:v>Brazil</c:v>
                  </c:pt>
                  <c:pt idx="7">
                    <c:v>Canada</c:v>
                  </c:pt>
                  <c:pt idx="14">
                    <c:v>China</c:v>
                  </c:pt>
                </c:lvl>
              </c:multiLvlStrCache>
            </c:multiLvlStrRef>
          </c:cat>
          <c:val>
            <c:numRef>
              <c:f>'Service Level Pivot'!$B$4:$B$28</c:f>
              <c:numCache>
                <c:formatCode>General</c:formatCode>
                <c:ptCount val="21"/>
                <c:pt idx="0">
                  <c:v>10</c:v>
                </c:pt>
                <c:pt idx="1">
                  <c:v>7</c:v>
                </c:pt>
                <c:pt idx="2">
                  <c:v>5</c:v>
                </c:pt>
                <c:pt idx="3">
                  <c:v>12</c:v>
                </c:pt>
                <c:pt idx="4">
                  <c:v>12</c:v>
                </c:pt>
                <c:pt idx="5">
                  <c:v>9</c:v>
                </c:pt>
                <c:pt idx="6">
                  <c:v>7</c:v>
                </c:pt>
                <c:pt idx="7">
                  <c:v>6</c:v>
                </c:pt>
                <c:pt idx="8">
                  <c:v>6</c:v>
                </c:pt>
                <c:pt idx="9">
                  <c:v>6</c:v>
                </c:pt>
                <c:pt idx="10">
                  <c:v>7</c:v>
                </c:pt>
                <c:pt idx="11">
                  <c:v>3</c:v>
                </c:pt>
                <c:pt idx="12">
                  <c:v>3</c:v>
                </c:pt>
                <c:pt idx="13">
                  <c:v>13</c:v>
                </c:pt>
                <c:pt idx="14">
                  <c:v>4</c:v>
                </c:pt>
                <c:pt idx="15">
                  <c:v>10</c:v>
                </c:pt>
                <c:pt idx="16">
                  <c:v>5</c:v>
                </c:pt>
                <c:pt idx="17">
                  <c:v>6</c:v>
                </c:pt>
                <c:pt idx="18">
                  <c:v>8</c:v>
                </c:pt>
                <c:pt idx="19">
                  <c:v>7</c:v>
                </c:pt>
                <c:pt idx="20">
                  <c:v>11</c:v>
                </c:pt>
              </c:numCache>
            </c:numRef>
          </c:val>
          <c:extLst>
            <c:ext xmlns:c16="http://schemas.microsoft.com/office/drawing/2014/chart" uri="{C3380CC4-5D6E-409C-BE32-E72D297353CC}">
              <c16:uniqueId val="{00000000-8504-4792-AB0A-D3C2FD277C03}"/>
            </c:ext>
          </c:extLst>
        </c:ser>
        <c:ser>
          <c:idx val="1"/>
          <c:order val="1"/>
          <c:tx>
            <c:strRef>
              <c:f>'Service Level Pivot'!$C$3</c:f>
              <c:strCache>
                <c:ptCount val="1"/>
                <c:pt idx="0">
                  <c:v>Sum of Leadtime days</c:v>
                </c:pt>
              </c:strCache>
            </c:strRef>
          </c:tx>
          <c:spPr>
            <a:solidFill>
              <a:schemeClr val="accent2"/>
            </a:solidFill>
            <a:ln>
              <a:noFill/>
            </a:ln>
            <a:effectLst/>
          </c:spPr>
          <c:invertIfNegative val="0"/>
          <c:cat>
            <c:multiLvlStrRef>
              <c:f>'Service Level Pivot'!$A$4:$A$28</c:f>
              <c:multiLvlStrCache>
                <c:ptCount val="21"/>
                <c:lvl>
                  <c:pt idx="0">
                    <c:v>Accessories</c:v>
                  </c:pt>
                  <c:pt idx="1">
                    <c:v>Components</c:v>
                  </c:pt>
                  <c:pt idx="2">
                    <c:v>Laptops</c:v>
                  </c:pt>
                  <c:pt idx="3">
                    <c:v>Monitors</c:v>
                  </c:pt>
                  <c:pt idx="4">
                    <c:v>Networking</c:v>
                  </c:pt>
                  <c:pt idx="5">
                    <c:v>Phones</c:v>
                  </c:pt>
                  <c:pt idx="6">
                    <c:v>Printers</c:v>
                  </c:pt>
                  <c:pt idx="7">
                    <c:v>Accessories</c:v>
                  </c:pt>
                  <c:pt idx="8">
                    <c:v>Components</c:v>
                  </c:pt>
                  <c:pt idx="9">
                    <c:v>Laptops</c:v>
                  </c:pt>
                  <c:pt idx="10">
                    <c:v>Monitors</c:v>
                  </c:pt>
                  <c:pt idx="11">
                    <c:v>Networking</c:v>
                  </c:pt>
                  <c:pt idx="12">
                    <c:v>Phones</c:v>
                  </c:pt>
                  <c:pt idx="13">
                    <c:v>Printers</c:v>
                  </c:pt>
                  <c:pt idx="14">
                    <c:v>Accessories</c:v>
                  </c:pt>
                  <c:pt idx="15">
                    <c:v>Components</c:v>
                  </c:pt>
                  <c:pt idx="16">
                    <c:v>Laptops</c:v>
                  </c:pt>
                  <c:pt idx="17">
                    <c:v>Monitors</c:v>
                  </c:pt>
                  <c:pt idx="18">
                    <c:v>Networking</c:v>
                  </c:pt>
                  <c:pt idx="19">
                    <c:v>Phones</c:v>
                  </c:pt>
                  <c:pt idx="20">
                    <c:v>Printers</c:v>
                  </c:pt>
                </c:lvl>
                <c:lvl>
                  <c:pt idx="0">
                    <c:v>Brazil</c:v>
                  </c:pt>
                  <c:pt idx="7">
                    <c:v>Canada</c:v>
                  </c:pt>
                  <c:pt idx="14">
                    <c:v>China</c:v>
                  </c:pt>
                </c:lvl>
              </c:multiLvlStrCache>
            </c:multiLvlStrRef>
          </c:cat>
          <c:val>
            <c:numRef>
              <c:f>'Service Level Pivot'!$C$4:$C$28</c:f>
              <c:numCache>
                <c:formatCode>General</c:formatCode>
                <c:ptCount val="21"/>
                <c:pt idx="0">
                  <c:v>126</c:v>
                </c:pt>
                <c:pt idx="1">
                  <c:v>142</c:v>
                </c:pt>
                <c:pt idx="2">
                  <c:v>91</c:v>
                </c:pt>
                <c:pt idx="3">
                  <c:v>161</c:v>
                </c:pt>
                <c:pt idx="4">
                  <c:v>169</c:v>
                </c:pt>
                <c:pt idx="5">
                  <c:v>65</c:v>
                </c:pt>
                <c:pt idx="6">
                  <c:v>97</c:v>
                </c:pt>
                <c:pt idx="7">
                  <c:v>75</c:v>
                </c:pt>
                <c:pt idx="8">
                  <c:v>55</c:v>
                </c:pt>
                <c:pt idx="9">
                  <c:v>74</c:v>
                </c:pt>
                <c:pt idx="10">
                  <c:v>130</c:v>
                </c:pt>
                <c:pt idx="11">
                  <c:v>60</c:v>
                </c:pt>
                <c:pt idx="12">
                  <c:v>52</c:v>
                </c:pt>
                <c:pt idx="13">
                  <c:v>165</c:v>
                </c:pt>
                <c:pt idx="14">
                  <c:v>18</c:v>
                </c:pt>
                <c:pt idx="15">
                  <c:v>216</c:v>
                </c:pt>
                <c:pt idx="16">
                  <c:v>51</c:v>
                </c:pt>
                <c:pt idx="17">
                  <c:v>102</c:v>
                </c:pt>
                <c:pt idx="18">
                  <c:v>80</c:v>
                </c:pt>
                <c:pt idx="19">
                  <c:v>100</c:v>
                </c:pt>
                <c:pt idx="20">
                  <c:v>235</c:v>
                </c:pt>
              </c:numCache>
            </c:numRef>
          </c:val>
          <c:extLst>
            <c:ext xmlns:c16="http://schemas.microsoft.com/office/drawing/2014/chart" uri="{C3380CC4-5D6E-409C-BE32-E72D297353CC}">
              <c16:uniqueId val="{00000001-8504-4792-AB0A-D3C2FD277C03}"/>
            </c:ext>
          </c:extLst>
        </c:ser>
        <c:dLbls>
          <c:showLegendKey val="0"/>
          <c:showVal val="0"/>
          <c:showCatName val="0"/>
          <c:showSerName val="0"/>
          <c:showPercent val="0"/>
          <c:showBubbleSize val="0"/>
        </c:dLbls>
        <c:gapWidth val="182"/>
        <c:axId val="589802408"/>
        <c:axId val="589802736"/>
      </c:barChart>
      <c:catAx>
        <c:axId val="589802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89802736"/>
        <c:crosses val="autoZero"/>
        <c:auto val="1"/>
        <c:lblAlgn val="ctr"/>
        <c:lblOffset val="100"/>
        <c:noMultiLvlLbl val="0"/>
      </c:catAx>
      <c:valAx>
        <c:axId val="5898027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89802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[Assigment 2.xlsx]Price Compliance Pivot!PivotTable1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'Price Compliance Pivot'!$B$3</c:f>
              <c:strCache>
                <c:ptCount val="1"/>
                <c:pt idx="0">
                  <c:v>Count of OrderID</c:v>
                </c:pt>
              </c:strCache>
            </c:strRef>
          </c:tx>
          <c:spPr>
            <a:solidFill>
              <a:schemeClr val="accent1"/>
            </a:solidFill>
            <a:ln>
              <a:noFill/>
            </a:ln>
            <a:effectLst/>
          </c:spPr>
          <c:invertIfNegative val="0"/>
          <c:cat>
            <c:multiLvlStrRef>
              <c:f>'Price Compliance Pivot'!$A$4:$A$55</c:f>
              <c:multiLvlStrCache>
                <c:ptCount val="48"/>
                <c:lvl>
                  <c:pt idx="0">
                    <c:v>O. Wang</c:v>
                  </c:pt>
                  <c:pt idx="1">
                    <c:v>Not Provided</c:v>
                  </c:pt>
                  <c:pt idx="2">
                    <c:v>N. Brown</c:v>
                  </c:pt>
                  <c:pt idx="3">
                    <c:v>M. Rossi</c:v>
                  </c:pt>
                  <c:pt idx="4">
                    <c:v>L. Okafor</c:v>
                  </c:pt>
                  <c:pt idx="5">
                    <c:v>K. Singh</c:v>
                  </c:pt>
                  <c:pt idx="6">
                    <c:v>J. Njeri</c:v>
                  </c:pt>
                  <c:pt idx="7">
                    <c:v>I. Johnson</c:v>
                  </c:pt>
                  <c:pt idx="8">
                    <c:v>H. Kim</c:v>
                  </c:pt>
                  <c:pt idx="9">
                    <c:v>G. Dubois</c:v>
                  </c:pt>
                  <c:pt idx="10">
                    <c:v>F. Müller</c:v>
                  </c:pt>
                  <c:pt idx="11">
                    <c:v>E. Garcia</c:v>
                  </c:pt>
                  <c:pt idx="12">
                    <c:v>D. Smith</c:v>
                  </c:pt>
                  <c:pt idx="13">
                    <c:v>C. Otieno</c:v>
                  </c:pt>
                  <c:pt idx="14">
                    <c:v>B. Chen</c:v>
                  </c:pt>
                  <c:pt idx="15">
                    <c:v>A. Patel</c:v>
                  </c:pt>
                  <c:pt idx="16">
                    <c:v>O. Wang</c:v>
                  </c:pt>
                  <c:pt idx="17">
                    <c:v>Not Provided</c:v>
                  </c:pt>
                  <c:pt idx="18">
                    <c:v>N. Brown</c:v>
                  </c:pt>
                  <c:pt idx="19">
                    <c:v>M. Rossi</c:v>
                  </c:pt>
                  <c:pt idx="20">
                    <c:v>L. Okafor</c:v>
                  </c:pt>
                  <c:pt idx="21">
                    <c:v>K. Singh</c:v>
                  </c:pt>
                  <c:pt idx="22">
                    <c:v>J. Njeri</c:v>
                  </c:pt>
                  <c:pt idx="23">
                    <c:v>I. Johnson</c:v>
                  </c:pt>
                  <c:pt idx="24">
                    <c:v>H. Kim</c:v>
                  </c:pt>
                  <c:pt idx="25">
                    <c:v>G. Dubois</c:v>
                  </c:pt>
                  <c:pt idx="26">
                    <c:v>F. Müller</c:v>
                  </c:pt>
                  <c:pt idx="27">
                    <c:v>E. Garcia</c:v>
                  </c:pt>
                  <c:pt idx="28">
                    <c:v>D. Smith</c:v>
                  </c:pt>
                  <c:pt idx="29">
                    <c:v>C. Otieno</c:v>
                  </c:pt>
                  <c:pt idx="30">
                    <c:v>B. Chen</c:v>
                  </c:pt>
                  <c:pt idx="31">
                    <c:v>A. Patel</c:v>
                  </c:pt>
                  <c:pt idx="32">
                    <c:v>O. Wang</c:v>
                  </c:pt>
                  <c:pt idx="33">
                    <c:v>Not Provided</c:v>
                  </c:pt>
                  <c:pt idx="34">
                    <c:v>N. Brown</c:v>
                  </c:pt>
                  <c:pt idx="35">
                    <c:v>M. Rossi</c:v>
                  </c:pt>
                  <c:pt idx="36">
                    <c:v>L. Okafor</c:v>
                  </c:pt>
                  <c:pt idx="37">
                    <c:v>K. Singh</c:v>
                  </c:pt>
                  <c:pt idx="38">
                    <c:v>J. Njeri</c:v>
                  </c:pt>
                  <c:pt idx="39">
                    <c:v>I. Johnson</c:v>
                  </c:pt>
                  <c:pt idx="40">
                    <c:v>H. Kim</c:v>
                  </c:pt>
                  <c:pt idx="41">
                    <c:v>G. Dubois</c:v>
                  </c:pt>
                  <c:pt idx="42">
                    <c:v>F. Müller</c:v>
                  </c:pt>
                  <c:pt idx="43">
                    <c:v>E. Garcia</c:v>
                  </c:pt>
                  <c:pt idx="44">
                    <c:v>D. Smith</c:v>
                  </c:pt>
                  <c:pt idx="45">
                    <c:v>C. Otieno</c:v>
                  </c:pt>
                  <c:pt idx="46">
                    <c:v>B. Chen</c:v>
                  </c:pt>
                  <c:pt idx="47">
                    <c:v>A. Patel</c:v>
                  </c:pt>
                </c:lvl>
                <c:lvl>
                  <c:pt idx="0">
                    <c:v>Asia</c:v>
                  </c:pt>
                  <c:pt idx="16">
                    <c:v>Americas</c:v>
                  </c:pt>
                  <c:pt idx="32">
                    <c:v>Africa</c:v>
                  </c:pt>
                </c:lvl>
              </c:multiLvlStrCache>
            </c:multiLvlStrRef>
          </c:cat>
          <c:val>
            <c:numRef>
              <c:f>'Price Compliance Pivot'!$B$4:$B$55</c:f>
              <c:numCache>
                <c:formatCode>General</c:formatCode>
                <c:ptCount val="48"/>
                <c:pt idx="0">
                  <c:v>8</c:v>
                </c:pt>
                <c:pt idx="1">
                  <c:v>2</c:v>
                </c:pt>
                <c:pt idx="2">
                  <c:v>10</c:v>
                </c:pt>
                <c:pt idx="3">
                  <c:v>10</c:v>
                </c:pt>
                <c:pt idx="4">
                  <c:v>14</c:v>
                </c:pt>
                <c:pt idx="5">
                  <c:v>7</c:v>
                </c:pt>
                <c:pt idx="6">
                  <c:v>19</c:v>
                </c:pt>
                <c:pt idx="7">
                  <c:v>8</c:v>
                </c:pt>
                <c:pt idx="8">
                  <c:v>16</c:v>
                </c:pt>
                <c:pt idx="9">
                  <c:v>11</c:v>
                </c:pt>
                <c:pt idx="10">
                  <c:v>12</c:v>
                </c:pt>
                <c:pt idx="11">
                  <c:v>8</c:v>
                </c:pt>
                <c:pt idx="12">
                  <c:v>9</c:v>
                </c:pt>
                <c:pt idx="13">
                  <c:v>10</c:v>
                </c:pt>
                <c:pt idx="14">
                  <c:v>17</c:v>
                </c:pt>
                <c:pt idx="15">
                  <c:v>10</c:v>
                </c:pt>
                <c:pt idx="16">
                  <c:v>12</c:v>
                </c:pt>
                <c:pt idx="17">
                  <c:v>3</c:v>
                </c:pt>
                <c:pt idx="18">
                  <c:v>7</c:v>
                </c:pt>
                <c:pt idx="19">
                  <c:v>12</c:v>
                </c:pt>
                <c:pt idx="20">
                  <c:v>12</c:v>
                </c:pt>
                <c:pt idx="21">
                  <c:v>10</c:v>
                </c:pt>
                <c:pt idx="22">
                  <c:v>10</c:v>
                </c:pt>
                <c:pt idx="23">
                  <c:v>14</c:v>
                </c:pt>
                <c:pt idx="24">
                  <c:v>9</c:v>
                </c:pt>
                <c:pt idx="25">
                  <c:v>8</c:v>
                </c:pt>
                <c:pt idx="26">
                  <c:v>15</c:v>
                </c:pt>
                <c:pt idx="27">
                  <c:v>5</c:v>
                </c:pt>
                <c:pt idx="28">
                  <c:v>8</c:v>
                </c:pt>
                <c:pt idx="29">
                  <c:v>14</c:v>
                </c:pt>
                <c:pt idx="30">
                  <c:v>8</c:v>
                </c:pt>
                <c:pt idx="31">
                  <c:v>10</c:v>
                </c:pt>
                <c:pt idx="32">
                  <c:v>9</c:v>
                </c:pt>
                <c:pt idx="33">
                  <c:v>2</c:v>
                </c:pt>
                <c:pt idx="34">
                  <c:v>4</c:v>
                </c:pt>
                <c:pt idx="35">
                  <c:v>16</c:v>
                </c:pt>
                <c:pt idx="36">
                  <c:v>10</c:v>
                </c:pt>
                <c:pt idx="37">
                  <c:v>14</c:v>
                </c:pt>
                <c:pt idx="38">
                  <c:v>12</c:v>
                </c:pt>
                <c:pt idx="39">
                  <c:v>8</c:v>
                </c:pt>
                <c:pt idx="40">
                  <c:v>7</c:v>
                </c:pt>
                <c:pt idx="41">
                  <c:v>3</c:v>
                </c:pt>
                <c:pt idx="42">
                  <c:v>13</c:v>
                </c:pt>
                <c:pt idx="43">
                  <c:v>5</c:v>
                </c:pt>
                <c:pt idx="44">
                  <c:v>10</c:v>
                </c:pt>
                <c:pt idx="45">
                  <c:v>8</c:v>
                </c:pt>
                <c:pt idx="46">
                  <c:v>8</c:v>
                </c:pt>
                <c:pt idx="47">
                  <c:v>16</c:v>
                </c:pt>
              </c:numCache>
            </c:numRef>
          </c:val>
          <c:extLst>
            <c:ext xmlns:c16="http://schemas.microsoft.com/office/drawing/2014/chart" uri="{C3380CC4-5D6E-409C-BE32-E72D297353CC}">
              <c16:uniqueId val="{00000000-2C85-4965-965B-637FDB96493B}"/>
            </c:ext>
          </c:extLst>
        </c:ser>
        <c:ser>
          <c:idx val="1"/>
          <c:order val="1"/>
          <c:tx>
            <c:strRef>
              <c:f>'Price Compliance Pivot'!$C$3</c:f>
              <c:strCache>
                <c:ptCount val="1"/>
                <c:pt idx="0">
                  <c:v>Sum of DiscountPct</c:v>
                </c:pt>
              </c:strCache>
            </c:strRef>
          </c:tx>
          <c:spPr>
            <a:solidFill>
              <a:schemeClr val="accent2"/>
            </a:solidFill>
            <a:ln>
              <a:noFill/>
            </a:ln>
            <a:effectLst/>
          </c:spPr>
          <c:invertIfNegative val="0"/>
          <c:cat>
            <c:multiLvlStrRef>
              <c:f>'Price Compliance Pivot'!$A$4:$A$55</c:f>
              <c:multiLvlStrCache>
                <c:ptCount val="48"/>
                <c:lvl>
                  <c:pt idx="0">
                    <c:v>O. Wang</c:v>
                  </c:pt>
                  <c:pt idx="1">
                    <c:v>Not Provided</c:v>
                  </c:pt>
                  <c:pt idx="2">
                    <c:v>N. Brown</c:v>
                  </c:pt>
                  <c:pt idx="3">
                    <c:v>M. Rossi</c:v>
                  </c:pt>
                  <c:pt idx="4">
                    <c:v>L. Okafor</c:v>
                  </c:pt>
                  <c:pt idx="5">
                    <c:v>K. Singh</c:v>
                  </c:pt>
                  <c:pt idx="6">
                    <c:v>J. Njeri</c:v>
                  </c:pt>
                  <c:pt idx="7">
                    <c:v>I. Johnson</c:v>
                  </c:pt>
                  <c:pt idx="8">
                    <c:v>H. Kim</c:v>
                  </c:pt>
                  <c:pt idx="9">
                    <c:v>G. Dubois</c:v>
                  </c:pt>
                  <c:pt idx="10">
                    <c:v>F. Müller</c:v>
                  </c:pt>
                  <c:pt idx="11">
                    <c:v>E. Garcia</c:v>
                  </c:pt>
                  <c:pt idx="12">
                    <c:v>D. Smith</c:v>
                  </c:pt>
                  <c:pt idx="13">
                    <c:v>C. Otieno</c:v>
                  </c:pt>
                  <c:pt idx="14">
                    <c:v>B. Chen</c:v>
                  </c:pt>
                  <c:pt idx="15">
                    <c:v>A. Patel</c:v>
                  </c:pt>
                  <c:pt idx="16">
                    <c:v>O. Wang</c:v>
                  </c:pt>
                  <c:pt idx="17">
                    <c:v>Not Provided</c:v>
                  </c:pt>
                  <c:pt idx="18">
                    <c:v>N. Brown</c:v>
                  </c:pt>
                  <c:pt idx="19">
                    <c:v>M. Rossi</c:v>
                  </c:pt>
                  <c:pt idx="20">
                    <c:v>L. Okafor</c:v>
                  </c:pt>
                  <c:pt idx="21">
                    <c:v>K. Singh</c:v>
                  </c:pt>
                  <c:pt idx="22">
                    <c:v>J. Njeri</c:v>
                  </c:pt>
                  <c:pt idx="23">
                    <c:v>I. Johnson</c:v>
                  </c:pt>
                  <c:pt idx="24">
                    <c:v>H. Kim</c:v>
                  </c:pt>
                  <c:pt idx="25">
                    <c:v>G. Dubois</c:v>
                  </c:pt>
                  <c:pt idx="26">
                    <c:v>F. Müller</c:v>
                  </c:pt>
                  <c:pt idx="27">
                    <c:v>E. Garcia</c:v>
                  </c:pt>
                  <c:pt idx="28">
                    <c:v>D. Smith</c:v>
                  </c:pt>
                  <c:pt idx="29">
                    <c:v>C. Otieno</c:v>
                  </c:pt>
                  <c:pt idx="30">
                    <c:v>B. Chen</c:v>
                  </c:pt>
                  <c:pt idx="31">
                    <c:v>A. Patel</c:v>
                  </c:pt>
                  <c:pt idx="32">
                    <c:v>O. Wang</c:v>
                  </c:pt>
                  <c:pt idx="33">
                    <c:v>Not Provided</c:v>
                  </c:pt>
                  <c:pt idx="34">
                    <c:v>N. Brown</c:v>
                  </c:pt>
                  <c:pt idx="35">
                    <c:v>M. Rossi</c:v>
                  </c:pt>
                  <c:pt idx="36">
                    <c:v>L. Okafor</c:v>
                  </c:pt>
                  <c:pt idx="37">
                    <c:v>K. Singh</c:v>
                  </c:pt>
                  <c:pt idx="38">
                    <c:v>J. Njeri</c:v>
                  </c:pt>
                  <c:pt idx="39">
                    <c:v>I. Johnson</c:v>
                  </c:pt>
                  <c:pt idx="40">
                    <c:v>H. Kim</c:v>
                  </c:pt>
                  <c:pt idx="41">
                    <c:v>G. Dubois</c:v>
                  </c:pt>
                  <c:pt idx="42">
                    <c:v>F. Müller</c:v>
                  </c:pt>
                  <c:pt idx="43">
                    <c:v>E. Garcia</c:v>
                  </c:pt>
                  <c:pt idx="44">
                    <c:v>D. Smith</c:v>
                  </c:pt>
                  <c:pt idx="45">
                    <c:v>C. Otieno</c:v>
                  </c:pt>
                  <c:pt idx="46">
                    <c:v>B. Chen</c:v>
                  </c:pt>
                  <c:pt idx="47">
                    <c:v>A. Patel</c:v>
                  </c:pt>
                </c:lvl>
                <c:lvl>
                  <c:pt idx="0">
                    <c:v>Asia</c:v>
                  </c:pt>
                  <c:pt idx="16">
                    <c:v>Americas</c:v>
                  </c:pt>
                  <c:pt idx="32">
                    <c:v>Africa</c:v>
                  </c:pt>
                </c:lvl>
              </c:multiLvlStrCache>
            </c:multiLvlStrRef>
          </c:cat>
          <c:val>
            <c:numRef>
              <c:f>'Price Compliance Pivot'!$C$4:$C$55</c:f>
              <c:numCache>
                <c:formatCode>General</c:formatCode>
                <c:ptCount val="48"/>
                <c:pt idx="0">
                  <c:v>1.5699999999999998</c:v>
                </c:pt>
                <c:pt idx="1">
                  <c:v>0.20700000000000002</c:v>
                </c:pt>
                <c:pt idx="2">
                  <c:v>1.129</c:v>
                </c:pt>
                <c:pt idx="3">
                  <c:v>1.0210000000000001</c:v>
                </c:pt>
                <c:pt idx="4">
                  <c:v>1.7799999999999998</c:v>
                </c:pt>
                <c:pt idx="5">
                  <c:v>0.91999999999999993</c:v>
                </c:pt>
                <c:pt idx="6">
                  <c:v>2.1710000000000003</c:v>
                </c:pt>
                <c:pt idx="7">
                  <c:v>0.87800000000000011</c:v>
                </c:pt>
                <c:pt idx="8">
                  <c:v>2.4420000000000002</c:v>
                </c:pt>
                <c:pt idx="9">
                  <c:v>1.2859999999999998</c:v>
                </c:pt>
                <c:pt idx="10">
                  <c:v>1.6029999999999998</c:v>
                </c:pt>
                <c:pt idx="11">
                  <c:v>0.88600000000000012</c:v>
                </c:pt>
                <c:pt idx="12">
                  <c:v>1.036</c:v>
                </c:pt>
                <c:pt idx="13">
                  <c:v>1.6680000000000001</c:v>
                </c:pt>
                <c:pt idx="14">
                  <c:v>2.0590000000000002</c:v>
                </c:pt>
                <c:pt idx="15">
                  <c:v>1.0329999999999999</c:v>
                </c:pt>
                <c:pt idx="16">
                  <c:v>1.264</c:v>
                </c:pt>
                <c:pt idx="17">
                  <c:v>0.49</c:v>
                </c:pt>
                <c:pt idx="18">
                  <c:v>0.67599999999999993</c:v>
                </c:pt>
                <c:pt idx="19">
                  <c:v>1.798</c:v>
                </c:pt>
                <c:pt idx="20">
                  <c:v>1.5189999999999997</c:v>
                </c:pt>
                <c:pt idx="21">
                  <c:v>1.139</c:v>
                </c:pt>
                <c:pt idx="22">
                  <c:v>1.1620000000000001</c:v>
                </c:pt>
                <c:pt idx="23">
                  <c:v>1.9949999999999997</c:v>
                </c:pt>
                <c:pt idx="24">
                  <c:v>0.93799999999999983</c:v>
                </c:pt>
                <c:pt idx="25">
                  <c:v>0.99199999999999999</c:v>
                </c:pt>
                <c:pt idx="26">
                  <c:v>1.518</c:v>
                </c:pt>
                <c:pt idx="27">
                  <c:v>0.41500000000000004</c:v>
                </c:pt>
                <c:pt idx="28">
                  <c:v>1.421</c:v>
                </c:pt>
                <c:pt idx="29">
                  <c:v>1.53</c:v>
                </c:pt>
                <c:pt idx="30">
                  <c:v>0.94100000000000006</c:v>
                </c:pt>
                <c:pt idx="31">
                  <c:v>1.615</c:v>
                </c:pt>
                <c:pt idx="32">
                  <c:v>1.1579999999999999</c:v>
                </c:pt>
                <c:pt idx="33">
                  <c:v>0.45599999999999996</c:v>
                </c:pt>
                <c:pt idx="34">
                  <c:v>0.24399999999999999</c:v>
                </c:pt>
                <c:pt idx="35">
                  <c:v>2.5680000000000001</c:v>
                </c:pt>
                <c:pt idx="36">
                  <c:v>1.3789999999999998</c:v>
                </c:pt>
                <c:pt idx="37">
                  <c:v>1.403</c:v>
                </c:pt>
                <c:pt idx="38">
                  <c:v>1.5010000000000001</c:v>
                </c:pt>
                <c:pt idx="39">
                  <c:v>1.1680000000000001</c:v>
                </c:pt>
                <c:pt idx="40">
                  <c:v>0.96000000000000008</c:v>
                </c:pt>
                <c:pt idx="41">
                  <c:v>0.29599999999999999</c:v>
                </c:pt>
                <c:pt idx="42">
                  <c:v>0.87500000000000022</c:v>
                </c:pt>
                <c:pt idx="43">
                  <c:v>0.50900000000000001</c:v>
                </c:pt>
                <c:pt idx="44">
                  <c:v>1.0949999999999998</c:v>
                </c:pt>
                <c:pt idx="45">
                  <c:v>1.0150000000000001</c:v>
                </c:pt>
                <c:pt idx="46">
                  <c:v>0.48199999999999998</c:v>
                </c:pt>
                <c:pt idx="47">
                  <c:v>2.2249999999999996</c:v>
                </c:pt>
              </c:numCache>
            </c:numRef>
          </c:val>
          <c:extLst>
            <c:ext xmlns:c16="http://schemas.microsoft.com/office/drawing/2014/chart" uri="{C3380CC4-5D6E-409C-BE32-E72D297353CC}">
              <c16:uniqueId val="{00000001-2C85-4965-965B-637FDB96493B}"/>
            </c:ext>
          </c:extLst>
        </c:ser>
        <c:dLbls>
          <c:showLegendKey val="0"/>
          <c:showVal val="0"/>
          <c:showCatName val="0"/>
          <c:showSerName val="0"/>
          <c:showPercent val="0"/>
          <c:showBubbleSize val="0"/>
        </c:dLbls>
        <c:gapWidth val="150"/>
        <c:overlap val="100"/>
        <c:axId val="465504208"/>
        <c:axId val="465503552"/>
      </c:barChart>
      <c:catAx>
        <c:axId val="465504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65503552"/>
        <c:crosses val="autoZero"/>
        <c:auto val="1"/>
        <c:lblAlgn val="ctr"/>
        <c:lblOffset val="100"/>
        <c:noMultiLvlLbl val="0"/>
      </c:catAx>
      <c:valAx>
        <c:axId val="4655035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65504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[Assigment 2.xlsx]Price Compliance Pivot!PivotTable1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'Price Compliance Pivot'!$B$3</c:f>
              <c:strCache>
                <c:ptCount val="1"/>
                <c:pt idx="0">
                  <c:v>Count of OrderID</c:v>
                </c:pt>
              </c:strCache>
            </c:strRef>
          </c:tx>
          <c:spPr>
            <a:solidFill>
              <a:schemeClr val="accent1"/>
            </a:solidFill>
            <a:ln>
              <a:noFill/>
            </a:ln>
            <a:effectLst/>
          </c:spPr>
          <c:invertIfNegative val="0"/>
          <c:cat>
            <c:multiLvlStrRef>
              <c:f>'Price Compliance Pivot'!$A$4:$A$55</c:f>
              <c:multiLvlStrCache>
                <c:ptCount val="48"/>
                <c:lvl>
                  <c:pt idx="0">
                    <c:v>O. Wang</c:v>
                  </c:pt>
                  <c:pt idx="1">
                    <c:v>Not Provided</c:v>
                  </c:pt>
                  <c:pt idx="2">
                    <c:v>N. Brown</c:v>
                  </c:pt>
                  <c:pt idx="3">
                    <c:v>M. Rossi</c:v>
                  </c:pt>
                  <c:pt idx="4">
                    <c:v>L. Okafor</c:v>
                  </c:pt>
                  <c:pt idx="5">
                    <c:v>K. Singh</c:v>
                  </c:pt>
                  <c:pt idx="6">
                    <c:v>J. Njeri</c:v>
                  </c:pt>
                  <c:pt idx="7">
                    <c:v>I. Johnson</c:v>
                  </c:pt>
                  <c:pt idx="8">
                    <c:v>H. Kim</c:v>
                  </c:pt>
                  <c:pt idx="9">
                    <c:v>G. Dubois</c:v>
                  </c:pt>
                  <c:pt idx="10">
                    <c:v>F. Müller</c:v>
                  </c:pt>
                  <c:pt idx="11">
                    <c:v>E. Garcia</c:v>
                  </c:pt>
                  <c:pt idx="12">
                    <c:v>D. Smith</c:v>
                  </c:pt>
                  <c:pt idx="13">
                    <c:v>C. Otieno</c:v>
                  </c:pt>
                  <c:pt idx="14">
                    <c:v>B. Chen</c:v>
                  </c:pt>
                  <c:pt idx="15">
                    <c:v>A. Patel</c:v>
                  </c:pt>
                  <c:pt idx="16">
                    <c:v>O. Wang</c:v>
                  </c:pt>
                  <c:pt idx="17">
                    <c:v>Not Provided</c:v>
                  </c:pt>
                  <c:pt idx="18">
                    <c:v>N. Brown</c:v>
                  </c:pt>
                  <c:pt idx="19">
                    <c:v>M. Rossi</c:v>
                  </c:pt>
                  <c:pt idx="20">
                    <c:v>L. Okafor</c:v>
                  </c:pt>
                  <c:pt idx="21">
                    <c:v>K. Singh</c:v>
                  </c:pt>
                  <c:pt idx="22">
                    <c:v>J. Njeri</c:v>
                  </c:pt>
                  <c:pt idx="23">
                    <c:v>I. Johnson</c:v>
                  </c:pt>
                  <c:pt idx="24">
                    <c:v>H. Kim</c:v>
                  </c:pt>
                  <c:pt idx="25">
                    <c:v>G. Dubois</c:v>
                  </c:pt>
                  <c:pt idx="26">
                    <c:v>F. Müller</c:v>
                  </c:pt>
                  <c:pt idx="27">
                    <c:v>E. Garcia</c:v>
                  </c:pt>
                  <c:pt idx="28">
                    <c:v>D. Smith</c:v>
                  </c:pt>
                  <c:pt idx="29">
                    <c:v>C. Otieno</c:v>
                  </c:pt>
                  <c:pt idx="30">
                    <c:v>B. Chen</c:v>
                  </c:pt>
                  <c:pt idx="31">
                    <c:v>A. Patel</c:v>
                  </c:pt>
                  <c:pt idx="32">
                    <c:v>O. Wang</c:v>
                  </c:pt>
                  <c:pt idx="33">
                    <c:v>Not Provided</c:v>
                  </c:pt>
                  <c:pt idx="34">
                    <c:v>N. Brown</c:v>
                  </c:pt>
                  <c:pt idx="35">
                    <c:v>M. Rossi</c:v>
                  </c:pt>
                  <c:pt idx="36">
                    <c:v>L. Okafor</c:v>
                  </c:pt>
                  <c:pt idx="37">
                    <c:v>K. Singh</c:v>
                  </c:pt>
                  <c:pt idx="38">
                    <c:v>J. Njeri</c:v>
                  </c:pt>
                  <c:pt idx="39">
                    <c:v>I. Johnson</c:v>
                  </c:pt>
                  <c:pt idx="40">
                    <c:v>H. Kim</c:v>
                  </c:pt>
                  <c:pt idx="41">
                    <c:v>G. Dubois</c:v>
                  </c:pt>
                  <c:pt idx="42">
                    <c:v>F. Müller</c:v>
                  </c:pt>
                  <c:pt idx="43">
                    <c:v>E. Garcia</c:v>
                  </c:pt>
                  <c:pt idx="44">
                    <c:v>D. Smith</c:v>
                  </c:pt>
                  <c:pt idx="45">
                    <c:v>C. Otieno</c:v>
                  </c:pt>
                  <c:pt idx="46">
                    <c:v>B. Chen</c:v>
                  </c:pt>
                  <c:pt idx="47">
                    <c:v>A. Patel</c:v>
                  </c:pt>
                </c:lvl>
                <c:lvl>
                  <c:pt idx="0">
                    <c:v>Asia</c:v>
                  </c:pt>
                  <c:pt idx="16">
                    <c:v>Americas</c:v>
                  </c:pt>
                  <c:pt idx="32">
                    <c:v>Africa</c:v>
                  </c:pt>
                </c:lvl>
              </c:multiLvlStrCache>
            </c:multiLvlStrRef>
          </c:cat>
          <c:val>
            <c:numRef>
              <c:f>'Price Compliance Pivot'!$B$4:$B$55</c:f>
              <c:numCache>
                <c:formatCode>General</c:formatCode>
                <c:ptCount val="48"/>
                <c:pt idx="0">
                  <c:v>8</c:v>
                </c:pt>
                <c:pt idx="1">
                  <c:v>2</c:v>
                </c:pt>
                <c:pt idx="2">
                  <c:v>10</c:v>
                </c:pt>
                <c:pt idx="3">
                  <c:v>10</c:v>
                </c:pt>
                <c:pt idx="4">
                  <c:v>14</c:v>
                </c:pt>
                <c:pt idx="5">
                  <c:v>7</c:v>
                </c:pt>
                <c:pt idx="6">
                  <c:v>19</c:v>
                </c:pt>
                <c:pt idx="7">
                  <c:v>8</c:v>
                </c:pt>
                <c:pt idx="8">
                  <c:v>16</c:v>
                </c:pt>
                <c:pt idx="9">
                  <c:v>11</c:v>
                </c:pt>
                <c:pt idx="10">
                  <c:v>12</c:v>
                </c:pt>
                <c:pt idx="11">
                  <c:v>8</c:v>
                </c:pt>
                <c:pt idx="12">
                  <c:v>9</c:v>
                </c:pt>
                <c:pt idx="13">
                  <c:v>10</c:v>
                </c:pt>
                <c:pt idx="14">
                  <c:v>17</c:v>
                </c:pt>
                <c:pt idx="15">
                  <c:v>10</c:v>
                </c:pt>
                <c:pt idx="16">
                  <c:v>12</c:v>
                </c:pt>
                <c:pt idx="17">
                  <c:v>3</c:v>
                </c:pt>
                <c:pt idx="18">
                  <c:v>7</c:v>
                </c:pt>
                <c:pt idx="19">
                  <c:v>12</c:v>
                </c:pt>
                <c:pt idx="20">
                  <c:v>12</c:v>
                </c:pt>
                <c:pt idx="21">
                  <c:v>10</c:v>
                </c:pt>
                <c:pt idx="22">
                  <c:v>10</c:v>
                </c:pt>
                <c:pt idx="23">
                  <c:v>14</c:v>
                </c:pt>
                <c:pt idx="24">
                  <c:v>9</c:v>
                </c:pt>
                <c:pt idx="25">
                  <c:v>8</c:v>
                </c:pt>
                <c:pt idx="26">
                  <c:v>15</c:v>
                </c:pt>
                <c:pt idx="27">
                  <c:v>5</c:v>
                </c:pt>
                <c:pt idx="28">
                  <c:v>8</c:v>
                </c:pt>
                <c:pt idx="29">
                  <c:v>14</c:v>
                </c:pt>
                <c:pt idx="30">
                  <c:v>8</c:v>
                </c:pt>
                <c:pt idx="31">
                  <c:v>10</c:v>
                </c:pt>
                <c:pt idx="32">
                  <c:v>9</c:v>
                </c:pt>
                <c:pt idx="33">
                  <c:v>2</c:v>
                </c:pt>
                <c:pt idx="34">
                  <c:v>4</c:v>
                </c:pt>
                <c:pt idx="35">
                  <c:v>16</c:v>
                </c:pt>
                <c:pt idx="36">
                  <c:v>10</c:v>
                </c:pt>
                <c:pt idx="37">
                  <c:v>14</c:v>
                </c:pt>
                <c:pt idx="38">
                  <c:v>12</c:v>
                </c:pt>
                <c:pt idx="39">
                  <c:v>8</c:v>
                </c:pt>
                <c:pt idx="40">
                  <c:v>7</c:v>
                </c:pt>
                <c:pt idx="41">
                  <c:v>3</c:v>
                </c:pt>
                <c:pt idx="42">
                  <c:v>13</c:v>
                </c:pt>
                <c:pt idx="43">
                  <c:v>5</c:v>
                </c:pt>
                <c:pt idx="44">
                  <c:v>10</c:v>
                </c:pt>
                <c:pt idx="45">
                  <c:v>8</c:v>
                </c:pt>
                <c:pt idx="46">
                  <c:v>8</c:v>
                </c:pt>
                <c:pt idx="47">
                  <c:v>16</c:v>
                </c:pt>
              </c:numCache>
            </c:numRef>
          </c:val>
          <c:extLst>
            <c:ext xmlns:c16="http://schemas.microsoft.com/office/drawing/2014/chart" uri="{C3380CC4-5D6E-409C-BE32-E72D297353CC}">
              <c16:uniqueId val="{00000000-BC67-40E7-B845-3C31AA99D6E7}"/>
            </c:ext>
          </c:extLst>
        </c:ser>
        <c:ser>
          <c:idx val="1"/>
          <c:order val="1"/>
          <c:tx>
            <c:strRef>
              <c:f>'Price Compliance Pivot'!$C$3</c:f>
              <c:strCache>
                <c:ptCount val="1"/>
                <c:pt idx="0">
                  <c:v>Sum of DiscountPct</c:v>
                </c:pt>
              </c:strCache>
            </c:strRef>
          </c:tx>
          <c:spPr>
            <a:solidFill>
              <a:schemeClr val="accent2"/>
            </a:solidFill>
            <a:ln>
              <a:noFill/>
            </a:ln>
            <a:effectLst/>
          </c:spPr>
          <c:invertIfNegative val="0"/>
          <c:cat>
            <c:multiLvlStrRef>
              <c:f>'Price Compliance Pivot'!$A$4:$A$55</c:f>
              <c:multiLvlStrCache>
                <c:ptCount val="48"/>
                <c:lvl>
                  <c:pt idx="0">
                    <c:v>O. Wang</c:v>
                  </c:pt>
                  <c:pt idx="1">
                    <c:v>Not Provided</c:v>
                  </c:pt>
                  <c:pt idx="2">
                    <c:v>N. Brown</c:v>
                  </c:pt>
                  <c:pt idx="3">
                    <c:v>M. Rossi</c:v>
                  </c:pt>
                  <c:pt idx="4">
                    <c:v>L. Okafor</c:v>
                  </c:pt>
                  <c:pt idx="5">
                    <c:v>K. Singh</c:v>
                  </c:pt>
                  <c:pt idx="6">
                    <c:v>J. Njeri</c:v>
                  </c:pt>
                  <c:pt idx="7">
                    <c:v>I. Johnson</c:v>
                  </c:pt>
                  <c:pt idx="8">
                    <c:v>H. Kim</c:v>
                  </c:pt>
                  <c:pt idx="9">
                    <c:v>G. Dubois</c:v>
                  </c:pt>
                  <c:pt idx="10">
                    <c:v>F. Müller</c:v>
                  </c:pt>
                  <c:pt idx="11">
                    <c:v>E. Garcia</c:v>
                  </c:pt>
                  <c:pt idx="12">
                    <c:v>D. Smith</c:v>
                  </c:pt>
                  <c:pt idx="13">
                    <c:v>C. Otieno</c:v>
                  </c:pt>
                  <c:pt idx="14">
                    <c:v>B. Chen</c:v>
                  </c:pt>
                  <c:pt idx="15">
                    <c:v>A. Patel</c:v>
                  </c:pt>
                  <c:pt idx="16">
                    <c:v>O. Wang</c:v>
                  </c:pt>
                  <c:pt idx="17">
                    <c:v>Not Provided</c:v>
                  </c:pt>
                  <c:pt idx="18">
                    <c:v>N. Brown</c:v>
                  </c:pt>
                  <c:pt idx="19">
                    <c:v>M. Rossi</c:v>
                  </c:pt>
                  <c:pt idx="20">
                    <c:v>L. Okafor</c:v>
                  </c:pt>
                  <c:pt idx="21">
                    <c:v>K. Singh</c:v>
                  </c:pt>
                  <c:pt idx="22">
                    <c:v>J. Njeri</c:v>
                  </c:pt>
                  <c:pt idx="23">
                    <c:v>I. Johnson</c:v>
                  </c:pt>
                  <c:pt idx="24">
                    <c:v>H. Kim</c:v>
                  </c:pt>
                  <c:pt idx="25">
                    <c:v>G. Dubois</c:v>
                  </c:pt>
                  <c:pt idx="26">
                    <c:v>F. Müller</c:v>
                  </c:pt>
                  <c:pt idx="27">
                    <c:v>E. Garcia</c:v>
                  </c:pt>
                  <c:pt idx="28">
                    <c:v>D. Smith</c:v>
                  </c:pt>
                  <c:pt idx="29">
                    <c:v>C. Otieno</c:v>
                  </c:pt>
                  <c:pt idx="30">
                    <c:v>B. Chen</c:v>
                  </c:pt>
                  <c:pt idx="31">
                    <c:v>A. Patel</c:v>
                  </c:pt>
                  <c:pt idx="32">
                    <c:v>O. Wang</c:v>
                  </c:pt>
                  <c:pt idx="33">
                    <c:v>Not Provided</c:v>
                  </c:pt>
                  <c:pt idx="34">
                    <c:v>N. Brown</c:v>
                  </c:pt>
                  <c:pt idx="35">
                    <c:v>M. Rossi</c:v>
                  </c:pt>
                  <c:pt idx="36">
                    <c:v>L. Okafor</c:v>
                  </c:pt>
                  <c:pt idx="37">
                    <c:v>K. Singh</c:v>
                  </c:pt>
                  <c:pt idx="38">
                    <c:v>J. Njeri</c:v>
                  </c:pt>
                  <c:pt idx="39">
                    <c:v>I. Johnson</c:v>
                  </c:pt>
                  <c:pt idx="40">
                    <c:v>H. Kim</c:v>
                  </c:pt>
                  <c:pt idx="41">
                    <c:v>G. Dubois</c:v>
                  </c:pt>
                  <c:pt idx="42">
                    <c:v>F. Müller</c:v>
                  </c:pt>
                  <c:pt idx="43">
                    <c:v>E. Garcia</c:v>
                  </c:pt>
                  <c:pt idx="44">
                    <c:v>D. Smith</c:v>
                  </c:pt>
                  <c:pt idx="45">
                    <c:v>C. Otieno</c:v>
                  </c:pt>
                  <c:pt idx="46">
                    <c:v>B. Chen</c:v>
                  </c:pt>
                  <c:pt idx="47">
                    <c:v>A. Patel</c:v>
                  </c:pt>
                </c:lvl>
                <c:lvl>
                  <c:pt idx="0">
                    <c:v>Asia</c:v>
                  </c:pt>
                  <c:pt idx="16">
                    <c:v>Americas</c:v>
                  </c:pt>
                  <c:pt idx="32">
                    <c:v>Africa</c:v>
                  </c:pt>
                </c:lvl>
              </c:multiLvlStrCache>
            </c:multiLvlStrRef>
          </c:cat>
          <c:val>
            <c:numRef>
              <c:f>'Price Compliance Pivot'!$C$4:$C$55</c:f>
              <c:numCache>
                <c:formatCode>General</c:formatCode>
                <c:ptCount val="48"/>
                <c:pt idx="0">
                  <c:v>1.5699999999999998</c:v>
                </c:pt>
                <c:pt idx="1">
                  <c:v>0.20700000000000002</c:v>
                </c:pt>
                <c:pt idx="2">
                  <c:v>1.129</c:v>
                </c:pt>
                <c:pt idx="3">
                  <c:v>1.0210000000000001</c:v>
                </c:pt>
                <c:pt idx="4">
                  <c:v>1.7799999999999998</c:v>
                </c:pt>
                <c:pt idx="5">
                  <c:v>0.91999999999999993</c:v>
                </c:pt>
                <c:pt idx="6">
                  <c:v>2.1710000000000003</c:v>
                </c:pt>
                <c:pt idx="7">
                  <c:v>0.87800000000000011</c:v>
                </c:pt>
                <c:pt idx="8">
                  <c:v>2.4420000000000002</c:v>
                </c:pt>
                <c:pt idx="9">
                  <c:v>1.2859999999999998</c:v>
                </c:pt>
                <c:pt idx="10">
                  <c:v>1.6029999999999998</c:v>
                </c:pt>
                <c:pt idx="11">
                  <c:v>0.88600000000000012</c:v>
                </c:pt>
                <c:pt idx="12">
                  <c:v>1.036</c:v>
                </c:pt>
                <c:pt idx="13">
                  <c:v>1.6680000000000001</c:v>
                </c:pt>
                <c:pt idx="14">
                  <c:v>2.0590000000000002</c:v>
                </c:pt>
                <c:pt idx="15">
                  <c:v>1.0329999999999999</c:v>
                </c:pt>
                <c:pt idx="16">
                  <c:v>1.264</c:v>
                </c:pt>
                <c:pt idx="17">
                  <c:v>0.49</c:v>
                </c:pt>
                <c:pt idx="18">
                  <c:v>0.67599999999999993</c:v>
                </c:pt>
                <c:pt idx="19">
                  <c:v>1.798</c:v>
                </c:pt>
                <c:pt idx="20">
                  <c:v>1.5189999999999997</c:v>
                </c:pt>
                <c:pt idx="21">
                  <c:v>1.139</c:v>
                </c:pt>
                <c:pt idx="22">
                  <c:v>1.1620000000000001</c:v>
                </c:pt>
                <c:pt idx="23">
                  <c:v>1.9949999999999997</c:v>
                </c:pt>
                <c:pt idx="24">
                  <c:v>0.93799999999999983</c:v>
                </c:pt>
                <c:pt idx="25">
                  <c:v>0.99199999999999999</c:v>
                </c:pt>
                <c:pt idx="26">
                  <c:v>1.518</c:v>
                </c:pt>
                <c:pt idx="27">
                  <c:v>0.41500000000000004</c:v>
                </c:pt>
                <c:pt idx="28">
                  <c:v>1.421</c:v>
                </c:pt>
                <c:pt idx="29">
                  <c:v>1.53</c:v>
                </c:pt>
                <c:pt idx="30">
                  <c:v>0.94100000000000006</c:v>
                </c:pt>
                <c:pt idx="31">
                  <c:v>1.615</c:v>
                </c:pt>
                <c:pt idx="32">
                  <c:v>1.1579999999999999</c:v>
                </c:pt>
                <c:pt idx="33">
                  <c:v>0.45599999999999996</c:v>
                </c:pt>
                <c:pt idx="34">
                  <c:v>0.24399999999999999</c:v>
                </c:pt>
                <c:pt idx="35">
                  <c:v>2.5680000000000001</c:v>
                </c:pt>
                <c:pt idx="36">
                  <c:v>1.3789999999999998</c:v>
                </c:pt>
                <c:pt idx="37">
                  <c:v>1.403</c:v>
                </c:pt>
                <c:pt idx="38">
                  <c:v>1.5010000000000001</c:v>
                </c:pt>
                <c:pt idx="39">
                  <c:v>1.1680000000000001</c:v>
                </c:pt>
                <c:pt idx="40">
                  <c:v>0.96000000000000008</c:v>
                </c:pt>
                <c:pt idx="41">
                  <c:v>0.29599999999999999</c:v>
                </c:pt>
                <c:pt idx="42">
                  <c:v>0.87500000000000022</c:v>
                </c:pt>
                <c:pt idx="43">
                  <c:v>0.50900000000000001</c:v>
                </c:pt>
                <c:pt idx="44">
                  <c:v>1.0949999999999998</c:v>
                </c:pt>
                <c:pt idx="45">
                  <c:v>1.0150000000000001</c:v>
                </c:pt>
                <c:pt idx="46">
                  <c:v>0.48199999999999998</c:v>
                </c:pt>
                <c:pt idx="47">
                  <c:v>2.2249999999999996</c:v>
                </c:pt>
              </c:numCache>
            </c:numRef>
          </c:val>
          <c:extLst>
            <c:ext xmlns:c16="http://schemas.microsoft.com/office/drawing/2014/chart" uri="{C3380CC4-5D6E-409C-BE32-E72D297353CC}">
              <c16:uniqueId val="{00000001-BC67-40E7-B845-3C31AA99D6E7}"/>
            </c:ext>
          </c:extLst>
        </c:ser>
        <c:dLbls>
          <c:showLegendKey val="0"/>
          <c:showVal val="0"/>
          <c:showCatName val="0"/>
          <c:showSerName val="0"/>
          <c:showPercent val="0"/>
          <c:showBubbleSize val="0"/>
        </c:dLbls>
        <c:gapWidth val="182"/>
        <c:axId val="541177272"/>
        <c:axId val="541178912"/>
      </c:barChart>
      <c:catAx>
        <c:axId val="541177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41178912"/>
        <c:crosses val="autoZero"/>
        <c:auto val="1"/>
        <c:lblAlgn val="ctr"/>
        <c:lblOffset val="100"/>
        <c:noMultiLvlLbl val="0"/>
      </c:catAx>
      <c:valAx>
        <c:axId val="541178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41177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scatterChart>
        <c:scatterStyle val="lineMarker"/>
        <c:varyColors val="0"/>
        <c:ser>
          <c:idx val="0"/>
          <c:order val="0"/>
          <c:tx>
            <c:strRef>
              <c:f>'Price Compliance Pivot'!$C$58</c:f>
              <c:strCache>
                <c:ptCount val="1"/>
                <c:pt idx="0">
                  <c:v>High Discount Flag</c:v>
                </c:pt>
              </c:strCache>
            </c:strRef>
          </c:tx>
          <c:spPr>
            <a:ln w="19050" cap="rnd">
              <a:noFill/>
              <a:round/>
            </a:ln>
            <a:effectLst/>
          </c:spPr>
          <c:marker>
            <c:symbol val="circle"/>
            <c:size val="5"/>
            <c:spPr>
              <a:solidFill>
                <a:schemeClr val="accent1"/>
              </a:solidFill>
              <a:ln w="9525">
                <a:solidFill>
                  <a:schemeClr val="accent1"/>
                </a:solidFill>
              </a:ln>
              <a:effectLst/>
            </c:spPr>
          </c:marker>
          <c:xVal>
            <c:numRef>
              <c:f>'Price Compliance Pivot'!$B$59:$B$110</c:f>
              <c:numCache>
                <c:formatCode>General</c:formatCode>
                <c:ptCount val="52"/>
                <c:pt idx="0">
                  <c:v>21.688999999999997</c:v>
                </c:pt>
                <c:pt idx="1">
                  <c:v>1.5699999999999998</c:v>
                </c:pt>
                <c:pt idx="2">
                  <c:v>0.20700000000000002</c:v>
                </c:pt>
                <c:pt idx="3">
                  <c:v>1.129</c:v>
                </c:pt>
                <c:pt idx="4">
                  <c:v>1.0210000000000001</c:v>
                </c:pt>
                <c:pt idx="5">
                  <c:v>1.7799999999999998</c:v>
                </c:pt>
                <c:pt idx="6">
                  <c:v>0.91999999999999993</c:v>
                </c:pt>
                <c:pt idx="7">
                  <c:v>2.1710000000000003</c:v>
                </c:pt>
                <c:pt idx="8">
                  <c:v>0.87800000000000011</c:v>
                </c:pt>
                <c:pt idx="9">
                  <c:v>2.4420000000000002</c:v>
                </c:pt>
                <c:pt idx="10">
                  <c:v>1.2859999999999998</c:v>
                </c:pt>
                <c:pt idx="11">
                  <c:v>1.6029999999999998</c:v>
                </c:pt>
                <c:pt idx="12">
                  <c:v>0.88600000000000012</c:v>
                </c:pt>
                <c:pt idx="13">
                  <c:v>1.036</c:v>
                </c:pt>
                <c:pt idx="14">
                  <c:v>1.6680000000000001</c:v>
                </c:pt>
                <c:pt idx="15">
                  <c:v>2.0590000000000002</c:v>
                </c:pt>
                <c:pt idx="16">
                  <c:v>1.0329999999999999</c:v>
                </c:pt>
                <c:pt idx="17">
                  <c:v>19.413000000000004</c:v>
                </c:pt>
                <c:pt idx="18">
                  <c:v>1.264</c:v>
                </c:pt>
                <c:pt idx="19">
                  <c:v>0.49</c:v>
                </c:pt>
                <c:pt idx="20">
                  <c:v>0.67599999999999993</c:v>
                </c:pt>
                <c:pt idx="21">
                  <c:v>1.798</c:v>
                </c:pt>
                <c:pt idx="22">
                  <c:v>1.5189999999999997</c:v>
                </c:pt>
                <c:pt idx="23">
                  <c:v>1.139</c:v>
                </c:pt>
                <c:pt idx="24">
                  <c:v>1.1620000000000001</c:v>
                </c:pt>
                <c:pt idx="25">
                  <c:v>1.9949999999999997</c:v>
                </c:pt>
                <c:pt idx="26">
                  <c:v>0.93799999999999983</c:v>
                </c:pt>
                <c:pt idx="27">
                  <c:v>0.99199999999999999</c:v>
                </c:pt>
                <c:pt idx="28">
                  <c:v>1.518</c:v>
                </c:pt>
                <c:pt idx="29">
                  <c:v>0.41500000000000004</c:v>
                </c:pt>
                <c:pt idx="30">
                  <c:v>1.421</c:v>
                </c:pt>
                <c:pt idx="31">
                  <c:v>1.53</c:v>
                </c:pt>
                <c:pt idx="32">
                  <c:v>0.94100000000000006</c:v>
                </c:pt>
                <c:pt idx="33">
                  <c:v>1.615</c:v>
                </c:pt>
                <c:pt idx="34">
                  <c:v>17.333999999999993</c:v>
                </c:pt>
                <c:pt idx="35">
                  <c:v>1.1579999999999999</c:v>
                </c:pt>
                <c:pt idx="36">
                  <c:v>0.45599999999999996</c:v>
                </c:pt>
                <c:pt idx="37">
                  <c:v>0.24399999999999999</c:v>
                </c:pt>
                <c:pt idx="38">
                  <c:v>2.5680000000000001</c:v>
                </c:pt>
                <c:pt idx="39">
                  <c:v>1.3789999999999998</c:v>
                </c:pt>
                <c:pt idx="40">
                  <c:v>1.403</c:v>
                </c:pt>
                <c:pt idx="41">
                  <c:v>1.5010000000000001</c:v>
                </c:pt>
                <c:pt idx="42">
                  <c:v>1.1680000000000001</c:v>
                </c:pt>
                <c:pt idx="43">
                  <c:v>0.96000000000000008</c:v>
                </c:pt>
                <c:pt idx="44">
                  <c:v>0.29599999999999999</c:v>
                </c:pt>
                <c:pt idx="45">
                  <c:v>0.87500000000000022</c:v>
                </c:pt>
                <c:pt idx="46">
                  <c:v>0.50900000000000001</c:v>
                </c:pt>
                <c:pt idx="47">
                  <c:v>1.0949999999999998</c:v>
                </c:pt>
                <c:pt idx="48">
                  <c:v>1.0150000000000001</c:v>
                </c:pt>
                <c:pt idx="49">
                  <c:v>0.48199999999999998</c:v>
                </c:pt>
                <c:pt idx="50">
                  <c:v>2.2249999999999996</c:v>
                </c:pt>
                <c:pt idx="51">
                  <c:v>58.436</c:v>
                </c:pt>
              </c:numCache>
            </c:numRef>
          </c:xVal>
          <c:yVal>
            <c:numRef>
              <c:f>'Price Compliance Pivot'!$C$59:$C$110</c:f>
              <c:numCache>
                <c:formatCode>General</c:formatCode>
                <c:ptCount val="52"/>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Cache>
            </c:numRef>
          </c:yVal>
          <c:smooth val="0"/>
          <c:extLst>
            <c:ext xmlns:c16="http://schemas.microsoft.com/office/drawing/2014/chart" uri="{C3380CC4-5D6E-409C-BE32-E72D297353CC}">
              <c16:uniqueId val="{00000000-8EE5-4E2B-9EBE-9AC2529A1E53}"/>
            </c:ext>
          </c:extLst>
        </c:ser>
        <c:ser>
          <c:idx val="1"/>
          <c:order val="1"/>
          <c:tx>
            <c:strRef>
              <c:f>'Price Compliance Pivot'!$D$58</c:f>
              <c:strCache>
                <c:ptCount val="1"/>
                <c:pt idx="0">
                  <c:v>Share Of High Discount Orders</c:v>
                </c:pt>
              </c:strCache>
            </c:strRef>
          </c:tx>
          <c:spPr>
            <a:ln w="1905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xVal>
            <c:numRef>
              <c:f>'Price Compliance Pivot'!$B$59:$B$110</c:f>
              <c:numCache>
                <c:formatCode>General</c:formatCode>
                <c:ptCount val="52"/>
                <c:pt idx="0">
                  <c:v>21.688999999999997</c:v>
                </c:pt>
                <c:pt idx="1">
                  <c:v>1.5699999999999998</c:v>
                </c:pt>
                <c:pt idx="2">
                  <c:v>0.20700000000000002</c:v>
                </c:pt>
                <c:pt idx="3">
                  <c:v>1.129</c:v>
                </c:pt>
                <c:pt idx="4">
                  <c:v>1.0210000000000001</c:v>
                </c:pt>
                <c:pt idx="5">
                  <c:v>1.7799999999999998</c:v>
                </c:pt>
                <c:pt idx="6">
                  <c:v>0.91999999999999993</c:v>
                </c:pt>
                <c:pt idx="7">
                  <c:v>2.1710000000000003</c:v>
                </c:pt>
                <c:pt idx="8">
                  <c:v>0.87800000000000011</c:v>
                </c:pt>
                <c:pt idx="9">
                  <c:v>2.4420000000000002</c:v>
                </c:pt>
                <c:pt idx="10">
                  <c:v>1.2859999999999998</c:v>
                </c:pt>
                <c:pt idx="11">
                  <c:v>1.6029999999999998</c:v>
                </c:pt>
                <c:pt idx="12">
                  <c:v>0.88600000000000012</c:v>
                </c:pt>
                <c:pt idx="13">
                  <c:v>1.036</c:v>
                </c:pt>
                <c:pt idx="14">
                  <c:v>1.6680000000000001</c:v>
                </c:pt>
                <c:pt idx="15">
                  <c:v>2.0590000000000002</c:v>
                </c:pt>
                <c:pt idx="16">
                  <c:v>1.0329999999999999</c:v>
                </c:pt>
                <c:pt idx="17">
                  <c:v>19.413000000000004</c:v>
                </c:pt>
                <c:pt idx="18">
                  <c:v>1.264</c:v>
                </c:pt>
                <c:pt idx="19">
                  <c:v>0.49</c:v>
                </c:pt>
                <c:pt idx="20">
                  <c:v>0.67599999999999993</c:v>
                </c:pt>
                <c:pt idx="21">
                  <c:v>1.798</c:v>
                </c:pt>
                <c:pt idx="22">
                  <c:v>1.5189999999999997</c:v>
                </c:pt>
                <c:pt idx="23">
                  <c:v>1.139</c:v>
                </c:pt>
                <c:pt idx="24">
                  <c:v>1.1620000000000001</c:v>
                </c:pt>
                <c:pt idx="25">
                  <c:v>1.9949999999999997</c:v>
                </c:pt>
                <c:pt idx="26">
                  <c:v>0.93799999999999983</c:v>
                </c:pt>
                <c:pt idx="27">
                  <c:v>0.99199999999999999</c:v>
                </c:pt>
                <c:pt idx="28">
                  <c:v>1.518</c:v>
                </c:pt>
                <c:pt idx="29">
                  <c:v>0.41500000000000004</c:v>
                </c:pt>
                <c:pt idx="30">
                  <c:v>1.421</c:v>
                </c:pt>
                <c:pt idx="31">
                  <c:v>1.53</c:v>
                </c:pt>
                <c:pt idx="32">
                  <c:v>0.94100000000000006</c:v>
                </c:pt>
                <c:pt idx="33">
                  <c:v>1.615</c:v>
                </c:pt>
                <c:pt idx="34">
                  <c:v>17.333999999999993</c:v>
                </c:pt>
                <c:pt idx="35">
                  <c:v>1.1579999999999999</c:v>
                </c:pt>
                <c:pt idx="36">
                  <c:v>0.45599999999999996</c:v>
                </c:pt>
                <c:pt idx="37">
                  <c:v>0.24399999999999999</c:v>
                </c:pt>
                <c:pt idx="38">
                  <c:v>2.5680000000000001</c:v>
                </c:pt>
                <c:pt idx="39">
                  <c:v>1.3789999999999998</c:v>
                </c:pt>
                <c:pt idx="40">
                  <c:v>1.403</c:v>
                </c:pt>
                <c:pt idx="41">
                  <c:v>1.5010000000000001</c:v>
                </c:pt>
                <c:pt idx="42">
                  <c:v>1.1680000000000001</c:v>
                </c:pt>
                <c:pt idx="43">
                  <c:v>0.96000000000000008</c:v>
                </c:pt>
                <c:pt idx="44">
                  <c:v>0.29599999999999999</c:v>
                </c:pt>
                <c:pt idx="45">
                  <c:v>0.87500000000000022</c:v>
                </c:pt>
                <c:pt idx="46">
                  <c:v>0.50900000000000001</c:v>
                </c:pt>
                <c:pt idx="47">
                  <c:v>1.0949999999999998</c:v>
                </c:pt>
                <c:pt idx="48">
                  <c:v>1.0150000000000001</c:v>
                </c:pt>
                <c:pt idx="49">
                  <c:v>0.48199999999999998</c:v>
                </c:pt>
                <c:pt idx="50">
                  <c:v>2.2249999999999996</c:v>
                </c:pt>
                <c:pt idx="51">
                  <c:v>58.436</c:v>
                </c:pt>
              </c:numCache>
            </c:numRef>
          </c:xVal>
          <c:yVal>
            <c:numRef>
              <c:f>'Price Compliance Pivot'!$D$59:$D$110</c:f>
              <c:numCache>
                <c:formatCode>0.00%</c:formatCode>
                <c:ptCount val="52"/>
                <c:pt idx="1">
                  <c:v>6.25E-2</c:v>
                </c:pt>
                <c:pt idx="2">
                  <c:v>0.125</c:v>
                </c:pt>
                <c:pt idx="3">
                  <c:v>0.125</c:v>
                </c:pt>
                <c:pt idx="4">
                  <c:v>0.1</c:v>
                </c:pt>
                <c:pt idx="5">
                  <c:v>0.2</c:v>
                </c:pt>
                <c:pt idx="6">
                  <c:v>7.6923076923076927E-2</c:v>
                </c:pt>
                <c:pt idx="7">
                  <c:v>0.33333333333333331</c:v>
                </c:pt>
                <c:pt idx="8">
                  <c:v>0.14285714285714285</c:v>
                </c:pt>
                <c:pt idx="9">
                  <c:v>0.125</c:v>
                </c:pt>
                <c:pt idx="10">
                  <c:v>8.3333333333333329E-2</c:v>
                </c:pt>
                <c:pt idx="11">
                  <c:v>7.1428571428571425E-2</c:v>
                </c:pt>
                <c:pt idx="12">
                  <c:v>0.1</c:v>
                </c:pt>
                <c:pt idx="13">
                  <c:v>6.25E-2</c:v>
                </c:pt>
                <c:pt idx="14">
                  <c:v>0.25</c:v>
                </c:pt>
                <c:pt idx="15">
                  <c:v>0.5</c:v>
                </c:pt>
                <c:pt idx="16">
                  <c:v>0.1111111111111111</c:v>
                </c:pt>
                <c:pt idx="18">
                  <c:v>0.1</c:v>
                </c:pt>
                <c:pt idx="19">
                  <c:v>0.125</c:v>
                </c:pt>
                <c:pt idx="20">
                  <c:v>7.1428571428571425E-2</c:v>
                </c:pt>
                <c:pt idx="21">
                  <c:v>0.125</c:v>
                </c:pt>
                <c:pt idx="22">
                  <c:v>0.2</c:v>
                </c:pt>
                <c:pt idx="23">
                  <c:v>6.6666666666666666E-2</c:v>
                </c:pt>
                <c:pt idx="24">
                  <c:v>0.125</c:v>
                </c:pt>
                <c:pt idx="25">
                  <c:v>0.1111111111111111</c:v>
                </c:pt>
                <c:pt idx="26">
                  <c:v>7.1428571428571425E-2</c:v>
                </c:pt>
                <c:pt idx="27">
                  <c:v>0.1</c:v>
                </c:pt>
                <c:pt idx="28">
                  <c:v>0.1</c:v>
                </c:pt>
                <c:pt idx="29">
                  <c:v>8.3333333333333329E-2</c:v>
                </c:pt>
                <c:pt idx="30">
                  <c:v>8.3333333333333329E-2</c:v>
                </c:pt>
                <c:pt idx="31">
                  <c:v>0.14285714285714285</c:v>
                </c:pt>
                <c:pt idx="32">
                  <c:v>0.33333333333333331</c:v>
                </c:pt>
                <c:pt idx="33">
                  <c:v>8.3333333333333329E-2</c:v>
                </c:pt>
                <c:pt idx="35">
                  <c:v>0.1</c:v>
                </c:pt>
                <c:pt idx="36">
                  <c:v>5.8823529411764705E-2</c:v>
                </c:pt>
                <c:pt idx="37">
                  <c:v>0.1</c:v>
                </c:pt>
                <c:pt idx="38">
                  <c:v>0.1111111111111111</c:v>
                </c:pt>
                <c:pt idx="39">
                  <c:v>0.125</c:v>
                </c:pt>
                <c:pt idx="40">
                  <c:v>8.3333333333333329E-2</c:v>
                </c:pt>
                <c:pt idx="41">
                  <c:v>9.0909090909090912E-2</c:v>
                </c:pt>
                <c:pt idx="42">
                  <c:v>6.25E-2</c:v>
                </c:pt>
                <c:pt idx="43">
                  <c:v>0.125</c:v>
                </c:pt>
                <c:pt idx="44">
                  <c:v>5.2631578947368418E-2</c:v>
                </c:pt>
                <c:pt idx="45">
                  <c:v>0.14285714285714285</c:v>
                </c:pt>
                <c:pt idx="46">
                  <c:v>7.1428571428571425E-2</c:v>
                </c:pt>
                <c:pt idx="47">
                  <c:v>0.1</c:v>
                </c:pt>
                <c:pt idx="48">
                  <c:v>0.1</c:v>
                </c:pt>
                <c:pt idx="49">
                  <c:v>0.5</c:v>
                </c:pt>
                <c:pt idx="50">
                  <c:v>0.125</c:v>
                </c:pt>
              </c:numCache>
            </c:numRef>
          </c:yVal>
          <c:smooth val="0"/>
          <c:extLst>
            <c:ext xmlns:c16="http://schemas.microsoft.com/office/drawing/2014/chart" uri="{C3380CC4-5D6E-409C-BE32-E72D297353CC}">
              <c16:uniqueId val="{00000001-8EE5-4E2B-9EBE-9AC2529A1E53}"/>
            </c:ext>
          </c:extLst>
        </c:ser>
        <c:dLbls>
          <c:showLegendKey val="0"/>
          <c:showVal val="0"/>
          <c:showCatName val="0"/>
          <c:showSerName val="0"/>
          <c:showPercent val="0"/>
          <c:showBubbleSize val="0"/>
        </c:dLbls>
        <c:axId val="542439272"/>
        <c:axId val="542441568"/>
      </c:scatterChart>
      <c:valAx>
        <c:axId val="5424392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42441568"/>
        <c:crosses val="autoZero"/>
        <c:crossBetween val="midCat"/>
      </c:valAx>
      <c:valAx>
        <c:axId val="542441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4243927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col"/>
        <c:grouping val="clustered"/>
        <c:varyColors val="0"/>
        <c:ser>
          <c:idx val="0"/>
          <c:order val="0"/>
          <c:tx>
            <c:strRef>
              <c:f>'What IF'!$D$27</c:f>
              <c:strCache>
                <c:ptCount val="1"/>
                <c:pt idx="0">
                  <c:v>Revenue</c:v>
                </c:pt>
              </c:strCache>
            </c:strRef>
          </c:tx>
          <c:spPr>
            <a:solidFill>
              <a:schemeClr val="accent1"/>
            </a:solidFill>
            <a:ln>
              <a:noFill/>
            </a:ln>
            <a:effectLst/>
          </c:spPr>
          <c:invertIfNegative val="0"/>
          <c:cat>
            <c:strRef>
              <c:f>'What IF'!$C$28:$C$29</c:f>
              <c:strCache>
                <c:ptCount val="2"/>
                <c:pt idx="0">
                  <c:v>Current</c:v>
                </c:pt>
                <c:pt idx="1">
                  <c:v>Scenario</c:v>
                </c:pt>
              </c:strCache>
            </c:strRef>
          </c:cat>
          <c:val>
            <c:numRef>
              <c:f>'What IF'!$D$28:$D$29</c:f>
              <c:numCache>
                <c:formatCode>General</c:formatCode>
                <c:ptCount val="2"/>
                <c:pt idx="0" formatCode="0.00">
                  <c:v>4866.33</c:v>
                </c:pt>
                <c:pt idx="1">
                  <c:v>5448.86</c:v>
                </c:pt>
              </c:numCache>
            </c:numRef>
          </c:val>
          <c:extLst>
            <c:ext xmlns:c16="http://schemas.microsoft.com/office/drawing/2014/chart" uri="{C3380CC4-5D6E-409C-BE32-E72D297353CC}">
              <c16:uniqueId val="{00000000-9D70-45A2-9427-FF8F82A2C6E6}"/>
            </c:ext>
          </c:extLst>
        </c:ser>
        <c:ser>
          <c:idx val="1"/>
          <c:order val="1"/>
          <c:tx>
            <c:strRef>
              <c:f>'What IF'!$E$27</c:f>
              <c:strCache>
                <c:ptCount val="1"/>
                <c:pt idx="0">
                  <c:v>Gross Profit</c:v>
                </c:pt>
              </c:strCache>
            </c:strRef>
          </c:tx>
          <c:spPr>
            <a:solidFill>
              <a:schemeClr val="accent2"/>
            </a:solidFill>
            <a:ln>
              <a:noFill/>
            </a:ln>
            <a:effectLst/>
          </c:spPr>
          <c:invertIfNegative val="0"/>
          <c:cat>
            <c:strRef>
              <c:f>'What IF'!$C$28:$C$29</c:f>
              <c:strCache>
                <c:ptCount val="2"/>
                <c:pt idx="0">
                  <c:v>Current</c:v>
                </c:pt>
                <c:pt idx="1">
                  <c:v>Scenario</c:v>
                </c:pt>
              </c:strCache>
            </c:strRef>
          </c:cat>
          <c:val>
            <c:numRef>
              <c:f>'What IF'!$E$28:$E$29</c:f>
              <c:numCache>
                <c:formatCode>General</c:formatCode>
                <c:ptCount val="2"/>
                <c:pt idx="0">
                  <c:v>2353.17</c:v>
                </c:pt>
                <c:pt idx="1">
                  <c:v>2598.9299999999998</c:v>
                </c:pt>
              </c:numCache>
            </c:numRef>
          </c:val>
          <c:extLst>
            <c:ext xmlns:c16="http://schemas.microsoft.com/office/drawing/2014/chart" uri="{C3380CC4-5D6E-409C-BE32-E72D297353CC}">
              <c16:uniqueId val="{00000001-9D70-45A2-9427-FF8F82A2C6E6}"/>
            </c:ext>
          </c:extLst>
        </c:ser>
        <c:dLbls>
          <c:showLegendKey val="0"/>
          <c:showVal val="0"/>
          <c:showCatName val="0"/>
          <c:showSerName val="0"/>
          <c:showPercent val="0"/>
          <c:showBubbleSize val="0"/>
        </c:dLbls>
        <c:gapWidth val="219"/>
        <c:overlap val="-27"/>
        <c:axId val="502738944"/>
        <c:axId val="502739928"/>
      </c:barChart>
      <c:catAx>
        <c:axId val="50273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02739928"/>
        <c:crosses val="autoZero"/>
        <c:auto val="1"/>
        <c:lblAlgn val="ctr"/>
        <c:lblOffset val="100"/>
        <c:noMultiLvlLbl val="0"/>
      </c:catAx>
      <c:valAx>
        <c:axId val="5027399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02738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[Assigment 2.xlsx]Sales person Pivot!PivotTable6</c:name>
    <c:fmtId val="3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'Sales person Pivot'!$B$3</c:f>
              <c:strCache>
                <c:ptCount val="1"/>
                <c:pt idx="0">
                  <c:v>Sum of Gross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 person Pivot'!$A$4:$A$20</c:f>
              <c:strCache>
                <c:ptCount val="16"/>
                <c:pt idx="0">
                  <c:v>A. Patel</c:v>
                </c:pt>
                <c:pt idx="1">
                  <c:v>B. Chen</c:v>
                </c:pt>
                <c:pt idx="2">
                  <c:v>C. Otieno</c:v>
                </c:pt>
                <c:pt idx="3">
                  <c:v>D. Smith</c:v>
                </c:pt>
                <c:pt idx="4">
                  <c:v>E. Garcia</c:v>
                </c:pt>
                <c:pt idx="5">
                  <c:v>F. Müller</c:v>
                </c:pt>
                <c:pt idx="6">
                  <c:v>G. Dubois</c:v>
                </c:pt>
                <c:pt idx="7">
                  <c:v>H. Kim</c:v>
                </c:pt>
                <c:pt idx="8">
                  <c:v>I. Johnson</c:v>
                </c:pt>
                <c:pt idx="9">
                  <c:v>J. Njeri</c:v>
                </c:pt>
                <c:pt idx="10">
                  <c:v>K. Singh</c:v>
                </c:pt>
                <c:pt idx="11">
                  <c:v>L. Okafor</c:v>
                </c:pt>
                <c:pt idx="12">
                  <c:v>M. Rossi</c:v>
                </c:pt>
                <c:pt idx="13">
                  <c:v>N. Brown</c:v>
                </c:pt>
                <c:pt idx="14">
                  <c:v>Not Provided</c:v>
                </c:pt>
                <c:pt idx="15">
                  <c:v>O. Wang</c:v>
                </c:pt>
              </c:strCache>
            </c:strRef>
          </c:cat>
          <c:val>
            <c:numRef>
              <c:f>'Sales person Pivot'!$B$4:$B$20</c:f>
              <c:numCache>
                <c:formatCode>General</c:formatCode>
                <c:ptCount val="16"/>
                <c:pt idx="0">
                  <c:v>599376.01998999983</c:v>
                </c:pt>
                <c:pt idx="1">
                  <c:v>779292.78272999986</c:v>
                </c:pt>
                <c:pt idx="2">
                  <c:v>536935.05088</c:v>
                </c:pt>
                <c:pt idx="3">
                  <c:v>562621.59604999982</c:v>
                </c:pt>
                <c:pt idx="4">
                  <c:v>482522.34341000003</c:v>
                </c:pt>
                <c:pt idx="5">
                  <c:v>1090799.73303</c:v>
                </c:pt>
                <c:pt idx="6">
                  <c:v>623151.51997999987</c:v>
                </c:pt>
                <c:pt idx="7">
                  <c:v>679594.41445000016</c:v>
                </c:pt>
                <c:pt idx="8">
                  <c:v>586206.76736000006</c:v>
                </c:pt>
                <c:pt idx="9">
                  <c:v>772543.53399999987</c:v>
                </c:pt>
                <c:pt idx="10">
                  <c:v>903293.17016999994</c:v>
                </c:pt>
                <c:pt idx="11">
                  <c:v>730077.06991999981</c:v>
                </c:pt>
                <c:pt idx="12">
                  <c:v>767983.20680999989</c:v>
                </c:pt>
                <c:pt idx="13">
                  <c:v>521296.31468000013</c:v>
                </c:pt>
                <c:pt idx="14">
                  <c:v>192412.59918999998</c:v>
                </c:pt>
                <c:pt idx="15">
                  <c:v>643379.82637999987</c:v>
                </c:pt>
              </c:numCache>
            </c:numRef>
          </c:val>
          <c:smooth val="0"/>
          <c:extLst>
            <c:ext xmlns:c16="http://schemas.microsoft.com/office/drawing/2014/chart" uri="{C3380CC4-5D6E-409C-BE32-E72D297353CC}">
              <c16:uniqueId val="{00000000-FE6D-4CF1-A2A6-D46943E961EA}"/>
            </c:ext>
          </c:extLst>
        </c:ser>
        <c:ser>
          <c:idx val="1"/>
          <c:order val="1"/>
          <c:tx>
            <c:strRef>
              <c:f>'Sales person Pivot'!$C$3</c:f>
              <c:strCache>
                <c:ptCount val="1"/>
                <c:pt idx="0">
                  <c:v>Count of OrderID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'Sales person Pivot'!$A$4:$A$20</c:f>
              <c:strCache>
                <c:ptCount val="16"/>
                <c:pt idx="0">
                  <c:v>A. Patel</c:v>
                </c:pt>
                <c:pt idx="1">
                  <c:v>B. Chen</c:v>
                </c:pt>
                <c:pt idx="2">
                  <c:v>C. Otieno</c:v>
                </c:pt>
                <c:pt idx="3">
                  <c:v>D. Smith</c:v>
                </c:pt>
                <c:pt idx="4">
                  <c:v>E. Garcia</c:v>
                </c:pt>
                <c:pt idx="5">
                  <c:v>F. Müller</c:v>
                </c:pt>
                <c:pt idx="6">
                  <c:v>G. Dubois</c:v>
                </c:pt>
                <c:pt idx="7">
                  <c:v>H. Kim</c:v>
                </c:pt>
                <c:pt idx="8">
                  <c:v>I. Johnson</c:v>
                </c:pt>
                <c:pt idx="9">
                  <c:v>J. Njeri</c:v>
                </c:pt>
                <c:pt idx="10">
                  <c:v>K. Singh</c:v>
                </c:pt>
                <c:pt idx="11">
                  <c:v>L. Okafor</c:v>
                </c:pt>
                <c:pt idx="12">
                  <c:v>M. Rossi</c:v>
                </c:pt>
                <c:pt idx="13">
                  <c:v>N. Brown</c:v>
                </c:pt>
                <c:pt idx="14">
                  <c:v>Not Provided</c:v>
                </c:pt>
                <c:pt idx="15">
                  <c:v>O. Wang</c:v>
                </c:pt>
              </c:strCache>
            </c:strRef>
          </c:cat>
          <c:val>
            <c:numRef>
              <c:f>'Sales person Pivot'!$C$4:$C$20</c:f>
              <c:numCache>
                <c:formatCode>General</c:formatCode>
                <c:ptCount val="16"/>
                <c:pt idx="0">
                  <c:v>46</c:v>
                </c:pt>
                <c:pt idx="1">
                  <c:v>48</c:v>
                </c:pt>
                <c:pt idx="2">
                  <c:v>37</c:v>
                </c:pt>
                <c:pt idx="3">
                  <c:v>38</c:v>
                </c:pt>
                <c:pt idx="4">
                  <c:v>34</c:v>
                </c:pt>
                <c:pt idx="5">
                  <c:v>51</c:v>
                </c:pt>
                <c:pt idx="6">
                  <c:v>30</c:v>
                </c:pt>
                <c:pt idx="7">
                  <c:v>45</c:v>
                </c:pt>
                <c:pt idx="8">
                  <c:v>38</c:v>
                </c:pt>
                <c:pt idx="9">
                  <c:v>50</c:v>
                </c:pt>
                <c:pt idx="10">
                  <c:v>44</c:v>
                </c:pt>
                <c:pt idx="11">
                  <c:v>46</c:v>
                </c:pt>
                <c:pt idx="12">
                  <c:v>48</c:v>
                </c:pt>
                <c:pt idx="13">
                  <c:v>32</c:v>
                </c:pt>
                <c:pt idx="14">
                  <c:v>8</c:v>
                </c:pt>
                <c:pt idx="15">
                  <c:v>37</c:v>
                </c:pt>
              </c:numCache>
            </c:numRef>
          </c:val>
          <c:smooth val="0"/>
          <c:extLst>
            <c:ext xmlns:c16="http://schemas.microsoft.com/office/drawing/2014/chart" uri="{C3380CC4-5D6E-409C-BE32-E72D297353CC}">
              <c16:uniqueId val="{00000001-FE6D-4CF1-A2A6-D46943E961EA}"/>
            </c:ext>
          </c:extLst>
        </c:ser>
        <c:ser>
          <c:idx val="2"/>
          <c:order val="2"/>
          <c:tx>
            <c:strRef>
              <c:f>'Sales person Pivot'!$D$3</c:f>
              <c:strCache>
                <c:ptCount val="1"/>
                <c:pt idx="0">
                  <c:v>Sum of Gross Profit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'Sales person Pivot'!$A$4:$A$20</c:f>
              <c:strCache>
                <c:ptCount val="16"/>
                <c:pt idx="0">
                  <c:v>A. Patel</c:v>
                </c:pt>
                <c:pt idx="1">
                  <c:v>B. Chen</c:v>
                </c:pt>
                <c:pt idx="2">
                  <c:v>C. Otieno</c:v>
                </c:pt>
                <c:pt idx="3">
                  <c:v>D. Smith</c:v>
                </c:pt>
                <c:pt idx="4">
                  <c:v>E. Garcia</c:v>
                </c:pt>
                <c:pt idx="5">
                  <c:v>F. Müller</c:v>
                </c:pt>
                <c:pt idx="6">
                  <c:v>G. Dubois</c:v>
                </c:pt>
                <c:pt idx="7">
                  <c:v>H. Kim</c:v>
                </c:pt>
                <c:pt idx="8">
                  <c:v>I. Johnson</c:v>
                </c:pt>
                <c:pt idx="9">
                  <c:v>J. Njeri</c:v>
                </c:pt>
                <c:pt idx="10">
                  <c:v>K. Singh</c:v>
                </c:pt>
                <c:pt idx="11">
                  <c:v>L. Okafor</c:v>
                </c:pt>
                <c:pt idx="12">
                  <c:v>M. Rossi</c:v>
                </c:pt>
                <c:pt idx="13">
                  <c:v>N. Brown</c:v>
                </c:pt>
                <c:pt idx="14">
                  <c:v>Not Provided</c:v>
                </c:pt>
                <c:pt idx="15">
                  <c:v>O. Wang</c:v>
                </c:pt>
              </c:strCache>
            </c:strRef>
          </c:cat>
          <c:val>
            <c:numRef>
              <c:f>'Sales person Pivot'!$D$4:$D$20</c:f>
              <c:numCache>
                <c:formatCode>General</c:formatCode>
                <c:ptCount val="16"/>
                <c:pt idx="0">
                  <c:v>4160.9699900000087</c:v>
                </c:pt>
                <c:pt idx="1">
                  <c:v>201527.09272999997</c:v>
                </c:pt>
                <c:pt idx="2">
                  <c:v>77518.21087999997</c:v>
                </c:pt>
                <c:pt idx="3">
                  <c:v>136878.33605000004</c:v>
                </c:pt>
                <c:pt idx="4">
                  <c:v>143657.24340999994</c:v>
                </c:pt>
                <c:pt idx="5">
                  <c:v>529895.57303000009</c:v>
                </c:pt>
                <c:pt idx="6">
                  <c:v>284939.67998000002</c:v>
                </c:pt>
                <c:pt idx="7">
                  <c:v>119046.92444999995</c:v>
                </c:pt>
                <c:pt idx="8">
                  <c:v>185062.78736000002</c:v>
                </c:pt>
                <c:pt idx="9">
                  <c:v>243271.98399999997</c:v>
                </c:pt>
                <c:pt idx="10">
                  <c:v>298707.31016999995</c:v>
                </c:pt>
                <c:pt idx="11">
                  <c:v>146755.09991999998</c:v>
                </c:pt>
                <c:pt idx="12">
                  <c:v>104341.27681000004</c:v>
                </c:pt>
                <c:pt idx="13">
                  <c:v>243617.63468000002</c:v>
                </c:pt>
                <c:pt idx="14">
                  <c:v>43483.749190000002</c:v>
                </c:pt>
                <c:pt idx="15">
                  <c:v>180874.36638000002</c:v>
                </c:pt>
              </c:numCache>
            </c:numRef>
          </c:val>
          <c:smooth val="0"/>
          <c:extLst>
            <c:ext xmlns:c16="http://schemas.microsoft.com/office/drawing/2014/chart" uri="{C3380CC4-5D6E-409C-BE32-E72D297353CC}">
              <c16:uniqueId val="{00000002-FE6D-4CF1-A2A6-D46943E961EA}"/>
            </c:ext>
          </c:extLst>
        </c:ser>
        <c:dLbls>
          <c:showLegendKey val="0"/>
          <c:showVal val="0"/>
          <c:showCatName val="0"/>
          <c:showSerName val="0"/>
          <c:showPercent val="0"/>
          <c:showBubbleSize val="0"/>
        </c:dLbls>
        <c:marker val="1"/>
        <c:smooth val="0"/>
        <c:axId val="570901888"/>
        <c:axId val="570902216"/>
      </c:lineChart>
      <c:catAx>
        <c:axId val="57090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70902216"/>
        <c:crosses val="autoZero"/>
        <c:auto val="1"/>
        <c:lblAlgn val="ctr"/>
        <c:lblOffset val="100"/>
        <c:noMultiLvlLbl val="0"/>
      </c:catAx>
      <c:valAx>
        <c:axId val="570902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70901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[Assigment 2.xlsx]Channel Mix Pivot!PivotTable1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'Channel Mix Pivot'!$B$3:$B$4</c:f>
              <c:strCache>
                <c:ptCount val="1"/>
                <c:pt idx="0">
                  <c:v>Direct</c:v>
                </c:pt>
              </c:strCache>
            </c:strRef>
          </c:tx>
          <c:spPr>
            <a:solidFill>
              <a:schemeClr val="accent1"/>
            </a:solidFill>
            <a:ln>
              <a:noFill/>
            </a:ln>
            <a:effectLst/>
          </c:spPr>
          <c:invertIfNegative val="0"/>
          <c:cat>
            <c:strRef>
              <c:f>'Channel Mix Pivot'!$A$5:$A$9</c:f>
              <c:strCache>
                <c:ptCount val="4"/>
                <c:pt idx="0">
                  <c:v>Africa</c:v>
                </c:pt>
                <c:pt idx="1">
                  <c:v>Americas</c:v>
                </c:pt>
                <c:pt idx="2">
                  <c:v>Asia</c:v>
                </c:pt>
                <c:pt idx="3">
                  <c:v>Europe</c:v>
                </c:pt>
              </c:strCache>
            </c:strRef>
          </c:cat>
          <c:val>
            <c:numRef>
              <c:f>'Channel Mix Pivot'!$B$5:$B$9</c:f>
              <c:numCache>
                <c:formatCode>General</c:formatCode>
                <c:ptCount val="4"/>
                <c:pt idx="0">
                  <c:v>221557.91543999998</c:v>
                </c:pt>
                <c:pt idx="1">
                  <c:v>810323.27522000019</c:v>
                </c:pt>
                <c:pt idx="2">
                  <c:v>502810.96600000007</c:v>
                </c:pt>
                <c:pt idx="3">
                  <c:v>864934.80995000002</c:v>
                </c:pt>
              </c:numCache>
            </c:numRef>
          </c:val>
          <c:extLst>
            <c:ext xmlns:c16="http://schemas.microsoft.com/office/drawing/2014/chart" uri="{C3380CC4-5D6E-409C-BE32-E72D297353CC}">
              <c16:uniqueId val="{00000000-BEC0-41A3-BA1F-C536CA74C4A3}"/>
            </c:ext>
          </c:extLst>
        </c:ser>
        <c:ser>
          <c:idx val="1"/>
          <c:order val="1"/>
          <c:tx>
            <c:strRef>
              <c:f>'Channel Mix Pivot'!$C$3:$C$4</c:f>
              <c:strCache>
                <c:ptCount val="1"/>
                <c:pt idx="0">
                  <c:v>Distributor</c:v>
                </c:pt>
              </c:strCache>
            </c:strRef>
          </c:tx>
          <c:spPr>
            <a:solidFill>
              <a:schemeClr val="accent2"/>
            </a:solidFill>
            <a:ln>
              <a:noFill/>
            </a:ln>
            <a:effectLst/>
          </c:spPr>
          <c:invertIfNegative val="0"/>
          <c:cat>
            <c:strRef>
              <c:f>'Channel Mix Pivot'!$A$5:$A$9</c:f>
              <c:strCache>
                <c:ptCount val="4"/>
                <c:pt idx="0">
                  <c:v>Africa</c:v>
                </c:pt>
                <c:pt idx="1">
                  <c:v>Americas</c:v>
                </c:pt>
                <c:pt idx="2">
                  <c:v>Asia</c:v>
                </c:pt>
                <c:pt idx="3">
                  <c:v>Europe</c:v>
                </c:pt>
              </c:strCache>
            </c:strRef>
          </c:cat>
          <c:val>
            <c:numRef>
              <c:f>'Channel Mix Pivot'!$C$5:$C$9</c:f>
              <c:numCache>
                <c:formatCode>General</c:formatCode>
                <c:ptCount val="4"/>
                <c:pt idx="0">
                  <c:v>609034.81166000001</c:v>
                </c:pt>
                <c:pt idx="1">
                  <c:v>535213.82120000001</c:v>
                </c:pt>
                <c:pt idx="2">
                  <c:v>733734.99893000012</c:v>
                </c:pt>
                <c:pt idx="3">
                  <c:v>280509.11341000005</c:v>
                </c:pt>
              </c:numCache>
            </c:numRef>
          </c:val>
          <c:extLst>
            <c:ext xmlns:c16="http://schemas.microsoft.com/office/drawing/2014/chart" uri="{C3380CC4-5D6E-409C-BE32-E72D297353CC}">
              <c16:uniqueId val="{00000001-4841-40A9-BC23-D87B1A09AC85}"/>
            </c:ext>
          </c:extLst>
        </c:ser>
        <c:ser>
          <c:idx val="2"/>
          <c:order val="2"/>
          <c:tx>
            <c:strRef>
              <c:f>'Channel Mix Pivot'!$D$3:$D$4</c:f>
              <c:strCache>
                <c:ptCount val="1"/>
                <c:pt idx="0">
                  <c:v>Marketplace</c:v>
                </c:pt>
              </c:strCache>
            </c:strRef>
          </c:tx>
          <c:spPr>
            <a:solidFill>
              <a:schemeClr val="accent3"/>
            </a:solidFill>
            <a:ln>
              <a:noFill/>
            </a:ln>
            <a:effectLst/>
          </c:spPr>
          <c:invertIfNegative val="0"/>
          <c:cat>
            <c:strRef>
              <c:f>'Channel Mix Pivot'!$A$5:$A$9</c:f>
              <c:strCache>
                <c:ptCount val="4"/>
                <c:pt idx="0">
                  <c:v>Africa</c:v>
                </c:pt>
                <c:pt idx="1">
                  <c:v>Americas</c:v>
                </c:pt>
                <c:pt idx="2">
                  <c:v>Asia</c:v>
                </c:pt>
                <c:pt idx="3">
                  <c:v>Europe</c:v>
                </c:pt>
              </c:strCache>
            </c:strRef>
          </c:cat>
          <c:val>
            <c:numRef>
              <c:f>'Channel Mix Pivot'!$D$5:$D$9</c:f>
              <c:numCache>
                <c:formatCode>General</c:formatCode>
                <c:ptCount val="4"/>
                <c:pt idx="0">
                  <c:v>547113.83230000001</c:v>
                </c:pt>
                <c:pt idx="1">
                  <c:v>378272.95461000007</c:v>
                </c:pt>
                <c:pt idx="2">
                  <c:v>533246.94006000005</c:v>
                </c:pt>
                <c:pt idx="3">
                  <c:v>529056.67933000007</c:v>
                </c:pt>
              </c:numCache>
            </c:numRef>
          </c:val>
          <c:extLst>
            <c:ext xmlns:c16="http://schemas.microsoft.com/office/drawing/2014/chart" uri="{C3380CC4-5D6E-409C-BE32-E72D297353CC}">
              <c16:uniqueId val="{00000002-4841-40A9-BC23-D87B1A09AC85}"/>
            </c:ext>
          </c:extLst>
        </c:ser>
        <c:ser>
          <c:idx val="3"/>
          <c:order val="3"/>
          <c:tx>
            <c:strRef>
              <c:f>'Channel Mix Pivot'!$E$3:$E$4</c:f>
              <c:strCache>
                <c:ptCount val="1"/>
                <c:pt idx="0">
                  <c:v>Not Provided</c:v>
                </c:pt>
              </c:strCache>
            </c:strRef>
          </c:tx>
          <c:spPr>
            <a:solidFill>
              <a:schemeClr val="accent4"/>
            </a:solidFill>
            <a:ln>
              <a:noFill/>
            </a:ln>
            <a:effectLst/>
          </c:spPr>
          <c:invertIfNegative val="0"/>
          <c:cat>
            <c:strRef>
              <c:f>'Channel Mix Pivot'!$A$5:$A$9</c:f>
              <c:strCache>
                <c:ptCount val="4"/>
                <c:pt idx="0">
                  <c:v>Africa</c:v>
                </c:pt>
                <c:pt idx="1">
                  <c:v>Americas</c:v>
                </c:pt>
                <c:pt idx="2">
                  <c:v>Asia</c:v>
                </c:pt>
                <c:pt idx="3">
                  <c:v>Europe</c:v>
                </c:pt>
              </c:strCache>
            </c:strRef>
          </c:cat>
          <c:val>
            <c:numRef>
              <c:f>'Channel Mix Pivot'!$E$5:$E$9</c:f>
              <c:numCache>
                <c:formatCode>General</c:formatCode>
                <c:ptCount val="4"/>
                <c:pt idx="0">
                  <c:v>32176.557119999994</c:v>
                </c:pt>
                <c:pt idx="1">
                  <c:v>0</c:v>
                </c:pt>
                <c:pt idx="2">
                  <c:v>30599.393100000001</c:v>
                </c:pt>
                <c:pt idx="3">
                  <c:v>20690.58468</c:v>
                </c:pt>
              </c:numCache>
            </c:numRef>
          </c:val>
          <c:extLst>
            <c:ext xmlns:c16="http://schemas.microsoft.com/office/drawing/2014/chart" uri="{C3380CC4-5D6E-409C-BE32-E72D297353CC}">
              <c16:uniqueId val="{00000003-4841-40A9-BC23-D87B1A09AC85}"/>
            </c:ext>
          </c:extLst>
        </c:ser>
        <c:ser>
          <c:idx val="4"/>
          <c:order val="4"/>
          <c:tx>
            <c:strRef>
              <c:f>'Channel Mix Pivot'!$F$3:$F$4</c:f>
              <c:strCache>
                <c:ptCount val="1"/>
                <c:pt idx="0">
                  <c:v>Online</c:v>
                </c:pt>
              </c:strCache>
            </c:strRef>
          </c:tx>
          <c:spPr>
            <a:solidFill>
              <a:schemeClr val="accent5"/>
            </a:solidFill>
            <a:ln>
              <a:noFill/>
            </a:ln>
            <a:effectLst/>
          </c:spPr>
          <c:invertIfNegative val="0"/>
          <c:cat>
            <c:strRef>
              <c:f>'Channel Mix Pivot'!$A$5:$A$9</c:f>
              <c:strCache>
                <c:ptCount val="4"/>
                <c:pt idx="0">
                  <c:v>Africa</c:v>
                </c:pt>
                <c:pt idx="1">
                  <c:v>Americas</c:v>
                </c:pt>
                <c:pt idx="2">
                  <c:v>Asia</c:v>
                </c:pt>
                <c:pt idx="3">
                  <c:v>Europe</c:v>
                </c:pt>
              </c:strCache>
            </c:strRef>
          </c:cat>
          <c:val>
            <c:numRef>
              <c:f>'Channel Mix Pivot'!$F$5:$F$9</c:f>
              <c:numCache>
                <c:formatCode>General</c:formatCode>
                <c:ptCount val="4"/>
                <c:pt idx="0">
                  <c:v>488253.39859000011</c:v>
                </c:pt>
                <c:pt idx="1">
                  <c:v>684409.16889999993</c:v>
                </c:pt>
                <c:pt idx="2">
                  <c:v>461186.45322000008</c:v>
                </c:pt>
                <c:pt idx="3">
                  <c:v>450760.49241999997</c:v>
                </c:pt>
              </c:numCache>
            </c:numRef>
          </c:val>
          <c:extLst>
            <c:ext xmlns:c16="http://schemas.microsoft.com/office/drawing/2014/chart" uri="{C3380CC4-5D6E-409C-BE32-E72D297353CC}">
              <c16:uniqueId val="{00000004-4841-40A9-BC23-D87B1A09AC85}"/>
            </c:ext>
          </c:extLst>
        </c:ser>
        <c:ser>
          <c:idx val="5"/>
          <c:order val="5"/>
          <c:tx>
            <c:strRef>
              <c:f>'Channel Mix Pivot'!$G$3:$G$4</c:f>
              <c:strCache>
                <c:ptCount val="1"/>
                <c:pt idx="0">
                  <c:v>Retail</c:v>
                </c:pt>
              </c:strCache>
            </c:strRef>
          </c:tx>
          <c:spPr>
            <a:solidFill>
              <a:schemeClr val="accent6"/>
            </a:solidFill>
            <a:ln>
              <a:noFill/>
            </a:ln>
            <a:effectLst/>
          </c:spPr>
          <c:invertIfNegative val="0"/>
          <c:cat>
            <c:strRef>
              <c:f>'Channel Mix Pivot'!$A$5:$A$9</c:f>
              <c:strCache>
                <c:ptCount val="4"/>
                <c:pt idx="0">
                  <c:v>Africa</c:v>
                </c:pt>
                <c:pt idx="1">
                  <c:v>Americas</c:v>
                </c:pt>
                <c:pt idx="2">
                  <c:v>Asia</c:v>
                </c:pt>
                <c:pt idx="3">
                  <c:v>Europe</c:v>
                </c:pt>
              </c:strCache>
            </c:strRef>
          </c:cat>
          <c:val>
            <c:numRef>
              <c:f>'Channel Mix Pivot'!$G$5:$G$9</c:f>
              <c:numCache>
                <c:formatCode>General</c:formatCode>
                <c:ptCount val="4"/>
                <c:pt idx="0">
                  <c:v>469950.91472999996</c:v>
                </c:pt>
                <c:pt idx="1">
                  <c:v>251720.18796000001</c:v>
                </c:pt>
                <c:pt idx="2">
                  <c:v>591814.68848000001</c:v>
                </c:pt>
                <c:pt idx="3">
                  <c:v>444113.99171999999</c:v>
                </c:pt>
              </c:numCache>
            </c:numRef>
          </c:val>
          <c:extLst>
            <c:ext xmlns:c16="http://schemas.microsoft.com/office/drawing/2014/chart" uri="{C3380CC4-5D6E-409C-BE32-E72D297353CC}">
              <c16:uniqueId val="{00000005-4841-40A9-BC23-D87B1A09AC85}"/>
            </c:ext>
          </c:extLst>
        </c:ser>
        <c:dLbls>
          <c:showLegendKey val="0"/>
          <c:showVal val="0"/>
          <c:showCatName val="0"/>
          <c:showSerName val="0"/>
          <c:showPercent val="0"/>
          <c:showBubbleSize val="0"/>
        </c:dLbls>
        <c:gapWidth val="150"/>
        <c:overlap val="100"/>
        <c:axId val="591226592"/>
        <c:axId val="591226920"/>
      </c:barChart>
      <c:catAx>
        <c:axId val="591226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91226920"/>
        <c:crosses val="autoZero"/>
        <c:auto val="1"/>
        <c:lblAlgn val="ctr"/>
        <c:lblOffset val="100"/>
        <c:noMultiLvlLbl val="0"/>
      </c:catAx>
      <c:valAx>
        <c:axId val="591226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91226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[Assigment 2.xlsx]Pivot ABC Data!PivotTable2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ABC Data'!$E$16</c:f>
              <c:strCache>
                <c:ptCount val="1"/>
                <c:pt idx="0">
                  <c:v>Total</c:v>
                </c:pt>
              </c:strCache>
            </c:strRef>
          </c:tx>
          <c:spPr>
            <a:solidFill>
              <a:schemeClr val="accent1"/>
            </a:solidFill>
            <a:ln>
              <a:noFill/>
            </a:ln>
            <a:effectLst/>
          </c:spPr>
          <c:invertIfNegative val="0"/>
          <c:cat>
            <c:multiLvlStrRef>
              <c:f>'Pivot ABC Data'!$D$17:$D$31</c:f>
              <c:multiLvlStrCache>
                <c:ptCount val="7"/>
                <c:lvl>
                  <c:pt idx="0">
                    <c:v>B</c:v>
                  </c:pt>
                  <c:pt idx="1">
                    <c:v>C</c:v>
                  </c:pt>
                  <c:pt idx="2">
                    <c:v>A</c:v>
                  </c:pt>
                  <c:pt idx="3">
                    <c:v>A</c:v>
                  </c:pt>
                  <c:pt idx="4">
                    <c:v>A</c:v>
                  </c:pt>
                  <c:pt idx="5">
                    <c:v>A</c:v>
                  </c:pt>
                  <c:pt idx="6">
                    <c:v>A</c:v>
                  </c:pt>
                </c:lvl>
                <c:lvl>
                  <c:pt idx="0">
                    <c:v>Accessories</c:v>
                  </c:pt>
                  <c:pt idx="1">
                    <c:v>Components</c:v>
                  </c:pt>
                  <c:pt idx="2">
                    <c:v>Laptops</c:v>
                  </c:pt>
                  <c:pt idx="3">
                    <c:v>Monitors</c:v>
                  </c:pt>
                  <c:pt idx="4">
                    <c:v>Networking</c:v>
                  </c:pt>
                  <c:pt idx="5">
                    <c:v>Phones</c:v>
                  </c:pt>
                  <c:pt idx="6">
                    <c:v>Printers</c:v>
                  </c:pt>
                </c:lvl>
              </c:multiLvlStrCache>
            </c:multiLvlStrRef>
          </c:cat>
          <c:val>
            <c:numRef>
              <c:f>'Pivot ABC Data'!$E$17:$E$31</c:f>
              <c:numCache>
                <c:formatCode>General</c:formatCode>
                <c:ptCount val="7"/>
                <c:pt idx="0">
                  <c:v>1352771.8338100002</c:v>
                </c:pt>
                <c:pt idx="1">
                  <c:v>1248766.6529700004</c:v>
                </c:pt>
                <c:pt idx="2">
                  <c:v>1405895.7169900001</c:v>
                </c:pt>
                <c:pt idx="3">
                  <c:v>1493059.8076100003</c:v>
                </c:pt>
                <c:pt idx="4">
                  <c:v>1471202.46594</c:v>
                </c:pt>
                <c:pt idx="5">
                  <c:v>1573214.03728</c:v>
                </c:pt>
                <c:pt idx="6">
                  <c:v>1926575.4344300001</c:v>
                </c:pt>
              </c:numCache>
            </c:numRef>
          </c:val>
          <c:extLst>
            <c:ext xmlns:c16="http://schemas.microsoft.com/office/drawing/2014/chart" uri="{C3380CC4-5D6E-409C-BE32-E72D297353CC}">
              <c16:uniqueId val="{00000000-E4A7-4A45-9A61-F21DEE093356}"/>
            </c:ext>
          </c:extLst>
        </c:ser>
        <c:dLbls>
          <c:showLegendKey val="0"/>
          <c:showVal val="0"/>
          <c:showCatName val="0"/>
          <c:showSerName val="0"/>
          <c:showPercent val="0"/>
          <c:showBubbleSize val="0"/>
        </c:dLbls>
        <c:gapWidth val="150"/>
        <c:overlap val="100"/>
        <c:axId val="582258904"/>
        <c:axId val="582256280"/>
      </c:barChart>
      <c:catAx>
        <c:axId val="582258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82256280"/>
        <c:crosses val="autoZero"/>
        <c:auto val="1"/>
        <c:lblAlgn val="ctr"/>
        <c:lblOffset val="100"/>
        <c:noMultiLvlLbl val="0"/>
      </c:catAx>
      <c:valAx>
        <c:axId val="582256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82258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croll" dx="26" fmlaLink="$G$4" max="3" page="0" val="0"/>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image" Target="../media/image1.png"/><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image" Target="../media/image6.emf"/><Relationship Id="rId3" Type="http://schemas.openxmlformats.org/officeDocument/2006/relationships/chart" Target="../charts/chart12.xml"/><Relationship Id="rId7" Type="http://schemas.openxmlformats.org/officeDocument/2006/relationships/image" Target="../media/image5.emf"/><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image" Target="../media/image4.emf"/><Relationship Id="rId5" Type="http://schemas.openxmlformats.org/officeDocument/2006/relationships/image" Target="../media/image3.emf"/><Relationship Id="rId4"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5</xdr:col>
      <xdr:colOff>15240</xdr:colOff>
      <xdr:row>14</xdr:row>
      <xdr:rowOff>171450</xdr:rowOff>
    </xdr:from>
    <xdr:to>
      <xdr:col>7</xdr:col>
      <xdr:colOff>929640</xdr:colOff>
      <xdr:row>29</xdr:row>
      <xdr:rowOff>171450</xdr:rowOff>
    </xdr:to>
    <xdr:graphicFrame macro="">
      <xdr:nvGraphicFramePr>
        <xdr:cNvPr id="4" name="Chart 3">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167640</xdr:colOff>
      <xdr:row>35</xdr:row>
      <xdr:rowOff>22860</xdr:rowOff>
    </xdr:from>
    <xdr:to>
      <xdr:col>4</xdr:col>
      <xdr:colOff>640080</xdr:colOff>
      <xdr:row>48</xdr:row>
      <xdr:rowOff>112395</xdr:rowOff>
    </xdr:to>
    <mc:AlternateContent xmlns:mc="http://schemas.openxmlformats.org/markup-compatibility/2006" xmlns:a14="http://schemas.microsoft.com/office/drawing/2010/main">
      <mc:Choice Requires="a14">
        <xdr:graphicFrame macro="">
          <xdr:nvGraphicFramePr>
            <xdr:cNvPr id="2" name="ProductCategory">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2484120" y="642366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464820</xdr:colOff>
      <xdr:row>35</xdr:row>
      <xdr:rowOff>68580</xdr:rowOff>
    </xdr:from>
    <xdr:to>
      <xdr:col>1</xdr:col>
      <xdr:colOff>1348740</xdr:colOff>
      <xdr:row>48</xdr:row>
      <xdr:rowOff>158115</xdr:rowOff>
    </xdr:to>
    <mc:AlternateContent xmlns:mc="http://schemas.openxmlformats.org/markup-compatibility/2006" xmlns:a14="http://schemas.microsoft.com/office/drawing/2010/main">
      <mc:Choice Requires="a14">
        <xdr:graphicFrame macro="">
          <xdr:nvGraphicFramePr>
            <xdr:cNvPr id="3" name="SKU">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microsoft.com/office/drawing/2010/slicer">
              <sle:slicer xmlns:sle="http://schemas.microsoft.com/office/drawing/2010/slicer" name="SKU"/>
            </a:graphicData>
          </a:graphic>
        </xdr:graphicFrame>
      </mc:Choice>
      <mc:Fallback xmlns="">
        <xdr:sp macro="" textlink="">
          <xdr:nvSpPr>
            <xdr:cNvPr id="0" name=""/>
            <xdr:cNvSpPr>
              <a:spLocks noTextEdit="1"/>
            </xdr:cNvSpPr>
          </xdr:nvSpPr>
          <xdr:spPr>
            <a:xfrm>
              <a:off x="464820" y="646938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1120140</xdr:colOff>
      <xdr:row>35</xdr:row>
      <xdr:rowOff>68580</xdr:rowOff>
    </xdr:from>
    <xdr:to>
      <xdr:col>5</xdr:col>
      <xdr:colOff>1577340</xdr:colOff>
      <xdr:row>48</xdr:row>
      <xdr:rowOff>158115</xdr:rowOff>
    </xdr:to>
    <mc:AlternateContent xmlns:mc="http://schemas.openxmlformats.org/markup-compatibility/2006" xmlns:a14="http://schemas.microsoft.com/office/drawing/2010/main">
      <mc:Choice Requires="a14">
        <xdr:graphicFrame macro="">
          <xdr:nvGraphicFramePr>
            <xdr:cNvPr id="5" name="Gross Revenue">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microsoft.com/office/drawing/2010/slicer">
              <sle:slicer xmlns:sle="http://schemas.microsoft.com/office/drawing/2010/slicer" name="Gross Revenue"/>
            </a:graphicData>
          </a:graphic>
        </xdr:graphicFrame>
      </mc:Choice>
      <mc:Fallback xmlns="">
        <xdr:sp macro="" textlink="">
          <xdr:nvSpPr>
            <xdr:cNvPr id="0" name=""/>
            <xdr:cNvSpPr>
              <a:spLocks noTextEdit="1"/>
            </xdr:cNvSpPr>
          </xdr:nvSpPr>
          <xdr:spPr>
            <a:xfrm>
              <a:off x="4792980" y="646938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601980</xdr:colOff>
      <xdr:row>20</xdr:row>
      <xdr:rowOff>80010</xdr:rowOff>
    </xdr:from>
    <xdr:to>
      <xdr:col>8</xdr:col>
      <xdr:colOff>60960</xdr:colOff>
      <xdr:row>35</xdr:row>
      <xdr:rowOff>80010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21</xdr:row>
      <xdr:rowOff>121920</xdr:rowOff>
    </xdr:from>
    <xdr:to>
      <xdr:col>4</xdr:col>
      <xdr:colOff>104029</xdr:colOff>
      <xdr:row>36</xdr:row>
      <xdr:rowOff>134351</xdr:rowOff>
    </xdr:to>
    <xdr:pic>
      <xdr:nvPicPr>
        <xdr:cNvPr id="5" name="Picture 4">
          <a:extLst>
            <a:ext uri="{FF2B5EF4-FFF2-40B4-BE49-F238E27FC236}">
              <a16:creationId xmlns:a16="http://schemas.microsoft.com/office/drawing/2014/main" id="{00000000-0008-0000-0800-000005000000}"/>
            </a:ext>
          </a:extLst>
        </xdr:cNvPr>
        <xdr:cNvPicPr>
          <a:picLocks noChangeAspect="1"/>
        </xdr:cNvPicPr>
      </xdr:nvPicPr>
      <xdr:blipFill>
        <a:blip xmlns:r="http://schemas.openxmlformats.org/officeDocument/2006/relationships" r:embed="rId2"/>
        <a:stretch>
          <a:fillRect/>
        </a:stretch>
      </xdr:blipFill>
      <xdr:spPr>
        <a:xfrm>
          <a:off x="0" y="3962400"/>
          <a:ext cx="4584589" cy="2755631"/>
        </a:xfrm>
        <a:prstGeom prst="rect">
          <a:avLst/>
        </a:prstGeom>
      </xdr:spPr>
    </xdr:pic>
    <xdr:clientData/>
  </xdr:twoCellAnchor>
  <xdr:twoCellAnchor>
    <xdr:from>
      <xdr:col>4</xdr:col>
      <xdr:colOff>594360</xdr:colOff>
      <xdr:row>35</xdr:row>
      <xdr:rowOff>171450</xdr:rowOff>
    </xdr:from>
    <xdr:to>
      <xdr:col>8</xdr:col>
      <xdr:colOff>53340</xdr:colOff>
      <xdr:row>50</xdr:row>
      <xdr:rowOff>171450</xdr:rowOff>
    </xdr:to>
    <xdr:graphicFrame macro="">
      <xdr:nvGraphicFramePr>
        <xdr:cNvPr id="6" name="Chart 5">
          <a:extLst>
            <a:ext uri="{FF2B5EF4-FFF2-40B4-BE49-F238E27FC236}">
              <a16:creationId xmlns:a16="http://schemas.microsoft.com/office/drawing/2014/main" id="{00000000-0008-0000-08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822960</xdr:colOff>
      <xdr:row>37</xdr:row>
      <xdr:rowOff>144780</xdr:rowOff>
    </xdr:from>
    <xdr:to>
      <xdr:col>4</xdr:col>
      <xdr:colOff>403860</xdr:colOff>
      <xdr:row>51</xdr:row>
      <xdr:rowOff>51435</xdr:rowOff>
    </xdr:to>
    <mc:AlternateContent xmlns:mc="http://schemas.openxmlformats.org/markup-compatibility/2006" xmlns:a14="http://schemas.microsoft.com/office/drawing/2010/main">
      <mc:Choice Requires="a14">
        <xdr:graphicFrame macro="">
          <xdr:nvGraphicFramePr>
            <xdr:cNvPr id="3" name="OrderID">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microsoft.com/office/drawing/2010/slicer">
              <sle:slicer xmlns:sle="http://schemas.microsoft.com/office/drawing/2010/slicer" name="OrderID"/>
            </a:graphicData>
          </a:graphic>
        </xdr:graphicFrame>
      </mc:Choice>
      <mc:Fallback xmlns="">
        <xdr:sp macro="" textlink="">
          <xdr:nvSpPr>
            <xdr:cNvPr id="0" name=""/>
            <xdr:cNvSpPr>
              <a:spLocks noTextEdit="1"/>
            </xdr:cNvSpPr>
          </xdr:nvSpPr>
          <xdr:spPr>
            <a:xfrm>
              <a:off x="3055620" y="691134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868680</xdr:colOff>
      <xdr:row>38</xdr:row>
      <xdr:rowOff>7620</xdr:rowOff>
    </xdr:from>
    <xdr:to>
      <xdr:col>3</xdr:col>
      <xdr:colOff>266700</xdr:colOff>
      <xdr:row>51</xdr:row>
      <xdr:rowOff>97155</xdr:rowOff>
    </xdr:to>
    <mc:AlternateContent xmlns:mc="http://schemas.openxmlformats.org/markup-compatibility/2006" xmlns:a14="http://schemas.microsoft.com/office/drawing/2010/main">
      <mc:Choice Requires="a14">
        <xdr:graphicFrame macro="">
          <xdr:nvGraphicFramePr>
            <xdr:cNvPr id="4" name="Salesperson">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729740" y="695706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38</xdr:row>
      <xdr:rowOff>22860</xdr:rowOff>
    </xdr:from>
    <xdr:to>
      <xdr:col>1</xdr:col>
      <xdr:colOff>1028700</xdr:colOff>
      <xdr:row>51</xdr:row>
      <xdr:rowOff>112395</xdr:rowOff>
    </xdr:to>
    <mc:AlternateContent xmlns:mc="http://schemas.openxmlformats.org/markup-compatibility/2006" xmlns:a14="http://schemas.microsoft.com/office/drawing/2010/main">
      <mc:Choice Requires="a14">
        <xdr:graphicFrame macro="">
          <xdr:nvGraphicFramePr>
            <xdr:cNvPr id="7" name="Gross Profit">
              <a:extLst>
                <a:ext uri="{FF2B5EF4-FFF2-40B4-BE49-F238E27FC236}">
                  <a16:creationId xmlns:a16="http://schemas.microsoft.com/office/drawing/2014/main" id="{00000000-0008-0000-0800-000007000000}"/>
                </a:ext>
              </a:extLst>
            </xdr:cNvPr>
            <xdr:cNvGraphicFramePr/>
          </xdr:nvGraphicFramePr>
          <xdr:xfrm>
            <a:off x="0" y="0"/>
            <a:ext cx="0" cy="0"/>
          </xdr:xfrm>
          <a:graphic>
            <a:graphicData uri="http://schemas.microsoft.com/office/drawing/2010/slicer">
              <sle:slicer xmlns:sle="http://schemas.microsoft.com/office/drawing/2010/slicer" name="Gross Profit"/>
            </a:graphicData>
          </a:graphic>
        </xdr:graphicFrame>
      </mc:Choice>
      <mc:Fallback xmlns="">
        <xdr:sp macro="" textlink="">
          <xdr:nvSpPr>
            <xdr:cNvPr id="0" name=""/>
            <xdr:cNvSpPr>
              <a:spLocks noTextEdit="1"/>
            </xdr:cNvSpPr>
          </xdr:nvSpPr>
          <xdr:spPr>
            <a:xfrm>
              <a:off x="60960" y="697230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266700</xdr:colOff>
      <xdr:row>52</xdr:row>
      <xdr:rowOff>7620</xdr:rowOff>
    </xdr:from>
    <xdr:to>
      <xdr:col>1</xdr:col>
      <xdr:colOff>1234440</xdr:colOff>
      <xdr:row>65</xdr:row>
      <xdr:rowOff>97155</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00000000-0008-0000-0800-000008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66700" y="951738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12</xdr:row>
      <xdr:rowOff>11430</xdr:rowOff>
    </xdr:from>
    <xdr:to>
      <xdr:col>7</xdr:col>
      <xdr:colOff>449580</xdr:colOff>
      <xdr:row>27</xdr:row>
      <xdr:rowOff>11430</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228600</xdr:colOff>
      <xdr:row>14</xdr:row>
      <xdr:rowOff>7620</xdr:rowOff>
    </xdr:from>
    <xdr:to>
      <xdr:col>9</xdr:col>
      <xdr:colOff>1234440</xdr:colOff>
      <xdr:row>27</xdr:row>
      <xdr:rowOff>97155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612380" y="256794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281940</xdr:colOff>
      <xdr:row>23</xdr:row>
      <xdr:rowOff>114300</xdr:rowOff>
    </xdr:from>
    <xdr:to>
      <xdr:col>10</xdr:col>
      <xdr:colOff>15240</xdr:colOff>
      <xdr:row>37</xdr:row>
      <xdr:rowOff>20955</xdr:rowOff>
    </xdr:to>
    <mc:AlternateContent xmlns:mc="http://schemas.openxmlformats.org/markup-compatibility/2006" xmlns:a14="http://schemas.microsoft.com/office/drawing/2010/main">
      <mc:Choice Requires="a14">
        <xdr:graphicFrame macro="">
          <xdr:nvGraphicFramePr>
            <xdr:cNvPr id="4" name="Channel">
              <a:extLst>
                <a:ext uri="{FF2B5EF4-FFF2-40B4-BE49-F238E27FC236}">
                  <a16:creationId xmlns:a16="http://schemas.microsoft.com/office/drawing/2014/main" id="{00000000-0008-0000-0A00-000004000000}"/>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7665720" y="432054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365760</xdr:colOff>
      <xdr:row>2</xdr:row>
      <xdr:rowOff>163830</xdr:rowOff>
    </xdr:from>
    <xdr:to>
      <xdr:col>13</xdr:col>
      <xdr:colOff>60960</xdr:colOff>
      <xdr:row>17</xdr:row>
      <xdr:rowOff>163830</xdr:rowOff>
    </xdr:to>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266700</xdr:colOff>
      <xdr:row>19</xdr:row>
      <xdr:rowOff>160020</xdr:rowOff>
    </xdr:from>
    <xdr:to>
      <xdr:col>12</xdr:col>
      <xdr:colOff>266700</xdr:colOff>
      <xdr:row>33</xdr:row>
      <xdr:rowOff>66675</xdr:rowOff>
    </xdr:to>
    <mc:AlternateContent xmlns:mc="http://schemas.openxmlformats.org/markup-compatibility/2006" xmlns:a14="http://schemas.microsoft.com/office/drawing/2010/main">
      <mc:Choice Requires="a14">
        <xdr:graphicFrame macro="">
          <xdr:nvGraphicFramePr>
            <xdr:cNvPr id="3" name="Leadtime days">
              <a:extLst>
                <a:ext uri="{FF2B5EF4-FFF2-40B4-BE49-F238E27FC236}">
                  <a16:creationId xmlns:a16="http://schemas.microsoft.com/office/drawing/2014/main" id="{00000000-0008-0000-0E00-000003000000}"/>
                </a:ext>
              </a:extLst>
            </xdr:cNvPr>
            <xdr:cNvGraphicFramePr/>
          </xdr:nvGraphicFramePr>
          <xdr:xfrm>
            <a:off x="0" y="0"/>
            <a:ext cx="0" cy="0"/>
          </xdr:xfrm>
          <a:graphic>
            <a:graphicData uri="http://schemas.microsoft.com/office/drawing/2010/slicer">
              <sle:slicer xmlns:sle="http://schemas.microsoft.com/office/drawing/2010/slicer" name="Leadtime days"/>
            </a:graphicData>
          </a:graphic>
        </xdr:graphicFrame>
      </mc:Choice>
      <mc:Fallback xmlns="">
        <xdr:sp macro="" textlink="">
          <xdr:nvSpPr>
            <xdr:cNvPr id="0" name=""/>
            <xdr:cNvSpPr>
              <a:spLocks noTextEdit="1"/>
            </xdr:cNvSpPr>
          </xdr:nvSpPr>
          <xdr:spPr>
            <a:xfrm>
              <a:off x="8542020" y="363474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20</xdr:row>
      <xdr:rowOff>7620</xdr:rowOff>
    </xdr:from>
    <xdr:to>
      <xdr:col>9</xdr:col>
      <xdr:colOff>0</xdr:colOff>
      <xdr:row>33</xdr:row>
      <xdr:rowOff>97155</xdr:rowOff>
    </xdr:to>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00000000-0008-0000-0E00-00000400000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446520" y="366522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441960</xdr:colOff>
      <xdr:row>2</xdr:row>
      <xdr:rowOff>179070</xdr:rowOff>
    </xdr:from>
    <xdr:to>
      <xdr:col>13</xdr:col>
      <xdr:colOff>137160</xdr:colOff>
      <xdr:row>17</xdr:row>
      <xdr:rowOff>179070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7620</xdr:colOff>
      <xdr:row>24</xdr:row>
      <xdr:rowOff>171450</xdr:rowOff>
    </xdr:from>
    <xdr:to>
      <xdr:col>13</xdr:col>
      <xdr:colOff>312420</xdr:colOff>
      <xdr:row>39</xdr:row>
      <xdr:rowOff>171450</xdr:rowOff>
    </xdr:to>
    <xdr:graphicFrame macro="">
      <xdr:nvGraphicFramePr>
        <xdr:cNvPr id="3" name="Chart 2">
          <a:extLst>
            <a:ext uri="{FF2B5EF4-FFF2-40B4-BE49-F238E27FC236}">
              <a16:creationId xmlns:a16="http://schemas.microsoft.com/office/drawing/2014/main" id="{00000000-0008-0000-1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43</xdr:row>
      <xdr:rowOff>3810</xdr:rowOff>
    </xdr:from>
    <xdr:to>
      <xdr:col>13</xdr:col>
      <xdr:colOff>304800</xdr:colOff>
      <xdr:row>58</xdr:row>
      <xdr:rowOff>3810</xdr:rowOff>
    </xdr:to>
    <xdr:graphicFrame macro="">
      <xdr:nvGraphicFramePr>
        <xdr:cNvPr id="4" name="Chart 3">
          <a:extLst>
            <a:ext uri="{FF2B5EF4-FFF2-40B4-BE49-F238E27FC236}">
              <a16:creationId xmlns:a16="http://schemas.microsoft.com/office/drawing/2014/main" id="{00000000-0008-0000-1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525780</xdr:colOff>
      <xdr:row>3</xdr:row>
      <xdr:rowOff>152400</xdr:rowOff>
    </xdr:from>
    <xdr:to>
      <xdr:col>16</xdr:col>
      <xdr:colOff>525780</xdr:colOff>
      <xdr:row>17</xdr:row>
      <xdr:rowOff>59055</xdr:rowOff>
    </xdr:to>
    <mc:AlternateContent xmlns:mc="http://schemas.openxmlformats.org/markup-compatibility/2006" xmlns:a14="http://schemas.microsoft.com/office/drawing/2010/main">
      <mc:Choice Requires="a14">
        <xdr:graphicFrame macro="">
          <xdr:nvGraphicFramePr>
            <xdr:cNvPr id="5" name="DiscountPct">
              <a:extLst>
                <a:ext uri="{FF2B5EF4-FFF2-40B4-BE49-F238E27FC236}">
                  <a16:creationId xmlns:a16="http://schemas.microsoft.com/office/drawing/2014/main" id="{00000000-0008-0000-1000-000005000000}"/>
                </a:ext>
              </a:extLst>
            </xdr:cNvPr>
            <xdr:cNvGraphicFramePr/>
          </xdr:nvGraphicFramePr>
          <xdr:xfrm>
            <a:off x="0" y="0"/>
            <a:ext cx="0" cy="0"/>
          </xdr:xfrm>
          <a:graphic>
            <a:graphicData uri="http://schemas.microsoft.com/office/drawing/2010/slicer">
              <sle:slicer xmlns:sle="http://schemas.microsoft.com/office/drawing/2010/slicer" name="DiscountPct"/>
            </a:graphicData>
          </a:graphic>
        </xdr:graphicFrame>
      </mc:Choice>
      <mc:Fallback xmlns="">
        <xdr:sp macro="" textlink="">
          <xdr:nvSpPr>
            <xdr:cNvPr id="0" name=""/>
            <xdr:cNvSpPr>
              <a:spLocks noTextEdit="1"/>
            </xdr:cNvSpPr>
          </xdr:nvSpPr>
          <xdr:spPr>
            <a:xfrm>
              <a:off x="12016740" y="70104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12</xdr:col>
          <xdr:colOff>0</xdr:colOff>
          <xdr:row>4</xdr:row>
          <xdr:rowOff>129540</xdr:rowOff>
        </xdr:from>
        <xdr:to>
          <xdr:col>12</xdr:col>
          <xdr:colOff>914400</xdr:colOff>
          <xdr:row>19</xdr:row>
          <xdr:rowOff>129540</xdr:rowOff>
        </xdr:to>
        <xdr:sp macro="" textlink="">
          <xdr:nvSpPr>
            <xdr:cNvPr id="5126" name="Scroll Bar 6" hidden="1">
              <a:extLst>
                <a:ext uri="{63B3BB69-23CF-44E3-9099-C40C66FF867C}">
                  <a14:compatExt spid="_x0000_s5126"/>
                </a:ext>
                <a:ext uri="{FF2B5EF4-FFF2-40B4-BE49-F238E27FC236}">
                  <a16:creationId xmlns:a16="http://schemas.microsoft.com/office/drawing/2014/main" id="{00000000-0008-0000-1100-000006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6</xdr:col>
      <xdr:colOff>0</xdr:colOff>
      <xdr:row>27</xdr:row>
      <xdr:rowOff>171450</xdr:rowOff>
    </xdr:from>
    <xdr:to>
      <xdr:col>11</xdr:col>
      <xdr:colOff>441960</xdr:colOff>
      <xdr:row>42</xdr:row>
      <xdr:rowOff>171450</xdr:rowOff>
    </xdr:to>
    <xdr:graphicFrame macro="">
      <xdr:nvGraphicFramePr>
        <xdr:cNvPr id="2" name="Chart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4</xdr:col>
      <xdr:colOff>0</xdr:colOff>
      <xdr:row>15</xdr:row>
      <xdr:rowOff>89535</xdr:rowOff>
    </xdr:to>
    <mc:AlternateContent xmlns:mc="http://schemas.openxmlformats.org/markup-compatibility/2006" xmlns:a14="http://schemas.microsoft.com/office/drawing/2010/main">
      <mc:Choice Requires="a14">
        <xdr:graphicFrame macro="">
          <xdr:nvGraphicFramePr>
            <xdr:cNvPr id="2" name="SKU 1">
              <a:extLst>
                <a:ext uri="{FF2B5EF4-FFF2-40B4-BE49-F238E27FC236}">
                  <a16:creationId xmlns:a16="http://schemas.microsoft.com/office/drawing/2014/main" id="{00000000-0008-0000-1300-000002000000}"/>
                </a:ext>
              </a:extLst>
            </xdr:cNvPr>
            <xdr:cNvGraphicFramePr/>
          </xdr:nvGraphicFramePr>
          <xdr:xfrm>
            <a:off x="0" y="0"/>
            <a:ext cx="0" cy="0"/>
          </xdr:xfrm>
          <a:graphic>
            <a:graphicData uri="http://schemas.microsoft.com/office/drawing/2010/slicer">
              <sle:slicer xmlns:sle="http://schemas.microsoft.com/office/drawing/2010/slicer" name="SKU 1"/>
            </a:graphicData>
          </a:graphic>
        </xdr:graphicFrame>
      </mc:Choice>
      <mc:Fallback xmlns="">
        <xdr:sp macro="" textlink="">
          <xdr:nvSpPr>
            <xdr:cNvPr id="0" name=""/>
            <xdr:cNvSpPr>
              <a:spLocks noTextEdit="1"/>
            </xdr:cNvSpPr>
          </xdr:nvSpPr>
          <xdr:spPr>
            <a:xfrm>
              <a:off x="609600" y="36576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2</xdr:row>
      <xdr:rowOff>0</xdr:rowOff>
    </xdr:from>
    <xdr:to>
      <xdr:col>8</xdr:col>
      <xdr:colOff>0</xdr:colOff>
      <xdr:row>15</xdr:row>
      <xdr:rowOff>89535</xdr:rowOff>
    </xdr:to>
    <mc:AlternateContent xmlns:mc="http://schemas.openxmlformats.org/markup-compatibility/2006" xmlns:a14="http://schemas.microsoft.com/office/drawing/2010/main">
      <mc:Choice Requires="a14">
        <xdr:graphicFrame macro="">
          <xdr:nvGraphicFramePr>
            <xdr:cNvPr id="3" name="ProductCategory 1">
              <a:extLst>
                <a:ext uri="{FF2B5EF4-FFF2-40B4-BE49-F238E27FC236}">
                  <a16:creationId xmlns:a16="http://schemas.microsoft.com/office/drawing/2014/main" id="{00000000-0008-0000-1300-000003000000}"/>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mlns="">
        <xdr:sp macro="" textlink="">
          <xdr:nvSpPr>
            <xdr:cNvPr id="0" name=""/>
            <xdr:cNvSpPr>
              <a:spLocks noTextEdit="1"/>
            </xdr:cNvSpPr>
          </xdr:nvSpPr>
          <xdr:spPr>
            <a:xfrm>
              <a:off x="3048000" y="36576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2</xdr:row>
      <xdr:rowOff>0</xdr:rowOff>
    </xdr:from>
    <xdr:to>
      <xdr:col>12</xdr:col>
      <xdr:colOff>0</xdr:colOff>
      <xdr:row>15</xdr:row>
      <xdr:rowOff>89535</xdr:rowOff>
    </xdr:to>
    <mc:AlternateContent xmlns:mc="http://schemas.openxmlformats.org/markup-compatibility/2006" xmlns:a14="http://schemas.microsoft.com/office/drawing/2010/main">
      <mc:Choice Requires="a14">
        <xdr:graphicFrame macro="">
          <xdr:nvGraphicFramePr>
            <xdr:cNvPr id="4" name="Gross Revenue 1">
              <a:extLst>
                <a:ext uri="{FF2B5EF4-FFF2-40B4-BE49-F238E27FC236}">
                  <a16:creationId xmlns:a16="http://schemas.microsoft.com/office/drawing/2014/main" id="{00000000-0008-0000-1300-000004000000}"/>
                </a:ext>
              </a:extLst>
            </xdr:cNvPr>
            <xdr:cNvGraphicFramePr/>
          </xdr:nvGraphicFramePr>
          <xdr:xfrm>
            <a:off x="0" y="0"/>
            <a:ext cx="0" cy="0"/>
          </xdr:xfrm>
          <a:graphic>
            <a:graphicData uri="http://schemas.microsoft.com/office/drawing/2010/slicer">
              <sle:slicer xmlns:sle="http://schemas.microsoft.com/office/drawing/2010/slicer" name="Gross Revenue 1"/>
            </a:graphicData>
          </a:graphic>
        </xdr:graphicFrame>
      </mc:Choice>
      <mc:Fallback xmlns="">
        <xdr:sp macro="" textlink="">
          <xdr:nvSpPr>
            <xdr:cNvPr id="0" name=""/>
            <xdr:cNvSpPr>
              <a:spLocks noTextEdit="1"/>
            </xdr:cNvSpPr>
          </xdr:nvSpPr>
          <xdr:spPr>
            <a:xfrm>
              <a:off x="5486400" y="36576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2</xdr:row>
      <xdr:rowOff>0</xdr:rowOff>
    </xdr:from>
    <xdr:to>
      <xdr:col>16</xdr:col>
      <xdr:colOff>0</xdr:colOff>
      <xdr:row>15</xdr:row>
      <xdr:rowOff>89535</xdr:rowOff>
    </xdr:to>
    <mc:AlternateContent xmlns:mc="http://schemas.openxmlformats.org/markup-compatibility/2006" xmlns:a14="http://schemas.microsoft.com/office/drawing/2010/main">
      <mc:Choice Requires="a14">
        <xdr:graphicFrame macro="">
          <xdr:nvGraphicFramePr>
            <xdr:cNvPr id="5" name="Gross Profit 1">
              <a:extLst>
                <a:ext uri="{FF2B5EF4-FFF2-40B4-BE49-F238E27FC236}">
                  <a16:creationId xmlns:a16="http://schemas.microsoft.com/office/drawing/2014/main" id="{00000000-0008-0000-1300-000005000000}"/>
                </a:ext>
              </a:extLst>
            </xdr:cNvPr>
            <xdr:cNvGraphicFramePr/>
          </xdr:nvGraphicFramePr>
          <xdr:xfrm>
            <a:off x="0" y="0"/>
            <a:ext cx="0" cy="0"/>
          </xdr:xfrm>
          <a:graphic>
            <a:graphicData uri="http://schemas.microsoft.com/office/drawing/2010/slicer">
              <sle:slicer xmlns:sle="http://schemas.microsoft.com/office/drawing/2010/slicer" name="Gross Profit 1"/>
            </a:graphicData>
          </a:graphic>
        </xdr:graphicFrame>
      </mc:Choice>
      <mc:Fallback xmlns="">
        <xdr:sp macro="" textlink="">
          <xdr:nvSpPr>
            <xdr:cNvPr id="0" name=""/>
            <xdr:cNvSpPr>
              <a:spLocks noTextEdit="1"/>
            </xdr:cNvSpPr>
          </xdr:nvSpPr>
          <xdr:spPr>
            <a:xfrm>
              <a:off x="7924800" y="36576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2</xdr:row>
      <xdr:rowOff>0</xdr:rowOff>
    </xdr:from>
    <xdr:to>
      <xdr:col>20</xdr:col>
      <xdr:colOff>0</xdr:colOff>
      <xdr:row>15</xdr:row>
      <xdr:rowOff>89535</xdr:rowOff>
    </xdr:to>
    <mc:AlternateContent xmlns:mc="http://schemas.openxmlformats.org/markup-compatibility/2006" xmlns:a14="http://schemas.microsoft.com/office/drawing/2010/main">
      <mc:Choice Requires="a14">
        <xdr:graphicFrame macro="">
          <xdr:nvGraphicFramePr>
            <xdr:cNvPr id="6" name="Salesperson 1">
              <a:extLst>
                <a:ext uri="{FF2B5EF4-FFF2-40B4-BE49-F238E27FC236}">
                  <a16:creationId xmlns:a16="http://schemas.microsoft.com/office/drawing/2014/main" id="{00000000-0008-0000-1300-000006000000}"/>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10363200" y="36576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17</xdr:row>
      <xdr:rowOff>0</xdr:rowOff>
    </xdr:from>
    <xdr:to>
      <xdr:col>4</xdr:col>
      <xdr:colOff>0</xdr:colOff>
      <xdr:row>30</xdr:row>
      <xdr:rowOff>89535</xdr:rowOff>
    </xdr:to>
    <mc:AlternateContent xmlns:mc="http://schemas.openxmlformats.org/markup-compatibility/2006" xmlns:a14="http://schemas.microsoft.com/office/drawing/2010/main">
      <mc:Choice Requires="a14">
        <xdr:graphicFrame macro="">
          <xdr:nvGraphicFramePr>
            <xdr:cNvPr id="7" name="OrderID 1">
              <a:extLst>
                <a:ext uri="{FF2B5EF4-FFF2-40B4-BE49-F238E27FC236}">
                  <a16:creationId xmlns:a16="http://schemas.microsoft.com/office/drawing/2014/main" id="{00000000-0008-0000-1300-000007000000}"/>
                </a:ext>
              </a:extLst>
            </xdr:cNvPr>
            <xdr:cNvGraphicFramePr/>
          </xdr:nvGraphicFramePr>
          <xdr:xfrm>
            <a:off x="0" y="0"/>
            <a:ext cx="0" cy="0"/>
          </xdr:xfrm>
          <a:graphic>
            <a:graphicData uri="http://schemas.microsoft.com/office/drawing/2010/slicer">
              <sle:slicer xmlns:sle="http://schemas.microsoft.com/office/drawing/2010/slicer" name="OrderID 1"/>
            </a:graphicData>
          </a:graphic>
        </xdr:graphicFrame>
      </mc:Choice>
      <mc:Fallback xmlns="">
        <xdr:sp macro="" textlink="">
          <xdr:nvSpPr>
            <xdr:cNvPr id="0" name=""/>
            <xdr:cNvSpPr>
              <a:spLocks noTextEdit="1"/>
            </xdr:cNvSpPr>
          </xdr:nvSpPr>
          <xdr:spPr>
            <a:xfrm>
              <a:off x="609600" y="310896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17</xdr:row>
      <xdr:rowOff>0</xdr:rowOff>
    </xdr:from>
    <xdr:to>
      <xdr:col>8</xdr:col>
      <xdr:colOff>0</xdr:colOff>
      <xdr:row>30</xdr:row>
      <xdr:rowOff>89535</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00000000-0008-0000-1300-00000800000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048000" y="310896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17</xdr:row>
      <xdr:rowOff>0</xdr:rowOff>
    </xdr:from>
    <xdr:to>
      <xdr:col>12</xdr:col>
      <xdr:colOff>0</xdr:colOff>
      <xdr:row>30</xdr:row>
      <xdr:rowOff>89535</xdr:rowOff>
    </xdr:to>
    <mc:AlternateContent xmlns:mc="http://schemas.openxmlformats.org/markup-compatibility/2006" xmlns:a14="http://schemas.microsoft.com/office/drawing/2010/main">
      <mc:Choice Requires="a14">
        <xdr:graphicFrame macro="">
          <xdr:nvGraphicFramePr>
            <xdr:cNvPr id="9" name="Country 1">
              <a:extLst>
                <a:ext uri="{FF2B5EF4-FFF2-40B4-BE49-F238E27FC236}">
                  <a16:creationId xmlns:a16="http://schemas.microsoft.com/office/drawing/2014/main" id="{00000000-0008-0000-1300-000009000000}"/>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5486400" y="310896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17</xdr:row>
      <xdr:rowOff>0</xdr:rowOff>
    </xdr:from>
    <xdr:to>
      <xdr:col>16</xdr:col>
      <xdr:colOff>0</xdr:colOff>
      <xdr:row>30</xdr:row>
      <xdr:rowOff>89535</xdr:rowOff>
    </xdr:to>
    <mc:AlternateContent xmlns:mc="http://schemas.openxmlformats.org/markup-compatibility/2006" xmlns:a14="http://schemas.microsoft.com/office/drawing/2010/main">
      <mc:Choice Requires="a14">
        <xdr:graphicFrame macro="">
          <xdr:nvGraphicFramePr>
            <xdr:cNvPr id="10" name="Leadtime days 1">
              <a:extLst>
                <a:ext uri="{FF2B5EF4-FFF2-40B4-BE49-F238E27FC236}">
                  <a16:creationId xmlns:a16="http://schemas.microsoft.com/office/drawing/2014/main" id="{00000000-0008-0000-1300-00000A000000}"/>
                </a:ext>
              </a:extLst>
            </xdr:cNvPr>
            <xdr:cNvGraphicFramePr/>
          </xdr:nvGraphicFramePr>
          <xdr:xfrm>
            <a:off x="0" y="0"/>
            <a:ext cx="0" cy="0"/>
          </xdr:xfrm>
          <a:graphic>
            <a:graphicData uri="http://schemas.microsoft.com/office/drawing/2010/slicer">
              <sle:slicer xmlns:sle="http://schemas.microsoft.com/office/drawing/2010/slicer" name="Leadtime days 1"/>
            </a:graphicData>
          </a:graphic>
        </xdr:graphicFrame>
      </mc:Choice>
      <mc:Fallback xmlns="">
        <xdr:sp macro="" textlink="">
          <xdr:nvSpPr>
            <xdr:cNvPr id="0" name=""/>
            <xdr:cNvSpPr>
              <a:spLocks noTextEdit="1"/>
            </xdr:cNvSpPr>
          </xdr:nvSpPr>
          <xdr:spPr>
            <a:xfrm>
              <a:off x="7924800" y="310896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17</xdr:row>
      <xdr:rowOff>0</xdr:rowOff>
    </xdr:from>
    <xdr:to>
      <xdr:col>20</xdr:col>
      <xdr:colOff>0</xdr:colOff>
      <xdr:row>30</xdr:row>
      <xdr:rowOff>89535</xdr:rowOff>
    </xdr:to>
    <mc:AlternateContent xmlns:mc="http://schemas.openxmlformats.org/markup-compatibility/2006" xmlns:a14="http://schemas.microsoft.com/office/drawing/2010/main">
      <mc:Choice Requires="a14">
        <xdr:graphicFrame macro="">
          <xdr:nvGraphicFramePr>
            <xdr:cNvPr id="11" name="DiscountPct 1">
              <a:extLst>
                <a:ext uri="{FF2B5EF4-FFF2-40B4-BE49-F238E27FC236}">
                  <a16:creationId xmlns:a16="http://schemas.microsoft.com/office/drawing/2014/main" id="{00000000-0008-0000-1300-00000B000000}"/>
                </a:ext>
              </a:extLst>
            </xdr:cNvPr>
            <xdr:cNvGraphicFramePr/>
          </xdr:nvGraphicFramePr>
          <xdr:xfrm>
            <a:off x="0" y="0"/>
            <a:ext cx="0" cy="0"/>
          </xdr:xfrm>
          <a:graphic>
            <a:graphicData uri="http://schemas.microsoft.com/office/drawing/2010/slicer">
              <sle:slicer xmlns:sle="http://schemas.microsoft.com/office/drawing/2010/slicer" name="DiscountPct 1"/>
            </a:graphicData>
          </a:graphic>
        </xdr:graphicFrame>
      </mc:Choice>
      <mc:Fallback xmlns="">
        <xdr:sp macro="" textlink="">
          <xdr:nvSpPr>
            <xdr:cNvPr id="0" name=""/>
            <xdr:cNvSpPr>
              <a:spLocks noTextEdit="1"/>
            </xdr:cNvSpPr>
          </xdr:nvSpPr>
          <xdr:spPr>
            <a:xfrm>
              <a:off x="10363200" y="310896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32</xdr:row>
      <xdr:rowOff>0</xdr:rowOff>
    </xdr:from>
    <xdr:to>
      <xdr:col>4</xdr:col>
      <xdr:colOff>0</xdr:colOff>
      <xdr:row>45</xdr:row>
      <xdr:rowOff>89535</xdr:rowOff>
    </xdr:to>
    <mc:AlternateContent xmlns:mc="http://schemas.openxmlformats.org/markup-compatibility/2006" xmlns:a14="http://schemas.microsoft.com/office/drawing/2010/main">
      <mc:Choice Requires="a14">
        <xdr:graphicFrame macro="">
          <xdr:nvGraphicFramePr>
            <xdr:cNvPr id="13" name="Channel 1">
              <a:extLst>
                <a:ext uri="{FF2B5EF4-FFF2-40B4-BE49-F238E27FC236}">
                  <a16:creationId xmlns:a16="http://schemas.microsoft.com/office/drawing/2014/main" id="{00000000-0008-0000-1300-00000D000000}"/>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609600" y="585216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32</xdr:row>
      <xdr:rowOff>0</xdr:rowOff>
    </xdr:from>
    <xdr:to>
      <xdr:col>8</xdr:col>
      <xdr:colOff>0</xdr:colOff>
      <xdr:row>45</xdr:row>
      <xdr:rowOff>89535</xdr:rowOff>
    </xdr:to>
    <mc:AlternateContent xmlns:mc="http://schemas.openxmlformats.org/markup-compatibility/2006" xmlns:a14="http://schemas.microsoft.com/office/drawing/2010/main">
      <mc:Choice Requires="a14">
        <xdr:graphicFrame macro="">
          <xdr:nvGraphicFramePr>
            <xdr:cNvPr id="14" name="Month 1">
              <a:extLst>
                <a:ext uri="{FF2B5EF4-FFF2-40B4-BE49-F238E27FC236}">
                  <a16:creationId xmlns:a16="http://schemas.microsoft.com/office/drawing/2014/main" id="{00000000-0008-0000-1300-00000E00000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3048000" y="585216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2</xdr:col>
      <xdr:colOff>1120140</xdr:colOff>
      <xdr:row>1</xdr:row>
      <xdr:rowOff>114300</xdr:rowOff>
    </xdr:from>
    <xdr:to>
      <xdr:col>2</xdr:col>
      <xdr:colOff>2080260</xdr:colOff>
      <xdr:row>3</xdr:row>
      <xdr:rowOff>30480</xdr:rowOff>
    </xdr:to>
    <xdr:sp macro="" textlink="">
      <xdr:nvSpPr>
        <xdr:cNvPr id="2" name="Rectangle 1">
          <a:extLst>
            <a:ext uri="{FF2B5EF4-FFF2-40B4-BE49-F238E27FC236}">
              <a16:creationId xmlns:a16="http://schemas.microsoft.com/office/drawing/2014/main" id="{00000000-0008-0000-0D00-000002000000}"/>
            </a:ext>
          </a:extLst>
        </xdr:cNvPr>
        <xdr:cNvSpPr/>
      </xdr:nvSpPr>
      <xdr:spPr>
        <a:xfrm>
          <a:off x="1912620" y="297180"/>
          <a:ext cx="960120" cy="281940"/>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GB" sz="1100"/>
            <a:t>Region</a:t>
          </a:r>
          <a:endParaRPr lang="en-KE" sz="1100"/>
        </a:p>
      </xdr:txBody>
    </xdr:sp>
    <xdr:clientData/>
  </xdr:twoCellAnchor>
  <xdr:twoCellAnchor>
    <xdr:from>
      <xdr:col>0</xdr:col>
      <xdr:colOff>0</xdr:colOff>
      <xdr:row>0</xdr:row>
      <xdr:rowOff>0</xdr:rowOff>
    </xdr:from>
    <xdr:to>
      <xdr:col>7</xdr:col>
      <xdr:colOff>7620</xdr:colOff>
      <xdr:row>33</xdr:row>
      <xdr:rowOff>167640</xdr:rowOff>
    </xdr:to>
    <xdr:sp macro="" textlink="">
      <xdr:nvSpPr>
        <xdr:cNvPr id="4" name="Rectangle 3">
          <a:extLst>
            <a:ext uri="{FF2B5EF4-FFF2-40B4-BE49-F238E27FC236}">
              <a16:creationId xmlns:a16="http://schemas.microsoft.com/office/drawing/2014/main" id="{00000000-0008-0000-0D00-000004000000}"/>
            </a:ext>
          </a:extLst>
        </xdr:cNvPr>
        <xdr:cNvSpPr/>
      </xdr:nvSpPr>
      <xdr:spPr>
        <a:xfrm>
          <a:off x="0" y="0"/>
          <a:ext cx="14211300" cy="6202680"/>
        </a:xfrm>
        <a:prstGeom prst="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100" b="1">
              <a:solidFill>
                <a:sysClr val="windowText" lastClr="000000"/>
              </a:solidFill>
            </a:rPr>
            <a:t>             </a:t>
          </a:r>
        </a:p>
      </xdr:txBody>
    </xdr:sp>
    <xdr:clientData/>
  </xdr:twoCellAnchor>
  <xdr:twoCellAnchor>
    <xdr:from>
      <xdr:col>2</xdr:col>
      <xdr:colOff>152400</xdr:colOff>
      <xdr:row>9</xdr:row>
      <xdr:rowOff>60960</xdr:rowOff>
    </xdr:from>
    <xdr:to>
      <xdr:col>2</xdr:col>
      <xdr:colOff>4594860</xdr:colOff>
      <xdr:row>23</xdr:row>
      <xdr:rowOff>22860</xdr:rowOff>
    </xdr:to>
    <xdr:graphicFrame macro="">
      <xdr:nvGraphicFramePr>
        <xdr:cNvPr id="24" name="Chart 23">
          <a:extLst>
            <a:ext uri="{FF2B5EF4-FFF2-40B4-BE49-F238E27FC236}">
              <a16:creationId xmlns:a16="http://schemas.microsoft.com/office/drawing/2014/main" id="{00000000-0008-0000-0D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4785360</xdr:colOff>
      <xdr:row>9</xdr:row>
      <xdr:rowOff>60960</xdr:rowOff>
    </xdr:from>
    <xdr:to>
      <xdr:col>2</xdr:col>
      <xdr:colOff>9258300</xdr:colOff>
      <xdr:row>23</xdr:row>
      <xdr:rowOff>22860</xdr:rowOff>
    </xdr:to>
    <xdr:graphicFrame macro="">
      <xdr:nvGraphicFramePr>
        <xdr:cNvPr id="26" name="Chart 25">
          <a:extLst>
            <a:ext uri="{FF2B5EF4-FFF2-40B4-BE49-F238E27FC236}">
              <a16:creationId xmlns:a16="http://schemas.microsoft.com/office/drawing/2014/main" id="{00000000-0008-0000-0D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9387840</xdr:colOff>
      <xdr:row>9</xdr:row>
      <xdr:rowOff>53340</xdr:rowOff>
    </xdr:from>
    <xdr:to>
      <xdr:col>6</xdr:col>
      <xdr:colOff>510540</xdr:colOff>
      <xdr:row>23</xdr:row>
      <xdr:rowOff>15240</xdr:rowOff>
    </xdr:to>
    <xdr:graphicFrame macro="">
      <xdr:nvGraphicFramePr>
        <xdr:cNvPr id="19" name="Chart 18">
          <a:extLst>
            <a:ext uri="{FF2B5EF4-FFF2-40B4-BE49-F238E27FC236}">
              <a16:creationId xmlns:a16="http://schemas.microsoft.com/office/drawing/2014/main" id="{00000000-0008-0000-0D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998220</xdr:colOff>
      <xdr:row>2</xdr:row>
      <xdr:rowOff>38101</xdr:rowOff>
    </xdr:from>
    <xdr:to>
      <xdr:col>2</xdr:col>
      <xdr:colOff>2827020</xdr:colOff>
      <xdr:row>5</xdr:row>
      <xdr:rowOff>68581</xdr:rowOff>
    </xdr:to>
    <mc:AlternateContent xmlns:mc="http://schemas.openxmlformats.org/markup-compatibility/2006" xmlns:a14="http://schemas.microsoft.com/office/drawing/2010/main">
      <mc:Choice Requires="a14">
        <xdr:graphicFrame macro="">
          <xdr:nvGraphicFramePr>
            <xdr:cNvPr id="21" name="Region 2">
              <a:extLst>
                <a:ext uri="{FF2B5EF4-FFF2-40B4-BE49-F238E27FC236}">
                  <a16:creationId xmlns:a16="http://schemas.microsoft.com/office/drawing/2014/main" id="{00000000-0008-0000-0D00-000015000000}"/>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219200" y="403861"/>
              <a:ext cx="1828800" cy="57912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3169920</xdr:colOff>
      <xdr:row>2</xdr:row>
      <xdr:rowOff>15241</xdr:rowOff>
    </xdr:from>
    <xdr:to>
      <xdr:col>2</xdr:col>
      <xdr:colOff>4998720</xdr:colOff>
      <xdr:row>5</xdr:row>
      <xdr:rowOff>22861</xdr:rowOff>
    </xdr:to>
    <mc:AlternateContent xmlns:mc="http://schemas.openxmlformats.org/markup-compatibility/2006" xmlns:a14="http://schemas.microsoft.com/office/drawing/2010/main">
      <mc:Choice Requires="a14">
        <xdr:graphicFrame macro="">
          <xdr:nvGraphicFramePr>
            <xdr:cNvPr id="23" name="Country 2">
              <a:extLst>
                <a:ext uri="{FF2B5EF4-FFF2-40B4-BE49-F238E27FC236}">
                  <a16:creationId xmlns:a16="http://schemas.microsoft.com/office/drawing/2014/main" id="{00000000-0008-0000-0D00-000017000000}"/>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3390900" y="381001"/>
              <a:ext cx="1828800" cy="55626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5364480</xdr:colOff>
      <xdr:row>2</xdr:row>
      <xdr:rowOff>7621</xdr:rowOff>
    </xdr:from>
    <xdr:to>
      <xdr:col>2</xdr:col>
      <xdr:colOff>7193280</xdr:colOff>
      <xdr:row>5</xdr:row>
      <xdr:rowOff>22861</xdr:rowOff>
    </xdr:to>
    <mc:AlternateContent xmlns:mc="http://schemas.openxmlformats.org/markup-compatibility/2006" xmlns:a14="http://schemas.microsoft.com/office/drawing/2010/main">
      <mc:Choice Requires="a14">
        <xdr:graphicFrame macro="">
          <xdr:nvGraphicFramePr>
            <xdr:cNvPr id="25" name="Channel 2">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microsoft.com/office/drawing/2010/slicer">
              <sle:slicer xmlns:sle="http://schemas.microsoft.com/office/drawing/2010/slicer" name="Channel 2"/>
            </a:graphicData>
          </a:graphic>
        </xdr:graphicFrame>
      </mc:Choice>
      <mc:Fallback xmlns="">
        <xdr:sp macro="" textlink="">
          <xdr:nvSpPr>
            <xdr:cNvPr id="0" name=""/>
            <xdr:cNvSpPr>
              <a:spLocks noTextEdit="1"/>
            </xdr:cNvSpPr>
          </xdr:nvSpPr>
          <xdr:spPr>
            <a:xfrm>
              <a:off x="5585460" y="373381"/>
              <a:ext cx="1828800" cy="56388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7406640</xdr:colOff>
      <xdr:row>2</xdr:row>
      <xdr:rowOff>1</xdr:rowOff>
    </xdr:from>
    <xdr:to>
      <xdr:col>2</xdr:col>
      <xdr:colOff>9235440</xdr:colOff>
      <xdr:row>5</xdr:row>
      <xdr:rowOff>1</xdr:rowOff>
    </xdr:to>
    <mc:AlternateContent xmlns:mc="http://schemas.openxmlformats.org/markup-compatibility/2006" xmlns:a14="http://schemas.microsoft.com/office/drawing/2010/main">
      <mc:Choice Requires="a14">
        <xdr:graphicFrame macro="">
          <xdr:nvGraphicFramePr>
            <xdr:cNvPr id="27" name="ProductCategory 2">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microsoft.com/office/drawing/2010/slicer">
              <sle:slicer xmlns:sle="http://schemas.microsoft.com/office/drawing/2010/slicer" name="ProductCategory 2"/>
            </a:graphicData>
          </a:graphic>
        </xdr:graphicFrame>
      </mc:Choice>
      <mc:Fallback xmlns="">
        <xdr:sp macro="" textlink="">
          <xdr:nvSpPr>
            <xdr:cNvPr id="0" name=""/>
            <xdr:cNvSpPr>
              <a:spLocks noTextEdit="1"/>
            </xdr:cNvSpPr>
          </xdr:nvSpPr>
          <xdr:spPr>
            <a:xfrm>
              <a:off x="7627620" y="365761"/>
              <a:ext cx="1828800" cy="54864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9532620</xdr:colOff>
      <xdr:row>1</xdr:row>
      <xdr:rowOff>137161</xdr:rowOff>
    </xdr:from>
    <xdr:to>
      <xdr:col>2</xdr:col>
      <xdr:colOff>11361420</xdr:colOff>
      <xdr:row>4</xdr:row>
      <xdr:rowOff>144781</xdr:rowOff>
    </xdr:to>
    <mc:AlternateContent xmlns:mc="http://schemas.openxmlformats.org/markup-compatibility/2006" xmlns:a14="http://schemas.microsoft.com/office/drawing/2010/main">
      <mc:Choice Requires="a14">
        <xdr:graphicFrame macro="">
          <xdr:nvGraphicFramePr>
            <xdr:cNvPr id="28" name="Month 2">
              <a:extLst>
                <a:ext uri="{FF2B5EF4-FFF2-40B4-BE49-F238E27FC236}">
                  <a16:creationId xmlns:a16="http://schemas.microsoft.com/office/drawing/2014/main" id="{00000000-0008-0000-0D00-00001C000000}"/>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9753600" y="320041"/>
              <a:ext cx="1828800" cy="55626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129540</xdr:colOff>
      <xdr:row>1</xdr:row>
      <xdr:rowOff>91441</xdr:rowOff>
    </xdr:from>
    <xdr:to>
      <xdr:col>6</xdr:col>
      <xdr:colOff>129540</xdr:colOff>
      <xdr:row>4</xdr:row>
      <xdr:rowOff>99061</xdr:rowOff>
    </xdr:to>
    <mc:AlternateContent xmlns:mc="http://schemas.openxmlformats.org/markup-compatibility/2006" xmlns:a14="http://schemas.microsoft.com/office/drawing/2010/main">
      <mc:Choice Requires="a14">
        <xdr:graphicFrame macro="">
          <xdr:nvGraphicFramePr>
            <xdr:cNvPr id="29" name="Salesperson 2">
              <a:extLst>
                <a:ext uri="{FF2B5EF4-FFF2-40B4-BE49-F238E27FC236}">
                  <a16:creationId xmlns:a16="http://schemas.microsoft.com/office/drawing/2014/main" id="{00000000-0008-0000-0D00-00001D000000}"/>
                </a:ext>
              </a:extLst>
            </xdr:cNvPr>
            <xdr:cNvGraphicFramePr/>
          </xdr:nvGraphicFramePr>
          <xdr:xfrm>
            <a:off x="0" y="0"/>
            <a:ext cx="0" cy="0"/>
          </xdr:xfrm>
          <a:graphic>
            <a:graphicData uri="http://schemas.microsoft.com/office/drawing/2010/slicer">
              <sle:slicer xmlns:sle="http://schemas.microsoft.com/office/drawing/2010/slicer" name="Salesperson 2"/>
            </a:graphicData>
          </a:graphic>
        </xdr:graphicFrame>
      </mc:Choice>
      <mc:Fallback xmlns="">
        <xdr:sp macro="" textlink="">
          <xdr:nvSpPr>
            <xdr:cNvPr id="0" name=""/>
            <xdr:cNvSpPr>
              <a:spLocks noTextEdit="1"/>
            </xdr:cNvSpPr>
          </xdr:nvSpPr>
          <xdr:spPr>
            <a:xfrm>
              <a:off x="11894820" y="274321"/>
              <a:ext cx="1828800" cy="55626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5250180</xdr:colOff>
      <xdr:row>0</xdr:row>
      <xdr:rowOff>91440</xdr:rowOff>
    </xdr:from>
    <xdr:to>
      <xdr:col>2</xdr:col>
      <xdr:colOff>10073640</xdr:colOff>
      <xdr:row>1</xdr:row>
      <xdr:rowOff>121920</xdr:rowOff>
    </xdr:to>
    <xdr:sp macro="" textlink="">
      <xdr:nvSpPr>
        <xdr:cNvPr id="7" name="Rectangle: Rounded Corners 6">
          <a:extLst>
            <a:ext uri="{FF2B5EF4-FFF2-40B4-BE49-F238E27FC236}">
              <a16:creationId xmlns:a16="http://schemas.microsoft.com/office/drawing/2014/main" id="{00000000-0008-0000-0D00-000007000000}"/>
            </a:ext>
          </a:extLst>
        </xdr:cNvPr>
        <xdr:cNvSpPr/>
      </xdr:nvSpPr>
      <xdr:spPr>
        <a:xfrm>
          <a:off x="5471160" y="91440"/>
          <a:ext cx="4823460" cy="21336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solidFill>
                <a:sysClr val="windowText" lastClr="000000"/>
              </a:solidFill>
            </a:rPr>
            <a:t>    </a:t>
          </a:r>
          <a:r>
            <a:rPr lang="en-GB" sz="1100" b="1">
              <a:solidFill>
                <a:sysClr val="windowText" lastClr="000000"/>
              </a:solidFill>
              <a:latin typeface="Book Antiqua" panose="02040602050305030304" pitchFamily="18" charset="0"/>
            </a:rPr>
            <a:t>SALES PERFORMANCE DASHBOARD</a:t>
          </a:r>
          <a:endParaRPr lang="en-KE" sz="1100" b="1">
            <a:solidFill>
              <a:sysClr val="windowText" lastClr="000000"/>
            </a:solidFill>
            <a:latin typeface="Book Antiqua" panose="02040602050305030304" pitchFamily="18" charset="0"/>
          </a:endParaRPr>
        </a:p>
      </xdr:txBody>
    </xdr:sp>
    <xdr:clientData/>
  </xdr:twoCellAnchor>
  <xdr:twoCellAnchor editAs="oneCell">
    <xdr:from>
      <xdr:col>2</xdr:col>
      <xdr:colOff>1341120</xdr:colOff>
      <xdr:row>6</xdr:row>
      <xdr:rowOff>68580</xdr:rowOff>
    </xdr:from>
    <xdr:to>
      <xdr:col>2</xdr:col>
      <xdr:colOff>2461260</xdr:colOff>
      <xdr:row>8</xdr:row>
      <xdr:rowOff>76200</xdr:rowOff>
    </xdr:to>
    <xdr:pic>
      <xdr:nvPicPr>
        <xdr:cNvPr id="33" name="Picture 32">
          <a:extLst>
            <a:ext uri="{FF2B5EF4-FFF2-40B4-BE49-F238E27FC236}">
              <a16:creationId xmlns:a16="http://schemas.microsoft.com/office/drawing/2014/main" id="{00000000-0008-0000-0D00-000021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562100" y="1165860"/>
          <a:ext cx="1120140" cy="373380"/>
        </a:xfrm>
        <a:prstGeom prst="rect">
          <a:avLst/>
        </a:prstGeom>
        <a:solidFill>
          <a:schemeClr val="accent1"/>
        </a:solidFill>
      </xdr:spPr>
    </xdr:pic>
    <xdr:clientData/>
  </xdr:twoCellAnchor>
  <xdr:twoCellAnchor editAs="oneCell">
    <xdr:from>
      <xdr:col>2</xdr:col>
      <xdr:colOff>3360420</xdr:colOff>
      <xdr:row>6</xdr:row>
      <xdr:rowOff>53340</xdr:rowOff>
    </xdr:from>
    <xdr:to>
      <xdr:col>2</xdr:col>
      <xdr:colOff>5021580</xdr:colOff>
      <xdr:row>8</xdr:row>
      <xdr:rowOff>60960</xdr:rowOff>
    </xdr:to>
    <xdr:pic>
      <xdr:nvPicPr>
        <xdr:cNvPr id="34" name="Picture 33">
          <a:extLst>
            <a:ext uri="{FF2B5EF4-FFF2-40B4-BE49-F238E27FC236}">
              <a16:creationId xmlns:a16="http://schemas.microsoft.com/office/drawing/2014/main" id="{00000000-0008-0000-0D00-000022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581400" y="1150620"/>
          <a:ext cx="1661160" cy="373380"/>
        </a:xfrm>
        <a:prstGeom prst="rect">
          <a:avLst/>
        </a:prstGeom>
        <a:solidFill>
          <a:schemeClr val="accent1"/>
        </a:solidFill>
      </xdr:spPr>
    </xdr:pic>
    <xdr:clientData/>
  </xdr:twoCellAnchor>
  <xdr:twoCellAnchor editAs="oneCell">
    <xdr:from>
      <xdr:col>2</xdr:col>
      <xdr:colOff>7985760</xdr:colOff>
      <xdr:row>6</xdr:row>
      <xdr:rowOff>53340</xdr:rowOff>
    </xdr:from>
    <xdr:to>
      <xdr:col>2</xdr:col>
      <xdr:colOff>9212580</xdr:colOff>
      <xdr:row>8</xdr:row>
      <xdr:rowOff>60960</xdr:rowOff>
    </xdr:to>
    <xdr:pic>
      <xdr:nvPicPr>
        <xdr:cNvPr id="18" name="Picture 17">
          <a:extLst>
            <a:ext uri="{FF2B5EF4-FFF2-40B4-BE49-F238E27FC236}">
              <a16:creationId xmlns:a16="http://schemas.microsoft.com/office/drawing/2014/main" id="{561256E0-2D81-4F9A-AD9D-A7121F847FF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206740" y="1150620"/>
          <a:ext cx="1226820" cy="373380"/>
        </a:xfrm>
        <a:prstGeom prst="rect">
          <a:avLst/>
        </a:prstGeom>
        <a:solidFill>
          <a:schemeClr val="accent1"/>
        </a:solidFill>
      </xdr:spPr>
    </xdr:pic>
    <xdr:clientData/>
  </xdr:twoCellAnchor>
  <xdr:twoCellAnchor editAs="oneCell">
    <xdr:from>
      <xdr:col>2</xdr:col>
      <xdr:colOff>5859780</xdr:colOff>
      <xdr:row>6</xdr:row>
      <xdr:rowOff>53340</xdr:rowOff>
    </xdr:from>
    <xdr:to>
      <xdr:col>2</xdr:col>
      <xdr:colOff>7086600</xdr:colOff>
      <xdr:row>8</xdr:row>
      <xdr:rowOff>60960</xdr:rowOff>
    </xdr:to>
    <xdr:pic>
      <xdr:nvPicPr>
        <xdr:cNvPr id="22" name="Picture 21">
          <a:extLst>
            <a:ext uri="{FF2B5EF4-FFF2-40B4-BE49-F238E27FC236}">
              <a16:creationId xmlns:a16="http://schemas.microsoft.com/office/drawing/2014/main" id="{81E87BE5-AC2E-457F-A140-47F94BD2E94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080760" y="1150620"/>
          <a:ext cx="1226820" cy="373380"/>
        </a:xfrm>
        <a:prstGeom prst="rect">
          <a:avLst/>
        </a:prstGeom>
        <a:solidFill>
          <a:schemeClr val="accent1"/>
        </a:solidFill>
      </xdr:spPr>
    </xdr:pic>
    <xdr:clientData/>
  </xdr:twoCellAnchor>
  <xdr:twoCellAnchor editAs="oneCell">
    <xdr:from>
      <xdr:col>2</xdr:col>
      <xdr:colOff>10561320</xdr:colOff>
      <xdr:row>6</xdr:row>
      <xdr:rowOff>38100</xdr:rowOff>
    </xdr:from>
    <xdr:to>
      <xdr:col>3</xdr:col>
      <xdr:colOff>243840</xdr:colOff>
      <xdr:row>8</xdr:row>
      <xdr:rowOff>45720</xdr:rowOff>
    </xdr:to>
    <xdr:pic>
      <xdr:nvPicPr>
        <xdr:cNvPr id="30" name="Picture 29">
          <a:extLst>
            <a:ext uri="{FF2B5EF4-FFF2-40B4-BE49-F238E27FC236}">
              <a16:creationId xmlns:a16="http://schemas.microsoft.com/office/drawing/2014/main" id="{557BED15-2B32-4B1D-8BA4-DC4874810C8D}"/>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0782300" y="1135380"/>
          <a:ext cx="1226820" cy="373380"/>
        </a:xfrm>
        <a:prstGeom prst="rect">
          <a:avLst/>
        </a:prstGeom>
        <a:solidFill>
          <a:schemeClr val="accent1"/>
        </a:solidFill>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87.283083449074" createdVersion="7" refreshedVersion="7" minRefreshableVersion="3" recordCount="632" xr:uid="{700C977E-6CEF-4975-89BC-94E722733D8E}">
  <cacheSource type="worksheet">
    <worksheetSource ref="A1:O633" sheet="Analysis"/>
  </cacheSource>
  <cacheFields count="15">
    <cacheField name="OrderDate" numFmtId="166">
      <sharedItems containsSemiMixedTypes="0" containsNonDate="0" containsDate="1" containsString="0" minDate="2024-03-11T00:00:00" maxDate="2025-12-03T00:00:00"/>
    </cacheField>
    <cacheField name="Order Month" numFmtId="2">
      <sharedItems count="33">
        <s v="Mar-2024"/>
        <s v="Oct-2024"/>
        <s v="Feb-2023"/>
        <s v="Mar-2025"/>
        <s v="Dec-2023"/>
        <s v="Jan-2023"/>
        <s v="Dec-2024"/>
        <s v="May-2024"/>
        <s v="May-2025"/>
        <s v="Jan-2024"/>
        <s v="Jan-2025"/>
        <s v="Sept-2025"/>
        <s v="Apr-2023"/>
        <s v="Jul-2025"/>
        <s v="Jul-2024"/>
        <s v="May-2023"/>
        <s v="Jun-2025"/>
        <s v="Jun-2024"/>
        <s v="Nov-2024"/>
        <s v="Apr-2025"/>
        <s v="Apr-2024"/>
        <s v="Aug-2024"/>
        <s v="Mar-2023"/>
        <s v="Jun-2023"/>
        <s v="Jul-2023"/>
        <s v="Aug-2023"/>
        <s v="Feb-2025"/>
        <s v="Sept-2023"/>
        <s v="Aug-2025"/>
        <s v="Sept-2024"/>
        <s v="Nov-2023"/>
        <s v="Feb-2024"/>
        <s v="Oct-2023"/>
      </sharedItems>
    </cacheField>
    <cacheField name="Cohort Month" numFmtId="2">
      <sharedItems count="22">
        <s v="Mar-2024"/>
        <s v="Apr-2024"/>
        <s v="May-2024"/>
        <s v="Jun-2024"/>
        <s v="Jul-2024"/>
        <s v="Aug-2024"/>
        <s v="Sept-2024"/>
        <s v="Oct-2024"/>
        <s v="Nov-2024"/>
        <s v="Dec-2024"/>
        <s v="Jan-2025"/>
        <s v="Feb-2025"/>
        <s v="Mar-2025"/>
        <s v="Apr-2025"/>
        <s v="May-2025"/>
        <s v="Jun-2025"/>
        <s v="Jul-2025"/>
        <s v="Aug-2025"/>
        <s v="Sept-2025"/>
        <s v="Oct-2025"/>
        <s v="Nov-2025"/>
        <s v="Dec-2025"/>
      </sharedItems>
    </cacheField>
    <cacheField name="First Sale Date" numFmtId="15">
      <sharedItems containsSemiMixedTypes="0" containsNonDate="0" containsDate="1" containsString="0" minDate="2024-03-11T00:00:00" maxDate="2025-12-03T00:00:00"/>
    </cacheField>
    <cacheField name="Quarter" numFmtId="2">
      <sharedItems/>
    </cacheField>
    <cacheField name="Region" numFmtId="0">
      <sharedItems/>
    </cacheField>
    <cacheField name="Country" numFmtId="0">
      <sharedItems count="12">
        <s v="Kenya"/>
        <s v="Nigeria"/>
        <s v="Japan"/>
        <s v="Canada"/>
        <s v="India"/>
        <s v="Brazil"/>
        <s v="Germany"/>
        <s v="France"/>
        <s v="United Kingdom"/>
        <s v="China"/>
        <s v="USA"/>
        <s v="South Africa"/>
      </sharedItems>
    </cacheField>
    <cacheField name="City" numFmtId="0">
      <sharedItems/>
    </cacheField>
    <cacheField name="ProductCategory" numFmtId="0">
      <sharedItems/>
    </cacheField>
    <cacheField name="Price Band" numFmtId="2">
      <sharedItems/>
    </cacheField>
    <cacheField name="UnitPrice" numFmtId="2">
      <sharedItems containsSemiMixedTypes="0" containsString="0" containsNumber="1" minValue="-33.659999999999997" maxValue="3661.07"/>
    </cacheField>
    <cacheField name="UnitPrice2" numFmtId="2">
      <sharedItems containsSemiMixedTypes="0" containsString="0" containsNumber="1" minValue="-33.659999999999997" maxValue="3661.07"/>
    </cacheField>
    <cacheField name="DiscountPct" numFmtId="2">
      <sharedItems containsSemiMixedTypes="0" containsString="0" containsNumber="1" minValue="0" maxValue="0.56499999999999995"/>
    </cacheField>
    <cacheField name="Quantity" numFmtId="2">
      <sharedItems containsSemiMixedTypes="0" containsString="0" containsNumber="1" containsInteger="1" minValue="2" maxValue="61"/>
    </cacheField>
    <cacheField name="Gross Revenue" numFmtId="2">
      <sharedItems containsSemiMixedTypes="0" containsString="0" containsNumber="1" minValue="-417.04740000000004" maxValue="130292.46945000002"/>
    </cacheField>
  </cacheFields>
  <extLst>
    <ext xmlns:x14="http://schemas.microsoft.com/office/spreadsheetml/2009/9/main" uri="{725AE2AE-9491-48be-B2B4-4EB974FC3084}">
      <x14:pivotCacheDefinition pivotCacheId="106122558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87.29114976852" createdVersion="7" refreshedVersion="7" minRefreshableVersion="3" recordCount="633" xr:uid="{FFA908F9-D925-46E9-8E4E-DA49D1A8546C}">
  <cacheSource type="worksheet">
    <worksheetSource ref="A1:W1048576" sheet="ABC Data"/>
  </cacheSource>
  <cacheFields count="23">
    <cacheField name="OrderID" numFmtId="0">
      <sharedItems containsBlank="1"/>
    </cacheField>
    <cacheField name="OrderDate" numFmtId="0">
      <sharedItems containsNonDate="0" containsDate="1" containsString="0" containsBlank="1" minDate="2023-01-02T00:00:00" maxDate="2025-09-16T00:00:00"/>
    </cacheField>
    <cacheField name="RequiredDate" numFmtId="0">
      <sharedItems containsNonDate="0" containsDate="1" containsString="0" containsBlank="1" minDate="2023-01-05T00:00:00" maxDate="2025-10-06T00:00:00"/>
    </cacheField>
    <cacheField name="Leadtime days" numFmtId="0">
      <sharedItems containsString="0" containsBlank="1" containsNumber="1" containsInteger="1" minValue="0" maxValue="30"/>
    </cacheField>
    <cacheField name="Month" numFmtId="0">
      <sharedItems containsBlank="1"/>
    </cacheField>
    <cacheField name="Quarter" numFmtId="0">
      <sharedItems containsBlank="1"/>
    </cacheField>
    <cacheField name="Region" numFmtId="0">
      <sharedItems containsBlank="1"/>
    </cacheField>
    <cacheField name="Country" numFmtId="0">
      <sharedItems containsBlank="1"/>
    </cacheField>
    <cacheField name="City" numFmtId="0">
      <sharedItems containsBlank="1"/>
    </cacheField>
    <cacheField name="CustomerSegment" numFmtId="0">
      <sharedItems containsBlank="1"/>
    </cacheField>
    <cacheField name="Channel" numFmtId="0">
      <sharedItems containsBlank="1"/>
    </cacheField>
    <cacheField name="Salesperson" numFmtId="0">
      <sharedItems containsBlank="1"/>
    </cacheField>
    <cacheField name="ProductCategory" numFmtId="0">
      <sharedItems containsBlank="1" count="8">
        <s v="Components"/>
        <s v="Printers"/>
        <s v="Networking"/>
        <s v="Phones"/>
        <s v="Laptops"/>
        <s v="Monitors"/>
        <s v="Accessories"/>
        <m/>
      </sharedItems>
    </cacheField>
    <cacheField name="SKU" numFmtId="0">
      <sharedItems containsBlank="1" count="631">
        <s v="CMP-8270"/>
        <s v="PRN-9322"/>
        <s v="NET-9666"/>
        <s v="PHN-4556"/>
        <s v="PRN-8041"/>
        <s v="LAP-8555"/>
        <s v="MON-8629"/>
        <s v="PRN-6276"/>
        <s v="MON-6892"/>
        <s v="CMP-3731"/>
        <s v="ACC-7938"/>
        <s v="PHN-7019"/>
        <s v="CMP-3693"/>
        <s v="PRN-8392"/>
        <s v="ACC-1663"/>
        <s v="LAP-1698"/>
        <s v="PRN-6791"/>
        <s v="PHN-1197"/>
        <s v="ACC-8098"/>
        <s v="LAP-3385"/>
        <s v="LAP-9815"/>
        <s v="NET-3255"/>
        <s v="ACC-3961"/>
        <s v="LAP-4987"/>
        <s v="CMP-2693"/>
        <s v="ACC-8683"/>
        <s v="PRN-4170"/>
        <s v="PHN-6854"/>
        <s v="PHN-1784"/>
        <s v="NET-9716"/>
        <s v="CMP-6919"/>
        <s v="PHN-4854"/>
        <s v="NET-7966"/>
        <s v="LAP-9932"/>
        <s v="CMP-1559"/>
        <s v="PRN-4506"/>
        <s v="CMP-7617"/>
        <s v="CMP-8390"/>
        <s v="PRN-7303"/>
        <s v="PRN-6536"/>
        <s v="MON-9967"/>
        <s v="NET-1412"/>
        <s v="PRN-3143"/>
        <s v="PRN-9787"/>
        <s v="CMP-5946"/>
        <s v="NET-2062"/>
        <s v="PRN-2542"/>
        <s v="NET-2365"/>
        <s v="NET-5268"/>
        <s v="PRN-1504"/>
        <s v="ACC-6348"/>
        <s v="MON-4330"/>
        <s v="LAP-7819"/>
        <s v="LAP-3779"/>
        <s v="NET-9989"/>
        <s v="MON-4925"/>
        <s v="LAP-6989"/>
        <s v="ACC-5780"/>
        <s v="ACC-1770"/>
        <s v="ACC-2252"/>
        <s v="CMP-8002"/>
        <s v="CMP-6971"/>
        <s v="PHN-8350"/>
        <s v="MON-5188"/>
        <s v="LAP-3393"/>
        <s v="PHN-4644"/>
        <s v="ACC-9150"/>
        <s v="MON-6870"/>
        <s v="MON-2296"/>
        <s v="CMP-7371"/>
        <s v="ACC-2761"/>
        <s v="LAP-4517"/>
        <s v="LAP-8489"/>
        <s v="NET-1846"/>
        <s v="CMP-5208"/>
        <s v="CMP-1009"/>
        <s v="ACC-4490"/>
        <s v="ACC-9162"/>
        <s v="CMP-5820"/>
        <s v="MON-7943"/>
        <s v="NET-5018"/>
        <s v="PRN-9669"/>
        <s v="CMP-2865"/>
        <s v="MON-3371"/>
        <s v="NET-7166"/>
        <s v="CMP-4531"/>
        <s v="CMP-8196"/>
        <s v="CMP-2854"/>
        <s v="MON-8973"/>
        <s v="MON-2990"/>
        <s v="NET-1966"/>
        <s v="PHN-3482"/>
        <s v="PRN-6490"/>
        <s v="ACC-9038"/>
        <s v="PHN-6954"/>
        <s v="PRN-8970"/>
        <s v="MON-1822"/>
        <s v="ACC-5177"/>
        <s v="NET-1804"/>
        <s v="LAP-3679"/>
        <s v="PHN-8368"/>
        <s v="CMP-8141"/>
        <s v="LAP-7136"/>
        <s v="ACC-2386"/>
        <s v="LAP-5150"/>
        <s v="CMP-8101"/>
        <s v="PHN-8970"/>
        <s v="PHN-2341"/>
        <s v="NET-6387"/>
        <s v="ACC-9820"/>
        <s v="CMP-6392"/>
        <s v="LAP-9230"/>
        <s v="NET-4241"/>
        <s v="ACC-4511"/>
        <s v="NET-3033"/>
        <s v="MON-2828"/>
        <s v="PRN-6429"/>
        <s v="LAP-8214"/>
        <s v="MON-9194"/>
        <s v="LAP-2218"/>
        <s v="NET-6370"/>
        <s v="MON-3745"/>
        <s v="PHN-7924"/>
        <s v="NET-8561"/>
        <s v="CMP-2136"/>
        <s v="CMP-6352"/>
        <s v="CMP-2040"/>
        <s v="CMP-6346"/>
        <s v="PHN-4356"/>
        <s v="NET-4155"/>
        <s v="MON-5179"/>
        <s v="ACC-4056"/>
        <s v="LAP-9782"/>
        <s v="PHN-2875"/>
        <s v="PRN-4788"/>
        <s v="MON-3043"/>
        <s v="CMP-3720"/>
        <s v="PHN-8014"/>
        <s v="PRN-4911"/>
        <s v="ACC-1021"/>
        <s v="MON-2266"/>
        <s v="PHN-8057"/>
        <s v="ACC-7078"/>
        <s v="PRN-4453"/>
        <s v="NET-2394"/>
        <s v="LAP-1525"/>
        <s v="LAP-3278"/>
        <s v="ACC-6543"/>
        <s v="PRN-4432"/>
        <s v="PHN-4568"/>
        <s v="PRN-6178"/>
        <s v="LAP-6342"/>
        <s v="PRN-8175"/>
        <s v="PRN-7089"/>
        <s v="ACC-4124"/>
        <s v="NET-7924"/>
        <s v="NET-8761"/>
        <s v="CMP-3875"/>
        <s v="ACC-3989"/>
        <s v="PHN-9234"/>
        <s v="MON-9906"/>
        <s v="CMP-4610"/>
        <s v="PHN-5445"/>
        <s v="MON-9227"/>
        <s v="PRN-4097"/>
        <s v="MON-6699"/>
        <s v="LAP-1482"/>
        <s v="MON-2100"/>
        <s v="MON-7602"/>
        <s v="CMP-1072"/>
        <s v="ACC-2735"/>
        <s v="CMP-5211"/>
        <s v="CMP-1632"/>
        <s v="LAP-7099"/>
        <s v="PRN-3785"/>
        <s v="MON-6962"/>
        <s v="PRN-5107"/>
        <s v="CMP-9264"/>
        <s v="MON-5259"/>
        <s v="PRN-8137"/>
        <s v="ACC-6777"/>
        <s v="PHN-7488"/>
        <s v="ACC-9591"/>
        <s v="MON-5517"/>
        <s v="MON-8758"/>
        <s v="ACC-3385"/>
        <s v="MON-1593"/>
        <s v="ACC-4631"/>
        <s v="MON-7869"/>
        <s v="MON-4271"/>
        <s v="LAP-5531"/>
        <s v="MON-7511"/>
        <s v="LAP-7979"/>
        <s v="PRN-4983"/>
        <s v="NET-5941"/>
        <s v="MON-6341"/>
        <s v="PHN-9789"/>
        <s v="PHN-5082"/>
        <s v="NET-3460"/>
        <s v="PRN-7019"/>
        <s v="PHN-3159"/>
        <s v="PRN-8604"/>
        <s v="PHN-2013"/>
        <s v="NET-6036"/>
        <s v="MON-4959"/>
        <s v="MON-1663"/>
        <s v="CMP-7256"/>
        <s v="ACC-1659"/>
        <s v="PRN-6068"/>
        <s v="ACC-8999"/>
        <s v="CMP-3978"/>
        <s v="MON-7868"/>
        <s v="PRN-3014"/>
        <s v="PHN-1671"/>
        <s v="ACC-5260"/>
        <s v="NET-7588"/>
        <s v="MON-1572"/>
        <s v="MON-2537"/>
        <s v="PRN-5666"/>
        <s v="PRN-2749"/>
        <s v="CMP-4970"/>
        <s v="ACC-3551"/>
        <s v="CMP-7063"/>
        <s v="NET-1612"/>
        <s v="LAP-9766"/>
        <s v="PHN-7274"/>
        <s v="NET-1645"/>
        <s v="ACC-5079"/>
        <s v="PRN-2098"/>
        <s v="PRN-7049"/>
        <s v="CMP-6925"/>
        <s v="PHN-2787"/>
        <s v="PRN-1141"/>
        <s v="MON-5249"/>
        <s v="CMP-8230"/>
        <s v="PRN-7816"/>
        <s v="PHN-8804"/>
        <s v="CMP-8851"/>
        <s v="PHN-2447"/>
        <s v="LAP-2846"/>
        <s v="PRN-5005"/>
        <s v="PHN-3800"/>
        <s v="LAP-4828"/>
        <s v="PRN-5492"/>
        <s v="PHN-7132"/>
        <s v="PHN-4741"/>
        <s v="LAP-2774"/>
        <s v="MON-2842"/>
        <s v="NET-2628"/>
        <s v="MON-2998"/>
        <s v="CMP-7563"/>
        <s v="LAP-6160"/>
        <s v="MON-4361"/>
        <s v="PRN-2829"/>
        <s v="MON-8939"/>
        <s v="LAP-5009"/>
        <s v="CMP-4807"/>
        <s v="NET-2439"/>
        <s v="MON-7626"/>
        <s v="ACC-3567"/>
        <s v="CMP-4630"/>
        <s v="ACC-1882"/>
        <s v="NET-9125"/>
        <s v="PHN-3819"/>
        <s v="LAP-3490"/>
        <s v="PRN-1276"/>
        <s v="MON-9733"/>
        <s v="CMP-9392"/>
        <s v="PHN-3014"/>
        <s v="PRN-6776"/>
        <s v="ACC-3951"/>
        <s v="MON-1436"/>
        <s v="MON-8651"/>
        <s v="MON-3307"/>
        <s v="PRN-8758"/>
        <s v="LAP-7056"/>
        <s v="NET-5523"/>
        <s v="ACC-8094"/>
        <s v="PHN-6832"/>
        <s v="LAP-2378"/>
        <s v="MON-5424"/>
        <s v="NET-8430"/>
        <s v="PHN-1234"/>
        <s v="LAP-9016"/>
        <s v="LAP-9931"/>
        <s v="PHN-6818"/>
        <s v="PHN-3803"/>
        <s v="NET-9835"/>
        <s v="ACC-6223"/>
        <s v="CMP-8659"/>
        <s v="ACC-4483"/>
        <s v="PRN-8763"/>
        <s v="ACC-8557"/>
        <s v="ACC-1492"/>
        <s v="CMP-3743"/>
        <s v="LAP-1619"/>
        <s v="PRN-7976"/>
        <s v="MON-4326"/>
        <s v="MON-5444"/>
        <s v="ACC-5422"/>
        <s v="CMP-9307"/>
        <s v="PRN-6520"/>
        <s v="NET-1699"/>
        <s v="PHN-5316"/>
        <s v="LAP-4607"/>
        <s v="MON-5276"/>
        <s v="ACC-9533"/>
        <s v="NET-3749"/>
        <s v="PRN-2991"/>
        <s v="LAP-4551"/>
        <s v="MON-6310"/>
        <s v="NET-1166"/>
        <s v="ACC-2903"/>
        <s v="PRN-2293"/>
        <s v="MON-1389"/>
        <s v="CMP-4093"/>
        <s v="PHN-6131"/>
        <s v="NET-4104"/>
        <s v="MON-9319"/>
        <s v="ACC-2988"/>
        <s v="PHN-9399"/>
        <s v="NET-4554"/>
        <s v="NET-5195"/>
        <s v="CMP-9801"/>
        <s v="CMP-3093"/>
        <s v="ACC-2364"/>
        <s v="CMP-5138"/>
        <s v="PHN-2337"/>
        <s v="MON-2993"/>
        <s v="LAP-9024"/>
        <s v="PHN-6307"/>
        <s v="NET-9003"/>
        <s v="ACC-3068"/>
        <s v="ACC-1060"/>
        <s v="PHN-3854"/>
        <s v="PRN-1086"/>
        <s v="PHN-7815"/>
        <s v="PRN-5384"/>
        <s v="ACC-8178"/>
        <s v="MON-1018"/>
        <s v="ACC-1238"/>
        <s v="NET-1816"/>
        <s v="PRN-4893"/>
        <s v="PHN-1717"/>
        <s v="NET-9575"/>
        <s v="LAP-3604"/>
        <s v="ACC-6626"/>
        <s v="PHN-1670"/>
        <s v="CMP-4792"/>
        <s v="LAP-1990"/>
        <s v="PRN-7410"/>
        <s v="MON-4278"/>
        <s v="ACC-5334"/>
        <s v="NET-8957"/>
        <s v="PRN-9960"/>
        <s v="ACC-3103"/>
        <s v="PRN-9490"/>
        <s v="NET-3850"/>
        <s v="ACC-7047"/>
        <s v="PRN-6660"/>
        <s v="ACC-7838"/>
        <s v="PHN-5383"/>
        <s v="LAP-3904"/>
        <s v="MON-5749"/>
        <s v="PRN-3690"/>
        <s v="CMP-7055"/>
        <s v="PHN-6866"/>
        <s v="CMP-3259"/>
        <s v="LAP-6750"/>
        <s v="PRN-3775"/>
        <s v="LAP-2942"/>
        <s v="PHN-2036"/>
        <s v="MON-4373"/>
        <s v="PRN-8657"/>
        <s v="PHN-7974"/>
        <s v="PHN-4915"/>
        <s v="NET-3535"/>
        <s v="CMP-2574"/>
        <s v="NET-7901"/>
        <s v="NET-5482"/>
        <s v="NET-1336"/>
        <s v="PRN-5876"/>
        <s v="NET-3828"/>
        <s v="MON-7622"/>
        <s v="LAP-2806"/>
        <s v="PRN-8850"/>
        <s v="LAP-9100"/>
        <s v="LAP-5763"/>
        <s v="LAP-7320"/>
        <s v="MON-5891"/>
        <s v="PRN-1183"/>
        <s v="CMP-2096"/>
        <s v="PHN-3398"/>
        <s v="CMP-8545"/>
        <s v="ACC-1249"/>
        <s v="MON-9662"/>
        <s v="LAP-8347"/>
        <s v="CMP-6898"/>
        <s v="MON-3504"/>
        <s v="NET-3432"/>
        <s v="PRN-5591"/>
        <s v="CMP-2015"/>
        <s v="LAP-9901"/>
        <s v="CMP-8658"/>
        <s v="MON-2073"/>
        <s v="PRN-9378"/>
        <s v="PHN-5887"/>
        <s v="LAP-8119"/>
        <s v="ACC-9644"/>
        <s v="LAP-7009"/>
        <s v="PRN-1725"/>
        <s v="PHN-8483"/>
        <s v="PHN-3971"/>
        <s v="NET-6578"/>
        <s v="PRN-9975"/>
        <s v="ACC-1075"/>
        <s v="ACC-2902"/>
        <s v="PRN-5815"/>
        <s v="MON-4195"/>
        <s v="PHN-8478"/>
        <s v="PHN-1044"/>
        <s v="LAP-8910"/>
        <s v="PHN-2859"/>
        <s v="PRN-6308"/>
        <s v="LAP-8469"/>
        <s v="LAP-7553"/>
        <s v="PHN-3077"/>
        <s v="MON-3350"/>
        <s v="PHN-5683"/>
        <s v="PRN-2409"/>
        <s v="LAP-8825"/>
        <s v="MON-8697"/>
        <s v="MON-4789"/>
        <s v="NET-7998"/>
        <s v="PHN-8891"/>
        <s v="NET-9832"/>
        <s v="CMP-8604"/>
        <s v="ACC-6594"/>
        <s v="NET-2499"/>
        <s v="PRN-1923"/>
        <s v="PHN-4346"/>
        <s v="ACC-1375"/>
        <s v="PRN-4892"/>
        <s v="PRN-9557"/>
        <s v="PRN-8008"/>
        <s v="LAP-1946"/>
        <s v="MON-7106"/>
        <s v="MON-5386"/>
        <s v="PHN-2436"/>
        <s v="PRN-2301"/>
        <s v="ACC-3645"/>
        <s v="CMP-6811"/>
        <s v="PHN-5675"/>
        <s v="MON-6882"/>
        <s v="ACC-8620"/>
        <s v="PHN-6506"/>
        <s v="MON-5086"/>
        <s v="LAP-4899"/>
        <s v="CMP-3313"/>
        <s v="CMP-6649"/>
        <s v="ACC-5206"/>
        <s v="PRN-6911"/>
        <s v="NET-5270"/>
        <s v="CMP-5658"/>
        <s v="CMP-3938"/>
        <s v="ACC-7671"/>
        <s v="NET-6014"/>
        <s v="CMP-4159"/>
        <s v="PRN-3159"/>
        <s v="PRN-9488"/>
        <s v="PRN-7079"/>
        <s v="CMP-1220"/>
        <s v="MON-2462"/>
        <s v="PHN-9465"/>
        <s v="PRN-1271"/>
        <s v="LAP-1066"/>
        <s v="CMP-8675"/>
        <s v="LAP-1178"/>
        <s v="ACC-1731"/>
        <s v="NET-1893"/>
        <s v="PRN-3917"/>
        <s v="LAP-3220"/>
        <s v="PHN-2462"/>
        <s v="NET-2894"/>
        <s v="CMP-2335"/>
        <s v="PHN-5938"/>
        <s v="PRN-1371"/>
        <s v="PRN-5813"/>
        <s v="PHN-6480"/>
        <s v="ACC-2990"/>
        <s v="CMP-5435"/>
        <s v="ACC-1596"/>
        <s v="PHN-7852"/>
        <s v="ACC-7240"/>
        <s v="MON-8867"/>
        <s v="NET-1228"/>
        <s v="NET-1145"/>
        <s v="ACC-2867"/>
        <s v="MON-9274"/>
        <s v="MON-4830"/>
        <s v="PHN-9107"/>
        <s v="PRN-1060"/>
        <s v="NET-8329"/>
        <s v="NET-6269"/>
        <s v="CMP-6529"/>
        <s v="PHN-8776"/>
        <s v="NET-3728"/>
        <s v="LAP-3565"/>
        <s v="LAP-5078"/>
        <s v="MON-2465"/>
        <s v="CMP-3223"/>
        <s v="CMP-8127"/>
        <s v="PHN-1924"/>
        <s v="CMP-1156"/>
        <s v="LAP-3905"/>
        <s v="PRN-1786"/>
        <s v="ACC-3349"/>
        <s v="NET-4228"/>
        <s v="CMP-5633"/>
        <s v="CMP-5825"/>
        <s v="LAP-6499"/>
        <s v="ACC-3721"/>
        <s v="MON-6190"/>
        <s v="CMP-2410"/>
        <s v="PRN-2641"/>
        <s v="PRN-1882"/>
        <s v="PRN-1641"/>
        <s v="LAP-1739"/>
        <s v="PRN-4732"/>
        <s v="NET-9569"/>
        <s v="PHN-3007"/>
        <s v="MON-9216"/>
        <s v="PHN-8072"/>
        <s v="LAP-1308"/>
        <s v="LAP-7353"/>
        <s v="NET-6533"/>
        <s v="ACC-9445"/>
        <s v="PRN-1654"/>
        <s v="NET-8787"/>
        <s v="LAP-1989"/>
        <s v="MON-8688"/>
        <s v="ACC-8242"/>
        <s v="LAP-4666"/>
        <s v="NET-5196"/>
        <s v="MON-8422"/>
        <s v="ACC-3415"/>
        <s v="PRN-9624"/>
        <s v="MON-6287"/>
        <s v="NET-4491"/>
        <s v="MON-4317"/>
        <s v="NET-7349"/>
        <s v="ACC-5150"/>
        <s v="ACC-5144"/>
        <s v="PHN-6111"/>
        <s v="ACC-9283"/>
        <s v="PRN-2407"/>
        <s v="MON-7099"/>
        <s v="ACC-7354"/>
        <s v="PRN-6585"/>
        <s v="CMP-9498"/>
        <s v="PHN-1919"/>
        <s v="MON-6053"/>
        <s v="NET-2502"/>
        <s v="LAP-5689"/>
        <s v="CMP-5911"/>
        <s v="LAP-7523"/>
        <s v="MON-1118"/>
        <s v="NET-9177"/>
        <s v="CMP-6495"/>
        <s v="ACC-4587"/>
        <s v="PHN-4395"/>
        <s v="LAP-3581"/>
        <s v="MON-6065"/>
        <s v="CMP-4945"/>
        <s v="NET-3785"/>
        <s v="NET-3689"/>
        <s v="ACC-3833"/>
        <s v="NET-2932"/>
        <s v="PHN-7636"/>
        <s v="CMP-1223"/>
        <s v="MON-7207"/>
        <s v="LAP-4483"/>
        <s v="LAP-1969"/>
        <s v="PHN-4566"/>
        <s v="PHN-5366"/>
        <s v="CMP-9001"/>
        <s v="PHN-9677"/>
        <s v="ACC-1604"/>
        <s v="ACC-4815"/>
        <s v="CMP-5311"/>
        <s v="NET-1282"/>
        <s v="MON-1564"/>
        <s v="ACC-7906"/>
        <s v="LAP-6577"/>
        <s v="CMP-5065"/>
        <s v="PRN-4787"/>
        <s v="PRN-9867"/>
        <s v="MON-2849"/>
        <s v="LAP-8633"/>
        <s v="PRN-9793"/>
        <s v="NET-6218"/>
        <s v="PRN-6131"/>
        <s v="PRN-5067"/>
        <s v="LAP-4932"/>
        <s v="ACC-7713"/>
        <s v="PHN-7379"/>
        <s v="PRN-5569"/>
        <s v="CMP-1470"/>
        <s v="PRN-9249"/>
        <s v="PRN-4906"/>
        <s v="MON-8129"/>
        <s v="NET-5987"/>
        <s v="NET-5423"/>
        <s v="PRN-5264"/>
        <s v="NET-8856"/>
        <s v="MON-4215"/>
        <s v="PRN-5753"/>
        <s v="CMP-5006"/>
        <s v="ACC-4766"/>
        <s v="NET-8610"/>
        <s v="NET-4675"/>
        <s v="ACC-1028"/>
        <s v="NET-4735"/>
        <s v="NET-2460"/>
        <s v="CMP-1555"/>
        <s v="MON-3773"/>
        <s v="PHN-4677"/>
        <s v="CMP-1940"/>
        <s v="PHN-9184"/>
        <s v="LAP-3017"/>
        <m/>
      </sharedItems>
    </cacheField>
    <cacheField name="UnitCost" numFmtId="0">
      <sharedItems containsString="0" containsBlank="1" containsNumber="1" minValue="5.34" maxValue="1495.79"/>
    </cacheField>
    <cacheField name="Price Band" numFmtId="0">
      <sharedItems containsBlank="1"/>
    </cacheField>
    <cacheField name="UnitPrice" numFmtId="0">
      <sharedItems containsString="0" containsBlank="1" containsNumber="1" minValue="-33.659999999999997" maxValue="3661.07"/>
    </cacheField>
    <cacheField name="DiscountPct" numFmtId="0">
      <sharedItems containsString="0" containsBlank="1" containsNumber="1" minValue="0" maxValue="0.56499999999999995"/>
    </cacheField>
    <cacheField name="Quantity" numFmtId="0">
      <sharedItems containsString="0" containsBlank="1" containsNumber="1" containsInteger="1" minValue="2" maxValue="61"/>
    </cacheField>
    <cacheField name="Gross Revenue" numFmtId="0">
      <sharedItems containsString="0" containsBlank="1" containsNumber="1" minValue="-417.04740000000004" maxValue="130292.46945000002" count="608">
        <n v="1403.9546399999999"/>
        <n v="17934.41419"/>
        <n v="4534.0944"/>
        <n v="34016.730880000003"/>
        <n v="8510.0765999999985"/>
        <n v="12558.49"/>
        <n v="8983.864239999999"/>
        <n v="19177.399799999999"/>
        <n v="17656.36218"/>
        <n v="5259.5799699999998"/>
        <n v="21204.733619999999"/>
        <n v="26031.15"/>
        <n v="12644.498400000002"/>
        <n v="6816.3"/>
        <n v="18971.64"/>
        <n v="14666.089860000002"/>
        <n v="79945.865999999995"/>
        <n v="14842.34096"/>
        <n v="15979.62168"/>
        <n v="25535.279900000001"/>
        <n v="3565.5894400000002"/>
        <n v="24160.543999999998"/>
        <n v="16065.367999999999"/>
        <n v="14187.650399999999"/>
        <n v="31336.100999999999"/>
        <n v="353.76639999999998"/>
        <n v="3857.2000000000003"/>
        <n v="1243.5675000000001"/>
        <n v="377.09999999999997"/>
        <n v="11781.338519999999"/>
        <n v="43367.691729999999"/>
        <n v="10231.623200000002"/>
        <n v="-19.309279999999998"/>
        <n v="14370.599999999999"/>
        <n v="17207.010000000002"/>
        <n v="86276.904139999999"/>
        <n v="25427.751119999997"/>
        <n v="13219.269119999999"/>
        <n v="8106.7057499999992"/>
        <n v="8980.9071300000014"/>
        <n v="32087.834099999996"/>
        <n v="7368.0599999999995"/>
        <n v="5778.7360400000007"/>
        <n v="17662.129100000002"/>
        <n v="22844.122400000004"/>
        <n v="14447.799239999997"/>
        <n v="18926.830000000002"/>
        <n v="16939.329999999998"/>
        <n v="26300.615040000001"/>
        <n v="21312.892040000002"/>
        <n v="17808.182399999998"/>
        <n v="11819.917200000002"/>
        <n v="10554.3"/>
        <n v="21238.118460000002"/>
        <n v="14195.647199999998"/>
        <n v="48735.421419999999"/>
        <n v="4119.0446000000002"/>
        <n v="304.14567999999997"/>
        <n v="93667.868000000002"/>
        <n v="4086.5861999999997"/>
        <n v="29568.826800000003"/>
        <n v="7255.4580000000005"/>
        <n v="9767.2960000000003"/>
        <n v="3175.2421499999996"/>
        <n v="44693.64"/>
        <n v="9671.5257600000004"/>
        <n v="18232.188319999997"/>
        <n v="11273.616900000001"/>
        <n v="15600.46968"/>
        <n v="11803.702499999998"/>
        <n v="240.65172000000001"/>
        <n v="19527.59952"/>
        <n v="5807.6003499999997"/>
        <n v="34328.070179999995"/>
        <n v="10198.97235"/>
        <n v="2073.2045600000001"/>
        <n v="21984.960139999999"/>
        <n v="3822.3670400000005"/>
        <n v="44117.408199999998"/>
        <n v="3404.8806"/>
        <n v="336.15374000000003"/>
        <n v="27333.836640000001"/>
        <n v="2281.3896"/>
        <n v="4198.3762500000003"/>
        <n v="11939.7824"/>
        <n v="18364.589100000001"/>
        <n v="36.970199999999998"/>
        <n v="532.26600000000008"/>
        <n v="2666.1129000000001"/>
        <n v="25677.677439999999"/>
        <n v="346.46290000000005"/>
        <n v="74251.58"/>
        <n v="4491.2166399999996"/>
        <n v="1834.19273"/>
        <n v="9873.8135999999995"/>
        <n v="47694.762360000001"/>
        <n v="8605.3480799999998"/>
        <n v="25810.2"/>
        <n v="3615.67416"/>
        <n v="8854.276319999999"/>
        <n v="31422.63"/>
        <n v="854.99479999999994"/>
        <n v="2527.7000000000003"/>
        <n v="24706.764000000003"/>
        <n v="4270.2181499999997"/>
        <n v="4055.5317599999998"/>
        <n v="22483.549139999999"/>
        <n v="5654.22948"/>
        <n v="5727.1"/>
        <n v="3583.4075399999997"/>
        <n v="44038.080000000002"/>
        <n v="6606.0347600000005"/>
        <n v="14734.198080000002"/>
        <n v="822.7659000000001"/>
        <n v="13513.439999999999"/>
        <n v="6576.6803200000004"/>
        <n v="23548.41258"/>
        <n v="27535.846560000005"/>
        <n v="9278.4804000000004"/>
        <n v="4225.1932799999995"/>
        <n v="14696.792309999999"/>
        <n v="7972.7022900000002"/>
        <n v="7009.2643199999993"/>
        <n v="18192.506879999997"/>
        <n v="4141.6975199999997"/>
        <n v="16093.478800000001"/>
        <n v="29785.344300000001"/>
        <n v="40507.245110000003"/>
        <n v="9877.5109800000009"/>
        <n v="8440.7349599999998"/>
        <n v="10997.906320000002"/>
        <n v="15583.45932"/>
        <n v="24737.606400000001"/>
        <n v="16599.638879999999"/>
        <n v="10987.39408"/>
        <n v="14342.18838"/>
        <n v="7989.2834400000002"/>
        <n v="3326.2424999999998"/>
        <n v="28967.387020000002"/>
        <n v="35027.455319999994"/>
        <n v="15179.749199999998"/>
        <n v="16474.322700000001"/>
        <n v="27251.100119999996"/>
        <n v="3655.9817999999996"/>
        <n v="31331.119680000003"/>
        <n v="42353.882679999995"/>
        <n v="49.780199999999994"/>
        <n v="31944.079999999998"/>
        <n v="5066.2710000000006"/>
        <n v="57712.049999999996"/>
        <n v="26608.919040000001"/>
        <n v="517.24709999999993"/>
        <n v="2454.4137600000004"/>
        <n v="5684.1523200000001"/>
        <n v="48.307200000000009"/>
        <n v="37272.187330000001"/>
        <n v="9391.848"/>
        <n v="20216.283749999999"/>
        <n v="7100.6851799999995"/>
        <n v="10180.661399999999"/>
        <n v="43022.083500000001"/>
        <n v="6475.2592000000004"/>
        <n v="13797.385980000001"/>
        <n v="50207.703000000001"/>
        <n v="10272.6736"/>
        <n v="40303.373"/>
        <n v="32735.194359999998"/>
        <n v="5308.1555399999997"/>
        <n v="1766.9036999999998"/>
        <n v="8403.5321999999996"/>
        <n v="18676.97536"/>
        <n v="3691.4982"/>
        <n v="13964.213699999998"/>
        <n v="36583.530899999998"/>
        <n v="6897.4036800000003"/>
        <n v="17694.882399999999"/>
        <n v="7960.4402400000008"/>
        <n v="16533.592659999998"/>
        <n v="31908.427200000002"/>
        <n v="26302.966559999997"/>
        <n v="593.52160000000003"/>
        <n v="48027.621600000006"/>
        <n v="7256.5421999999999"/>
        <n v="12999.63889"/>
        <n v="46101.981310000003"/>
        <n v="1541.5919999999999"/>
        <n v="6319.9846800000005"/>
        <n v="51608.553749999999"/>
        <n v="9587.7280800000008"/>
        <n v="2200.4637200000002"/>
        <n v="18590.205150000002"/>
        <n v="3143.4576000000002"/>
        <n v="13882.919040000001"/>
        <n v="5219.7772800000002"/>
        <n v="14139.90576"/>
        <n v="3645.6088500000001"/>
        <n v="6879.2846"/>
        <n v="39076.783199999991"/>
        <n v="6200.5636000000013"/>
        <n v="53428.293749999997"/>
        <n v="45796.021740000004"/>
        <n v="11002.004999999999"/>
        <n v="37877.06"/>
        <n v="28497.86303"/>
        <n v="554.97959999999989"/>
        <n v="9957.7894899999992"/>
        <n v="11596.169260000001"/>
        <n v="4496.5237200000001"/>
        <n v="13931.376689999999"/>
        <n v="12379.392"/>
        <n v="13476.28032"/>
        <n v="37144.063799999996"/>
        <n v="4571.46"/>
        <n v="2326.6799999999998"/>
        <n v="6137.98416"/>
        <n v="64128.8586"/>
        <n v="11133.23372"/>
        <n v="789.46368000000007"/>
        <n v="12014.83764"/>
        <n v="4570.6767199999995"/>
        <n v="22977.108"/>
        <n v="158.16520000000003"/>
        <n v="9151.630000000001"/>
        <n v="37663.304640000002"/>
        <n v="14458.4895"/>
        <n v="7783.1984999999995"/>
        <n v="9209.201430000001"/>
        <n v="6770.0719200000003"/>
        <n v="8652.4469199999985"/>
        <n v="13522.938400000001"/>
        <n v="34932.681600000004"/>
        <n v="4648.9350599999998"/>
        <n v="6081.4780000000001"/>
        <n v="7155.3105599999999"/>
        <n v="18572.525799999999"/>
        <n v="31218.691400000003"/>
        <n v="21901.880639999999"/>
        <n v="5002.3123200000009"/>
        <n v="15275.5965"/>
        <n v="13631.647199999999"/>
        <n v="18307.712480000002"/>
        <n v="17830.4548"/>
        <n v="9431.7695999999996"/>
        <n v="5532.6686399999999"/>
        <n v="4411.308"/>
        <n v="10322.677609999999"/>
        <n v="6352.3798799999995"/>
        <n v="26996.417099999999"/>
        <n v="2237.6023999999998"/>
        <n v="11792.958000000001"/>
        <n v="26961.185719999998"/>
        <n v="17084.938320000001"/>
        <n v="50537.130000000005"/>
        <n v="29033.704000000002"/>
        <n v="18599.828130000002"/>
        <n v="39508.723799999992"/>
        <n v="828.33146999999997"/>
        <n v="3533.4890799999994"/>
        <n v="9725.3304000000007"/>
        <n v="10026.7744"/>
        <n v="69.481920000000002"/>
        <n v="17916.436439999998"/>
        <n v="12481.436800000001"/>
        <n v="5632.3692599999995"/>
        <n v="24932.711619999998"/>
        <n v="1617.8811600000001"/>
        <n v="32644.137120000007"/>
        <n v="3736.3119999999999"/>
        <n v="15054.199999999999"/>
        <n v="27872.062200000004"/>
        <n v="10046.682500000001"/>
        <n v="6753.7724800000005"/>
        <n v="101.73576"/>
        <n v="9651.4527999999991"/>
        <n v="25903.83495"/>
        <n v="7059.0227999999997"/>
        <n v="73316.94"/>
        <n v="6655.0732799999996"/>
        <n v="8039.3543999999993"/>
        <n v="919.40919999999994"/>
        <n v="15941.402639999998"/>
        <n v="2643.1280400000001"/>
        <n v="1349.6999999999998"/>
        <n v="8208.8608800000002"/>
        <n v="31932.989400000002"/>
        <n v="314.11380000000003"/>
        <n v="9999.9964400000008"/>
        <n v="11640.572819999999"/>
        <n v="12473.159039999999"/>
        <n v="7796.3839200000002"/>
        <n v="7371.4888800000008"/>
        <n v="10911.020999999999"/>
        <n v="2525.1498999999999"/>
        <n v="16636.221300000001"/>
        <n v="20054.987999999998"/>
        <n v="2693.96092"/>
        <n v="28786.197329999999"/>
        <n v="409.91860000000008"/>
        <n v="39520.356119999997"/>
        <n v="20500.48"/>
        <n v="11111.531359999999"/>
        <n v="10311.923699999999"/>
        <n v="18252.954719999998"/>
        <n v="26053.196400000001"/>
        <n v="2496.5855999999999"/>
        <n v="6818.0403199999992"/>
        <n v="52560.144000000008"/>
        <n v="7609.4092799999999"/>
        <n v="26941.13884"/>
        <n v="35096.967360000002"/>
        <n v="13444.761599999998"/>
        <n v="20144.693599999999"/>
        <n v="6043.0032000000001"/>
        <n v="35911.89"/>
        <n v="11089.255379999999"/>
        <n v="835.19799999999998"/>
        <n v="34451.80992"/>
        <n v="27971.861250000002"/>
        <n v="3129.2583399999999"/>
        <n v="125232.05063999999"/>
        <n v="18944.864399999999"/>
        <n v="2540.7624000000005"/>
        <n v="24902.262840000003"/>
        <n v="24630.101600000002"/>
        <n v="4829.1857899999995"/>
        <n v="11533.077720000001"/>
        <n v="5572.5710399999998"/>
        <n v="5667.829200000001"/>
        <n v="841.56720000000018"/>
        <n v="11668.448000000002"/>
        <n v="27369.282600000002"/>
        <n v="21779.835220000001"/>
        <n v="2377.9312"/>
        <n v="6720.9426000000003"/>
        <n v="7038.4882499999994"/>
        <n v="2362.5509599999996"/>
        <n v="36586.946879999996"/>
        <n v="32691.708900000005"/>
        <n v="5274.4607999999998"/>
        <n v="23750.665119999998"/>
        <n v="31570.873200000005"/>
        <n v="36385.454160000001"/>
        <n v="33921.800000000003"/>
        <n v="1430.8961399999998"/>
        <n v="9511.1577400000006"/>
        <n v="7516.3549999999996"/>
        <n v="60620.497860000003"/>
        <n v="3760.95"/>
        <n v="47563.605759999999"/>
        <n v="6418.5448799999995"/>
        <n v="19625.658360000001"/>
        <n v="24437.027399999999"/>
        <n v="18891.856940000001"/>
        <n v="31286.9964"/>
        <n v="4722.4031999999997"/>
        <n v="19532.683799999999"/>
        <n v="26190"/>
        <n v="28646.702999999998"/>
        <n v="4499.1500000000005"/>
        <n v="9412.9557600000007"/>
        <n v="12696.811199999998"/>
        <n v="19391.5501"/>
        <n v="45086.595219999996"/>
        <n v="278.85311999999999"/>
        <n v="24421.848359999996"/>
        <n v="10065.26988"/>
        <n v="13814.925440000001"/>
        <n v="13539.891150000001"/>
        <n v="12985.618199999999"/>
        <n v="11923.994400000001"/>
        <n v="17698.503240000002"/>
        <n v="15891.92"/>
        <n v="59066.056200000006"/>
        <n v="26958.519419999997"/>
        <n v="11597.65056"/>
        <n v="35635.084480000005"/>
        <n v="23483.321620000002"/>
        <n v="11379.122369999999"/>
        <n v="5599.5724400000008"/>
        <n v="35734.358879999992"/>
        <n v="36365.557499999995"/>
        <n v="16015.544160000001"/>
        <n v="13660.278240000001"/>
        <n v="73589.497799999997"/>
        <n v="14867.190359999997"/>
        <n v="20697.168600000001"/>
        <n v="18697.996800000001"/>
        <n v="30720.11922"/>
        <n v="44766.472129999995"/>
        <n v="27736.667200000004"/>
        <n v="9830.4127899999985"/>
        <n v="3562.7712500000002"/>
        <n v="3551.7390999999998"/>
        <n v="5499.1688399999994"/>
        <n v="11663.26656"/>
        <n v="29072.046299999998"/>
        <n v="51745.059600000001"/>
        <n v="19144.697220000002"/>
        <n v="14660.399949999999"/>
        <n v="18353.975399999999"/>
        <n v="26377.532999999999"/>
        <n v="24777.808799999999"/>
        <n v="5658.8054400000001"/>
        <n v="9079.5053000000007"/>
        <n v="11831.2565"/>
        <n v="18113.986799999999"/>
        <n v="3596.8387000000007"/>
        <n v="15273.329759999999"/>
        <n v="1687.7889600000003"/>
        <n v="10899.599999999999"/>
        <n v="1725.8445600000002"/>
        <n v="10290.80514"/>
        <n v="2175.1027199999999"/>
        <n v="3118.7353400000002"/>
        <n v="22569.275520000003"/>
        <n v="3875.12664"/>
        <n v="41052.309600000001"/>
        <n v="1948.1462000000001"/>
        <n v="4846.6447200000002"/>
        <n v="5749.1559000000007"/>
        <n v="11198.649599999999"/>
        <n v="1853.32482"/>
        <n v="78253.279020000002"/>
        <n v="20866.559999999998"/>
        <n v="38737.627919999999"/>
        <n v="13903.854800000001"/>
        <n v="33475.68"/>
        <n v="8801.0369999999984"/>
        <n v="53340.22"/>
        <n v="41071.932000000001"/>
        <n v="4820.6746499999999"/>
        <n v="15909.390000000001"/>
        <n v="3926.6623999999993"/>
        <n v="24647.104860000003"/>
        <n v="2113.89984"/>
        <n v="1884.6"/>
        <n v="18664.94586"/>
        <n v="989.39469999999983"/>
        <n v="12060.128640000001"/>
        <n v="15339.646139999999"/>
        <n v="5497.3325000000004"/>
        <n v="48582.215760000006"/>
        <n v="20287.469400000002"/>
        <n v="30688.61664"/>
        <n v="19189.38"/>
        <n v="7167.5668799999994"/>
        <n v="10249.7088"/>
        <n v="28077.267750000003"/>
        <n v="27698.182399999998"/>
        <n v="15173.8104"/>
        <n v="1295.1351000000002"/>
        <n v="3365.5755999999997"/>
        <n v="28380.689880000002"/>
        <n v="11761.58805"/>
        <n v="40381.984049999999"/>
        <n v="674.07536000000005"/>
        <n v="116648.7"/>
        <n v="5102.9222399999999"/>
        <n v="35310.318749999999"/>
        <n v="3774.29"/>
        <n v="4845.6680399999996"/>
        <n v="30761.5425"/>
        <n v="733.01119999999992"/>
        <n v="31644.291119999994"/>
        <n v="919.74484000000007"/>
        <n v="21031.899600000001"/>
        <n v="3442.9930199999999"/>
        <n v="82.523070000000004"/>
        <n v="7525.518"/>
        <n v="12231.93996"/>
        <n v="34019.286120000004"/>
        <n v="19353.546419999999"/>
        <n v="12733.240800000001"/>
        <n v="8549.7651600000008"/>
        <n v="13790.9763"/>
        <n v="18794.101480000001"/>
        <n v="7596.9201000000003"/>
        <n v="22462.4519"/>
        <n v="20043.767520000001"/>
        <n v="31378.531800000001"/>
        <n v="24019.121280000003"/>
        <n v="130292.46945000002"/>
        <n v="5660.0544"/>
        <n v="19379.89097"/>
        <n v="9504.8996900000002"/>
        <n v="6964.3963200000007"/>
        <n v="15273.462600000001"/>
        <n v="14894.108099999999"/>
        <n v="70514.200349999999"/>
        <n v="3415.8503999999998"/>
        <n v="4877.1499999999996"/>
        <n v="1414.3000000000002"/>
        <n v="16395.611540000002"/>
        <n v="2603.4792000000002"/>
        <n v="27375.07992"/>
        <n v="19254.791990000002"/>
        <n v="10084.108319999999"/>
        <n v="30683.801159999999"/>
        <n v="14622.761519999998"/>
        <n v="8401.8940200000015"/>
        <n v="2493.1506600000002"/>
        <n v="11877.497099999999"/>
        <n v="10393.181259999999"/>
        <n v="15022.784449999999"/>
        <n v="8953.9748999999993"/>
        <n v="4692.9673199999997"/>
        <n v="1435.9968000000001"/>
        <n v="7506.8196000000007"/>
        <n v="25448.667200000004"/>
        <n v="6953.9874000000009"/>
        <n v="7271.8528400000005"/>
        <n v="28098.68448"/>
        <n v="40152.022679999995"/>
        <n v="11222.701599999999"/>
        <n v="4033.7"/>
        <n v="30771.51"/>
        <n v="50294.07125999999"/>
        <n v="5994.1017599999996"/>
        <n v="6873.6311000000005"/>
        <n v="4884.4215899999999"/>
        <n v="5187.1068000000005"/>
        <n v="50740.254000000001"/>
        <n v="28777.83"/>
        <n v="15014.232"/>
        <n v="7912.9211999999989"/>
        <n v="2146.5795000000003"/>
        <n v="36886.575600000004"/>
        <n v="7653.6"/>
        <n v="53128.40832000001"/>
        <n v="29496.199999999997"/>
        <n v="22342.575059999999"/>
        <n v="8687.4149000000016"/>
        <n v="11813.082300000002"/>
        <n v="15494.3128"/>
        <n v="9059.1936000000005"/>
        <n v="5128.6608000000006"/>
        <n v="21944.3966"/>
        <n v="31548.788040000003"/>
        <n v="10428.334800000001"/>
        <n v="35256.783040000002"/>
        <n v="14063.653600000001"/>
        <n v="14806.33"/>
        <n v="25485.499680000001"/>
        <n v="16141.518779999999"/>
        <n v="3592.1088"/>
        <n v="6286.3488000000007"/>
        <n v="216.49362000000002"/>
        <n v="4778.8646400000007"/>
        <n v="22927.340840000001"/>
        <n v="1119.492"/>
        <n v="10814.319"/>
        <n v="3015.5971999999997"/>
        <n v="10310.463239999999"/>
        <n v="6907.0267199999998"/>
        <n v="5326.0402800000002"/>
        <n v="23507.575000000001"/>
        <n v="1551.6000000000001"/>
        <n v="58944.550499999998"/>
        <n v="7902.0638099999996"/>
        <n v="8897.572979999999"/>
        <n v="2719.64"/>
        <n v="22209.693749999999"/>
        <n v="54978.38955"/>
        <n v="11393.722979999999"/>
        <n v="8408.8302000000003"/>
        <n v="3248.9555599999999"/>
        <n v="26490.27576"/>
        <n v="29597.640160000003"/>
        <n v="9548.8744999999999"/>
        <n v="21446.400000000001"/>
        <n v="19793.834999999999"/>
        <n v="3326.373"/>
        <n v="24114.036959999998"/>
        <n v="6980.1763200000005"/>
        <n v="28925.557119999998"/>
        <n v="5580.6830999999993"/>
        <n v="7960.848"/>
        <n v="109937.11616000001"/>
        <n v="5827.9980499999992"/>
        <n v="8728.9427399999986"/>
        <n v="20722.29348"/>
        <n v="10661.9733"/>
        <n v="4879.8919799999994"/>
        <n v="2183.9422500000001"/>
        <n v="4918.1873199999991"/>
        <n v="32132.177279999996"/>
        <n v="3085.38"/>
        <n v="46878.839200000002"/>
        <n v="62557.004249999998"/>
        <n v="10384.433280000001"/>
        <n v="13537.050000000001"/>
        <n v="-417.04740000000004"/>
        <n v="24128.64272"/>
        <n v="4083.4300000000003"/>
        <n v="4921.3008"/>
        <n v="3448.4956200000001"/>
        <n v="7459.2886500000004"/>
        <n v="3702.9880000000003"/>
        <n v="7467.4049999999997"/>
        <n v="57148.305"/>
        <n v="18416.456609999997"/>
        <n v="3208.8335999999999"/>
        <n v="2667.2333200000003"/>
        <n v="34640.985000000001"/>
        <n v="10511.386199999999"/>
        <n v="486.56036000000006"/>
        <n v="0"/>
        <m/>
      </sharedItems>
    </cacheField>
    <cacheField name="Cost of Goods" numFmtId="0">
      <sharedItems containsString="0" containsBlank="1" containsNumber="1" minValue="22" maxValue="83258.290000000008"/>
    </cacheField>
    <cacheField name="Gross Profit" numFmtId="0">
      <sharedItems containsString="0" containsBlank="1" containsNumber="1" minValue="-78255.977680000011" maxValue="127914.81945000002"/>
    </cacheField>
    <cacheField name="Margin Percentage" numFmtId="0">
      <sharedItems containsString="0" containsBlank="1" containsNumber="1" minValue="-368.61661013464897" maxValue="304.25315081660227"/>
    </cacheField>
  </cacheFields>
  <extLst>
    <ext xmlns:x14="http://schemas.microsoft.com/office/spreadsheetml/2009/9/main" uri="{725AE2AE-9491-48be-B2B4-4EB974FC3084}">
      <x14:pivotCacheDefinition pivotCacheId="73780087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87.308344791665" createdVersion="7" refreshedVersion="7" minRefreshableVersion="3" recordCount="632" xr:uid="{6814084E-2E13-4240-AC8F-52455897BE4F}">
  <cacheSource type="worksheet">
    <worksheetSource ref="A1:R633" sheet="Salesperson Productivity"/>
  </cacheSource>
  <cacheFields count="18">
    <cacheField name="OrderID" numFmtId="0">
      <sharedItems count="631">
        <s v="ORD-2024-275203"/>
        <s v="ORD-2024-358795"/>
        <s v="ORD-2023-373538"/>
        <s v="ORD-2025-168148"/>
        <s v="ORD-2023-824839"/>
        <s v="ORD-2023-723587"/>
        <s v="ORD-2024-336584"/>
        <s v="ORD-2023-112666"/>
        <s v="ORD-2024-589570"/>
        <s v="ORD-2025-997421"/>
        <s v="ORD-2024-210687"/>
        <s v="ORD-2025-515515"/>
        <s v="ORD-2025-487261"/>
        <s v="ORD-2024-890180"/>
        <s v="ORD-2025-840976"/>
        <s v="ORD-2023-937291"/>
        <s v="ORD-2024-206081"/>
        <s v="ORD-2025-233883"/>
        <s v="ORD-2025-843974"/>
        <s v="ORD-2025-745263"/>
        <s v="ORD-2024-798002"/>
        <s v="ORD-2023-867836"/>
        <s v="ORD-2025-580047"/>
        <s v="ORD-2024-500109"/>
        <s v="ORD-2023-271836"/>
        <s v="ORD-2024-215294"/>
        <s v="ORD-2024-788105"/>
        <s v="ORD-2024-855073"/>
        <s v="ORD-2023-897079"/>
        <s v="ORD-2025-548982"/>
        <s v="ORD-2024-170313"/>
        <s v="ORD-2023-562894"/>
        <s v="ORD-2025-474710"/>
        <s v="ORD-2024-629525"/>
        <s v="ORD-2024-167215"/>
        <s v="ORD-2023-864121"/>
        <s v="ORD-2024-692673"/>
        <s v="ORD-2025-718992"/>
        <s v="ORD-2024-599522"/>
        <s v="ORD-2023-651638"/>
        <s v="ORD-2024-635626"/>
        <s v="ORD-2024-296582"/>
        <s v="ORD-2024-998320"/>
        <s v="ORD-2025-820255"/>
        <s v="ORD-2024-389336"/>
        <s v="ORD-2023-308124"/>
        <s v="ORD-2023-128295"/>
        <s v="ORD-2024-548345"/>
        <s v="ORD-2024-966651"/>
        <s v="ORD-2023-292714"/>
        <s v="ORD-2024-468501"/>
        <s v="ORD-2024-260775"/>
        <s v="ORD-2023-419187"/>
        <s v="ORD-2025-578007"/>
        <s v="ORD-2023-235230"/>
        <s v="ORD-2025-765220"/>
        <s v="ORD-2025-931538"/>
        <s v="ORD-2024-289089"/>
        <s v="ORD-2025-639542"/>
        <s v="ORD-2025-762301"/>
        <s v="ORD-2024-906395"/>
        <s v="ORD-2025-779574"/>
        <s v="ORD-2025-526650"/>
        <s v="ORD-2024-247979"/>
        <s v="ORD-2023-480975"/>
        <s v="ORD-2023-239789"/>
        <s v="ORD-2023-548874"/>
        <s v="ORD-2024-347736"/>
        <s v="ORD-2023-749324"/>
        <s v="ORD-2023-809913"/>
        <s v="ORD-2024-287210"/>
        <s v="ORD-2025-640677"/>
        <s v="ORD-2024-939873"/>
        <s v="ORD-2024-800947"/>
        <s v="ORD-2023-382272"/>
        <s v="ORD-2023-722117"/>
        <s v="ORD-2024-446699"/>
        <s v="ORD-2024-451005"/>
        <s v="ORD-2023-290279"/>
        <s v="ORD-2024-192263"/>
        <s v="ORD-2023-159379"/>
        <s v="ORD-2023-343322"/>
        <s v="ORD-2025-114382"/>
        <s v="ORD-2025-488349"/>
        <s v="ORD-2025-330203"/>
        <s v="ORD-2023-841426"/>
        <s v="ORD-2024-594592"/>
        <s v="ORD-2025-863978"/>
        <s v="ORD-2024-604471"/>
        <s v="ORD-2023-258768"/>
        <s v="ORD-2025-626047"/>
        <s v="ORD-2025-526752"/>
        <s v="ORD-2023-374486"/>
        <s v="ORD-2024-997336"/>
        <s v="ORD-2025-725646"/>
        <s v="ORD-2023-868734"/>
        <s v="ORD-2025-262491"/>
        <s v="ORD-2024-638884"/>
        <s v="ORD-2025-541501"/>
        <s v="ORD-2023-422918"/>
        <s v="ORD-2025-328504"/>
        <s v="ORD-2024-851883"/>
        <s v="ORD-2025-662997"/>
        <s v="ORD-2024-478165"/>
        <s v="ORD-2024-771210"/>
        <s v="ORD-2024-155337"/>
        <s v="ORD-2023-251563"/>
        <s v="ORD-2024-286833"/>
        <s v="ORD-2024-792558"/>
        <s v="ORD-2024-166150"/>
        <s v="ORD-2024-909942"/>
        <s v="ORD-2024-223618"/>
        <s v="ORD-2024-919471"/>
        <s v="ORD-2025-649239"/>
        <s v="ORD-2023-975863"/>
        <s v="ORD-2023-869884"/>
        <s v="ORD-2025-698069"/>
        <s v="ORD-2024-474999"/>
        <s v="ORD-2023-427304"/>
        <s v="ORD-2025-956101"/>
        <s v="ORD-2025-184082"/>
        <s v="ORD-2023-576840"/>
        <s v="ORD-2023-178249"/>
        <s v="ORD-2024-588972"/>
        <s v="ORD-2023-603238"/>
        <s v="ORD-2023-883066"/>
        <s v="ORD-2024-584090"/>
        <s v="ORD-2025-537785"/>
        <s v="ORD-2024-605518"/>
        <s v="ORD-2023-521818"/>
        <s v="ORD-2025-650719"/>
        <s v="ORD-2025-501927"/>
        <s v="ORD-2023-430904"/>
        <s v="ORD-2025-354346"/>
        <s v="ORD-2024-164288"/>
        <s v="ORD-2023-867285"/>
        <s v="ORD-2024-836421"/>
        <s v="ORD-2023-613287"/>
        <s v="ORD-2024-783321"/>
        <s v="ORD-2024-232632"/>
        <s v="ORD-2023-906481"/>
        <s v="ORD-2024-902741"/>
        <s v="ORD-2023-912395"/>
        <s v="ORD-2024-389102"/>
        <s v="ORD-2023-309373"/>
        <s v="ORD-2023-825495"/>
        <s v="ORD-2025-244832"/>
        <s v="ORD-2024-211453"/>
        <s v="ORD-2023-192324"/>
        <s v="ORD-2024-438404"/>
        <s v="ORD-2025-246470"/>
        <s v="ORD-2023-497686"/>
        <s v="ORD-2023-596758"/>
        <s v="ORD-2024-201376"/>
        <s v="ORD-2023-842488"/>
        <s v="ORD-2024-136321"/>
        <s v="ORD-2024-764468"/>
        <s v="ORD-2024-553449"/>
        <s v="ORD-2025-766923"/>
        <s v="ORD-2025-418232"/>
        <s v="ORD-2023-848013"/>
        <s v="ORD-2024-357368"/>
        <s v="ORD-2024-219735"/>
        <s v="ORD-2023-240507"/>
        <s v="ORD-2024-134084"/>
        <s v="ORD-2023-884625"/>
        <s v="ORD-2023-157993"/>
        <s v="ORD-2024-329104"/>
        <s v="ORD-2023-304451"/>
        <s v="ORD-2024-942981"/>
        <s v="ORD-2024-605629"/>
        <s v="ORD-2023-450877"/>
        <s v="ORD-2023-286994"/>
        <s v="ORD-2025-700847"/>
        <s v="ORD-2024-970848"/>
        <s v="ORD-2025-845715"/>
        <s v="ORD-2023-664749"/>
        <s v="ORD-2024-960952"/>
        <s v="ORD-2023-987700"/>
        <s v="ORD-2025-652467"/>
        <s v="ORD-2025-667201"/>
        <s v="ORD-2024-237478"/>
        <s v="ORD-2025-898843"/>
        <s v="ORD-2023-334213"/>
        <s v="ORD-2024-640340"/>
        <s v="ORD-2023-399631"/>
        <s v="ORD-2025-542939"/>
        <s v="ORD-2023-825836"/>
        <s v="ORD-2024-503082"/>
        <s v="ORD-2024-760799"/>
        <s v="ORD-2023-197661"/>
        <s v="ORD-2024-212990"/>
        <s v="ORD-2023-925146"/>
        <s v="ORD-2023-177794"/>
        <s v="ORD-2024-444710"/>
        <s v="ORD-2024-668926"/>
        <s v="ORD-2024-968374"/>
        <s v="ORD-2023-575584"/>
        <s v="ORD-2023-701153"/>
        <s v="ORD-2023-382017"/>
        <s v="ORD-2024-999607"/>
        <s v="ORD-2023-133848"/>
        <s v="ORD-2023-586275"/>
        <s v="ORD-2025-964661"/>
        <s v="ORD-2023-390998"/>
        <s v="ORD-2023-920483"/>
        <s v="ORD-2025-146850"/>
        <s v="ORD-2024-687100"/>
        <s v="ORD-2025-629393"/>
        <s v="ORD-2024-686712"/>
        <s v="ORD-2025-586799"/>
        <s v="ORD-2024-988736"/>
        <s v="ORD-2025-564184"/>
        <s v="ORD-2023-653343"/>
        <s v="ORD-2024-197852"/>
        <s v="ORD-2023-431328"/>
        <s v="ORD-2023-613317"/>
        <s v="ORD-2024-720756"/>
        <s v="ORD-2024-777623"/>
        <s v="ORD-2025-762212"/>
        <s v="ORD-2023-271918"/>
        <s v="ORD-2023-713375"/>
        <s v="ORD-2025-678688"/>
        <s v="ORD-2023-501220"/>
        <s v="ORD-2023-195665"/>
        <s v="ORD-2023-290237"/>
        <s v="ORD-2023-302041"/>
        <s v="ORD-2025-289139"/>
        <s v="ORD-2023-949710"/>
        <s v="ORD-2023-603650"/>
        <s v="ORD-2025-757957"/>
        <s v="ORD-2024-423853"/>
        <s v="ORD-2024-569164"/>
        <s v="ORD-2023-946143"/>
        <s v="ORD-2024-281211"/>
        <s v="ORD-2024-805860"/>
        <s v="ORD-2025-132174"/>
        <s v="ORD-2023-964434"/>
        <s v="ORD-2024-897622"/>
        <s v="ORD-2023-517216"/>
        <s v="ORD-2025-509940"/>
        <s v="ORD-2025-646342"/>
        <s v="ORD-2024-866535"/>
        <s v="ORD-2023-747341"/>
        <s v="ORD-2024-853298"/>
        <s v="ORD-2024-544865"/>
        <s v="ORD-2025-946490"/>
        <s v="ORD-2024-320972"/>
        <s v="ORD-2025-248586"/>
        <s v="ORD-2024-664046"/>
        <s v="ORD-2023-276806"/>
        <s v="ORD-2024-220234"/>
        <s v="ORD-2024-301260"/>
        <s v="ORD-2024-350100"/>
        <s v="ORD-2024-855600"/>
        <s v="ORD-2023-474313"/>
        <s v="ORD-2023-256951"/>
        <s v="ORD-2025-184754"/>
        <s v="ORD-2023-888140"/>
        <s v="ORD-2023-638181"/>
        <s v="ORD-2023-521280"/>
        <s v="ORD-2023-630430"/>
        <s v="ORD-2025-908258"/>
        <s v="ORD-2025-440093"/>
        <s v="ORD-2025-898022"/>
        <s v="ORD-2024-500511"/>
        <s v="ORD-2023-632893"/>
        <s v="ORD-2023-967239"/>
        <s v="ORD-2024-885858"/>
        <s v="ORD-2023-253245"/>
        <s v="ORD-2025-484073"/>
        <s v="ORD-2024-745822"/>
        <s v="ORD-2023-369160"/>
        <s v="ORD-2024-834983"/>
        <s v="ORD-2024-499009"/>
        <s v="ORD-2024-948800"/>
        <s v="ORD-2025-678328"/>
        <s v="ORD-2024-580808"/>
        <s v="ORD-2023-211715"/>
        <s v="ORD-2023-715175"/>
        <s v="ORD-2025-685236"/>
        <s v="ORD-2023-274037"/>
        <s v="ORD-2025-983096"/>
        <s v="ORD-2024-366010"/>
        <s v="ORD-2023-610470"/>
        <s v="ORD-2025-541048"/>
        <s v="ORD-2024-862371"/>
        <s v="ORD-2024-277241"/>
        <s v="ORD-2023-369150"/>
        <s v="ORD-2025-922513"/>
        <s v="ORD-2025-752845"/>
        <s v="ORD-2023-667815"/>
        <s v="ORD-2023-375011"/>
        <s v="ORD-2025-487025"/>
        <s v="ORD-2025-398335"/>
        <s v="ORD-2024-792137"/>
        <s v="ORD-2023-602648"/>
        <s v="ORD-2024-207096"/>
        <s v="ORD-2025-939953"/>
        <s v="ORD-2025-191328"/>
        <s v="ORD-2023-166668"/>
        <s v="ORD-2023-594700"/>
        <s v="ORD-2025-278048"/>
        <s v="ORD-2024-878493"/>
        <s v="ORD-2025-138578"/>
        <s v="ORD-2025-944081"/>
        <s v="ORD-2025-364852"/>
        <s v="ORD-2025-415018"/>
        <s v="ORD-2023-884192"/>
        <s v="ORD-2024-165942"/>
        <s v="ORD-2024-403664"/>
        <s v="ORD-2023-890605"/>
        <s v="ORD-2024-925626"/>
        <s v="ORD-2024-427031"/>
        <s v="ORD-2025-231184"/>
        <s v="ORD-2023-363031"/>
        <s v="ORD-2023-619570"/>
        <s v="ORD-2025-861401"/>
        <s v="ORD-2023-835010"/>
        <s v="ORD-2024-819979"/>
        <s v="ORD-2024-719055"/>
        <s v="ORD-2023-888245"/>
        <s v="ORD-2024-206121"/>
        <s v="ORD-2024-500890"/>
        <s v="ORD-2023-144816"/>
        <s v="ORD-2024-153053"/>
        <s v="ORD-2023-536542"/>
        <s v="ORD-2025-779530"/>
        <s v="ORD-2023-163610"/>
        <s v="ORD-2025-653781"/>
        <s v="ORD-2025-737787"/>
        <s v="ORD-2023-944052"/>
        <s v="ORD-2023-181257"/>
        <s v="ORD-2025-323492"/>
        <s v="ORD-2024-332076"/>
        <s v="ORD-2024-571797"/>
        <s v="ORD-2024-129345"/>
        <s v="ORD-2023-660608"/>
        <s v="ORD-2023-825084"/>
        <s v="ORD-2023-261081"/>
        <s v="ORD-2023-766015"/>
        <s v="ORD-2024-333192"/>
        <s v="ORD-2024-647473"/>
        <s v="ORD-2024-892908"/>
        <s v="ORD-2023-573146"/>
        <s v="ORD-2024-901115"/>
        <s v="ORD-2023-898009"/>
        <s v="ORD-2023-208944"/>
        <s v="ORD-2025-480172"/>
        <s v="ORD-2023-735274"/>
        <s v="ORD-2023-212701"/>
        <s v="ORD-2023-479747"/>
        <s v="ORD-2024-915495"/>
        <s v="ORD-2024-225829"/>
        <s v="ORD-2024-921935"/>
        <s v="ORD-2025-949776"/>
        <s v="ORD-2024-510591"/>
        <s v="ORD-2024-961756"/>
        <s v="ORD-2024-892173"/>
        <s v="ORD-2024-704056"/>
        <s v="ORD-2025-591006"/>
        <s v="ORD-2023-159821"/>
        <s v="ORD-2024-343877"/>
        <s v="ORD-2023-386663"/>
        <s v="ORD-2025-125517"/>
        <s v="ORD-2024-819778"/>
        <s v="ORD-2025-624006"/>
        <s v="ORD-2023-132101"/>
        <s v="ORD-2025-306903"/>
        <s v="ORD-2023-813340"/>
        <s v="ORD-2023-855675"/>
        <s v="ORD-2023-545150"/>
        <s v="ORD-2025-269934"/>
        <s v="ORD-2024-690270"/>
        <s v="ORD-2024-868223"/>
        <s v="ORD-2025-188059"/>
        <s v="ORD-2023-281890"/>
        <s v="ORD-2025-636162"/>
        <s v="ORD-2025-915869"/>
        <s v="ORD-2025-192876"/>
        <s v="ORD-2025-822030"/>
        <s v="ORD-2025-789245"/>
        <s v="ORD-2023-594955"/>
        <s v="ORD-2024-398783"/>
        <s v="ORD-2023-676553"/>
        <s v="ORD-2025-866565"/>
        <s v="ORD-2024-527858"/>
        <s v="ORD-2023-619385"/>
        <s v="ORD-2023-835226"/>
        <s v="ORD-2025-485946"/>
        <s v="ORD-2024-307849"/>
        <s v="ORD-2023-368449"/>
        <s v="ORD-2024-251426"/>
        <s v="ORD-2023-927385"/>
        <s v="ORD-2025-486350"/>
        <s v="ORD-2025-677880"/>
        <s v="ORD-2024-102866"/>
        <s v="ORD-2025-588029"/>
        <s v="ORD-2024-972999"/>
        <s v="ORD-2025-608069"/>
        <s v="ORD-2024-626750"/>
        <s v="ORD-2024-170021"/>
        <s v="ORD-2024-678110"/>
        <s v="ORD-2025-909340"/>
        <s v="ORD-2023-854471"/>
        <s v="ORD-2024-390951"/>
        <s v="ORD-2025-881624"/>
        <s v="ORD-2025-512310"/>
        <s v="ORD-2023-674887"/>
        <s v="ORD-2024-542244"/>
        <s v="ORD-2024-375848"/>
        <s v="ORD-2023-933238"/>
        <s v="ORD-2023-732585"/>
        <s v="ORD-2024-465898"/>
        <s v="ORD-2023-987081"/>
        <s v="ORD-2024-655710"/>
        <s v="ORD-2025-411385"/>
        <s v="ORD-2025-222035"/>
        <s v="ORD-2024-749242"/>
        <s v="ORD-2023-623293"/>
        <s v="ORD-2025-276968"/>
        <s v="ORD-2025-650841"/>
        <s v="ORD-2025-831576"/>
        <s v="ORD-2024-468655"/>
        <s v="ORD-2024-515105"/>
        <s v="ORD-2025-803803"/>
        <s v="ORD-2024-993481"/>
        <s v="ORD-2024-811752"/>
        <s v="ORD-2025-673091"/>
        <s v="ORD-2024-381197"/>
        <s v="ORD-2024-651852"/>
        <s v="ORD-2023-659070"/>
        <s v="ORD-2024-837651"/>
        <s v="ORD-2024-581530"/>
        <s v="ORD-2023-378104"/>
        <s v="ORD-2024-972318"/>
        <s v="ORD-2023-752962"/>
        <s v="ORD-2023-808024"/>
        <s v="ORD-2023-156396"/>
        <s v="ORD-2023-184577"/>
        <s v="ORD-2024-446030"/>
        <s v="ORD-2023-842820"/>
        <s v="ORD-2024-745424"/>
        <s v="ORD-2024-510520"/>
        <s v="ORD-2023-769774"/>
        <s v="ORD-2023-580751"/>
        <s v="ORD-2025-473192"/>
        <s v="ORD-2024-886939"/>
        <s v="ORD-2024-566589"/>
        <s v="ORD-2023-109927"/>
        <s v="ORD-2023-780206"/>
        <s v="ORD-2024-851993"/>
        <s v="ORD-2025-417942"/>
        <s v="ORD-2023-172095"/>
        <s v="ORD-2024-257550"/>
        <s v="ORD-2023-581799"/>
        <s v="ORD-2023-880296"/>
        <s v="ORD-2023-191563"/>
        <s v="ORD-2024-202166"/>
        <s v="ORD-2023-539967"/>
        <s v="ORD-2023-704111"/>
        <s v="ORD-2024-356812"/>
        <s v="ORD-2025-306251"/>
        <s v="ORD-2025-496178"/>
        <s v="ORD-2024-508213"/>
        <s v="ORD-2024-787018"/>
        <s v="ORD-2023-728177"/>
        <s v="ORD-2025-795385"/>
        <s v="ORD-2025-947929"/>
        <s v="ORD-2023-931633"/>
        <s v="ORD-2023-243704"/>
        <s v="ORD-2025-779659"/>
        <s v="ORD-2024-647571"/>
        <s v="ORD-2025-683043"/>
        <s v="ORD-2023-588455"/>
        <s v="ORD-2024-641220"/>
        <s v="ORD-2023-799597"/>
        <s v="ORD-2023-569862"/>
        <s v="ORD-2023-609394"/>
        <s v="ORD-2024-105586"/>
        <s v="ORD-2024-207792"/>
        <s v="ORD-2025-417336"/>
        <s v="ORD-2025-252117"/>
        <s v="ORD-2023-867175"/>
        <s v="ORD-2024-382152"/>
        <s v="ORD-2023-597666"/>
        <s v="ORD-2024-371409"/>
        <s v="ORD-2024-973420"/>
        <s v="ORD-2025-254721"/>
        <s v="ORD-2024-247032"/>
        <s v="ORD-2024-792353"/>
        <s v="ORD-2025-703623"/>
        <s v="ORD-2024-516704"/>
        <s v="ORD-2024-578646"/>
        <s v="ORD-2024-433936"/>
        <s v="ORD-2023-434071"/>
        <s v="ORD-2024-728474"/>
        <s v="ORD-2023-406606"/>
        <s v="ORD-2025-823055"/>
        <s v="ORD-2023-573656"/>
        <s v="ORD-2024-567435"/>
        <s v="ORD-2023-744942"/>
        <s v="ORD-2025-331237"/>
        <s v="ORD-2025-680118"/>
        <s v="ORD-2024-310809"/>
        <s v="ORD-2025-474368"/>
        <s v="ORD-2024-732543"/>
        <s v="ORD-2023-867166"/>
        <s v="ORD-2024-776337"/>
        <s v="ORD-2023-913592"/>
        <s v="ORD-2024-961501"/>
        <s v="ORD-2024-964950"/>
        <s v="ORD-2023-349264"/>
        <s v="ORD-2025-137394"/>
        <s v="ORD-2025-635337"/>
        <s v="ORD-2023-568013"/>
        <s v="ORD-2025-828263"/>
        <s v="ORD-2024-402240"/>
        <s v="ORD-2023-125739"/>
        <s v="ORD-2024-892879"/>
        <s v="ORD-2023-472050"/>
        <s v="ORD-2024-468615"/>
        <s v="ORD-2024-833375"/>
        <s v="ORD-2024-206311"/>
        <s v="ORD-2024-364080"/>
        <s v="ORD-2025-460466"/>
        <s v="ORD-2023-700699"/>
        <s v="ORD-2024-713332"/>
        <s v="ORD-2023-640022"/>
        <s v="ORD-2024-532184"/>
        <s v="ORD-2025-926547"/>
        <s v="ORD-2025-778145"/>
        <s v="ORD-2023-525643"/>
        <s v="ORD-2025-312803"/>
        <s v="ORD-2025-149156"/>
        <s v="ORD-2023-215819"/>
        <s v="ORD-2024-353078"/>
        <s v="ORD-2023-621393"/>
        <s v="ORD-2023-974506"/>
        <s v="ORD-2023-811823"/>
        <s v="ORD-2023-286720"/>
        <s v="ORD-2024-626925"/>
        <s v="ORD-2023-960380"/>
        <s v="ORD-2023-453699"/>
        <s v="ORD-2025-960931"/>
        <s v="ORD-2024-419248"/>
        <s v="ORD-2023-488227"/>
        <s v="ORD-2023-472078"/>
        <s v="ORD-2024-202877"/>
        <s v="ORD-2024-140633"/>
        <s v="ORD-2025-419532"/>
        <s v="ORD-2023-139236"/>
        <s v="ORD-2025-337268"/>
        <s v="ORD-2025-332931"/>
        <s v="ORD-2024-536442"/>
        <s v="ORD-2023-957692"/>
        <s v="ORD-2025-874124"/>
        <s v="ORD-2024-687073"/>
        <s v="ORD-2024-555229"/>
        <s v="ORD-2024-872291"/>
        <s v="ORD-2024-250862"/>
        <s v="ORD-2024-331226"/>
        <s v="ORD-2023-356427"/>
        <s v="ORD-2025-659650"/>
        <s v="ORD-2024-207669"/>
        <s v="ORD-2024-979401"/>
        <s v="ORD-2025-929414"/>
        <s v="ORD-2024-766980"/>
        <s v="ORD-2024-437164"/>
        <s v="ORD-2025-169093"/>
        <s v="ORD-2023-868460"/>
        <s v="ORD-2025-177994"/>
        <s v="ORD-2024-355095"/>
        <s v="ORD-2023-126505"/>
        <s v="ORD-2023-340056"/>
        <s v="ORD-2025-281413"/>
        <s v="ORD-2023-713614"/>
        <s v="ORD-2023-173313"/>
        <s v="ORD-2024-496601"/>
        <s v="ORD-2025-155182"/>
        <s v="ORD-2023-244375"/>
        <s v="ORD-2023-856322"/>
        <s v="ORD-2024-594527"/>
        <s v="ORD-2024-689872"/>
        <s v="ORD-2025-246692"/>
        <s v="ORD-2023-378676"/>
        <s v="ORD-2024-243988"/>
        <s v="ORD-2024-572312"/>
        <s v="ORD-2025-281062"/>
        <s v="ORD-2023-727290"/>
        <s v="ORD-2025-993993"/>
        <s v="ORD-2023-619493"/>
        <s v="ORD-2024-947056"/>
        <s v="ORD-2025-856556"/>
        <s v="ORD-2024-442776"/>
        <s v="ORD-2025-705398"/>
        <s v="ORD-2023-689428"/>
        <s v="ORD-2025-683247"/>
        <s v="ORD-2024-585443"/>
        <s v="ORD-2024-907733"/>
        <s v="ORD-2024-550400"/>
        <s v="ORD-2025-189846"/>
        <s v="ORD-2025-752192"/>
        <s v="ORD-2023-294716"/>
        <s v="ORD-2023-552115"/>
        <s v="ORD-2023-107265"/>
        <s v="ORD-2025-262434"/>
        <s v="ORD-2024-266562"/>
        <s v="ORD-2024-838925"/>
        <s v="ORD-2023-664790"/>
        <s v="ORD-2024-331408"/>
        <s v="ORD-2024-741404"/>
        <s v="ORD-2024-341535"/>
        <s v="ORD-2023-451931"/>
        <s v="ORD-2025-532859"/>
        <s v="ORD-2023-502205"/>
        <s v="ORD-2024-930679"/>
        <s v="ORD-2025-150713"/>
        <s v="ORD-2024-756884"/>
        <s v="ORD-2023-755337"/>
        <s v="ORD-2025-907040"/>
        <s v="ORD-2024-817997"/>
        <s v="ORD-2025-649633"/>
        <s v="ORD-2023-885216"/>
        <s v="ORD-2023-561823"/>
        <s v="ORD-2023-249805"/>
        <s v="ORD-2023-548934"/>
        <s v="ORD-2023-921939"/>
        <s v="ORD-2023-961864"/>
        <s v="ORD-2023-455933"/>
        <s v="ORD-2025-728935"/>
      </sharedItems>
    </cacheField>
    <cacheField name="OrderDate" numFmtId="165">
      <sharedItems containsSemiMixedTypes="0" containsNonDate="0" containsDate="1" containsString="0" minDate="2023-01-02T00:00:00" maxDate="2025-09-16T00:00:00"/>
    </cacheField>
    <cacheField name="RequiredDate" numFmtId="164">
      <sharedItems containsSemiMixedTypes="0" containsNonDate="0" containsDate="1" containsString="0" minDate="2023-01-05T00:00:00" maxDate="2025-10-06T00:00:00"/>
    </cacheField>
    <cacheField name="Leadtime days" numFmtId="2">
      <sharedItems containsSemiMixedTypes="0" containsString="0" containsNumber="1" containsInteger="1" minValue="0" maxValue="30"/>
    </cacheField>
    <cacheField name="Month" numFmtId="2">
      <sharedItems count="33">
        <s v="Mar-2024"/>
        <s v="Oct-2024"/>
        <s v="Feb-2023"/>
        <s v="Mar-2025"/>
        <s v="Dec-2023"/>
        <s v="Jan-2023"/>
        <s v="Dec-2024"/>
        <s v="May-2024"/>
        <s v="May-2025"/>
        <s v="Jan-2024"/>
        <s v="Jan-2025"/>
        <s v="Sept-2025"/>
        <s v="Apr-2023"/>
        <s v="Jul-2025"/>
        <s v="Jul-2024"/>
        <s v="May-2023"/>
        <s v="Jun-2025"/>
        <s v="Jun-2024"/>
        <s v="Nov-2024"/>
        <s v="Apr-2025"/>
        <s v="Apr-2024"/>
        <s v="Aug-2024"/>
        <s v="Mar-2023"/>
        <s v="Jun-2023"/>
        <s v="Jul-2023"/>
        <s v="Aug-2023"/>
        <s v="Feb-2025"/>
        <s v="Sept-2023"/>
        <s v="Aug-2025"/>
        <s v="Sept-2024"/>
        <s v="Nov-2023"/>
        <s v="Feb-2024"/>
        <s v="Oct-2023"/>
      </sharedItems>
    </cacheField>
    <cacheField name="CustomerSegment" numFmtId="0">
      <sharedItems/>
    </cacheField>
    <cacheField name="Channel" numFmtId="0">
      <sharedItems/>
    </cacheField>
    <cacheField name="Salesperson" numFmtId="0">
      <sharedItems count="16">
        <s v="C. Otieno"/>
        <s v="J. Njeri"/>
        <s v="I. Johnson"/>
        <s v="G. Dubois"/>
        <s v="L. Okafor"/>
        <s v="B. Chen"/>
        <s v="E. Garcia"/>
        <s v="O. Wang"/>
        <s v="A. Patel"/>
        <s v="F. Müller"/>
        <s v="H. Kim"/>
        <s v="K. Singh"/>
        <s v="M. Rossi"/>
        <s v="N. Brown"/>
        <s v="D. Smith"/>
        <s v="Not Provided"/>
      </sharedItems>
    </cacheField>
    <cacheField name="ProductCategory" numFmtId="0">
      <sharedItems/>
    </cacheField>
    <cacheField name="UnitCost" numFmtId="2">
      <sharedItems containsSemiMixedTypes="0" containsString="0" containsNumber="1" minValue="5.34" maxValue="1495.79"/>
    </cacheField>
    <cacheField name="Price Band" numFmtId="2">
      <sharedItems/>
    </cacheField>
    <cacheField name="UnitPrice" numFmtId="2">
      <sharedItems containsSemiMixedTypes="0" containsString="0" containsNumber="1" minValue="-33.659999999999997" maxValue="3661.07"/>
    </cacheField>
    <cacheField name="DiscountPct" numFmtId="2">
      <sharedItems containsSemiMixedTypes="0" containsString="0" containsNumber="1" minValue="0" maxValue="0.56499999999999995"/>
    </cacheField>
    <cacheField name="Quantity" numFmtId="2">
      <sharedItems containsSemiMixedTypes="0" containsString="0" containsNumber="1" containsInteger="1" minValue="2" maxValue="61"/>
    </cacheField>
    <cacheField name="Gross Revenue" numFmtId="2">
      <sharedItems containsSemiMixedTypes="0" containsString="0" containsNumber="1" minValue="-417.04740000000004" maxValue="130292.46945000002"/>
    </cacheField>
    <cacheField name="Cost of Goods" numFmtId="0">
      <sharedItems containsSemiMixedTypes="0" containsString="0" containsNumber="1" minValue="22" maxValue="83258.290000000008"/>
    </cacheField>
    <cacheField name="Gross Profit" numFmtId="2">
      <sharedItems containsSemiMixedTypes="0" containsString="0" containsNumber="1" minValue="-78255.977680000011" maxValue="127914.81945000002" count="632">
        <n v="-1109.2053599999999"/>
        <n v="-15681.675810000004"/>
        <n v="-12995.025599999999"/>
        <n v="28298.270880000004"/>
        <n v="-1435.3734000000004"/>
        <n v="10347.4"/>
        <n v="6639.5842399999983"/>
        <n v="18666.559799999999"/>
        <n v="9884.322180000001"/>
        <n v="-36013.200030000007"/>
        <n v="6388.8236199999992"/>
        <n v="7859.1500000000015"/>
        <n v="9328.7984000000033"/>
        <n v="-2836.6499999999987"/>
        <n v="9604.56"/>
        <n v="7857.4998600000017"/>
        <n v="54995.625999999989"/>
        <n v="-4766.7790399999994"/>
        <n v="-3247.4383200000011"/>
        <n v="6247.2399000000005"/>
        <n v="-6895.2105600000014"/>
        <n v="13511.023999999998"/>
        <n v="8755.4679999999989"/>
        <n v="3990.9303999999993"/>
        <n v="19953.501"/>
        <n v="-5613.6335999999992"/>
        <n v="2680.8"/>
        <n v="-3899.8725000000004"/>
        <n v="-1506.15"/>
        <n v="1214.5585200000005"/>
        <n v="34942.66173"/>
        <n v="-9650.9367999999995"/>
        <n v="-5874.9092800000008"/>
        <n v="7917.2999999999984"/>
        <n v="4314.3300000000017"/>
        <n v="79671.294139999998"/>
        <n v="6181.0711199999969"/>
        <n v="7161.7491199999986"/>
        <n v="-3142.5842500000017"/>
        <n v="6154.9971300000016"/>
        <n v="4439.564099999996"/>
        <n v="130.85999999999876"/>
        <n v="-13771.983960000001"/>
        <n v="12343.959100000002"/>
        <n v="7984.6624000000047"/>
        <n v="-8695.6007600000012"/>
        <n v="14536.080000000002"/>
        <n v="-27116.010000000006"/>
        <n v="5676.2150399999991"/>
        <n v="-7365.4279599999973"/>
        <n v="6175.3023999999987"/>
        <n v="11236.397200000001"/>
        <n v="2555.3999999999996"/>
        <n v="18584.688460000001"/>
        <n v="13929.127199999997"/>
        <n v="16215.781419999999"/>
        <n v="-8581.9953999999998"/>
        <n v="-2470.4143199999999"/>
        <n v="25039.868000000002"/>
        <n v="-143.8137999999999"/>
        <n v="6037.6268000000055"/>
        <n v="-10386.342000000002"/>
        <n v="3129.3459999999995"/>
        <n v="-59737.337849999996"/>
        <n v="24753.64"/>
        <n v="-7268.9042399999998"/>
        <n v="917.46831999999631"/>
        <n v="2513.1769000000004"/>
        <n v="6697.4896800000006"/>
        <n v="7392.0524999999971"/>
        <n v="-7955.0182800000002"/>
        <n v="16357.319520000001"/>
        <n v="-17593.069649999998"/>
        <n v="21412.170179999994"/>
        <n v="5609.5723500000004"/>
        <n v="-3706.2754399999994"/>
        <n v="3854.5101399999985"/>
        <n v="-15098.292959999999"/>
        <n v="36970.208199999994"/>
        <n v="36.840599999999995"/>
        <n v="-36325.146259999994"/>
        <n v="8390.6366400000006"/>
        <n v="-274.46039999999994"/>
        <n v="3849.7762500000003"/>
        <n v="-6535.6876000000011"/>
        <n v="5316.6090999999997"/>
        <n v="-13627.8298"/>
        <n v="-1272.2639999999999"/>
        <n v="-3094.5871000000006"/>
        <n v="25232.477439999999"/>
        <n v="-4491.8670999999995"/>
        <n v="61068.33"/>
        <n v="-1940.8633600000003"/>
        <n v="-7643.87727"/>
        <n v="3816.9335999999994"/>
        <n v="28168.542359999999"/>
        <n v="8458.7080800000003"/>
        <n v="3722.760000000002"/>
        <n v="-4046.8058400000004"/>
        <n v="-12759.763680000002"/>
        <n v="10117.89"/>
        <n v="-6044.2052000000003"/>
        <n v="-3506.86"/>
        <n v="21495.864000000001"/>
        <n v="-2757.5818499999996"/>
        <n v="-9834.5882399999991"/>
        <n v="21982.399139999998"/>
        <n v="-8011.3705199999986"/>
        <n v="4905.7000000000007"/>
        <n v="2997.5275399999996"/>
        <n v="29182.14"/>
        <n v="-13575.175240000002"/>
        <n v="14685.958080000002"/>
        <n v="-740.22409999999991"/>
        <n v="11387.999999999998"/>
        <n v="-5211.959679999999"/>
        <n v="22270.352579999999"/>
        <n v="-4479.923439999995"/>
        <n v="5882.3804"/>
        <n v="3819.4732799999992"/>
        <n v="-3731.7276900000015"/>
        <n v="-3704.0777100000005"/>
        <n v="-9736.6156800000026"/>
        <n v="7284.4268799999973"/>
        <n v="2716.1775199999997"/>
        <n v="2782.6988000000019"/>
        <n v="-10658.815699999996"/>
        <n v="39546.76511"/>
        <n v="8457.4909800000005"/>
        <n v="997.3749600000001"/>
        <n v="7678.3063200000015"/>
        <n v="9468.0093199999992"/>
        <n v="9678.4063999999998"/>
        <n v="14161.398879999999"/>
        <n v="-7201.4259199999997"/>
        <n v="200.65838000000076"/>
        <n v="-483.6165600000013"/>
        <n v="-1237.0575000000003"/>
        <n v="2488.6270200000035"/>
        <n v="33511.065319999994"/>
        <n v="-49232.730800000005"/>
        <n v="11958.0327"/>
        <n v="-1762.9398800000054"/>
        <n v="-3699.0882000000001"/>
        <n v="15123.319680000002"/>
        <n v="36016.002679999998"/>
        <n v="-5298.9798000000001"/>
        <n v="22376.199999999997"/>
        <n v="-4354.4789999999994"/>
        <n v="34366.049999999996"/>
        <n v="14395.79904"/>
        <n v="-17518.032899999998"/>
        <n v="-4131.1262399999987"/>
        <n v="-9174.72768"/>
        <n v="-8630.5928000000004"/>
        <n v="28977.16733"/>
        <n v="6110.848"/>
        <n v="6765.0337499999987"/>
        <n v="2205.705179999999"/>
        <n v="-6905.0786000000026"/>
        <n v="28034.583500000001"/>
        <n v="2420.0092000000004"/>
        <n v="6634.4959800000015"/>
        <n v="43857.063000000002"/>
        <n v="2925.3136000000004"/>
        <n v="-14028.267"/>
        <n v="17599.814359999997"/>
        <n v="-8027.5044600000001"/>
        <n v="-3673.9562999999998"/>
        <n v="6684.2821999999996"/>
        <n v="5848.6553600000007"/>
        <n v="-536.65179999999964"/>
        <n v="13895.713699999998"/>
        <n v="17625.930899999999"/>
        <n v="5450.2836800000005"/>
        <n v="-36032.177599999995"/>
        <n v="-533.66975999999977"/>
        <n v="16023.602659999999"/>
        <n v="28711.927200000002"/>
        <n v="21718.386559999999"/>
        <n v="571.52160000000003"/>
        <n v="25375.421600000009"/>
        <n v="3423.5921999999996"/>
        <n v="7465.2288900000003"/>
        <n v="22571.601310000005"/>
        <n v="-7270.4880000000003"/>
        <n v="2751.5446800000004"/>
        <n v="20056.053750000003"/>
        <n v="-9097.231920000002"/>
        <n v="-5330.8362800000014"/>
        <n v="-291.04484999999841"/>
        <n v="-1323.4423999999995"/>
        <n v="-14837.880959999999"/>
        <n v="-698.86272000000008"/>
        <n v="11143.385759999999"/>
        <n v="-22551.59115"/>
        <n v="-17029.515400000004"/>
        <n v="31840.74319999999"/>
        <n v="-1799.5963999999994"/>
        <n v="20420.043749999997"/>
        <n v="30791.761740000002"/>
        <n v="6064.4049999999988"/>
        <n v="22528.479999999996"/>
        <n v="-7760.8969700000016"/>
        <n v="-11640.8604"/>
        <n v="-3004.8305100000016"/>
        <n v="6510.1492600000001"/>
        <n v="-8899.1962800000001"/>
        <n v="199.08668999999827"/>
        <n v="329.89199999999983"/>
        <n v="3615.7903200000001"/>
        <n v="35789.563799999996"/>
        <n v="-2425.62"/>
        <n v="-10680.75"/>
        <n v="1475.8641600000001"/>
        <n v="50262.258600000001"/>
        <n v="3533.9637200000006"/>
        <n v="-417.41632000000004"/>
        <n v="6923.51764"/>
        <n v="-11294.683279999999"/>
        <n v="16496.567999999999"/>
        <n v="-569.73480000000006"/>
        <n v="6740.2300000000014"/>
        <n v="8889.7046399999999"/>
        <n v="-1878.7605000000021"/>
        <n v="-3021.1015000000016"/>
        <n v="-8372.5185700000002"/>
        <n v="1810.7119200000006"/>
        <n v="-3480.3230800000019"/>
        <n v="3281.9384000000009"/>
        <n v="34058.761600000005"/>
        <n v="1890.0250599999999"/>
        <n v="4105.1779999999999"/>
        <n v="4026.67056"/>
        <n v="5474.8257999999987"/>
        <n v="15128.851400000003"/>
        <n v="-10233.879360000003"/>
        <n v="-78255.977680000011"/>
        <n v="8282.2965000000004"/>
        <n v="10897.707199999999"/>
        <n v="15225.152480000002"/>
        <n v="10485.4948"/>
        <n v="-17538.910400000001"/>
        <n v="4956.1886400000003"/>
        <n v="-11805.331999999999"/>
        <n v="8812.9576099999995"/>
        <n v="-1753.5001200000006"/>
        <n v="26633.717099999998"/>
        <n v="-975.51760000000013"/>
        <n v="2089.0380000000005"/>
        <n v="20480.025719999998"/>
        <n v="5523.8983200000021"/>
        <n v="32375.210000000006"/>
        <n v="16250.184000000001"/>
        <n v="15744.578130000002"/>
        <n v="29474.17379999999"/>
        <n v="-12404.008530000001"/>
        <n v="1465.6490799999992"/>
        <n v="7205.8904000000002"/>
        <n v="-1428.2656000000006"/>
        <n v="-13371.238079999999"/>
        <n v="7615.3764399999982"/>
        <n v="6652.6368000000011"/>
        <n v="5068.9092599999994"/>
        <n v="-8588.4083800000044"/>
        <n v="-18911.828840000002"/>
        <n v="11590.04712000001"/>
        <n v="-6420.8880000000008"/>
        <n v="7683.3399999999983"/>
        <n v="20672.062200000004"/>
        <n v="4228.4325000000008"/>
        <n v="1539.8524800000005"/>
        <n v="-28612.544239999999"/>
        <n v="-11996.147200000003"/>
        <n v="19864.024949999999"/>
        <n v="-1406.7972"/>
        <n v="19782.940000000002"/>
        <n v="3574.4332799999997"/>
        <n v="-11915.7556"/>
        <n v="-3847.8908000000001"/>
        <n v="6067.5926399999989"/>
        <n v="-5105.5919599999997"/>
        <n v="798.59999999999991"/>
        <n v="728.06088000000091"/>
        <n v="19717.829400000002"/>
        <n v="-3569.2061999999996"/>
        <n v="9901.7164400000001"/>
        <n v="2040.722819999999"/>
        <n v="-1898.9409600000017"/>
        <n v="-8733.8960799999986"/>
        <n v="-2007.5911199999973"/>
        <n v="10123.200999999999"/>
        <n v="-13469.570100000001"/>
        <n v="13489.071300000001"/>
        <n v="12979.187999999998"/>
        <n v="-6842.2090800000005"/>
        <n v="26055.55733"/>
        <n v="-1949.0814"/>
        <n v="39418.476119999999"/>
        <n v="7482.6399999999994"/>
        <n v="-5283.3786400000008"/>
        <n v="4462.7336999999998"/>
        <n v="-9677.1452800000006"/>
        <n v="17125.896400000001"/>
        <n v="-282.97440000000006"/>
        <n v="6124.6003199999996"/>
        <n v="17749.824000000008"/>
        <n v="4545.7292799999996"/>
        <n v="23517.018840000001"/>
        <n v="29473.727360000001"/>
        <n v="-3351.8784000000014"/>
        <n v="19326.613599999997"/>
        <n v="-1028.2968000000001"/>
        <n v="13213.530000000002"/>
        <n v="6904.3053799999989"/>
        <n v="-4097.6519999999991"/>
        <n v="28045.849920000001"/>
        <n v="12703.061250000002"/>
        <n v="1094.1083399999998"/>
        <n v="78837.970639999985"/>
        <n v="9076.3643999999986"/>
        <n v="-6364.1775999999982"/>
        <n v="6704.9228400000029"/>
        <n v="23583.8616"/>
        <n v="-6284.4442100000015"/>
        <n v="3686.7577200000014"/>
        <n v="4332.4910399999999"/>
        <n v="2985.139200000001"/>
        <n v="-2996.1327999999994"/>
        <n v="-3437.9619999999977"/>
        <n v="26161.002600000003"/>
        <n v="16252.88522"/>
        <n v="-1951.0688"/>
        <n v="795.99260000000049"/>
        <n v="4631.88825"/>
        <n v="-6659.3990399999993"/>
        <n v="22347.226879999995"/>
        <n v="9595.1989000000031"/>
        <n v="712.99079999999958"/>
        <n v="6369.9451199999967"/>
        <n v="15696.073200000004"/>
        <n v="35679.254160000004"/>
        <n v="25057.890000000003"/>
        <n v="-5959.9038599999994"/>
        <n v="8039.3377400000008"/>
        <n v="37.404999999999745"/>
        <n v="18187.667860000009"/>
        <n v="2594.85"/>
        <n v="32641.845759999997"/>
        <n v="520.96487999999954"/>
        <n v="16244.588360000002"/>
        <n v="9492.6673999999985"/>
        <n v="720.63694000000032"/>
        <n v="6619.7964000000029"/>
        <n v="4168.9031999999997"/>
        <n v="5726.2337999999982"/>
        <n v="4535.6399999999994"/>
        <n v="-3123.9270000000033"/>
        <n v="649.65000000000055"/>
        <n v="751.96576000000096"/>
        <n v="-10137.748800000003"/>
        <n v="12282.7601"/>
        <n v="5876.3752199999944"/>
        <n v="-8988.1768800000009"/>
        <n v="12911.268359999995"/>
        <n v="-8932.8301200000024"/>
        <n v="3453.4854400000004"/>
        <n v="5117.4211500000001"/>
        <n v="6587.8181999999997"/>
        <n v="7837.5944000000018"/>
        <n v="14742.003240000002"/>
        <n v="2532.5300000000007"/>
        <n v="42498.006200000003"/>
        <n v="22026.139419999996"/>
        <n v="-6213.109440000002"/>
        <n v="2014.8644800000038"/>
        <n v="-3526.078379999999"/>
        <n v="-871.57763000000159"/>
        <n v="2574.662440000001"/>
        <n v="20661.338879999992"/>
        <n v="26909.057499999995"/>
        <n v="4343.3241600000001"/>
        <n v="-18317.401760000001"/>
        <n v="26622.767800000001"/>
        <n v="-2077.1096400000024"/>
        <n v="-15300.031400000003"/>
        <n v="12935.836800000001"/>
        <n v="14424.25922"/>
        <n v="27437.352129999996"/>
        <n v="27512.487200000003"/>
        <n v="-6533.0772100000013"/>
        <n v="2412.9712500000005"/>
        <n v="-36069.310899999997"/>
        <n v="-4737.5211600000011"/>
        <n v="1300.1465599999992"/>
        <n v="16653.6463"/>
        <n v="23791.659599999999"/>
        <n v="-1297.2927799999998"/>
        <n v="8108.8999499999991"/>
        <n v="7786.4453999999987"/>
        <n v="10710.973"/>
        <n v="8614.5087999999978"/>
        <n v="-10667.59456"/>
        <n v="6572.0053000000007"/>
        <n v="2090.1564999999991"/>
        <n v="10229.9568"/>
        <n v="-15461.921299999998"/>
        <n v="-10599.690240000002"/>
        <n v="-3544.4710399999999"/>
        <n v="-6081"/>
        <n v="-2003.43544"/>
        <n v="2990.5451400000011"/>
        <n v="790.74271999999996"/>
        <n v="-5259.0746599999993"/>
        <n v="8783.5255200000029"/>
        <n v="-5138.353360000001"/>
        <n v="27428.4696"/>
        <n v="-4857.4438"/>
        <n v="4363.1047200000003"/>
        <n v="-1824.7940999999992"/>
        <n v="176.74959999999737"/>
        <n v="-5378.2351799999997"/>
        <n v="23094.679020000003"/>
        <n v="-14867.280000000006"/>
        <n v="3269.4679200000028"/>
        <n v="5622.3348000000005"/>
        <n v="6782.5800000000017"/>
        <n v="-11971.503000000002"/>
        <n v="42377.26"/>
        <n v="18608.412"/>
        <n v="-1777.5653500000008"/>
        <n v="-9318.1199999999972"/>
        <n v="84.762399999999161"/>
        <n v="17805.584860000003"/>
        <n v="-248.72015999999985"/>
        <n v="-21339"/>
        <n v="15889.645860000001"/>
        <n v="-3259.8852999999999"/>
        <n v="-8606.2713600000006"/>
        <n v="13223.746139999999"/>
        <n v="-5278.1574999999993"/>
        <n v="38644.755760000007"/>
        <n v="5304.8094000000019"/>
        <n v="27807.336640000001"/>
        <n v="7467.3899999999994"/>
        <n v="6179.2868799999997"/>
        <n v="5246.7488000000003"/>
        <n v="23212.267750000003"/>
        <n v="-28.31760000000213"/>
        <n v="1740.7104000000018"/>
        <n v="-5333.7948999999999"/>
        <n v="-5365.0243999999984"/>
        <n v="17566.409879999999"/>
        <n v="4154.1780500000004"/>
        <n v="28172.434049999996"/>
        <n v="-8499.6846399999995"/>
        <n v="103736.64"/>
        <n v="-3468.4377600000007"/>
        <n v="31640.778749999998"/>
        <n v="-12658.23"/>
        <n v="3574.3280399999994"/>
        <n v="30066.412499999999"/>
        <n v="-2957.7887999999998"/>
        <n v="30165.671119999995"/>
        <n v="-181.97515999999996"/>
        <n v="-32398.500400000001"/>
        <n v="1989.1330199999998"/>
        <n v="-9775.5769300000011"/>
        <n v="-10045.782000000003"/>
        <n v="950.5699599999989"/>
        <n v="28835.166120000005"/>
        <n v="1310.966419999997"/>
        <n v="4964.9208000000017"/>
        <n v="3540.1851600000009"/>
        <n v="2928.5162999999993"/>
        <n v="3603.3214800000005"/>
        <n v="6543.1201000000001"/>
        <n v="15849.831900000001"/>
        <n v="-1775.8624799999998"/>
        <n v="13109.4018"/>
        <n v="4514.1612800000039"/>
        <n v="127914.81945000002"/>
        <n v="-13638.345599999997"/>
        <n v="15521.53097"/>
        <n v="-7492.8603099999982"/>
        <n v="1043.2763200000009"/>
        <n v="12107.1126"/>
        <n v="-228.29190000000017"/>
        <n v="67294.620349999997"/>
        <n v="-2450.1496000000002"/>
        <n v="3941.0499999999997"/>
        <n v="-1561.5999999999995"/>
        <n v="6538.6215400000019"/>
        <n v="2550.0792000000001"/>
        <n v="18539.699919999999"/>
        <n v="16785.261990000003"/>
        <n v="-5430.2116800000003"/>
        <n v="90.641160000002856"/>
        <n v="10548.281519999999"/>
        <n v="-188.24597999999787"/>
        <n v="-7964.9893399999992"/>
        <n v="-450.20290000000205"/>
        <n v="5002.4112599999989"/>
        <n v="9357.6344499999996"/>
        <n v="-16.595100000000457"/>
        <n v="-10319.69268"/>
        <n v="-24667.283199999998"/>
        <n v="-483.80039999999917"/>
        <n v="23178.467200000003"/>
        <n v="2436.9374000000007"/>
        <n v="-1444.5471599999992"/>
        <n v="25398.564480000001"/>
        <n v="-5700.1573200000057"/>
        <n v="7201.8515999999981"/>
        <n v="-11677.93"/>
        <n v="23747.57"/>
        <n v="32767.561259999991"/>
        <n v="5462.9017599999997"/>
        <n v="358.66110000000026"/>
        <n v="3900.5115900000001"/>
        <n v="-1187.1732000000002"/>
        <n v="21158.574000000001"/>
        <n v="11564.86"/>
        <n v="7314.5820000000003"/>
        <n v="3667.4411999999993"/>
        <n v="-3070.3205000000003"/>
        <n v="34982.295600000005"/>
        <n v="-1011.119999999999"/>
        <n v="5987.548320000009"/>
        <n v="15499.799999999996"/>
        <n v="13908.135059999999"/>
        <n v="8102.5649000000012"/>
        <n v="11277.492300000002"/>
        <n v="8730.612799999999"/>
        <n v="-13962.006399999997"/>
        <n v="-3578.7791999999999"/>
        <n v="15231.3966"/>
        <n v="4423.0880400000024"/>
        <n v="1239.4848000000002"/>
        <n v="-1280.8169599999965"/>
        <n v="9137.4536000000007"/>
        <n v="5995.2899999999991"/>
        <n v="3561.0196800000012"/>
        <n v="10473.858779999999"/>
        <n v="-2850.8311999999996"/>
        <n v="-4153.2511999999997"/>
        <n v="-2429.9863799999998"/>
        <n v="-5613.3753599999991"/>
        <n v="-2593.2391599999974"/>
        <n v="-7316.268"/>
        <n v="-4714.2810000000009"/>
        <n v="2062.5571999999997"/>
        <n v="-2572.4067600000017"/>
        <n v="-9162.2132799999999"/>
        <n v="-8628.2797199999986"/>
        <n v="8050.1850000000013"/>
        <n v="-24427.440000000002"/>
        <n v="35090.050499999998"/>
        <n v="1503.2438099999999"/>
        <n v="1180.7929799999993"/>
        <n v="-17338.36"/>
        <n v="15509.793749999997"/>
        <n v="32254.769550000001"/>
        <n v="7367.4229799999994"/>
        <n v="-384.31980000000112"/>
        <n v="1147.5955599999998"/>
        <n v="10454.51576"/>
        <n v="2684.1901600000019"/>
        <n v="-3042.6854999999996"/>
        <n v="4561.8000000000029"/>
        <n v="18127.035"/>
        <n v="-20.476999999999862"/>
        <n v="23661.266959999997"/>
        <n v="-7240.9436800000003"/>
        <n v="14371.857119999997"/>
        <n v="5173.2330999999995"/>
        <n v="-2519.0519999999997"/>
        <n v="102395.77616000001"/>
        <n v="569.0380499999992"/>
        <n v="6425.5227399999985"/>
        <n v="14093.483479999999"/>
        <n v="8080.7732999999998"/>
        <n v="3750.2119799999991"/>
        <n v="-26547.62775"/>
        <n v="2345.3473199999989"/>
        <n v="17024.567279999996"/>
        <n v="2891.88"/>
        <n v="27154.359200000003"/>
        <n v="28378.754249999998"/>
        <n v="4220.8732800000016"/>
        <n v="1678.9500000000025"/>
        <n v="-10375.547399999999"/>
        <n v="-2285.01728"/>
        <n v="-2179.17"/>
        <n v="776.51080000000002"/>
        <n v="-3332.3743799999997"/>
        <n v="1791.9386500000001"/>
        <n v="2207.8880000000004"/>
        <n v="4332.5249999999996"/>
        <n v="53015.805"/>
        <n v="-307.09339000000182"/>
        <n v="-6150.2363999999998"/>
        <n v="1834.9133200000001"/>
        <n v="15186.524999999998"/>
        <n v="7671.7661999999982"/>
        <n v="-8474.7296400000014"/>
        <n v="-13301.42"/>
        <n v="-13196.43"/>
        <n v="-2006.6200000000001"/>
        <n v="-2085.25"/>
        <n v="-8793.2000000000007"/>
        <n v="-10002.019999999999"/>
        <n v="-8478.18"/>
        <n v="-34412.299999999996"/>
        <n v="-11348.08"/>
        <n v="-7905.48"/>
        <n v="-4693.92"/>
        <n v="-20240.36"/>
        <n v="-24180.78"/>
        <n v="-35118.1"/>
        <n v="-753.09"/>
        <n v="-1180.76"/>
        <n v="-32141.760000000002"/>
        <n v="-8674.9599999999991"/>
        <n v="-26571.22"/>
        <n v="-18886.559999999998"/>
        <n v="-22895.77"/>
        <n v="-2486.44"/>
        <n v="-18561.46"/>
        <n v="-19295.82"/>
        <n v="-6456.88"/>
        <n v="-363.02"/>
      </sharedItems>
    </cacheField>
    <cacheField name="Revenue Per Order" numFmtId="0">
      <sharedItems containsNonDate="0" containsString="0" containsBlank="1" count="1">
        <m/>
      </sharedItems>
    </cacheField>
  </cacheFields>
  <extLst>
    <ext xmlns:x14="http://schemas.microsoft.com/office/spreadsheetml/2009/9/main" uri="{725AE2AE-9491-48be-B2B4-4EB974FC3084}">
      <x14:pivotCacheDefinition pivotCacheId="1345100488"/>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87.523065972222" createdVersion="7" refreshedVersion="7" minRefreshableVersion="3" recordCount="633" xr:uid="{4FA3ECB6-859D-4F38-A5EE-AD8F0FD59180}">
  <cacheSource type="worksheet">
    <worksheetSource ref="A1:W1048576" sheet="Service Level Data"/>
  </cacheSource>
  <cacheFields count="23">
    <cacheField name="OrderID" numFmtId="0">
      <sharedItems containsBlank="1" count="632">
        <s v="ORD-2024-275203"/>
        <s v="ORD-2024-358795"/>
        <s v="ORD-2023-373538"/>
        <s v="ORD-2025-168148"/>
        <s v="ORD-2023-824839"/>
        <s v="ORD-2023-723587"/>
        <s v="ORD-2024-336584"/>
        <s v="ORD-2023-112666"/>
        <s v="ORD-2024-589570"/>
        <s v="ORD-2025-997421"/>
        <s v="ORD-2024-210687"/>
        <s v="ORD-2025-515515"/>
        <s v="ORD-2025-487261"/>
        <s v="ORD-2024-890180"/>
        <s v="ORD-2025-840976"/>
        <s v="ORD-2023-937291"/>
        <s v="ORD-2024-206081"/>
        <s v="ORD-2025-233883"/>
        <s v="ORD-2025-843974"/>
        <s v="ORD-2025-745263"/>
        <s v="ORD-2024-798002"/>
        <s v="ORD-2023-867836"/>
        <s v="ORD-2025-580047"/>
        <s v="ORD-2024-500109"/>
        <s v="ORD-2023-271836"/>
        <s v="ORD-2024-215294"/>
        <s v="ORD-2024-788105"/>
        <s v="ORD-2024-855073"/>
        <s v="ORD-2023-897079"/>
        <s v="ORD-2025-548982"/>
        <s v="ORD-2024-170313"/>
        <s v="ORD-2023-562894"/>
        <s v="ORD-2025-474710"/>
        <s v="ORD-2024-629525"/>
        <s v="ORD-2024-167215"/>
        <s v="ORD-2023-864121"/>
        <s v="ORD-2024-692673"/>
        <s v="ORD-2025-718992"/>
        <s v="ORD-2024-599522"/>
        <s v="ORD-2023-651638"/>
        <s v="ORD-2024-635626"/>
        <s v="ORD-2024-296582"/>
        <s v="ORD-2024-998320"/>
        <s v="ORD-2025-820255"/>
        <s v="ORD-2024-389336"/>
        <s v="ORD-2023-308124"/>
        <s v="ORD-2023-128295"/>
        <s v="ORD-2024-548345"/>
        <s v="ORD-2024-966651"/>
        <s v="ORD-2023-292714"/>
        <s v="ORD-2024-468501"/>
        <s v="ORD-2024-260775"/>
        <s v="ORD-2023-419187"/>
        <s v="ORD-2025-578007"/>
        <s v="ORD-2023-235230"/>
        <s v="ORD-2025-765220"/>
        <s v="ORD-2025-931538"/>
        <s v="ORD-2024-289089"/>
        <s v="ORD-2025-639542"/>
        <s v="ORD-2025-762301"/>
        <s v="ORD-2024-906395"/>
        <s v="ORD-2025-779574"/>
        <s v="ORD-2025-526650"/>
        <s v="ORD-2024-247979"/>
        <s v="ORD-2023-480975"/>
        <s v="ORD-2023-239789"/>
        <s v="ORD-2023-548874"/>
        <s v="ORD-2024-347736"/>
        <s v="ORD-2023-749324"/>
        <s v="ORD-2023-809913"/>
        <s v="ORD-2024-287210"/>
        <s v="ORD-2025-640677"/>
        <s v="ORD-2024-939873"/>
        <s v="ORD-2024-800947"/>
        <s v="ORD-2023-382272"/>
        <s v="ORD-2023-722117"/>
        <s v="ORD-2024-446699"/>
        <s v="ORD-2024-451005"/>
        <s v="ORD-2023-290279"/>
        <s v="ORD-2024-192263"/>
        <s v="ORD-2023-159379"/>
        <s v="ORD-2023-343322"/>
        <s v="ORD-2025-114382"/>
        <s v="ORD-2025-488349"/>
        <s v="ORD-2025-330203"/>
        <s v="ORD-2023-841426"/>
        <s v="ORD-2024-594592"/>
        <s v="ORD-2025-863978"/>
        <s v="ORD-2024-604471"/>
        <s v="ORD-2023-258768"/>
        <s v="ORD-2025-626047"/>
        <s v="ORD-2025-526752"/>
        <s v="ORD-2023-374486"/>
        <s v="ORD-2024-997336"/>
        <s v="ORD-2025-725646"/>
        <s v="ORD-2023-868734"/>
        <s v="ORD-2025-262491"/>
        <s v="ORD-2024-638884"/>
        <s v="ORD-2025-541501"/>
        <s v="ORD-2023-422918"/>
        <s v="ORD-2025-328504"/>
        <s v="ORD-2024-851883"/>
        <s v="ORD-2025-662997"/>
        <s v="ORD-2024-478165"/>
        <s v="ORD-2024-771210"/>
        <s v="ORD-2024-155337"/>
        <s v="ORD-2023-251563"/>
        <s v="ORD-2024-286833"/>
        <s v="ORD-2024-792558"/>
        <s v="ORD-2024-166150"/>
        <s v="ORD-2024-909942"/>
        <s v="ORD-2024-223618"/>
        <s v="ORD-2024-919471"/>
        <s v="ORD-2025-649239"/>
        <s v="ORD-2023-975863"/>
        <s v="ORD-2023-869884"/>
        <s v="ORD-2025-698069"/>
        <s v="ORD-2024-474999"/>
        <s v="ORD-2023-427304"/>
        <s v="ORD-2025-956101"/>
        <s v="ORD-2025-184082"/>
        <s v="ORD-2023-576840"/>
        <s v="ORD-2023-178249"/>
        <s v="ORD-2024-588972"/>
        <s v="ORD-2023-603238"/>
        <s v="ORD-2023-883066"/>
        <s v="ORD-2024-584090"/>
        <s v="ORD-2025-537785"/>
        <s v="ORD-2024-605518"/>
        <s v="ORD-2023-521818"/>
        <s v="ORD-2025-650719"/>
        <s v="ORD-2025-501927"/>
        <s v="ORD-2023-430904"/>
        <s v="ORD-2025-354346"/>
        <s v="ORD-2024-164288"/>
        <s v="ORD-2023-867285"/>
        <s v="ORD-2024-836421"/>
        <s v="ORD-2023-613287"/>
        <s v="ORD-2024-783321"/>
        <s v="ORD-2024-232632"/>
        <s v="ORD-2023-906481"/>
        <s v="ORD-2024-902741"/>
        <s v="ORD-2023-912395"/>
        <s v="ORD-2024-389102"/>
        <s v="ORD-2023-309373"/>
        <s v="ORD-2023-825495"/>
        <s v="ORD-2025-244832"/>
        <s v="ORD-2024-211453"/>
        <s v="ORD-2023-192324"/>
        <s v="ORD-2024-438404"/>
        <s v="ORD-2025-246470"/>
        <s v="ORD-2023-497686"/>
        <s v="ORD-2023-596758"/>
        <s v="ORD-2024-201376"/>
        <s v="ORD-2023-842488"/>
        <s v="ORD-2024-136321"/>
        <s v="ORD-2024-764468"/>
        <s v="ORD-2024-553449"/>
        <s v="ORD-2025-766923"/>
        <s v="ORD-2025-418232"/>
        <s v="ORD-2023-848013"/>
        <s v="ORD-2024-357368"/>
        <s v="ORD-2024-219735"/>
        <s v="ORD-2023-240507"/>
        <s v="ORD-2024-134084"/>
        <s v="ORD-2023-884625"/>
        <s v="ORD-2023-157993"/>
        <s v="ORD-2024-329104"/>
        <s v="ORD-2023-304451"/>
        <s v="ORD-2024-942981"/>
        <s v="ORD-2024-605629"/>
        <s v="ORD-2023-450877"/>
        <s v="ORD-2023-286994"/>
        <s v="ORD-2025-700847"/>
        <s v="ORD-2024-970848"/>
        <s v="ORD-2025-845715"/>
        <s v="ORD-2023-664749"/>
        <s v="ORD-2024-960952"/>
        <s v="ORD-2023-987700"/>
        <s v="ORD-2025-652467"/>
        <s v="ORD-2025-667201"/>
        <s v="ORD-2024-237478"/>
        <s v="ORD-2025-898843"/>
        <s v="ORD-2023-334213"/>
        <s v="ORD-2024-640340"/>
        <s v="ORD-2023-399631"/>
        <s v="ORD-2025-542939"/>
        <s v="ORD-2023-825836"/>
        <s v="ORD-2024-503082"/>
        <s v="ORD-2024-760799"/>
        <s v="ORD-2023-197661"/>
        <s v="ORD-2024-212990"/>
        <s v="ORD-2023-925146"/>
        <s v="ORD-2023-177794"/>
        <s v="ORD-2024-444710"/>
        <s v="ORD-2024-668926"/>
        <s v="ORD-2024-968374"/>
        <s v="ORD-2023-575584"/>
        <s v="ORD-2023-701153"/>
        <s v="ORD-2023-382017"/>
        <s v="ORD-2024-999607"/>
        <s v="ORD-2023-133848"/>
        <s v="ORD-2023-586275"/>
        <s v="ORD-2025-964661"/>
        <s v="ORD-2023-390998"/>
        <s v="ORD-2023-920483"/>
        <s v="ORD-2025-146850"/>
        <s v="ORD-2024-687100"/>
        <s v="ORD-2025-629393"/>
        <s v="ORD-2024-686712"/>
        <s v="ORD-2025-586799"/>
        <s v="ORD-2024-988736"/>
        <s v="ORD-2025-564184"/>
        <s v="ORD-2023-653343"/>
        <s v="ORD-2024-197852"/>
        <s v="ORD-2023-431328"/>
        <s v="ORD-2023-613317"/>
        <s v="ORD-2024-720756"/>
        <s v="ORD-2024-777623"/>
        <s v="ORD-2025-762212"/>
        <s v="ORD-2023-271918"/>
        <s v="ORD-2023-713375"/>
        <s v="ORD-2025-678688"/>
        <s v="ORD-2023-501220"/>
        <s v="ORD-2023-195665"/>
        <s v="ORD-2023-290237"/>
        <s v="ORD-2023-302041"/>
        <s v="ORD-2025-289139"/>
        <s v="ORD-2023-949710"/>
        <s v="ORD-2023-603650"/>
        <s v="ORD-2025-757957"/>
        <s v="ORD-2024-423853"/>
        <s v="ORD-2024-569164"/>
        <s v="ORD-2023-946143"/>
        <s v="ORD-2024-281211"/>
        <s v="ORD-2024-805860"/>
        <s v="ORD-2025-132174"/>
        <s v="ORD-2023-964434"/>
        <s v="ORD-2024-897622"/>
        <s v="ORD-2023-517216"/>
        <s v="ORD-2025-509940"/>
        <s v="ORD-2025-646342"/>
        <s v="ORD-2024-866535"/>
        <s v="ORD-2023-747341"/>
        <s v="ORD-2024-853298"/>
        <s v="ORD-2024-544865"/>
        <s v="ORD-2025-946490"/>
        <s v="ORD-2024-320972"/>
        <s v="ORD-2025-248586"/>
        <s v="ORD-2024-664046"/>
        <s v="ORD-2023-276806"/>
        <s v="ORD-2024-220234"/>
        <s v="ORD-2024-301260"/>
        <s v="ORD-2024-350100"/>
        <s v="ORD-2024-855600"/>
        <s v="ORD-2023-474313"/>
        <s v="ORD-2023-256951"/>
        <s v="ORD-2025-184754"/>
        <s v="ORD-2023-888140"/>
        <s v="ORD-2023-638181"/>
        <s v="ORD-2023-521280"/>
        <s v="ORD-2023-630430"/>
        <s v="ORD-2025-908258"/>
        <s v="ORD-2025-440093"/>
        <s v="ORD-2025-898022"/>
        <s v="ORD-2024-500511"/>
        <s v="ORD-2023-632893"/>
        <s v="ORD-2023-967239"/>
        <s v="ORD-2024-885858"/>
        <s v="ORD-2023-253245"/>
        <s v="ORD-2025-484073"/>
        <s v="ORD-2024-745822"/>
        <s v="ORD-2023-369160"/>
        <s v="ORD-2024-834983"/>
        <s v="ORD-2024-499009"/>
        <s v="ORD-2024-948800"/>
        <s v="ORD-2025-678328"/>
        <s v="ORD-2024-580808"/>
        <s v="ORD-2023-211715"/>
        <s v="ORD-2023-715175"/>
        <s v="ORD-2025-685236"/>
        <s v="ORD-2023-274037"/>
        <s v="ORD-2025-983096"/>
        <s v="ORD-2024-366010"/>
        <s v="ORD-2023-610470"/>
        <s v="ORD-2025-541048"/>
        <s v="ORD-2024-862371"/>
        <s v="ORD-2024-277241"/>
        <s v="ORD-2023-369150"/>
        <s v="ORD-2025-922513"/>
        <s v="ORD-2025-752845"/>
        <s v="ORD-2023-667815"/>
        <s v="ORD-2023-375011"/>
        <s v="ORD-2025-487025"/>
        <s v="ORD-2025-398335"/>
        <s v="ORD-2024-792137"/>
        <s v="ORD-2023-602648"/>
        <s v="ORD-2024-207096"/>
        <s v="ORD-2025-939953"/>
        <s v="ORD-2025-191328"/>
        <s v="ORD-2023-166668"/>
        <s v="ORD-2023-594700"/>
        <s v="ORD-2025-278048"/>
        <s v="ORD-2024-878493"/>
        <s v="ORD-2025-138578"/>
        <s v="ORD-2025-944081"/>
        <s v="ORD-2025-364852"/>
        <s v="ORD-2025-415018"/>
        <s v="ORD-2023-884192"/>
        <s v="ORD-2024-165942"/>
        <s v="ORD-2024-403664"/>
        <s v="ORD-2023-890605"/>
        <s v="ORD-2024-925626"/>
        <s v="ORD-2024-427031"/>
        <s v="ORD-2025-231184"/>
        <s v="ORD-2023-363031"/>
        <s v="ORD-2023-619570"/>
        <s v="ORD-2025-861401"/>
        <s v="ORD-2023-835010"/>
        <s v="ORD-2024-819979"/>
        <s v="ORD-2024-719055"/>
        <s v="ORD-2023-888245"/>
        <s v="ORD-2024-206121"/>
        <s v="ORD-2024-500890"/>
        <s v="ORD-2023-144816"/>
        <s v="ORD-2024-153053"/>
        <s v="ORD-2023-536542"/>
        <s v="ORD-2025-779530"/>
        <s v="ORD-2023-163610"/>
        <s v="ORD-2025-653781"/>
        <s v="ORD-2025-737787"/>
        <s v="ORD-2023-944052"/>
        <s v="ORD-2023-181257"/>
        <s v="ORD-2025-323492"/>
        <s v="ORD-2024-332076"/>
        <s v="ORD-2024-571797"/>
        <s v="ORD-2024-129345"/>
        <s v="ORD-2023-660608"/>
        <s v="ORD-2023-825084"/>
        <s v="ORD-2023-261081"/>
        <s v="ORD-2023-766015"/>
        <s v="ORD-2024-333192"/>
        <s v="ORD-2024-647473"/>
        <s v="ORD-2024-892908"/>
        <s v="ORD-2023-573146"/>
        <s v="ORD-2024-901115"/>
        <s v="ORD-2023-898009"/>
        <s v="ORD-2023-208944"/>
        <s v="ORD-2025-480172"/>
        <s v="ORD-2023-735274"/>
        <s v="ORD-2023-212701"/>
        <s v="ORD-2023-479747"/>
        <s v="ORD-2024-915495"/>
        <s v="ORD-2024-225829"/>
        <s v="ORD-2024-921935"/>
        <s v="ORD-2025-949776"/>
        <s v="ORD-2024-510591"/>
        <s v="ORD-2024-961756"/>
        <s v="ORD-2024-892173"/>
        <s v="ORD-2024-704056"/>
        <s v="ORD-2025-591006"/>
        <s v="ORD-2023-159821"/>
        <s v="ORD-2024-343877"/>
        <s v="ORD-2023-386663"/>
        <s v="ORD-2025-125517"/>
        <s v="ORD-2024-819778"/>
        <s v="ORD-2025-624006"/>
        <s v="ORD-2023-132101"/>
        <s v="ORD-2025-306903"/>
        <s v="ORD-2023-813340"/>
        <s v="ORD-2023-855675"/>
        <s v="ORD-2023-545150"/>
        <s v="ORD-2025-269934"/>
        <s v="ORD-2024-690270"/>
        <s v="ORD-2024-868223"/>
        <s v="ORD-2025-188059"/>
        <s v="ORD-2023-281890"/>
        <s v="ORD-2025-636162"/>
        <s v="ORD-2025-915869"/>
        <s v="ORD-2025-192876"/>
        <s v="ORD-2025-822030"/>
        <s v="ORD-2025-789245"/>
        <s v="ORD-2023-594955"/>
        <s v="ORD-2024-398783"/>
        <s v="ORD-2023-676553"/>
        <s v="ORD-2025-866565"/>
        <s v="ORD-2024-527858"/>
        <s v="ORD-2023-619385"/>
        <s v="ORD-2023-835226"/>
        <s v="ORD-2025-485946"/>
        <s v="ORD-2024-307849"/>
        <s v="ORD-2023-368449"/>
        <s v="ORD-2024-251426"/>
        <s v="ORD-2023-927385"/>
        <s v="ORD-2025-486350"/>
        <s v="ORD-2025-677880"/>
        <s v="ORD-2024-102866"/>
        <s v="ORD-2025-588029"/>
        <s v="ORD-2024-972999"/>
        <s v="ORD-2025-608069"/>
        <s v="ORD-2024-626750"/>
        <s v="ORD-2024-170021"/>
        <s v="ORD-2024-678110"/>
        <s v="ORD-2025-909340"/>
        <s v="ORD-2023-854471"/>
        <s v="ORD-2024-390951"/>
        <s v="ORD-2025-881624"/>
        <s v="ORD-2025-512310"/>
        <s v="ORD-2023-674887"/>
        <s v="ORD-2024-542244"/>
        <s v="ORD-2024-375848"/>
        <s v="ORD-2023-933238"/>
        <s v="ORD-2023-732585"/>
        <s v="ORD-2024-465898"/>
        <s v="ORD-2023-987081"/>
        <s v="ORD-2024-655710"/>
        <s v="ORD-2025-411385"/>
        <s v="ORD-2025-222035"/>
        <s v="ORD-2024-749242"/>
        <s v="ORD-2023-623293"/>
        <s v="ORD-2025-276968"/>
        <s v="ORD-2025-650841"/>
        <s v="ORD-2025-831576"/>
        <s v="ORD-2024-468655"/>
        <s v="ORD-2024-515105"/>
        <s v="ORD-2025-803803"/>
        <s v="ORD-2024-993481"/>
        <s v="ORD-2024-811752"/>
        <s v="ORD-2025-673091"/>
        <s v="ORD-2024-381197"/>
        <s v="ORD-2024-651852"/>
        <s v="ORD-2023-659070"/>
        <s v="ORD-2024-837651"/>
        <s v="ORD-2024-581530"/>
        <s v="ORD-2023-378104"/>
        <s v="ORD-2024-972318"/>
        <s v="ORD-2023-752962"/>
        <s v="ORD-2023-808024"/>
        <s v="ORD-2023-156396"/>
        <s v="ORD-2023-184577"/>
        <s v="ORD-2024-446030"/>
        <s v="ORD-2023-842820"/>
        <s v="ORD-2024-745424"/>
        <s v="ORD-2024-510520"/>
        <s v="ORD-2023-769774"/>
        <s v="ORD-2023-580751"/>
        <s v="ORD-2025-473192"/>
        <s v="ORD-2024-886939"/>
        <s v="ORD-2024-566589"/>
        <s v="ORD-2023-109927"/>
        <s v="ORD-2023-780206"/>
        <s v="ORD-2024-851993"/>
        <s v="ORD-2025-417942"/>
        <s v="ORD-2023-172095"/>
        <s v="ORD-2024-257550"/>
        <s v="ORD-2023-581799"/>
        <s v="ORD-2023-880296"/>
        <s v="ORD-2023-191563"/>
        <s v="ORD-2024-202166"/>
        <s v="ORD-2023-539967"/>
        <s v="ORD-2023-704111"/>
        <s v="ORD-2024-356812"/>
        <s v="ORD-2025-306251"/>
        <s v="ORD-2025-496178"/>
        <s v="ORD-2024-508213"/>
        <s v="ORD-2024-787018"/>
        <s v="ORD-2023-728177"/>
        <s v="ORD-2025-795385"/>
        <s v="ORD-2025-947929"/>
        <s v="ORD-2023-931633"/>
        <s v="ORD-2023-243704"/>
        <s v="ORD-2025-779659"/>
        <s v="ORD-2024-647571"/>
        <s v="ORD-2025-683043"/>
        <s v="ORD-2023-588455"/>
        <s v="ORD-2024-641220"/>
        <s v="ORD-2023-799597"/>
        <s v="ORD-2023-569862"/>
        <s v="ORD-2023-609394"/>
        <s v="ORD-2024-105586"/>
        <s v="ORD-2024-207792"/>
        <s v="ORD-2025-417336"/>
        <s v="ORD-2025-252117"/>
        <s v="ORD-2023-867175"/>
        <s v="ORD-2024-382152"/>
        <s v="ORD-2023-597666"/>
        <s v="ORD-2024-371409"/>
        <s v="ORD-2024-973420"/>
        <s v="ORD-2025-254721"/>
        <s v="ORD-2024-247032"/>
        <s v="ORD-2024-792353"/>
        <s v="ORD-2025-703623"/>
        <s v="ORD-2024-516704"/>
        <s v="ORD-2024-578646"/>
        <s v="ORD-2024-433936"/>
        <s v="ORD-2023-434071"/>
        <s v="ORD-2024-728474"/>
        <s v="ORD-2023-406606"/>
        <s v="ORD-2025-823055"/>
        <s v="ORD-2023-573656"/>
        <s v="ORD-2024-567435"/>
        <s v="ORD-2023-744942"/>
        <s v="ORD-2025-331237"/>
        <s v="ORD-2025-680118"/>
        <s v="ORD-2024-310809"/>
        <s v="ORD-2025-474368"/>
        <s v="ORD-2024-732543"/>
        <s v="ORD-2023-867166"/>
        <s v="ORD-2024-776337"/>
        <s v="ORD-2023-913592"/>
        <s v="ORD-2024-961501"/>
        <s v="ORD-2024-964950"/>
        <s v="ORD-2023-349264"/>
        <s v="ORD-2025-137394"/>
        <s v="ORD-2025-635337"/>
        <s v="ORD-2023-568013"/>
        <s v="ORD-2025-828263"/>
        <s v="ORD-2024-402240"/>
        <s v="ORD-2023-125739"/>
        <s v="ORD-2024-892879"/>
        <s v="ORD-2023-472050"/>
        <s v="ORD-2024-468615"/>
        <s v="ORD-2024-833375"/>
        <s v="ORD-2024-206311"/>
        <s v="ORD-2024-364080"/>
        <s v="ORD-2025-460466"/>
        <s v="ORD-2023-700699"/>
        <s v="ORD-2024-713332"/>
        <s v="ORD-2023-640022"/>
        <s v="ORD-2024-532184"/>
        <s v="ORD-2025-926547"/>
        <s v="ORD-2025-778145"/>
        <s v="ORD-2023-525643"/>
        <s v="ORD-2025-312803"/>
        <s v="ORD-2025-149156"/>
        <s v="ORD-2023-215819"/>
        <s v="ORD-2024-353078"/>
        <s v="ORD-2023-621393"/>
        <s v="ORD-2023-974506"/>
        <s v="ORD-2023-811823"/>
        <s v="ORD-2023-286720"/>
        <s v="ORD-2024-626925"/>
        <s v="ORD-2023-960380"/>
        <s v="ORD-2023-453699"/>
        <s v="ORD-2025-960931"/>
        <s v="ORD-2024-419248"/>
        <s v="ORD-2023-488227"/>
        <s v="ORD-2023-472078"/>
        <s v="ORD-2024-202877"/>
        <s v="ORD-2024-140633"/>
        <s v="ORD-2025-419532"/>
        <s v="ORD-2023-139236"/>
        <s v="ORD-2025-337268"/>
        <s v="ORD-2025-332931"/>
        <s v="ORD-2024-536442"/>
        <s v="ORD-2023-957692"/>
        <s v="ORD-2025-874124"/>
        <s v="ORD-2024-687073"/>
        <s v="ORD-2024-555229"/>
        <s v="ORD-2024-872291"/>
        <s v="ORD-2024-250862"/>
        <s v="ORD-2024-331226"/>
        <s v="ORD-2023-356427"/>
        <s v="ORD-2025-659650"/>
        <s v="ORD-2024-207669"/>
        <s v="ORD-2024-979401"/>
        <s v="ORD-2025-929414"/>
        <s v="ORD-2024-766980"/>
        <s v="ORD-2024-437164"/>
        <s v="ORD-2025-169093"/>
        <s v="ORD-2023-868460"/>
        <s v="ORD-2025-177994"/>
        <s v="ORD-2024-355095"/>
        <s v="ORD-2023-126505"/>
        <s v="ORD-2023-340056"/>
        <s v="ORD-2025-281413"/>
        <s v="ORD-2023-713614"/>
        <s v="ORD-2023-173313"/>
        <s v="ORD-2024-496601"/>
        <s v="ORD-2025-155182"/>
        <s v="ORD-2023-244375"/>
        <s v="ORD-2023-856322"/>
        <s v="ORD-2024-594527"/>
        <s v="ORD-2024-689872"/>
        <s v="ORD-2025-246692"/>
        <s v="ORD-2023-378676"/>
        <s v="ORD-2024-243988"/>
        <s v="ORD-2024-572312"/>
        <s v="ORD-2025-281062"/>
        <s v="ORD-2023-727290"/>
        <s v="ORD-2025-993993"/>
        <s v="ORD-2023-619493"/>
        <s v="ORD-2024-947056"/>
        <s v="ORD-2025-856556"/>
        <s v="ORD-2024-442776"/>
        <s v="ORD-2025-705398"/>
        <s v="ORD-2023-689428"/>
        <s v="ORD-2025-683247"/>
        <s v="ORD-2024-585443"/>
        <s v="ORD-2024-907733"/>
        <s v="ORD-2024-550400"/>
        <s v="ORD-2025-189846"/>
        <s v="ORD-2025-752192"/>
        <s v="ORD-2023-294716"/>
        <s v="ORD-2023-552115"/>
        <s v="ORD-2023-107265"/>
        <s v="ORD-2025-262434"/>
        <s v="ORD-2024-266562"/>
        <s v="ORD-2024-838925"/>
        <s v="ORD-2023-664790"/>
        <s v="ORD-2024-331408"/>
        <s v="ORD-2024-741404"/>
        <s v="ORD-2024-341535"/>
        <s v="ORD-2023-451931"/>
        <s v="ORD-2025-532859"/>
        <s v="ORD-2023-502205"/>
        <s v="ORD-2024-930679"/>
        <s v="ORD-2025-150713"/>
        <s v="ORD-2024-756884"/>
        <s v="ORD-2023-755337"/>
        <s v="ORD-2025-907040"/>
        <s v="ORD-2024-817997"/>
        <s v="ORD-2025-649633"/>
        <s v="ORD-2023-885216"/>
        <s v="ORD-2023-561823"/>
        <s v="ORD-2023-249805"/>
        <s v="ORD-2023-548934"/>
        <s v="ORD-2023-921939"/>
        <s v="ORD-2023-961864"/>
        <s v="ORD-2023-455933"/>
        <s v="ORD-2025-728935"/>
        <m/>
      </sharedItems>
    </cacheField>
    <cacheField name="OrderDate" numFmtId="165">
      <sharedItems containsNonDate="0" containsDate="1" containsString="0" containsBlank="1" minDate="2023-01-02T00:00:00" maxDate="2025-09-16T00:00:00"/>
    </cacheField>
    <cacheField name="RequiredDate" numFmtId="0">
      <sharedItems containsNonDate="0" containsDate="1" containsString="0" containsBlank="1" minDate="2023-01-05T00:00:00" maxDate="2025-10-06T00:00:00"/>
    </cacheField>
    <cacheField name="Leadtime days" numFmtId="2">
      <sharedItems containsString="0" containsBlank="1" containsNumber="1" containsInteger="1" minValue="0" maxValue="30" count="32">
        <n v="26"/>
        <n v="1"/>
        <n v="25"/>
        <n v="4"/>
        <n v="3"/>
        <n v="18"/>
        <n v="2"/>
        <n v="19"/>
        <n v="12"/>
        <n v="20"/>
        <n v="24"/>
        <n v="29"/>
        <n v="8"/>
        <n v="16"/>
        <n v="17"/>
        <n v="15"/>
        <n v="5"/>
        <n v="14"/>
        <n v="0"/>
        <n v="13"/>
        <n v="7"/>
        <n v="23"/>
        <n v="22"/>
        <n v="11"/>
        <n v="10"/>
        <n v="9"/>
        <n v="30"/>
        <n v="28"/>
        <n v="21"/>
        <n v="27"/>
        <n v="6"/>
        <m/>
      </sharedItems>
    </cacheField>
    <cacheField name="Month" numFmtId="2">
      <sharedItems containsBlank="1"/>
    </cacheField>
    <cacheField name="Quarter" numFmtId="2">
      <sharedItems containsBlank="1"/>
    </cacheField>
    <cacheField name="Region" numFmtId="0">
      <sharedItems containsBlank="1"/>
    </cacheField>
    <cacheField name="Country" numFmtId="0">
      <sharedItems containsBlank="1" count="13">
        <s v="Kenya"/>
        <s v="Nigeria"/>
        <s v="Japan"/>
        <s v="Canada"/>
        <s v="India"/>
        <s v="Brazil"/>
        <s v="Germany"/>
        <s v="France"/>
        <s v="United Kingdom"/>
        <s v="China"/>
        <s v="USA"/>
        <s v="South Africa"/>
        <m/>
      </sharedItems>
    </cacheField>
    <cacheField name="City" numFmtId="0">
      <sharedItems containsBlank="1"/>
    </cacheField>
    <cacheField name="CustomerSegment" numFmtId="0">
      <sharedItems containsBlank="1"/>
    </cacheField>
    <cacheField name="Channel" numFmtId="0">
      <sharedItems containsBlank="1"/>
    </cacheField>
    <cacheField name="Salesperson" numFmtId="0">
      <sharedItems containsBlank="1"/>
    </cacheField>
    <cacheField name="ProductCategory" numFmtId="0">
      <sharedItems containsBlank="1" count="8">
        <s v="Components"/>
        <s v="Printers"/>
        <s v="Networking"/>
        <s v="Phones"/>
        <s v="Laptops"/>
        <s v="Monitors"/>
        <s v="Accessories"/>
        <m/>
      </sharedItems>
    </cacheField>
    <cacheField name="SKU" numFmtId="0">
      <sharedItems containsBlank="1"/>
    </cacheField>
    <cacheField name="UnitCost" numFmtId="2">
      <sharedItems containsString="0" containsBlank="1" containsNumber="1" minValue="5.34" maxValue="1495.79"/>
    </cacheField>
    <cacheField name="Price Band" numFmtId="2">
      <sharedItems containsBlank="1"/>
    </cacheField>
    <cacheField name="UnitPrice" numFmtId="2">
      <sharedItems containsString="0" containsBlank="1" containsNumber="1" minValue="-33.659999999999997" maxValue="3661.07"/>
    </cacheField>
    <cacheField name="DiscountPct" numFmtId="2">
      <sharedItems containsString="0" containsBlank="1" containsNumber="1" minValue="0" maxValue="0.56499999999999995"/>
    </cacheField>
    <cacheField name="Quantity" numFmtId="2">
      <sharedItems containsString="0" containsBlank="1" containsNumber="1" containsInteger="1" minValue="2" maxValue="61"/>
    </cacheField>
    <cacheField name="Gross Revenue" numFmtId="0">
      <sharedItems containsString="0" containsBlank="1" containsNumber="1" minValue="-417.04740000000004" maxValue="130292.46945000002"/>
    </cacheField>
    <cacheField name="Cost of Goods" numFmtId="0">
      <sharedItems containsString="0" containsBlank="1" containsNumber="1" minValue="22" maxValue="83258.290000000008"/>
    </cacheField>
    <cacheField name="Gross Profit" numFmtId="0">
      <sharedItems containsString="0" containsBlank="1" containsNumber="1" minValue="-78255.977680000011" maxValue="127914.81945000002"/>
    </cacheField>
    <cacheField name="Margin Percentage" numFmtId="0">
      <sharedItems containsString="0" containsBlank="1" containsNumber="1" minValue="-368.61661013464897" maxValue="304.25315081660227"/>
    </cacheField>
  </cacheFields>
  <extLst>
    <ext xmlns:x14="http://schemas.microsoft.com/office/spreadsheetml/2009/9/main" uri="{725AE2AE-9491-48be-B2B4-4EB974FC3084}">
      <x14:pivotCacheDefinition pivotCacheId="124802611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87.674309259259" createdVersion="7" refreshedVersion="7" minRefreshableVersion="3" recordCount="633" xr:uid="{E9C3BA29-CB8C-4004-9B9D-0008E177C3C8}">
  <cacheSource type="worksheet">
    <worksheetSource ref="A1:W1048576" sheet="Channel Mix Data"/>
  </cacheSource>
  <cacheFields count="23">
    <cacheField name="OrderID" numFmtId="0">
      <sharedItems containsBlank="1"/>
    </cacheField>
    <cacheField name="OrderDate" numFmtId="165">
      <sharedItems containsNonDate="0" containsDate="1" containsString="0" containsBlank="1" minDate="2023-01-02T00:00:00" maxDate="2025-09-16T00:00:00"/>
    </cacheField>
    <cacheField name="RequiredDate" numFmtId="0">
      <sharedItems containsNonDate="0" containsDate="1" containsString="0" containsBlank="1" minDate="2023-01-05T00:00:00" maxDate="2025-10-06T00:00:00"/>
    </cacheField>
    <cacheField name="Leadtime days" numFmtId="2">
      <sharedItems containsString="0" containsBlank="1" containsNumber="1" containsInteger="1" minValue="0" maxValue="30"/>
    </cacheField>
    <cacheField name="Month" numFmtId="2">
      <sharedItems containsBlank="1" count="34">
        <s v="Mar-2024"/>
        <s v="Oct-2024"/>
        <s v="Feb-2023"/>
        <s v="Mar-2025"/>
        <s v="Dec-2023"/>
        <s v="Jan-2023"/>
        <s v="Dec-2024"/>
        <s v="May-2024"/>
        <s v="May-2025"/>
        <s v="Jan-2024"/>
        <s v="Jan-2025"/>
        <s v="Sept-2025"/>
        <s v="Apr-2023"/>
        <s v="Jul-2025"/>
        <s v="Jul-2024"/>
        <s v="May-2023"/>
        <s v="Jun-2025"/>
        <s v="Jun-2024"/>
        <s v="Nov-2024"/>
        <s v="Apr-2025"/>
        <s v="Apr-2024"/>
        <s v="Aug-2024"/>
        <s v="Mar-2023"/>
        <s v="Jun-2023"/>
        <s v="Jul-2023"/>
        <s v="Aug-2023"/>
        <s v="Feb-2025"/>
        <s v="Sept-2023"/>
        <s v="Aug-2025"/>
        <s v="Sept-2024"/>
        <s v="Nov-2023"/>
        <s v="Feb-2024"/>
        <s v="Oct-2023"/>
        <m/>
      </sharedItems>
    </cacheField>
    <cacheField name="Quarter" numFmtId="2">
      <sharedItems containsBlank="1"/>
    </cacheField>
    <cacheField name="Region" numFmtId="0">
      <sharedItems containsBlank="1" count="5">
        <s v="Africa"/>
        <s v="Asia"/>
        <s v="Americas"/>
        <s v="Europe"/>
        <m/>
      </sharedItems>
    </cacheField>
    <cacheField name="Country" numFmtId="0">
      <sharedItems containsBlank="1"/>
    </cacheField>
    <cacheField name="City" numFmtId="0">
      <sharedItems containsBlank="1"/>
    </cacheField>
    <cacheField name="CustomerSegment" numFmtId="0">
      <sharedItems containsBlank="1"/>
    </cacheField>
    <cacheField name="Channel" numFmtId="0">
      <sharedItems containsBlank="1" count="7">
        <s v="Retail"/>
        <s v="Online"/>
        <s v="Marketplace"/>
        <s v="Distributor"/>
        <s v="Direct"/>
        <s v="Not Provided"/>
        <m/>
      </sharedItems>
    </cacheField>
    <cacheField name="Salesperson" numFmtId="0">
      <sharedItems containsBlank="1"/>
    </cacheField>
    <cacheField name="ProductCategory" numFmtId="0">
      <sharedItems containsBlank="1"/>
    </cacheField>
    <cacheField name="SKU" numFmtId="0">
      <sharedItems containsBlank="1"/>
    </cacheField>
    <cacheField name="UnitCost" numFmtId="2">
      <sharedItems containsString="0" containsBlank="1" containsNumber="1" minValue="5.34" maxValue="1495.79"/>
    </cacheField>
    <cacheField name="Price Band" numFmtId="2">
      <sharedItems containsBlank="1"/>
    </cacheField>
    <cacheField name="UnitPrice" numFmtId="2">
      <sharedItems containsString="0" containsBlank="1" containsNumber="1" minValue="-33.659999999999997" maxValue="3661.07"/>
    </cacheField>
    <cacheField name="DiscountPct" numFmtId="2">
      <sharedItems containsString="0" containsBlank="1" containsNumber="1" minValue="0" maxValue="0.56499999999999995"/>
    </cacheField>
    <cacheField name="Quantity" numFmtId="2">
      <sharedItems containsString="0" containsBlank="1" containsNumber="1" containsInteger="1" minValue="2" maxValue="61"/>
    </cacheField>
    <cacheField name="Gross Revenue" numFmtId="0">
      <sharedItems containsString="0" containsBlank="1" containsNumber="1" minValue="-417.04740000000004" maxValue="130292.46945000002"/>
    </cacheField>
    <cacheField name="Cost of Goods" numFmtId="0">
      <sharedItems containsString="0" containsBlank="1" containsNumber="1" minValue="22" maxValue="83258.290000000008"/>
    </cacheField>
    <cacheField name="Gross Profit" numFmtId="0">
      <sharedItems containsString="0" containsBlank="1" containsNumber="1" minValue="-78255.977680000011" maxValue="127914.81945000002"/>
    </cacheField>
    <cacheField name="Margin Percentage" numFmtId="0">
      <sharedItems containsString="0" containsBlank="1" containsNumber="1" minValue="-368.61661013464897" maxValue="304.25315081660227"/>
    </cacheField>
  </cacheFields>
  <extLst>
    <ext xmlns:x14="http://schemas.microsoft.com/office/spreadsheetml/2009/9/main" uri="{725AE2AE-9491-48be-B2B4-4EB974FC3084}">
      <x14:pivotCacheDefinition pivotCacheId="278489429"/>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88.290224074073" createdVersion="7" refreshedVersion="7" minRefreshableVersion="3" recordCount="633" xr:uid="{3FE1F609-CC6C-4401-9612-BDD2FC996A75}">
  <cacheSource type="worksheet">
    <worksheetSource ref="A1:X1048576" sheet="Price Compliance Data"/>
  </cacheSource>
  <cacheFields count="23">
    <cacheField name="OrderID" numFmtId="0">
      <sharedItems containsBlank="1"/>
    </cacheField>
    <cacheField name="OrderDate" numFmtId="165">
      <sharedItems containsNonDate="0" containsDate="1" containsString="0" containsBlank="1" minDate="2023-01-02T00:00:00" maxDate="2025-09-16T00:00:00"/>
    </cacheField>
    <cacheField name="RequiredDate" numFmtId="0">
      <sharedItems containsNonDate="0" containsDate="1" containsString="0" containsBlank="1" minDate="2023-01-05T00:00:00" maxDate="2025-10-06T00:00:00"/>
    </cacheField>
    <cacheField name="Leadtime days" numFmtId="2">
      <sharedItems containsString="0" containsBlank="1" containsNumber="1" containsInteger="1" minValue="0" maxValue="30"/>
    </cacheField>
    <cacheField name="Month" numFmtId="2">
      <sharedItems containsBlank="1"/>
    </cacheField>
    <cacheField name="Quarter" numFmtId="2">
      <sharedItems containsBlank="1"/>
    </cacheField>
    <cacheField name="Region" numFmtId="0">
      <sharedItems containsBlank="1" count="5">
        <s v="Africa"/>
        <s v="Asia"/>
        <s v="Americas"/>
        <s v="Europe"/>
        <m/>
      </sharedItems>
    </cacheField>
    <cacheField name="Country" numFmtId="0">
      <sharedItems containsBlank="1"/>
    </cacheField>
    <cacheField name="City" numFmtId="0">
      <sharedItems containsBlank="1"/>
    </cacheField>
    <cacheField name="CustomerSegment" numFmtId="0">
      <sharedItems containsBlank="1"/>
    </cacheField>
    <cacheField name="Channel" numFmtId="0">
      <sharedItems containsBlank="1"/>
    </cacheField>
    <cacheField name="Salesperson" numFmtId="0">
      <sharedItems containsBlank="1" count="17">
        <s v="C. Otieno"/>
        <s v="J. Njeri"/>
        <s v="I. Johnson"/>
        <s v="G. Dubois"/>
        <s v="L. Okafor"/>
        <s v="B. Chen"/>
        <s v="E. Garcia"/>
        <s v="O. Wang"/>
        <s v="A. Patel"/>
        <s v="F. Müller"/>
        <s v="H. Kim"/>
        <s v="K. Singh"/>
        <s v="M. Rossi"/>
        <s v="N. Brown"/>
        <s v="D. Smith"/>
        <s v="Not Provided"/>
        <m/>
      </sharedItems>
    </cacheField>
    <cacheField name="ProductCategory" numFmtId="0">
      <sharedItems containsBlank="1"/>
    </cacheField>
    <cacheField name="SKU" numFmtId="0">
      <sharedItems containsBlank="1"/>
    </cacheField>
    <cacheField name="UnitCost" numFmtId="2">
      <sharedItems containsString="0" containsBlank="1" containsNumber="1" minValue="5.34" maxValue="1495.79"/>
    </cacheField>
    <cacheField name="Price Band" numFmtId="2">
      <sharedItems containsBlank="1"/>
    </cacheField>
    <cacheField name="UnitPrice" numFmtId="2">
      <sharedItems containsString="0" containsBlank="1" containsNumber="1" minValue="-33.659999999999997" maxValue="3661.07"/>
    </cacheField>
    <cacheField name="DiscountPct" numFmtId="2">
      <sharedItems containsString="0" containsBlank="1" containsNumber="1" minValue="0" maxValue="0.56499999999999995" count="229">
        <n v="0.112"/>
        <n v="0.23699999999999999"/>
        <n v="0.13100000000000001"/>
        <n v="7.1999999999999995E-2"/>
        <n v="0.10199999999999999"/>
        <n v="0"/>
        <n v="0.14699999999999999"/>
        <n v="0.19400000000000001"/>
        <n v="3.1E-2"/>
        <n v="0.14899999999999999"/>
        <n v="6.0000000000000001E-3"/>
        <n v="0.25"/>
        <n v="9.4E-2"/>
        <n v="7.3999999999999996E-2"/>
        <n v="0.109"/>
        <n v="0.183"/>
        <n v="3.7999999999999999E-2"/>
        <n v="0.14299999999999999"/>
        <n v="0.12"/>
        <n v="0.01"/>
        <n v="7.0000000000000001E-3"/>
        <n v="0.16800000000000001"/>
        <n v="0.125"/>
        <n v="0.13900000000000001"/>
        <n v="8.6999999999999994E-2"/>
        <n v="8.8999999999999996E-2"/>
        <n v="8.4000000000000005E-2"/>
        <n v="0.10100000000000001"/>
        <n v="0.24299999999999999"/>
        <n v="0.13600000000000001"/>
        <n v="0.17499999999999999"/>
        <n v="0.129"/>
        <n v="3.6999999999999998E-2"/>
        <n v="0.318"/>
        <n v="0.14599999999999999"/>
        <n v="0.182"/>
        <n v="0.16900000000000001"/>
        <n v="0.187"/>
        <n v="0.126"/>
        <n v="0.29199999999999998"/>
        <n v="0.29499999999999998"/>
        <n v="0.14399999999999999"/>
        <n v="3.5000000000000003E-2"/>
        <n v="7.4999999999999997E-2"/>
        <n v="0.20499999999999999"/>
        <n v="0.11899999999999999"/>
        <n v="0.11"/>
        <n v="0.2"/>
        <n v="0.255"/>
        <n v="0.13"/>
        <n v="0.184"/>
        <n v="0.189"/>
        <n v="0.105"/>
        <n v="0.20399999999999999"/>
        <n v="0.05"/>
        <n v="6.8000000000000005E-2"/>
        <n v="0.14199999999999999"/>
        <n v="0.185"/>
        <n v="4.7E-2"/>
        <n v="0.34300000000000003"/>
        <n v="0.114"/>
        <n v="0.13400000000000001"/>
        <n v="0.25700000000000001"/>
        <n v="0.186"/>
        <n v="0.161"/>
        <n v="0.24099999999999999"/>
        <n v="0.215"/>
        <n v="0.104"/>
        <n v="7.0000000000000007E-2"/>
        <n v="0.154"/>
        <n v="0.188"/>
        <n v="0.03"/>
        <n v="6.6000000000000003E-2"/>
        <n v="9.6000000000000002E-2"/>
        <n v="9.9000000000000005E-2"/>
        <n v="0.16"/>
        <n v="3.4000000000000002E-2"/>
        <n v="9.1999999999999998E-2"/>
        <n v="0.14000000000000001"/>
        <n v="0.18"/>
        <n v="0.27800000000000002"/>
        <n v="0.13700000000000001"/>
        <n v="0.123"/>
        <n v="0.22900000000000001"/>
        <n v="1.2E-2"/>
        <n v="0.11799999999999999"/>
        <n v="0.108"/>
        <n v="0.157"/>
        <n v="7.0999999999999994E-2"/>
        <n v="4.2999999999999997E-2"/>
        <n v="6.9000000000000006E-2"/>
        <n v="0.20300000000000001"/>
        <n v="5.7000000000000002E-2"/>
        <n v="7.2999999999999995E-2"/>
        <n v="0.17899999999999999"/>
        <n v="0.111"/>
        <n v="6.3E-2"/>
        <n v="0.22"/>
        <n v="0.192"/>
        <n v="8.9999999999999993E-3"/>
        <n v="0.26500000000000001"/>
        <n v="0.25900000000000001"/>
        <n v="0.151"/>
        <n v="0.245"/>
        <n v="8.2000000000000003E-2"/>
        <n v="0.107"/>
        <n v="2.1000000000000001E-2"/>
        <n v="4.4999999999999998E-2"/>
        <n v="1.7999999999999999E-2"/>
        <n v="2.5000000000000001E-2"/>
        <n v="0.127"/>
        <n v="0.18099999999999999"/>
        <n v="0.13300000000000001"/>
        <n v="0.02"/>
        <n v="5.2999999999999999E-2"/>
        <n v="0.19700000000000001"/>
        <n v="0.254"/>
        <n v="7.8E-2"/>
        <n v="2.1999999999999999E-2"/>
        <n v="9.0999999999999998E-2"/>
        <n v="0.17699999999999999"/>
        <n v="5.6000000000000001E-2"/>
        <n v="0.17299999999999999"/>
        <n v="0.21199999999999999"/>
        <n v="0.19600000000000001"/>
        <n v="0.153"/>
        <n v="0.21099999999999999"/>
        <n v="0.23300000000000001"/>
        <n v="0.23599999999999999"/>
        <n v="0.159"/>
        <n v="5.0999999999999997E-2"/>
        <n v="0.155"/>
        <n v="0.25800000000000001"/>
        <n v="5.5E-2"/>
        <n v="2.9000000000000001E-2"/>
        <n v="0.14799999999999999"/>
        <n v="0.152"/>
        <n v="0.128"/>
        <n v="0.20100000000000001"/>
        <n v="0.113"/>
        <n v="4.0000000000000001E-3"/>
        <n v="0.26600000000000001"/>
        <n v="9.2999999999999999E-2"/>
        <n v="6.7000000000000004E-2"/>
        <n v="0.11600000000000001"/>
        <n v="0.17199999999999999"/>
        <n v="0.23499999999999999"/>
        <n v="8.5999999999999993E-2"/>
        <n v="9.5000000000000001E-2"/>
        <n v="0.23799999999999999"/>
        <n v="0.16700000000000001"/>
        <n v="0.26300000000000001"/>
        <n v="0.22500000000000001"/>
        <n v="0.122"/>
        <n v="0.216"/>
        <n v="0.17399999999999999"/>
        <n v="0.16400000000000001"/>
        <n v="0.13500000000000001"/>
        <n v="0.115"/>
        <n v="0.13800000000000001"/>
        <n v="0.317"/>
        <n v="0.156"/>
        <n v="0.20699999999999999"/>
        <n v="5.8999999999999997E-2"/>
        <n v="0.08"/>
        <n v="0.1"/>
        <n v="0.17599999999999999"/>
        <n v="8.7999999999999995E-2"/>
        <n v="0.09"/>
        <n v="0.14099999999999999"/>
        <n v="1.4E-2"/>
        <n v="7.5999999999999998E-2"/>
        <n v="0.10299999999999999"/>
        <n v="0.121"/>
        <n v="4.2000000000000003E-2"/>
        <n v="0.34599999999999997"/>
        <n v="6.5000000000000002E-2"/>
        <n v="0.23899999999999999"/>
        <n v="0.27"/>
        <n v="2.8000000000000001E-2"/>
        <n v="0.14499999999999999"/>
        <n v="0.158"/>
        <n v="0.21"/>
        <n v="0.24"/>
        <n v="0.29899999999999999"/>
        <n v="0.56499999999999995"/>
        <n v="0.28199999999999997"/>
        <n v="0.26100000000000001"/>
        <n v="3.9E-2"/>
        <n v="0.17"/>
        <n v="0.27200000000000002"/>
        <n v="0.13200000000000001"/>
        <n v="0.106"/>
        <n v="5.8000000000000003E-2"/>
        <n v="0.25600000000000001"/>
        <n v="3.2000000000000001E-2"/>
        <n v="0.16300000000000001"/>
        <n v="0.19"/>
        <n v="0.35699999999999998"/>
        <n v="9.8000000000000004E-2"/>
        <n v="8.3000000000000004E-2"/>
        <n v="6.4000000000000001E-2"/>
        <n v="7.6999999999999999E-2"/>
        <n v="0.217"/>
        <n v="0.22600000000000001"/>
        <n v="1.9E-2"/>
        <n v="0.314"/>
        <n v="0.214"/>
        <n v="4.1000000000000002E-2"/>
        <n v="0.15"/>
        <n v="0.29299999999999998"/>
        <n v="0.16500000000000001"/>
        <n v="1.7000000000000001E-2"/>
        <n v="0.124"/>
        <n v="0.23"/>
        <n v="4.5999999999999999E-2"/>
        <n v="4.9000000000000002E-2"/>
        <n v="0.222"/>
        <n v="0.218"/>
        <n v="0.20899999999999999"/>
        <n v="0.248"/>
        <n v="4.3999999999999997E-2"/>
        <n v="0.20799999999999999"/>
        <n v="5.3999999999999999E-2"/>
        <n v="9.7000000000000003E-2"/>
        <n v="0.17100000000000001"/>
        <n v="8.1000000000000003E-2"/>
        <n v="6.2E-2"/>
        <m/>
      </sharedItems>
    </cacheField>
    <cacheField name="Quantity" numFmtId="2">
      <sharedItems containsString="0" containsBlank="1" containsNumber="1" containsInteger="1" minValue="2" maxValue="61"/>
    </cacheField>
    <cacheField name="Gross Revenue" numFmtId="0">
      <sharedItems containsString="0" containsBlank="1" containsNumber="1" minValue="-417.04740000000004" maxValue="130292.46945000002"/>
    </cacheField>
    <cacheField name="Cost of Goods" numFmtId="0">
      <sharedItems containsString="0" containsBlank="1" containsNumber="1" minValue="22" maxValue="83258.290000000008"/>
    </cacheField>
    <cacheField name="Gross Profit" numFmtId="0">
      <sharedItems containsString="0" containsBlank="1" containsNumber="1" minValue="-78255.977680000011" maxValue="127914.81945000002"/>
    </cacheField>
    <cacheField name="Margin Percentage" numFmtId="0">
      <sharedItems containsString="0" containsBlank="1" containsNumber="1" minValue="-368.61661013464897" maxValue="304.25315081660227"/>
    </cacheField>
  </cacheFields>
  <extLst>
    <ext xmlns:x14="http://schemas.microsoft.com/office/spreadsheetml/2009/9/main" uri="{725AE2AE-9491-48be-B2B4-4EB974FC3084}">
      <x14:pivotCacheDefinition pivotCacheId="1858317149"/>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90.529763310187" createdVersion="7" refreshedVersion="7" minRefreshableVersion="3" recordCount="7" xr:uid="{32FA1E27-78D5-4893-B237-229D6B106D56}">
  <cacheSource type="worksheet">
    <worksheetSource ref="D3:I10" sheet="Pivot ABC Data"/>
  </cacheSource>
  <cacheFields count="6">
    <cacheField name="Product Category" numFmtId="0">
      <sharedItems count="7">
        <s v="Printers"/>
        <s v="Phones"/>
        <s v="Monitors"/>
        <s v="Networking"/>
        <s v="Laptops"/>
        <s v="Accessories"/>
        <s v="Components"/>
      </sharedItems>
    </cacheField>
    <cacheField name="Gross Revenue" numFmtId="0">
      <sharedItems containsSemiMixedTypes="0" containsString="0" containsNumber="1" minValue="1248766.6529700004" maxValue="1926575.4344300001"/>
    </cacheField>
    <cacheField name="Revenue Contribution %" numFmtId="10">
      <sharedItems containsSemiMixedTypes="0" containsString="0" containsNumber="1" minValue="0.11925400645604425" maxValue="0.18398300334905798"/>
    </cacheField>
    <cacheField name="Frequency" numFmtId="2">
      <sharedItems containsSemiMixedTypes="0" containsString="0" containsNumber="1" minValue="1926575.4344300001" maxValue="10471485.949030001"/>
    </cacheField>
    <cacheField name="Cummulative %" numFmtId="10">
      <sharedItems containsSemiMixedTypes="0" containsString="0" containsNumber="1" minValue="0.18398300334905798" maxValue="1"/>
    </cacheField>
    <cacheField name="Class" numFmtId="0">
      <sharedItems count="3">
        <s v="A"/>
        <s v="B"/>
        <s v="C"/>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2">
  <r>
    <d v="2024-03-11T00:00:00"/>
    <x v="0"/>
    <x v="0"/>
    <d v="2024-03-11T00:00:00"/>
    <s v="Q1-2024"/>
    <s v="Africa"/>
    <x v="0"/>
    <s v="Kisumu"/>
    <s v="Components"/>
    <s v="High"/>
    <n v="608.9"/>
    <n v="608.9"/>
    <n v="0.112"/>
    <n v="9"/>
    <n v="1403.9546399999999"/>
  </r>
  <r>
    <d v="2024-03-12T00:00:00"/>
    <x v="1"/>
    <x v="0"/>
    <d v="2024-03-12T00:00:00"/>
    <s v="Q1-2024"/>
    <s v="Africa"/>
    <x v="1"/>
    <s v="Port Harcourt"/>
    <s v="Printers"/>
    <s v="High"/>
    <n v="759.33"/>
    <n v="759.33"/>
    <n v="0.23699999999999999"/>
    <n v="31"/>
    <n v="17934.41419"/>
  </r>
  <r>
    <d v="2024-03-13T00:00:00"/>
    <x v="2"/>
    <x v="0"/>
    <d v="2024-03-13T00:00:00"/>
    <s v="Q1-2024"/>
    <s v="Africa"/>
    <x v="0"/>
    <s v="Nairobi"/>
    <s v="Networking"/>
    <s v="Low"/>
    <n v="-30.66"/>
    <n v="-30.66"/>
    <n v="0.13100000000000001"/>
    <n v="12"/>
    <n v="4534.0944"/>
  </r>
  <r>
    <d v="2024-03-14T00:00:00"/>
    <x v="3"/>
    <x v="0"/>
    <d v="2024-03-14T00:00:00"/>
    <s v="Q1-2024"/>
    <s v="Africa"/>
    <x v="1"/>
    <s v="Lagos"/>
    <s v="Phones"/>
    <s v="High"/>
    <n v="255.94"/>
    <n v="255.94"/>
    <n v="7.1999999999999995E-2"/>
    <n v="22"/>
    <n v="34016.730880000003"/>
  </r>
  <r>
    <d v="2024-03-15T00:00:00"/>
    <x v="4"/>
    <x v="0"/>
    <d v="2024-03-15T00:00:00"/>
    <s v="Q1-2024"/>
    <s v="Asia"/>
    <x v="2"/>
    <s v="Osaka"/>
    <s v="Printers"/>
    <s v="High"/>
    <n v="813.51"/>
    <n v="813.51"/>
    <n v="0.10199999999999999"/>
    <n v="15"/>
    <n v="8510.0765999999985"/>
  </r>
  <r>
    <d v="2024-03-16T00:00:00"/>
    <x v="5"/>
    <x v="0"/>
    <d v="2024-03-16T00:00:00"/>
    <s v="Q1-2024"/>
    <s v="Americas"/>
    <x v="3"/>
    <s v="Toronto"/>
    <s v="Laptops"/>
    <s v="High"/>
    <n v="591.67999999999995"/>
    <n v="591.67999999999995"/>
    <n v="0"/>
    <n v="7"/>
    <n v="12558.49"/>
  </r>
  <r>
    <d v="2024-03-17T00:00:00"/>
    <x v="6"/>
    <x v="0"/>
    <d v="2024-03-17T00:00:00"/>
    <s v="Q1-2024"/>
    <s v="Asia"/>
    <x v="4"/>
    <s v="Bengaluru"/>
    <s v="Monitors"/>
    <s v="High"/>
    <n v="845.97"/>
    <n v="845.97"/>
    <n v="0.14699999999999999"/>
    <n v="4"/>
    <n v="8983.864239999999"/>
  </r>
  <r>
    <d v="2024-03-18T00:00:00"/>
    <x v="5"/>
    <x v="0"/>
    <d v="2024-03-18T00:00:00"/>
    <s v="Q1-2024"/>
    <s v="Africa"/>
    <x v="1"/>
    <s v="Abuja"/>
    <s v="Printers"/>
    <s v="Low"/>
    <n v="47.22"/>
    <n v="47.22"/>
    <n v="0.19400000000000001"/>
    <n v="18"/>
    <n v="19177.399799999999"/>
  </r>
  <r>
    <d v="2024-03-19T00:00:00"/>
    <x v="7"/>
    <x v="0"/>
    <d v="2024-03-19T00:00:00"/>
    <s v="Q1-2024"/>
    <s v="Africa"/>
    <x v="1"/>
    <s v="Abuja"/>
    <s v="Monitors"/>
    <s v="High"/>
    <n v="2530.81"/>
    <n v="2530.81"/>
    <n v="3.1E-2"/>
    <n v="6"/>
    <n v="17656.36218"/>
  </r>
  <r>
    <d v="2024-03-20T00:00:00"/>
    <x v="8"/>
    <x v="0"/>
    <d v="2024-03-20T00:00:00"/>
    <s v="Q1-2024"/>
    <s v="Americas"/>
    <x v="5"/>
    <s v="São Paulo"/>
    <s v="Components"/>
    <s v="High"/>
    <n v="2309.56"/>
    <n v="2309.56"/>
    <n v="0.14899999999999999"/>
    <n v="31"/>
    <n v="5259.5799699999998"/>
  </r>
  <r>
    <d v="2024-03-21T00:00:00"/>
    <x v="9"/>
    <x v="0"/>
    <d v="2024-03-21T00:00:00"/>
    <s v="Q1-2024"/>
    <s v="Europe"/>
    <x v="6"/>
    <s v="Berlin"/>
    <s v="Accessories"/>
    <s v="High"/>
    <n v="700.12"/>
    <n v="700.12"/>
    <n v="6.0000000000000001E-3"/>
    <n v="23"/>
    <n v="21204.733619999999"/>
  </r>
  <r>
    <d v="2024-03-22T00:00:00"/>
    <x v="10"/>
    <x v="0"/>
    <d v="2024-03-22T00:00:00"/>
    <s v="Q1-2024"/>
    <s v="Asia"/>
    <x v="2"/>
    <s v="Osaka"/>
    <s v="Phones"/>
    <s v="High"/>
    <n v="691.37"/>
    <n v="691.37"/>
    <n v="0.25"/>
    <n v="20"/>
    <n v="26031.15"/>
  </r>
  <r>
    <d v="2024-03-23T00:00:00"/>
    <x v="3"/>
    <x v="0"/>
    <d v="2024-03-23T00:00:00"/>
    <s v="Q1-2024"/>
    <s v="Americas"/>
    <x v="5"/>
    <s v="Brasília"/>
    <s v="Components"/>
    <s v="High"/>
    <n v="548.4"/>
    <n v="548.4"/>
    <n v="9.4E-2"/>
    <n v="10"/>
    <n v="12644.498400000002"/>
  </r>
  <r>
    <d v="2024-03-24T00:00:00"/>
    <x v="9"/>
    <x v="0"/>
    <d v="2024-03-24T00:00:00"/>
    <s v="Q1-2024"/>
    <s v="Europe"/>
    <x v="7"/>
    <s v="Marseille"/>
    <s v="Printers"/>
    <s v="High"/>
    <n v="1439.01"/>
    <n v="1439.01"/>
    <n v="0"/>
    <n v="15"/>
    <n v="6816.3"/>
  </r>
  <r>
    <d v="2024-03-25T00:00:00"/>
    <x v="11"/>
    <x v="0"/>
    <d v="2024-03-25T00:00:00"/>
    <s v="Q1-2024"/>
    <s v="Americas"/>
    <x v="5"/>
    <s v="Brasília"/>
    <s v="Accessories"/>
    <s v="High"/>
    <n v="631.57000000000005"/>
    <n v="631.57000000000005"/>
    <n v="0"/>
    <n v="12"/>
    <n v="18971.64"/>
  </r>
  <r>
    <d v="2024-03-26T00:00:00"/>
    <x v="12"/>
    <x v="0"/>
    <d v="2024-03-26T00:00:00"/>
    <s v="Q1-2024"/>
    <s v="Africa"/>
    <x v="0"/>
    <s v="Nairobi"/>
    <s v="Laptops"/>
    <s v="High"/>
    <n v="850.8"/>
    <n v="850.8"/>
    <n v="7.3999999999999996E-2"/>
    <n v="9"/>
    <n v="14666.089860000002"/>
  </r>
  <r>
    <d v="2024-03-27T00:00:00"/>
    <x v="6"/>
    <x v="0"/>
    <d v="2024-03-27T00:00:00"/>
    <s v="Q1-2024"/>
    <s v="Europe"/>
    <x v="7"/>
    <s v="Marseille"/>
    <s v="Printers"/>
    <s v="High"/>
    <n v="1040.0999999999999"/>
    <n v="1040.0999999999999"/>
    <n v="0.109"/>
    <n v="28"/>
    <n v="79945.865999999995"/>
  </r>
  <r>
    <d v="2024-03-28T00:00:00"/>
    <x v="11"/>
    <x v="0"/>
    <d v="2024-03-28T00:00:00"/>
    <s v="Q1-2024"/>
    <s v="Asia"/>
    <x v="2"/>
    <s v="Osaka"/>
    <s v="Phones"/>
    <s v="High"/>
    <n v="2705.57"/>
    <n v="2705.57"/>
    <n v="0.183"/>
    <n v="16"/>
    <n v="14842.34096"/>
  </r>
  <r>
    <d v="2024-03-29T00:00:00"/>
    <x v="13"/>
    <x v="0"/>
    <d v="2024-03-29T00:00:00"/>
    <s v="Q1-2024"/>
    <s v="Americas"/>
    <x v="5"/>
    <s v="Brasília"/>
    <s v="Accessories"/>
    <s v="High"/>
    <n v="2375.37"/>
    <n v="2375.37"/>
    <n v="0.109"/>
    <n v="18"/>
    <n v="15979.62168"/>
  </r>
  <r>
    <d v="2024-03-30T00:00:00"/>
    <x v="8"/>
    <x v="0"/>
    <d v="2024-03-30T00:00:00"/>
    <s v="Q1-2024"/>
    <s v="Europe"/>
    <x v="8"/>
    <s v="Birmingham"/>
    <s v="Laptops"/>
    <s v="High"/>
    <n v="2148.14"/>
    <n v="2148.14"/>
    <n v="3.7999999999999999E-2"/>
    <n v="19"/>
    <n v="25535.279900000001"/>
  </r>
  <r>
    <d v="2024-03-31T00:00:00"/>
    <x v="14"/>
    <x v="0"/>
    <d v="2024-03-31T00:00:00"/>
    <s v="Q1-2024"/>
    <s v="Africa"/>
    <x v="0"/>
    <s v="Mombasa"/>
    <s v="Laptops"/>
    <s v="High"/>
    <n v="3661.07"/>
    <n v="3661.07"/>
    <n v="7.1999999999999995E-2"/>
    <n v="7"/>
    <n v="3565.5894400000002"/>
  </r>
  <r>
    <d v="2024-04-01T00:00:00"/>
    <x v="15"/>
    <x v="1"/>
    <d v="2024-04-01T00:00:00"/>
    <s v="Q2-2024"/>
    <s v="Asia"/>
    <x v="9"/>
    <s v="Shenzhen"/>
    <s v="Networking"/>
    <s v="High"/>
    <n v="2903.09"/>
    <n v="2903.09"/>
    <n v="0.14299999999999999"/>
    <n v="8"/>
    <n v="24160.543999999998"/>
  </r>
  <r>
    <d v="2024-04-02T00:00:00"/>
    <x v="16"/>
    <x v="1"/>
    <d v="2024-04-02T00:00:00"/>
    <s v="Q2-2024"/>
    <s v="Africa"/>
    <x v="1"/>
    <s v="Port Harcourt"/>
    <s v="Accessories"/>
    <s v="High"/>
    <n v="1242.8399999999999"/>
    <n v="1242.8399999999999"/>
    <n v="0.12"/>
    <n v="10"/>
    <n v="16065.367999999999"/>
  </r>
  <r>
    <d v="2024-04-03T00:00:00"/>
    <x v="7"/>
    <x v="1"/>
    <d v="2024-04-03T00:00:00"/>
    <s v="Q2-2024"/>
    <s v="Americas"/>
    <x v="10"/>
    <s v="Chicago"/>
    <s v="Laptops"/>
    <s v="High"/>
    <n v="2553.69"/>
    <n v="2553.69"/>
    <n v="0.01"/>
    <n v="8"/>
    <n v="14187.650399999999"/>
  </r>
  <r>
    <d v="2024-04-04T00:00:00"/>
    <x v="2"/>
    <x v="1"/>
    <d v="2024-04-04T00:00:00"/>
    <s v="Q2-2024"/>
    <s v="Americas"/>
    <x v="5"/>
    <s v="São Paulo"/>
    <s v="Components"/>
    <s v="High"/>
    <n v="2089.16"/>
    <n v="2089.16"/>
    <n v="7.0000000000000001E-3"/>
    <n v="12"/>
    <n v="31336.100999999999"/>
  </r>
  <r>
    <d v="2024-04-05T00:00:00"/>
    <x v="17"/>
    <x v="1"/>
    <d v="2024-04-05T00:00:00"/>
    <s v="Q2-2024"/>
    <s v="Americas"/>
    <x v="5"/>
    <s v="Brasília"/>
    <s v="Accessories"/>
    <s v="High"/>
    <n v="2583.02"/>
    <n v="2583.02"/>
    <n v="0.16800000000000001"/>
    <n v="4"/>
    <n v="353.76639999999998"/>
  </r>
  <r>
    <d v="2024-04-06T00:00:00"/>
    <x v="18"/>
    <x v="1"/>
    <d v="2024-04-06T00:00:00"/>
    <s v="Q2-2024"/>
    <s v="Europe"/>
    <x v="7"/>
    <s v="Marseille"/>
    <s v="Printers"/>
    <s v="Medium"/>
    <n v="175.67"/>
    <n v="175.67"/>
    <n v="0"/>
    <n v="10"/>
    <n v="3857.2000000000003"/>
  </r>
  <r>
    <d v="2024-04-07T00:00:00"/>
    <x v="14"/>
    <x v="1"/>
    <d v="2024-04-07T00:00:00"/>
    <s v="Q2-2024"/>
    <s v="Africa"/>
    <x v="0"/>
    <s v="Kisumu"/>
    <s v="Phones"/>
    <s v="High"/>
    <n v="758.23"/>
    <n v="758.23"/>
    <n v="0.125"/>
    <n v="6"/>
    <n v="1243.5675000000001"/>
  </r>
  <r>
    <d v="2024-04-08T00:00:00"/>
    <x v="12"/>
    <x v="1"/>
    <d v="2024-04-08T00:00:00"/>
    <s v="Q2-2024"/>
    <s v="Africa"/>
    <x v="0"/>
    <s v="Nakuru"/>
    <s v="Phones"/>
    <s v="High"/>
    <n v="434.8"/>
    <n v="434.8"/>
    <n v="0"/>
    <n v="9"/>
    <n v="377.09999999999997"/>
  </r>
  <r>
    <d v="2024-04-09T00:00:00"/>
    <x v="19"/>
    <x v="1"/>
    <d v="2024-04-09T00:00:00"/>
    <s v="Q2-2024"/>
    <s v="Europe"/>
    <x v="7"/>
    <s v="Lyon"/>
    <s v="Networking"/>
    <s v="High"/>
    <n v="1666.18"/>
    <n v="1666.18"/>
    <n v="0.13900000000000001"/>
    <n v="14"/>
    <n v="11781.338519999999"/>
  </r>
  <r>
    <d v="2024-04-10T00:00:00"/>
    <x v="6"/>
    <x v="1"/>
    <d v="2024-04-10T00:00:00"/>
    <s v="Q2-2024"/>
    <s v="Asia"/>
    <x v="4"/>
    <s v="Delhi"/>
    <s v="Components"/>
    <s v="High"/>
    <n v="631.78"/>
    <n v="631.78"/>
    <n v="8.6999999999999994E-2"/>
    <n v="17"/>
    <n v="43367.691729999999"/>
  </r>
  <r>
    <d v="2024-04-11T00:00:00"/>
    <x v="2"/>
    <x v="1"/>
    <d v="2024-04-11T00:00:00"/>
    <s v="Q2-2024"/>
    <s v="Americas"/>
    <x v="3"/>
    <s v="Montreal"/>
    <s v="Phones"/>
    <s v="High"/>
    <n v="1794.07"/>
    <n v="1794.07"/>
    <n v="8.8999999999999996E-2"/>
    <n v="16"/>
    <n v="10231.623200000002"/>
  </r>
  <r>
    <d v="2024-04-12T00:00:00"/>
    <x v="13"/>
    <x v="1"/>
    <d v="2024-04-12T00:00:00"/>
    <s v="Q2-2024"/>
    <s v="Africa"/>
    <x v="11"/>
    <s v="Johannesburg"/>
    <s v="Networking"/>
    <s v="High"/>
    <n v="2633.02"/>
    <n v="2633.02"/>
    <n v="8.4000000000000005E-2"/>
    <n v="4"/>
    <n v="-19.309279999999998"/>
  </r>
  <r>
    <d v="2024-04-13T00:00:00"/>
    <x v="20"/>
    <x v="1"/>
    <d v="2024-04-13T00:00:00"/>
    <s v="Q2-2024"/>
    <s v="Europe"/>
    <x v="8"/>
    <s v="London"/>
    <s v="Laptops"/>
    <s v="High"/>
    <n v="1321.85"/>
    <n v="1321.85"/>
    <n v="0"/>
    <n v="10"/>
    <n v="14370.599999999999"/>
  </r>
  <r>
    <d v="2024-04-14T00:00:00"/>
    <x v="21"/>
    <x v="1"/>
    <d v="2024-04-14T00:00:00"/>
    <s v="Q2-2024"/>
    <s v="Africa"/>
    <x v="11"/>
    <s v="Johannesburg"/>
    <s v="Components"/>
    <s v="High"/>
    <n v="3036.87"/>
    <n v="3036.87"/>
    <n v="0"/>
    <n v="9"/>
    <n v="17207.010000000002"/>
  </r>
  <r>
    <d v="2024-04-15T00:00:00"/>
    <x v="22"/>
    <x v="1"/>
    <d v="2024-04-15T00:00:00"/>
    <s v="Q2-2024"/>
    <s v="Asia"/>
    <x v="4"/>
    <s v="Delhi"/>
    <s v="Printers"/>
    <s v="Medium"/>
    <n v="199.37"/>
    <n v="199.37"/>
    <n v="0.10100000000000001"/>
    <n v="37"/>
    <n v="86276.904139999999"/>
  </r>
  <r>
    <d v="2024-04-16T00:00:00"/>
    <x v="0"/>
    <x v="1"/>
    <d v="2024-04-16T00:00:00"/>
    <s v="Q2-2024"/>
    <s v="Europe"/>
    <x v="6"/>
    <s v="Munich"/>
    <s v="Components"/>
    <s v="High"/>
    <n v="927.51"/>
    <n v="927.51"/>
    <n v="0.24299999999999999"/>
    <n v="27"/>
    <n v="25427.751119999997"/>
  </r>
  <r>
    <d v="2024-04-17T00:00:00"/>
    <x v="16"/>
    <x v="1"/>
    <d v="2024-04-17T00:00:00"/>
    <s v="Q2-2024"/>
    <s v="Asia"/>
    <x v="9"/>
    <s v="Shanghai"/>
    <s v="Components"/>
    <s v="High"/>
    <n v="1735.41"/>
    <n v="1735.41"/>
    <n v="0.13600000000000001"/>
    <n v="8"/>
    <n v="13219.269119999999"/>
  </r>
  <r>
    <d v="2024-04-18T00:00:00"/>
    <x v="20"/>
    <x v="1"/>
    <d v="2024-04-18T00:00:00"/>
    <s v="Q2-2024"/>
    <s v="Africa"/>
    <x v="1"/>
    <s v="Port Harcourt"/>
    <s v="Printers"/>
    <s v="High"/>
    <n v="1395.64"/>
    <n v="1395.64"/>
    <n v="0.17499999999999999"/>
    <n v="13"/>
    <n v="8106.7057499999992"/>
  </r>
  <r>
    <d v="2024-04-19T00:00:00"/>
    <x v="23"/>
    <x v="1"/>
    <d v="2024-04-19T00:00:00"/>
    <s v="Q2-2024"/>
    <s v="Americas"/>
    <x v="10"/>
    <s v="San Francisco"/>
    <s v="Printers"/>
    <s v="High"/>
    <n v="454.42"/>
    <n v="454.42"/>
    <n v="0.129"/>
    <n v="9"/>
    <n v="8980.9071300000014"/>
  </r>
  <r>
    <d v="2024-04-20T00:00:00"/>
    <x v="21"/>
    <x v="1"/>
    <d v="2024-04-20T00:00:00"/>
    <s v="Q2-2024"/>
    <s v="Europe"/>
    <x v="6"/>
    <s v="Berlin"/>
    <s v="Monitors"/>
    <s v="High"/>
    <n v="1580.97"/>
    <n v="1580.97"/>
    <n v="3.6999999999999998E-2"/>
    <n v="27"/>
    <n v="32087.834099999996"/>
  </r>
  <r>
    <d v="2024-04-21T00:00:00"/>
    <x v="9"/>
    <x v="1"/>
    <d v="2024-04-21T00:00:00"/>
    <s v="Q2-2024"/>
    <s v="Africa"/>
    <x v="11"/>
    <s v="Durban"/>
    <s v="Networking"/>
    <s v="High"/>
    <n v="1759.79"/>
    <n v="1759.79"/>
    <n v="0"/>
    <n v="6"/>
    <n v="7368.0599999999995"/>
  </r>
  <r>
    <d v="2024-04-22T00:00:00"/>
    <x v="1"/>
    <x v="1"/>
    <d v="2024-04-22T00:00:00"/>
    <s v="Q2-2024"/>
    <s v="Africa"/>
    <x v="0"/>
    <s v="Mombasa"/>
    <s v="Printers"/>
    <s v="High"/>
    <n v="3204.5"/>
    <n v="3204.5"/>
    <n v="0.318"/>
    <n v="14"/>
    <n v="5778.7360400000007"/>
  </r>
  <r>
    <d v="2024-04-23T00:00:00"/>
    <x v="8"/>
    <x v="1"/>
    <d v="2024-04-23T00:00:00"/>
    <s v="Q2-2024"/>
    <s v="Europe"/>
    <x v="6"/>
    <s v="Berlin"/>
    <s v="Printers"/>
    <s v="High"/>
    <n v="1135.43"/>
    <n v="1135.43"/>
    <n v="0.14599999999999999"/>
    <n v="11"/>
    <n v="17662.129100000002"/>
  </r>
  <r>
    <d v="2024-04-24T00:00:00"/>
    <x v="7"/>
    <x v="1"/>
    <d v="2024-04-24T00:00:00"/>
    <s v="Q2-2024"/>
    <s v="Americas"/>
    <x v="3"/>
    <s v="Vancouver"/>
    <s v="Components"/>
    <s v="High"/>
    <n v="996.36"/>
    <n v="996.36"/>
    <n v="0.182"/>
    <n v="22"/>
    <n v="22844.122400000004"/>
  </r>
  <r>
    <d v="2024-04-25T00:00:00"/>
    <x v="12"/>
    <x v="1"/>
    <d v="2024-04-25T00:00:00"/>
    <s v="Q2-2024"/>
    <s v="Asia"/>
    <x v="4"/>
    <s v="Delhi"/>
    <s v="Networking"/>
    <s v="High"/>
    <n v="1397.05"/>
    <n v="1397.05"/>
    <n v="0.16900000000000001"/>
    <n v="28"/>
    <n v="14447.799239999997"/>
  </r>
  <r>
    <d v="2024-04-26T00:00:00"/>
    <x v="23"/>
    <x v="1"/>
    <d v="2024-04-26T00:00:00"/>
    <s v="Q2-2024"/>
    <s v="Africa"/>
    <x v="1"/>
    <s v="Abuja"/>
    <s v="Printers"/>
    <s v="High"/>
    <n v="548.89"/>
    <n v="548.89"/>
    <n v="0"/>
    <n v="13"/>
    <n v="18926.830000000002"/>
  </r>
  <r>
    <d v="2024-04-27T00:00:00"/>
    <x v="7"/>
    <x v="1"/>
    <d v="2024-04-27T00:00:00"/>
    <s v="Q2-2024"/>
    <s v="Europe"/>
    <x v="8"/>
    <s v="Birmingham"/>
    <s v="Networking"/>
    <s v="High"/>
    <n v="3524"/>
    <n v="3524"/>
    <n v="0"/>
    <n v="31"/>
    <n v="16939.329999999998"/>
  </r>
  <r>
    <d v="2024-04-28T00:00:00"/>
    <x v="1"/>
    <x v="1"/>
    <d v="2024-04-28T00:00:00"/>
    <s v="Q2-2024"/>
    <s v="Africa"/>
    <x v="1"/>
    <s v="Lagos"/>
    <s v="Networking"/>
    <s v="High"/>
    <n v="1825.61"/>
    <n v="1825.61"/>
    <n v="0.187"/>
    <n v="24"/>
    <n v="26300.615040000001"/>
  </r>
  <r>
    <d v="2024-04-29T00:00:00"/>
    <x v="24"/>
    <x v="1"/>
    <d v="2024-04-29T00:00:00"/>
    <s v="Q2-2024"/>
    <s v="Europe"/>
    <x v="7"/>
    <s v="Marseille"/>
    <s v="Printers"/>
    <s v="High"/>
    <n v="1791.37"/>
    <n v="1791.37"/>
    <n v="0.126"/>
    <n v="22"/>
    <n v="21312.892040000002"/>
  </r>
  <r>
    <d v="2024-04-30T00:00:00"/>
    <x v="18"/>
    <x v="1"/>
    <d v="2024-04-30T00:00:00"/>
    <s v="Q2-2024"/>
    <s v="Americas"/>
    <x v="3"/>
    <s v="Toronto"/>
    <s v="Accessories"/>
    <s v="High"/>
    <n v="2629.75"/>
    <n v="2629.75"/>
    <n v="0.29199999999999998"/>
    <n v="8"/>
    <n v="17808.182399999998"/>
  </r>
  <r>
    <d v="2024-05-01T00:00:00"/>
    <x v="1"/>
    <x v="2"/>
    <d v="2024-05-01T00:00:00"/>
    <s v="Q2-2024"/>
    <s v="Asia"/>
    <x v="4"/>
    <s v="Bengaluru"/>
    <s v="Monitors"/>
    <s v="Medium"/>
    <n v="106.3"/>
    <n v="106.3"/>
    <n v="0.29499999999999998"/>
    <n v="8"/>
    <n v="11819.917200000002"/>
  </r>
  <r>
    <d v="2024-05-02T00:00:00"/>
    <x v="22"/>
    <x v="2"/>
    <d v="2024-05-02T00:00:00"/>
    <s v="Q2-2024"/>
    <s v="Africa"/>
    <x v="0"/>
    <s v="Nakuru"/>
    <s v="Laptops"/>
    <s v="High"/>
    <n v="385.72"/>
    <n v="385.72"/>
    <n v="0"/>
    <n v="15"/>
    <n v="10554.3"/>
  </r>
  <r>
    <d v="2024-05-03T00:00:00"/>
    <x v="10"/>
    <x v="2"/>
    <d v="2024-05-03T00:00:00"/>
    <s v="Q2-2024"/>
    <s v="Europe"/>
    <x v="7"/>
    <s v="Lyon"/>
    <s v="Laptops"/>
    <s v="High"/>
    <n v="236.87"/>
    <n v="236.87"/>
    <n v="0.182"/>
    <n v="13"/>
    <n v="21238.118460000002"/>
  </r>
  <r>
    <d v="2024-05-04T00:00:00"/>
    <x v="25"/>
    <x v="2"/>
    <d v="2024-05-04T00:00:00"/>
    <s v="Q2-2024"/>
    <s v="Europe"/>
    <x v="6"/>
    <s v="Munich"/>
    <s v="Networking"/>
    <s v="Low"/>
    <n v="41.9"/>
    <n v="41.9"/>
    <n v="0.14399999999999999"/>
    <n v="6"/>
    <n v="14195.647199999998"/>
  </r>
  <r>
    <d v="2024-05-05T00:00:00"/>
    <x v="19"/>
    <x v="2"/>
    <d v="2024-05-05T00:00:00"/>
    <s v="Q2-2024"/>
    <s v="Americas"/>
    <x v="5"/>
    <s v="Brasília"/>
    <s v="Monitors"/>
    <s v="High"/>
    <n v="977.38"/>
    <n v="977.38"/>
    <n v="0.14699999999999999"/>
    <n v="38"/>
    <n v="48735.421419999999"/>
  </r>
  <r>
    <d v="2024-05-06T00:00:00"/>
    <x v="26"/>
    <x v="2"/>
    <d v="2024-05-06T00:00:00"/>
    <s v="Q2-2024"/>
    <s v="Americas"/>
    <x v="5"/>
    <s v="São Paulo"/>
    <s v="Laptops"/>
    <s v="High"/>
    <n v="2794.13"/>
    <n v="2794.13"/>
    <n v="3.5000000000000003E-2"/>
    <n v="11"/>
    <n v="4119.0446000000002"/>
  </r>
  <r>
    <d v="2024-05-07T00:00:00"/>
    <x v="6"/>
    <x v="2"/>
    <d v="2024-05-07T00:00:00"/>
    <s v="Q2-2024"/>
    <s v="Europe"/>
    <x v="6"/>
    <s v="Munich"/>
    <s v="Accessories"/>
    <s v="High"/>
    <n v="701.95"/>
    <n v="701.95"/>
    <n v="0.14699999999999999"/>
    <n v="8"/>
    <n v="304.14567999999997"/>
  </r>
  <r>
    <d v="2024-05-08T00:00:00"/>
    <x v="16"/>
    <x v="2"/>
    <d v="2024-05-08T00:00:00"/>
    <s v="Q2-2024"/>
    <s v="Europe"/>
    <x v="7"/>
    <s v="Marseille"/>
    <s v="Accessories"/>
    <s v="Low"/>
    <n v="-5.27"/>
    <n v="-5.27"/>
    <n v="7.4999999999999997E-2"/>
    <n v="56"/>
    <n v="93667.868000000002"/>
  </r>
  <r>
    <d v="2024-05-09T00:00:00"/>
    <x v="8"/>
    <x v="2"/>
    <d v="2024-05-09T00:00:00"/>
    <s v="Q2-2024"/>
    <s v="Africa"/>
    <x v="0"/>
    <s v="Nakuru"/>
    <s v="Accessories"/>
    <s v="High"/>
    <n v="1437.06"/>
    <n v="1437.06"/>
    <n v="0.20499999999999999"/>
    <n v="4"/>
    <n v="4086.5861999999997"/>
  </r>
  <r>
    <d v="2024-05-10T00:00:00"/>
    <x v="0"/>
    <x v="2"/>
    <d v="2024-05-10T00:00:00"/>
    <s v="Q2-2024"/>
    <s v="Europe"/>
    <x v="7"/>
    <s v="Lyon"/>
    <s v="Components"/>
    <s v="High"/>
    <n v="1911.89"/>
    <n v="1911.89"/>
    <n v="0.11899999999999999"/>
    <n v="20"/>
    <n v="29568.826800000003"/>
  </r>
  <r>
    <d v="2024-05-11T00:00:00"/>
    <x v="11"/>
    <x v="2"/>
    <d v="2024-05-11T00:00:00"/>
    <s v="Q2-2024"/>
    <s v="Asia"/>
    <x v="2"/>
    <s v="Tokyo"/>
    <s v="Components"/>
    <s v="High"/>
    <n v="2593.7800000000002"/>
    <n v="2593.7800000000002"/>
    <n v="0.11"/>
    <n v="12"/>
    <n v="7255.4580000000005"/>
  </r>
  <r>
    <d v="2024-05-12T00:00:00"/>
    <x v="19"/>
    <x v="2"/>
    <d v="2024-05-12T00:00:00"/>
    <s v="Q2-2024"/>
    <s v="Europe"/>
    <x v="7"/>
    <s v="Paris"/>
    <s v="Phones"/>
    <s v="High"/>
    <n v="1244.08"/>
    <n v="1244.08"/>
    <n v="0.2"/>
    <n v="11"/>
    <n v="9767.2960000000003"/>
  </r>
  <r>
    <d v="2024-05-13T00:00:00"/>
    <x v="18"/>
    <x v="2"/>
    <d v="2024-05-13T00:00:00"/>
    <s v="Q2-2024"/>
    <s v="Asia"/>
    <x v="4"/>
    <s v="Mumbai"/>
    <s v="Monitors"/>
    <s v="High"/>
    <n v="1912.51"/>
    <n v="1912.51"/>
    <n v="0.255"/>
    <n v="51"/>
    <n v="3175.2421499999996"/>
  </r>
  <r>
    <d v="2024-05-14T00:00:00"/>
    <x v="2"/>
    <x v="2"/>
    <d v="2024-05-14T00:00:00"/>
    <s v="Q2-2024"/>
    <s v="Africa"/>
    <x v="11"/>
    <s v="Johannesburg"/>
    <s v="Laptops"/>
    <s v="High"/>
    <n v="755.87"/>
    <n v="755.87"/>
    <n v="0.13"/>
    <n v="40"/>
    <n v="44693.64"/>
  </r>
  <r>
    <d v="2024-05-15T00:00:00"/>
    <x v="4"/>
    <x v="2"/>
    <d v="2024-05-15T00:00:00"/>
    <s v="Q2-2024"/>
    <s v="Americas"/>
    <x v="5"/>
    <s v="Rio de Janeiro"/>
    <s v="Phones"/>
    <s v="High"/>
    <n v="1145.67"/>
    <n v="1145.67"/>
    <n v="0.184"/>
    <n v="13"/>
    <n v="9671.5257600000004"/>
  </r>
  <r>
    <d v="2024-05-16T00:00:00"/>
    <x v="22"/>
    <x v="2"/>
    <d v="2024-05-16T00:00:00"/>
    <s v="Q2-2024"/>
    <s v="Europe"/>
    <x v="8"/>
    <s v="Manchester"/>
    <s v="Accessories"/>
    <s v="High"/>
    <n v="1234.0999999999999"/>
    <n v="1234.0999999999999"/>
    <n v="0.189"/>
    <n v="16"/>
    <n v="18232.188319999997"/>
  </r>
  <r>
    <d v="2024-05-17T00:00:00"/>
    <x v="7"/>
    <x v="2"/>
    <d v="2024-05-17T00:00:00"/>
    <s v="Q2-2024"/>
    <s v="Asia"/>
    <x v="2"/>
    <s v="Nagoya"/>
    <s v="Monitors"/>
    <s v="High"/>
    <n v="1228.01"/>
    <n v="1228.01"/>
    <n v="0.105"/>
    <n v="13"/>
    <n v="11273.616900000001"/>
  </r>
  <r>
    <d v="2024-05-18T00:00:00"/>
    <x v="25"/>
    <x v="2"/>
    <d v="2024-05-18T00:00:00"/>
    <s v="Q2-2024"/>
    <s v="Africa"/>
    <x v="11"/>
    <s v="Johannesburg"/>
    <s v="Monitors"/>
    <s v="High"/>
    <n v="605.23"/>
    <n v="605.23"/>
    <n v="0.20399999999999999"/>
    <n v="18"/>
    <n v="15600.46968"/>
  </r>
  <r>
    <d v="2024-05-19T00:00:00"/>
    <x v="12"/>
    <x v="2"/>
    <d v="2024-05-19T00:00:00"/>
    <s v="Q2-2024"/>
    <s v="Asia"/>
    <x v="9"/>
    <s v="Shanghai"/>
    <s v="Components"/>
    <s v="High"/>
    <n v="1880.15"/>
    <n v="1880.15"/>
    <n v="0.05"/>
    <n v="5"/>
    <n v="11803.702499999998"/>
  </r>
  <r>
    <d v="2024-05-20T00:00:00"/>
    <x v="0"/>
    <x v="2"/>
    <d v="2024-05-20T00:00:00"/>
    <s v="Q2-2024"/>
    <s v="Europe"/>
    <x v="6"/>
    <s v="Munich"/>
    <s v="Accessories"/>
    <s v="High"/>
    <n v="1269.4000000000001"/>
    <n v="1269.4000000000001"/>
    <n v="6.8000000000000005E-2"/>
    <n v="9"/>
    <n v="240.65172000000001"/>
  </r>
  <r>
    <d v="2024-05-21T00:00:00"/>
    <x v="19"/>
    <x v="2"/>
    <d v="2024-05-21T00:00:00"/>
    <s v="Q2-2024"/>
    <s v="Americas"/>
    <x v="5"/>
    <s v="Brasília"/>
    <s v="Laptops"/>
    <s v="High"/>
    <n v="620.92999999999995"/>
    <n v="620.92999999999995"/>
    <n v="0.14199999999999999"/>
    <n v="12"/>
    <n v="19527.59952"/>
  </r>
  <r>
    <d v="2024-05-22T00:00:00"/>
    <x v="20"/>
    <x v="2"/>
    <d v="2024-05-22T00:00:00"/>
    <s v="Q2-2024"/>
    <s v="Africa"/>
    <x v="11"/>
    <s v="Johannesburg"/>
    <s v="Laptops"/>
    <s v="High"/>
    <n v="1455.91"/>
    <n v="1455.91"/>
    <n v="0.185"/>
    <n v="17"/>
    <n v="5807.6003499999997"/>
  </r>
  <r>
    <d v="2024-05-23T00:00:00"/>
    <x v="6"/>
    <x v="2"/>
    <d v="2024-05-23T00:00:00"/>
    <s v="Q2-2024"/>
    <s v="Asia"/>
    <x v="9"/>
    <s v="Shenzhen"/>
    <s v="Networking"/>
    <s v="High"/>
    <n v="546.42999999999995"/>
    <n v="546.42999999999995"/>
    <n v="4.7E-2"/>
    <n v="18"/>
    <n v="34328.070179999995"/>
  </r>
  <r>
    <d v="2024-05-24T00:00:00"/>
    <x v="15"/>
    <x v="2"/>
    <d v="2024-05-24T00:00:00"/>
    <s v="Q2-2024"/>
    <s v="Africa"/>
    <x v="11"/>
    <s v="Durban"/>
    <s v="Components"/>
    <s v="High"/>
    <n v="1347.92"/>
    <n v="1347.92"/>
    <n v="0.34300000000000003"/>
    <n v="5"/>
    <n v="10198.97235"/>
  </r>
  <r>
    <d v="2024-05-25T00:00:00"/>
    <x v="27"/>
    <x v="2"/>
    <d v="2024-05-25T00:00:00"/>
    <s v="Q2-2024"/>
    <s v="Asia"/>
    <x v="4"/>
    <s v="Delhi"/>
    <s v="Components"/>
    <s v="High"/>
    <n v="1108.43"/>
    <n v="1108.43"/>
    <n v="0.114"/>
    <n v="7"/>
    <n v="2073.2045600000001"/>
  </r>
  <r>
    <d v="2024-05-26T00:00:00"/>
    <x v="21"/>
    <x v="2"/>
    <d v="2024-05-26T00:00:00"/>
    <s v="Q2-2024"/>
    <s v="Americas"/>
    <x v="5"/>
    <s v="Rio de Janeiro"/>
    <s v="Accessories"/>
    <s v="High"/>
    <n v="3144.1"/>
    <n v="3144.1"/>
    <n v="0.13400000000000001"/>
    <n v="13"/>
    <n v="21984.960139999999"/>
  </r>
  <r>
    <d v="2024-05-27T00:00:00"/>
    <x v="17"/>
    <x v="2"/>
    <d v="2024-05-27T00:00:00"/>
    <s v="Q2-2024"/>
    <s v="Americas"/>
    <x v="5"/>
    <s v="Rio de Janeiro"/>
    <s v="Accessories"/>
    <s v="High"/>
    <n v="2095.73"/>
    <n v="2095.73"/>
    <n v="7.1999999999999995E-2"/>
    <n v="17"/>
    <n v="3822.3670400000005"/>
  </r>
  <r>
    <d v="2024-05-28T00:00:00"/>
    <x v="23"/>
    <x v="2"/>
    <d v="2024-05-28T00:00:00"/>
    <s v="Q2-2024"/>
    <s v="Europe"/>
    <x v="8"/>
    <s v="Manchester"/>
    <s v="Components"/>
    <s v="High"/>
    <n v="703.62"/>
    <n v="703.62"/>
    <n v="0.25700000000000001"/>
    <n v="20"/>
    <n v="44117.408199999998"/>
  </r>
  <r>
    <d v="2024-05-29T00:00:00"/>
    <x v="18"/>
    <x v="2"/>
    <d v="2024-05-29T00:00:00"/>
    <s v="Q2-2024"/>
    <s v="Europe"/>
    <x v="7"/>
    <s v="Marseille"/>
    <s v="Monitors"/>
    <s v="High"/>
    <n v="1997.19"/>
    <n v="1997.19"/>
    <n v="0.186"/>
    <n v="3"/>
    <n v="3404.8806"/>
  </r>
  <r>
    <d v="2024-05-30T00:00:00"/>
    <x v="2"/>
    <x v="2"/>
    <d v="2024-05-30T00:00:00"/>
    <s v="Q2-2024"/>
    <s v="Africa"/>
    <x v="11"/>
    <s v="Cape Town"/>
    <s v="Networking"/>
    <s v="High"/>
    <n v="2763.95"/>
    <n v="2763.95"/>
    <n v="0.161"/>
    <n v="26"/>
    <n v="336.15374000000003"/>
  </r>
  <r>
    <d v="2024-05-31T00:00:00"/>
    <x v="25"/>
    <x v="2"/>
    <d v="2024-05-31T00:00:00"/>
    <s v="Q2-2024"/>
    <s v="Americas"/>
    <x v="3"/>
    <s v="Vancouver"/>
    <s v="Printers"/>
    <s v="High"/>
    <n v="1503.53"/>
    <n v="1503.53"/>
    <n v="0.24099999999999999"/>
    <n v="16"/>
    <n v="27333.836640000001"/>
  </r>
  <r>
    <d v="2024-06-01T00:00:00"/>
    <x v="8"/>
    <x v="3"/>
    <d v="2024-06-01T00:00:00"/>
    <s v="Q2-2024"/>
    <s v="Europe"/>
    <x v="7"/>
    <s v="Paris"/>
    <s v="Components"/>
    <s v="High"/>
    <n v="388.04"/>
    <n v="388.04"/>
    <n v="8.4000000000000005E-2"/>
    <n v="15"/>
    <n v="2281.3896"/>
  </r>
  <r>
    <d v="2024-06-02T00:00:00"/>
    <x v="19"/>
    <x v="3"/>
    <d v="2024-06-02T00:00:00"/>
    <s v="Q2-2024"/>
    <s v="Americas"/>
    <x v="10"/>
    <s v="San Francisco"/>
    <s v="Monitors"/>
    <s v="Low"/>
    <n v="44.57"/>
    <n v="44.57"/>
    <n v="0.215"/>
    <n v="15"/>
    <n v="4198.3762500000003"/>
  </r>
  <r>
    <d v="2024-06-03T00:00:00"/>
    <x v="3"/>
    <x v="3"/>
    <d v="2024-06-03T00:00:00"/>
    <s v="Q2-2024"/>
    <s v="Europe"/>
    <x v="8"/>
    <s v="London"/>
    <s v="Networking"/>
    <s v="High"/>
    <n v="1808.26"/>
    <n v="1808.26"/>
    <n v="0.104"/>
    <n v="13"/>
    <n v="11939.7824"/>
  </r>
  <r>
    <d v="2024-06-04T00:00:00"/>
    <x v="4"/>
    <x v="3"/>
    <d v="2024-06-04T00:00:00"/>
    <s v="Q2-2024"/>
    <s v="Africa"/>
    <x v="11"/>
    <s v="Cape Town"/>
    <s v="Components"/>
    <s v="High"/>
    <n v="1285.0899999999999"/>
    <n v="1285.0899999999999"/>
    <n v="7.0000000000000007E-2"/>
    <n v="11"/>
    <n v="18364.589100000001"/>
  </r>
  <r>
    <d v="2024-06-05T00:00:00"/>
    <x v="20"/>
    <x v="3"/>
    <d v="2024-06-05T00:00:00"/>
    <s v="Q2-2024"/>
    <s v="Asia"/>
    <x v="9"/>
    <s v="Shanghai"/>
    <s v="Components"/>
    <s v="High"/>
    <n v="1678.14"/>
    <n v="1678.14"/>
    <n v="0.154"/>
    <n v="10"/>
    <n v="36.970199999999998"/>
  </r>
  <r>
    <d v="2024-06-06T00:00:00"/>
    <x v="28"/>
    <x v="3"/>
    <d v="2024-06-06T00:00:00"/>
    <s v="Q2-2024"/>
    <s v="Africa"/>
    <x v="0"/>
    <s v="Nakuru"/>
    <s v="Components"/>
    <s v="High"/>
    <n v="679.35"/>
    <n v="679.35"/>
    <n v="0.188"/>
    <n v="3"/>
    <n v="532.26600000000008"/>
  </r>
  <r>
    <d v="2024-06-07T00:00:00"/>
    <x v="9"/>
    <x v="3"/>
    <d v="2024-06-07T00:00:00"/>
    <s v="Q2-2024"/>
    <s v="Asia"/>
    <x v="4"/>
    <s v="Delhi"/>
    <s v="Monitors"/>
    <s v="High"/>
    <n v="1109.92"/>
    <n v="1109.92"/>
    <n v="0.03"/>
    <n v="11"/>
    <n v="2666.1129000000001"/>
  </r>
  <r>
    <d v="2024-06-08T00:00:00"/>
    <x v="23"/>
    <x v="3"/>
    <d v="2024-06-08T00:00:00"/>
    <s v="Q2-2024"/>
    <s v="Asia"/>
    <x v="2"/>
    <s v="Nagoya"/>
    <s v="Monitors"/>
    <s v="Medium"/>
    <n v="83.57"/>
    <n v="83.57"/>
    <n v="6.6000000000000003E-2"/>
    <n v="8"/>
    <n v="25677.677439999999"/>
  </r>
  <r>
    <d v="2024-06-09T00:00:00"/>
    <x v="19"/>
    <x v="3"/>
    <d v="2024-06-09T00:00:00"/>
    <s v="Q2-2024"/>
    <s v="Asia"/>
    <x v="2"/>
    <s v="Nagoya"/>
    <s v="Networking"/>
    <s v="High"/>
    <n v="1284.3"/>
    <n v="1284.3"/>
    <n v="7.3999999999999996E-2"/>
    <n v="7"/>
    <n v="346.46290000000005"/>
  </r>
  <r>
    <d v="2024-06-10T00:00:00"/>
    <x v="16"/>
    <x v="3"/>
    <d v="2024-06-10T00:00:00"/>
    <s v="Q2-2024"/>
    <s v="Asia"/>
    <x v="4"/>
    <s v="Hyderabad"/>
    <s v="Phones"/>
    <s v="High"/>
    <n v="911.72"/>
    <n v="911.72"/>
    <n v="0.14399999999999999"/>
    <n v="25"/>
    <n v="74251.58"/>
  </r>
  <r>
    <d v="2024-06-11T00:00:00"/>
    <x v="23"/>
    <x v="3"/>
    <d v="2024-06-11T00:00:00"/>
    <s v="Q2-2024"/>
    <s v="Americas"/>
    <x v="5"/>
    <s v="Rio de Janeiro"/>
    <s v="Printers"/>
    <s v="High"/>
    <n v="1405.07"/>
    <n v="1405.07"/>
    <n v="9.6000000000000002E-2"/>
    <n v="8"/>
    <n v="4491.2166399999996"/>
  </r>
  <r>
    <d v="2024-06-12T00:00:00"/>
    <x v="1"/>
    <x v="3"/>
    <d v="2024-06-12T00:00:00"/>
    <s v="Q2-2024"/>
    <s v="Africa"/>
    <x v="1"/>
    <s v="Abuja"/>
    <s v="Accessories"/>
    <s v="High"/>
    <n v="968.94"/>
    <n v="968.94"/>
    <n v="9.9000000000000005E-2"/>
    <n v="23"/>
    <n v="1834.19273"/>
  </r>
  <r>
    <d v="2024-06-13T00:00:00"/>
    <x v="11"/>
    <x v="3"/>
    <d v="2024-06-13T00:00:00"/>
    <s v="Q2-2024"/>
    <s v="Africa"/>
    <x v="0"/>
    <s v="Mombasa"/>
    <s v="Phones"/>
    <s v="High"/>
    <n v="1088.81"/>
    <n v="1088.81"/>
    <n v="0.16"/>
    <n v="6"/>
    <n v="9873.8135999999995"/>
  </r>
  <r>
    <d v="2024-06-14T00:00:00"/>
    <x v="12"/>
    <x v="3"/>
    <d v="2024-06-14T00:00:00"/>
    <s v="Q2-2024"/>
    <s v="Europe"/>
    <x v="8"/>
    <s v="Manchester"/>
    <s v="Printers"/>
    <s v="High"/>
    <n v="2484.9899999999998"/>
    <n v="2484.9899999999998"/>
    <n v="3.4000000000000002E-2"/>
    <n v="18"/>
    <n v="47694.762360000001"/>
  </r>
  <r>
    <d v="2024-06-15T00:00:00"/>
    <x v="28"/>
    <x v="3"/>
    <d v="2024-06-15T00:00:00"/>
    <s v="Q2-2024"/>
    <s v="Asia"/>
    <x v="4"/>
    <s v="Not Provided"/>
    <s v="Monitors"/>
    <s v="Low"/>
    <n v="28.69"/>
    <n v="28.69"/>
    <n v="0.14599999999999999"/>
    <n v="6"/>
    <n v="8605.3480799999998"/>
  </r>
  <r>
    <d v="2024-06-16T00:00:00"/>
    <x v="7"/>
    <x v="3"/>
    <d v="2024-06-16T00:00:00"/>
    <s v="Q2-2024"/>
    <s v="Africa"/>
    <x v="1"/>
    <s v="Abuja"/>
    <s v="Accessories"/>
    <s v="High"/>
    <n v="1896.62"/>
    <n v="1896.62"/>
    <n v="0"/>
    <n v="18"/>
    <n v="25810.2"/>
  </r>
  <r>
    <d v="2024-06-17T00:00:00"/>
    <x v="13"/>
    <x v="3"/>
    <d v="2024-06-17T00:00:00"/>
    <s v="Q2-2024"/>
    <s v="Asia"/>
    <x v="9"/>
    <s v="Shenzhen"/>
    <s v="Networking"/>
    <s v="High"/>
    <n v="419.17"/>
    <n v="419.17"/>
    <n v="9.1999999999999998E-2"/>
    <n v="14"/>
    <n v="3615.67416"/>
  </r>
  <r>
    <d v="2024-06-18T00:00:00"/>
    <x v="2"/>
    <x v="3"/>
    <d v="2024-06-18T00:00:00"/>
    <s v="Q2-2024"/>
    <s v="Europe"/>
    <x v="6"/>
    <s v="Berlin"/>
    <s v="Laptops"/>
    <s v="High"/>
    <n v="2001.17"/>
    <n v="2001.17"/>
    <n v="0.29199999999999998"/>
    <n v="18"/>
    <n v="8854.276319999999"/>
  </r>
  <r>
    <d v="2024-06-19T00:00:00"/>
    <x v="10"/>
    <x v="3"/>
    <d v="2024-06-19T00:00:00"/>
    <s v="Q2-2024"/>
    <s v="Asia"/>
    <x v="9"/>
    <s v="Shenzhen"/>
    <s v="Phones"/>
    <s v="High"/>
    <n v="3104.71"/>
    <n v="3104.71"/>
    <n v="0"/>
    <n v="17"/>
    <n v="31422.63"/>
  </r>
  <r>
    <d v="2024-06-20T00:00:00"/>
    <x v="9"/>
    <x v="3"/>
    <d v="2024-06-20T00:00:00"/>
    <s v="Q2-2024"/>
    <s v="Asia"/>
    <x v="4"/>
    <s v="Mumbai"/>
    <s v="Components"/>
    <s v="High"/>
    <n v="334.28"/>
    <n v="334.28"/>
    <n v="0.14000000000000001"/>
    <n v="22"/>
    <n v="854.99479999999994"/>
  </r>
  <r>
    <d v="2024-06-21T00:00:00"/>
    <x v="3"/>
    <x v="3"/>
    <d v="2024-06-21T00:00:00"/>
    <s v="Q2-2024"/>
    <s v="Africa"/>
    <x v="0"/>
    <s v="Nakuru"/>
    <s v="Laptops"/>
    <s v="High"/>
    <n v="1952.83"/>
    <n v="1952.83"/>
    <n v="0"/>
    <n v="7"/>
    <n v="2527.7000000000003"/>
  </r>
  <r>
    <d v="2024-06-22T00:00:00"/>
    <x v="6"/>
    <x v="3"/>
    <d v="2024-06-22T00:00:00"/>
    <s v="Q2-2024"/>
    <s v="Americas"/>
    <x v="3"/>
    <s v="Vancouver"/>
    <s v="Accessories"/>
    <s v="High"/>
    <n v="242.29"/>
    <n v="242.29"/>
    <n v="0.18"/>
    <n v="30"/>
    <n v="24706.764000000003"/>
  </r>
  <r>
    <d v="2024-06-23T00:00:00"/>
    <x v="29"/>
    <x v="3"/>
    <d v="2024-06-23T00:00:00"/>
    <s v="Q2-2024"/>
    <s v="Asia"/>
    <x v="9"/>
    <s v="Shanghai"/>
    <s v="Laptops"/>
    <s v="High"/>
    <n v="2968.87"/>
    <n v="2968.87"/>
    <n v="0.16900000000000001"/>
    <n v="5"/>
    <n v="4270.2181499999997"/>
  </r>
  <r>
    <d v="2024-06-24T00:00:00"/>
    <x v="7"/>
    <x v="3"/>
    <d v="2024-06-24T00:00:00"/>
    <s v="Q2-2024"/>
    <s v="Africa"/>
    <x v="11"/>
    <s v="Johannesburg"/>
    <s v="Components"/>
    <s v="High"/>
    <n v="1394.3"/>
    <n v="1394.3"/>
    <n v="0.27800000000000002"/>
    <n v="12"/>
    <n v="4055.5317599999998"/>
  </r>
  <r>
    <d v="2024-06-25T00:00:00"/>
    <x v="15"/>
    <x v="3"/>
    <d v="2024-06-25T00:00:00"/>
    <s v="Q2-2024"/>
    <s v="Africa"/>
    <x v="0"/>
    <s v="Mombasa"/>
    <s v="Phones"/>
    <s v="Low"/>
    <n v="15.41"/>
    <n v="15.41"/>
    <n v="0.13700000000000001"/>
    <n v="39"/>
    <n v="22483.549139999999"/>
  </r>
  <r>
    <d v="2024-06-26T00:00:00"/>
    <x v="21"/>
    <x v="3"/>
    <d v="2024-06-26T00:00:00"/>
    <s v="Q2-2024"/>
    <s v="Europe"/>
    <x v="8"/>
    <s v="Manchester"/>
    <s v="Phones"/>
    <s v="High"/>
    <n v="2250.81"/>
    <n v="2250.81"/>
    <n v="0.123"/>
    <n v="12"/>
    <n v="5654.22948"/>
  </r>
  <r>
    <d v="2024-06-27T00:00:00"/>
    <x v="1"/>
    <x v="3"/>
    <d v="2024-06-27T00:00:00"/>
    <s v="Q2-2024"/>
    <s v="Asia"/>
    <x v="2"/>
    <s v="Osaka"/>
    <s v="Networking"/>
    <s v="Medium"/>
    <n v="166.04"/>
    <n v="166.04"/>
    <n v="0"/>
    <n v="10"/>
    <n v="5727.1"/>
  </r>
  <r>
    <d v="2024-06-28T00:00:00"/>
    <x v="17"/>
    <x v="3"/>
    <d v="2024-06-28T00:00:00"/>
    <s v="Q2-2024"/>
    <s v="Africa"/>
    <x v="0"/>
    <s v="Kisumu"/>
    <s v="Accessories"/>
    <s v="High"/>
    <n v="356.55"/>
    <n v="356.55"/>
    <n v="0.22900000000000001"/>
    <n v="2"/>
    <n v="3583.4075399999997"/>
  </r>
  <r>
    <d v="2024-06-29T00:00:00"/>
    <x v="17"/>
    <x v="3"/>
    <d v="2024-06-29T00:00:00"/>
    <s v="Q2-2024"/>
    <s v="Asia"/>
    <x v="9"/>
    <s v="Shenzhen"/>
    <s v="Components"/>
    <s v="High"/>
    <n v="1025.05"/>
    <n v="1025.05"/>
    <n v="0"/>
    <n v="27"/>
    <n v="44038.080000000002"/>
  </r>
  <r>
    <d v="2024-06-30T00:00:00"/>
    <x v="17"/>
    <x v="3"/>
    <d v="2024-06-30T00:00:00"/>
    <s v="Q2-2024"/>
    <s v="Europe"/>
    <x v="8"/>
    <s v="Birmingham"/>
    <s v="Laptops"/>
    <s v="High"/>
    <n v="1795.17"/>
    <n v="1795.17"/>
    <n v="1.2E-2"/>
    <n v="17"/>
    <n v="6606.0347600000005"/>
  </r>
  <r>
    <d v="2024-07-01T00:00:00"/>
    <x v="17"/>
    <x v="4"/>
    <d v="2024-07-01T00:00:00"/>
    <s v="Q3-2024"/>
    <s v="Africa"/>
    <x v="11"/>
    <s v="Durban"/>
    <s v="Networking"/>
    <s v="Low"/>
    <n v="4.37"/>
    <n v="4.37"/>
    <n v="0.11799999999999999"/>
    <n v="9"/>
    <n v="14734.198080000002"/>
  </r>
  <r>
    <d v="2024-07-02T00:00:00"/>
    <x v="10"/>
    <x v="4"/>
    <d v="2024-07-02T00:00:00"/>
    <s v="Q3-2024"/>
    <s v="Americas"/>
    <x v="10"/>
    <s v="Austin"/>
    <s v="Accessories"/>
    <s v="High"/>
    <n v="218.5"/>
    <n v="218.5"/>
    <n v="0.11899999999999999"/>
    <n v="11"/>
    <n v="822.7659000000001"/>
  </r>
  <r>
    <d v="2024-07-03T00:00:00"/>
    <x v="30"/>
    <x v="4"/>
    <d v="2024-07-03T00:00:00"/>
    <s v="Q3-2024"/>
    <s v="Asia"/>
    <x v="2"/>
    <s v="Tokyo"/>
    <s v="Networking"/>
    <s v="High"/>
    <n v="249.87"/>
    <n v="249.87"/>
    <n v="0"/>
    <n v="6"/>
    <n v="13513.439999999999"/>
  </r>
  <r>
    <d v="2024-07-04T00:00:00"/>
    <x v="22"/>
    <x v="4"/>
    <d v="2024-07-04T00:00:00"/>
    <s v="Q3-2024"/>
    <s v="Americas"/>
    <x v="5"/>
    <s v="Brasília"/>
    <s v="Monitors"/>
    <s v="High"/>
    <n v="3436.52"/>
    <n v="3436.52"/>
    <n v="0.108"/>
    <n v="8"/>
    <n v="6576.6803200000004"/>
  </r>
  <r>
    <d v="2024-07-05T00:00:00"/>
    <x v="16"/>
    <x v="4"/>
    <d v="2024-07-05T00:00:00"/>
    <s v="Q3-2024"/>
    <s v="Americas"/>
    <x v="3"/>
    <s v="Toronto"/>
    <s v="Printers"/>
    <s v="Medium"/>
    <n v="53.45"/>
    <n v="53.45"/>
    <n v="0.157"/>
    <n v="17"/>
    <n v="23548.41258"/>
  </r>
  <r>
    <d v="2024-07-06T00:00:00"/>
    <x v="6"/>
    <x v="4"/>
    <d v="2024-07-06T00:00:00"/>
    <s v="Q3-2024"/>
    <s v="Europe"/>
    <x v="6"/>
    <s v="Frankfurt"/>
    <s v="Laptops"/>
    <s v="High"/>
    <n v="3469.7"/>
    <n v="3469.7"/>
    <n v="0.184"/>
    <n v="23"/>
    <n v="27535.846560000005"/>
  </r>
  <r>
    <d v="2024-07-07T00:00:00"/>
    <x v="23"/>
    <x v="4"/>
    <d v="2024-07-07T00:00:00"/>
    <s v="Q3-2024"/>
    <s v="Asia"/>
    <x v="9"/>
    <s v="Beijing"/>
    <s v="Monitors"/>
    <s v="High"/>
    <n v="621.02"/>
    <n v="621.02"/>
    <n v="7.0999999999999994E-2"/>
    <n v="10"/>
    <n v="9278.4804000000004"/>
  </r>
  <r>
    <d v="2024-07-08T00:00:00"/>
    <x v="13"/>
    <x v="4"/>
    <d v="2024-07-08T00:00:00"/>
    <s v="Q3-2024"/>
    <s v="Americas"/>
    <x v="3"/>
    <s v="Vancouver"/>
    <s v="Laptops"/>
    <s v="Medium"/>
    <n v="88.51"/>
    <n v="88.51"/>
    <n v="4.2999999999999997E-2"/>
    <n v="7"/>
    <n v="4225.1932799999995"/>
  </r>
  <r>
    <d v="2024-07-09T00:00:00"/>
    <x v="16"/>
    <x v="4"/>
    <d v="2024-07-09T00:00:00"/>
    <s v="Q3-2024"/>
    <s v="Europe"/>
    <x v="8"/>
    <s v="Not Provided"/>
    <s v="Networking"/>
    <s v="High"/>
    <n v="1959.09"/>
    <n v="1959.09"/>
    <n v="0.123"/>
    <n v="23"/>
    <n v="14696.792309999999"/>
  </r>
  <r>
    <d v="2024-07-10T00:00:00"/>
    <x v="30"/>
    <x v="4"/>
    <d v="2024-07-10T00:00:00"/>
    <s v="Q3-2024"/>
    <s v="Europe"/>
    <x v="7"/>
    <s v="Lyon"/>
    <s v="Monitors"/>
    <s v="High"/>
    <n v="2742.97"/>
    <n v="2742.97"/>
    <n v="6.9000000000000006E-2"/>
    <n v="9"/>
    <n v="7972.7022900000002"/>
  </r>
  <r>
    <d v="2024-07-11T00:00:00"/>
    <x v="4"/>
    <x v="4"/>
    <d v="2024-07-11T00:00:00"/>
    <s v="Q3-2024"/>
    <s v="Africa"/>
    <x v="0"/>
    <s v="Kisumu"/>
    <s v="Phones"/>
    <s v="High"/>
    <n v="1679.42"/>
    <n v="1679.42"/>
    <n v="0.20300000000000001"/>
    <n v="12"/>
    <n v="7009.2643199999993"/>
  </r>
  <r>
    <d v="2024-07-12T00:00:00"/>
    <x v="18"/>
    <x v="4"/>
    <d v="2024-07-12T00:00:00"/>
    <s v="Q3-2024"/>
    <s v="Americas"/>
    <x v="5"/>
    <s v="Brasília"/>
    <s v="Networking"/>
    <s v="High"/>
    <n v="1433.9"/>
    <n v="1433.9"/>
    <n v="5.7000000000000002E-2"/>
    <n v="8"/>
    <n v="18192.506879999997"/>
  </r>
  <r>
    <d v="2024-07-13T00:00:00"/>
    <x v="25"/>
    <x v="4"/>
    <d v="2024-07-13T00:00:00"/>
    <s v="Q3-2024"/>
    <s v="Americas"/>
    <x v="3"/>
    <s v="Montreal"/>
    <s v="Components"/>
    <s v="High"/>
    <n v="284.43"/>
    <n v="284.43"/>
    <n v="8.8999999999999996E-2"/>
    <n v="8"/>
    <n v="4141.6975199999997"/>
  </r>
  <r>
    <d v="2024-07-14T00:00:00"/>
    <x v="25"/>
    <x v="4"/>
    <d v="2024-07-14T00:00:00"/>
    <s v="Q3-2024"/>
    <s v="Asia"/>
    <x v="9"/>
    <s v="Shanghai"/>
    <s v="Components"/>
    <s v="High"/>
    <n v="694.78"/>
    <n v="694.78"/>
    <n v="8.4000000000000005E-2"/>
    <n v="14"/>
    <n v="16093.478800000001"/>
  </r>
  <r>
    <d v="2024-07-15T00:00:00"/>
    <x v="17"/>
    <x v="4"/>
    <d v="2024-07-15T00:00:00"/>
    <s v="Q3-2024"/>
    <s v="Europe"/>
    <x v="6"/>
    <s v="Berlin"/>
    <s v="Components"/>
    <s v="High"/>
    <n v="1848.39"/>
    <n v="1848.39"/>
    <n v="7.2999999999999995E-2"/>
    <n v="38"/>
    <n v="29785.344300000001"/>
  </r>
  <r>
    <d v="2024-07-16T00:00:00"/>
    <x v="28"/>
    <x v="4"/>
    <d v="2024-07-16T00:00:00"/>
    <s v="Q3-2024"/>
    <s v="Europe"/>
    <x v="8"/>
    <s v="London"/>
    <s v="Components"/>
    <s v="Low"/>
    <n v="45.19"/>
    <n v="45.19"/>
    <n v="0.17899999999999999"/>
    <n v="23"/>
    <n v="40507.245110000003"/>
  </r>
  <r>
    <d v="2024-07-17T00:00:00"/>
    <x v="7"/>
    <x v="4"/>
    <d v="2024-07-17T00:00:00"/>
    <s v="Q3-2024"/>
    <s v="Americas"/>
    <x v="10"/>
    <s v="San Francisco"/>
    <s v="Phones"/>
    <s v="High"/>
    <n v="361.1"/>
    <n v="361.1"/>
    <n v="0.187"/>
    <n v="9"/>
    <n v="9877.5109800000009"/>
  </r>
  <r>
    <d v="2024-07-18T00:00:00"/>
    <x v="5"/>
    <x v="4"/>
    <d v="2024-07-18T00:00:00"/>
    <s v="Q3-2024"/>
    <s v="Americas"/>
    <x v="10"/>
    <s v="San Francisco"/>
    <s v="Networking"/>
    <s v="High"/>
    <n v="1004.34"/>
    <n v="1004.34"/>
    <n v="0.111"/>
    <n v="18"/>
    <n v="8440.7349599999998"/>
  </r>
  <r>
    <d v="2024-07-19T00:00:00"/>
    <x v="26"/>
    <x v="4"/>
    <d v="2024-07-19T00:00:00"/>
    <s v="Q3-2024"/>
    <s v="Americas"/>
    <x v="5"/>
    <s v="São Paulo"/>
    <s v="Monitors"/>
    <s v="High"/>
    <n v="1027.73"/>
    <n v="1027.73"/>
    <n v="6.3E-2"/>
    <n v="8"/>
    <n v="10997.906320000002"/>
  </r>
  <r>
    <d v="2024-07-20T00:00:00"/>
    <x v="3"/>
    <x v="4"/>
    <d v="2024-07-20T00:00:00"/>
    <s v="Q3-2024"/>
    <s v="Africa"/>
    <x v="1"/>
    <s v="Abuja"/>
    <s v="Accessories"/>
    <s v="High"/>
    <n v="468.09"/>
    <n v="468.09"/>
    <n v="0.14199999999999999"/>
    <n v="11"/>
    <n v="15583.45932"/>
  </r>
  <r>
    <d v="2024-07-21T00:00:00"/>
    <x v="5"/>
    <x v="4"/>
    <d v="2024-07-21T00:00:00"/>
    <s v="Q3-2024"/>
    <s v="Europe"/>
    <x v="8"/>
    <s v="Manchester"/>
    <s v="Laptops"/>
    <s v="High"/>
    <n v="668.02"/>
    <n v="668.02"/>
    <n v="0.22"/>
    <n v="16"/>
    <n v="24737.606400000001"/>
  </r>
  <r>
    <d v="2024-07-22T00:00:00"/>
    <x v="10"/>
    <x v="4"/>
    <d v="2024-07-22T00:00:00"/>
    <s v="Q3-2024"/>
    <s v="Asia"/>
    <x v="9"/>
    <s v="Beijing"/>
    <s v="Phones"/>
    <s v="High"/>
    <n v="537.27"/>
    <n v="537.27"/>
    <n v="0.187"/>
    <n v="8"/>
    <n v="16599.638879999999"/>
  </r>
  <r>
    <d v="2024-07-23T00:00:00"/>
    <x v="6"/>
    <x v="4"/>
    <d v="2024-07-23T00:00:00"/>
    <s v="Q3-2024"/>
    <s v="Americas"/>
    <x v="10"/>
    <s v="San Francisco"/>
    <s v="Printers"/>
    <s v="High"/>
    <n v="572.71"/>
    <n v="572.71"/>
    <n v="0.192"/>
    <n v="26"/>
    <n v="10987.39408"/>
  </r>
  <r>
    <d v="2024-07-24T00:00:00"/>
    <x v="12"/>
    <x v="4"/>
    <d v="2024-07-24T00:00:00"/>
    <s v="Q3-2024"/>
    <s v="Europe"/>
    <x v="7"/>
    <s v="Lyon"/>
    <s v="Monitors"/>
    <s v="High"/>
    <n v="2323.87"/>
    <n v="2323.87"/>
    <n v="9.4E-2"/>
    <n v="13"/>
    <n v="14342.18838"/>
  </r>
  <r>
    <d v="2024-07-25T00:00:00"/>
    <x v="6"/>
    <x v="4"/>
    <d v="2024-07-25T00:00:00"/>
    <s v="Q3-2024"/>
    <s v="Asia"/>
    <x v="9"/>
    <s v="Shenzhen"/>
    <s v="Components"/>
    <s v="High"/>
    <n v="1631.04"/>
    <n v="1631.04"/>
    <n v="8.9999999999999993E-3"/>
    <n v="6"/>
    <n v="7989.2834400000002"/>
  </r>
  <r>
    <d v="2024-07-26T00:00:00"/>
    <x v="22"/>
    <x v="4"/>
    <d v="2024-07-26T00:00:00"/>
    <s v="Q3-2024"/>
    <s v="Africa"/>
    <x v="0"/>
    <s v="Mombasa"/>
    <s v="Phones"/>
    <s v="High"/>
    <n v="393.31"/>
    <n v="393.31"/>
    <n v="0.26500000000000001"/>
    <n v="15"/>
    <n v="3326.2424999999998"/>
  </r>
  <r>
    <d v="2024-07-27T00:00:00"/>
    <x v="18"/>
    <x v="4"/>
    <d v="2024-07-27T00:00:00"/>
    <s v="Q3-2024"/>
    <s v="Europe"/>
    <x v="7"/>
    <s v="Paris"/>
    <s v="Printers"/>
    <s v="High"/>
    <n v="1856.16"/>
    <n v="1856.16"/>
    <n v="0.129"/>
    <n v="22"/>
    <n v="28967.387020000002"/>
  </r>
  <r>
    <d v="2024-07-28T00:00:00"/>
    <x v="31"/>
    <x v="4"/>
    <d v="2024-07-28T00:00:00"/>
    <s v="Q3-2024"/>
    <s v="Asia"/>
    <x v="9"/>
    <s v="Beijing"/>
    <s v="Accessories"/>
    <s v="Medium"/>
    <n v="84.9"/>
    <n v="84.9"/>
    <n v="0.25900000000000001"/>
    <n v="23"/>
    <n v="35027.455319999994"/>
  </r>
  <r>
    <d v="2024-07-29T00:00:00"/>
    <x v="15"/>
    <x v="4"/>
    <d v="2024-07-29T00:00:00"/>
    <s v="Q3-2024"/>
    <s v="Asia"/>
    <x v="4"/>
    <s v="Delhi"/>
    <s v="Monitors"/>
    <s v="High"/>
    <n v="2252.2399999999998"/>
    <n v="2252.2399999999998"/>
    <n v="0.11799999999999999"/>
    <n v="44"/>
    <n v="15179.749199999998"/>
  </r>
  <r>
    <d v="2024-07-30T00:00:00"/>
    <x v="6"/>
    <x v="4"/>
    <d v="2024-07-30T00:00:00"/>
    <s v="Q3-2024"/>
    <s v="Europe"/>
    <x v="6"/>
    <s v="Berlin"/>
    <s v="Phones"/>
    <s v="High"/>
    <n v="921.62"/>
    <n v="921.62"/>
    <n v="0.01"/>
    <n v="9"/>
    <n v="16474.322700000001"/>
  </r>
  <r>
    <d v="2024-07-31T00:00:00"/>
    <x v="24"/>
    <x v="4"/>
    <d v="2024-07-31T00:00:00"/>
    <s v="Q3-2024"/>
    <s v="Americas"/>
    <x v="10"/>
    <s v="New York"/>
    <s v="Accessories"/>
    <s v="High"/>
    <n v="1643.18"/>
    <n v="1643.18"/>
    <n v="0.151"/>
    <n v="23"/>
    <n v="27251.100119999996"/>
  </r>
  <r>
    <d v="2024-08-01T00:00:00"/>
    <x v="17"/>
    <x v="5"/>
    <d v="2024-08-01T00:00:00"/>
    <s v="Q3-2024"/>
    <s v="Americas"/>
    <x v="3"/>
    <s v="Toronto"/>
    <s v="Printers"/>
    <s v="High"/>
    <n v="1467.17"/>
    <n v="1467.17"/>
    <n v="0.245"/>
    <n v="9"/>
    <n v="3655.9817999999996"/>
  </r>
  <r>
    <d v="2024-08-02T00:00:00"/>
    <x v="24"/>
    <x v="5"/>
    <d v="2024-08-02T00:00:00"/>
    <s v="Q3-2024"/>
    <s v="Americas"/>
    <x v="5"/>
    <s v="Brasília"/>
    <s v="Networking"/>
    <s v="High"/>
    <n v="998.76"/>
    <n v="998.76"/>
    <n v="8.2000000000000003E-2"/>
    <n v="28"/>
    <n v="31331.119680000003"/>
  </r>
  <r>
    <d v="2024-08-03T00:00:00"/>
    <x v="30"/>
    <x v="5"/>
    <d v="2024-08-03T00:00:00"/>
    <s v="Q3-2024"/>
    <s v="Africa"/>
    <x v="11"/>
    <s v="Durban"/>
    <s v="Laptops"/>
    <s v="High"/>
    <n v="630.72"/>
    <n v="630.72"/>
    <n v="0.107"/>
    <n v="23"/>
    <n v="42353.882679999995"/>
  </r>
  <r>
    <d v="2024-08-04T00:00:00"/>
    <x v="11"/>
    <x v="5"/>
    <d v="2024-08-04T00:00:00"/>
    <s v="Q3-2024"/>
    <s v="Africa"/>
    <x v="0"/>
    <s v="Nairobi"/>
    <s v="Laptops"/>
    <s v="High"/>
    <n v="728.61"/>
    <n v="728.61"/>
    <n v="0.185"/>
    <n v="6"/>
    <n v="49.780199999999994"/>
  </r>
  <r>
    <d v="2024-08-05T00:00:00"/>
    <x v="20"/>
    <x v="5"/>
    <d v="2024-08-05T00:00:00"/>
    <s v="Q3-2024"/>
    <s v="Europe"/>
    <x v="6"/>
    <s v="Frankfurt"/>
    <s v="Accessories"/>
    <s v="High"/>
    <n v="951.51"/>
    <n v="951.51"/>
    <n v="0"/>
    <n v="14"/>
    <n v="31944.079999999998"/>
  </r>
  <r>
    <d v="2024-08-06T00:00:00"/>
    <x v="27"/>
    <x v="5"/>
    <d v="2024-08-06T00:00:00"/>
    <s v="Q3-2024"/>
    <s v="Europe"/>
    <x v="7"/>
    <s v="Lyon"/>
    <s v="Printers"/>
    <s v="High"/>
    <n v="732.88"/>
    <n v="732.88"/>
    <n v="0.188"/>
    <n v="25"/>
    <n v="5066.2710000000006"/>
  </r>
  <r>
    <d v="2024-08-07T00:00:00"/>
    <x v="29"/>
    <x v="5"/>
    <d v="2024-08-07T00:00:00"/>
    <s v="Q3-2024"/>
    <s v="Americas"/>
    <x v="3"/>
    <s v="Vancouver"/>
    <s v="Phones"/>
    <s v="High"/>
    <n v="2411.52"/>
    <n v="2411.52"/>
    <n v="2.1000000000000001E-2"/>
    <n v="18"/>
    <n v="57712.049999999996"/>
  </r>
  <r>
    <d v="2024-08-08T00:00:00"/>
    <x v="19"/>
    <x v="5"/>
    <d v="2024-08-08T00:00:00"/>
    <s v="Q3-2024"/>
    <s v="Americas"/>
    <x v="3"/>
    <s v="Montreal"/>
    <s v="Printers"/>
    <s v="High"/>
    <n v="568.29"/>
    <n v="568.29"/>
    <n v="0.13100000000000001"/>
    <n v="16"/>
    <n v="26608.919040000001"/>
  </r>
  <r>
    <d v="2024-08-09T00:00:00"/>
    <x v="24"/>
    <x v="5"/>
    <d v="2024-08-09T00:00:00"/>
    <s v="Q3-2024"/>
    <s v="Africa"/>
    <x v="11"/>
    <s v="Johannesburg"/>
    <s v="Laptops"/>
    <s v="High"/>
    <n v="1254.95"/>
    <n v="1254.95"/>
    <n v="4.4999999999999998E-2"/>
    <n v="18"/>
    <n v="517.24709999999993"/>
  </r>
  <r>
    <d v="2024-08-10T00:00:00"/>
    <x v="4"/>
    <x v="5"/>
    <d v="2024-08-10T00:00:00"/>
    <s v="Q3-2024"/>
    <s v="Asia"/>
    <x v="2"/>
    <s v="Tokyo"/>
    <s v="Printers"/>
    <s v="High"/>
    <n v="845.55"/>
    <n v="845.55"/>
    <n v="0.184"/>
    <n v="6"/>
    <n v="2454.4137600000004"/>
  </r>
  <r>
    <d v="2024-08-11T00:00:00"/>
    <x v="31"/>
    <x v="5"/>
    <d v="2024-08-11T00:00:00"/>
    <s v="Q3-2024"/>
    <s v="Africa"/>
    <x v="0"/>
    <s v="Kisumu"/>
    <s v="Printers"/>
    <s v="High"/>
    <n v="2145.17"/>
    <n v="2145.17"/>
    <n v="0.13600000000000001"/>
    <n v="16"/>
    <n v="5684.1523200000001"/>
  </r>
  <r>
    <d v="2024-08-12T00:00:00"/>
    <x v="32"/>
    <x v="5"/>
    <d v="2024-08-12T00:00:00"/>
    <s v="Q3-2024"/>
    <s v="Africa"/>
    <x v="0"/>
    <s v="Kisumu"/>
    <s v="Accessories"/>
    <s v="High"/>
    <n v="1349.94"/>
    <n v="1349.94"/>
    <n v="0.184"/>
    <n v="10"/>
    <n v="48.307200000000009"/>
  </r>
  <r>
    <d v="2024-08-13T00:00:00"/>
    <x v="21"/>
    <x v="5"/>
    <d v="2024-08-13T00:00:00"/>
    <s v="Q3-2024"/>
    <s v="Asia"/>
    <x v="2"/>
    <s v="Osaka"/>
    <s v="Networking"/>
    <s v="High"/>
    <n v="527.48"/>
    <n v="527.48"/>
    <n v="0.111"/>
    <n v="19"/>
    <n v="37272.187330000001"/>
  </r>
  <r>
    <d v="2024-08-14T00:00:00"/>
    <x v="31"/>
    <x v="5"/>
    <d v="2024-08-14T00:00:00"/>
    <s v="Q3-2024"/>
    <s v="Europe"/>
    <x v="7"/>
    <s v="Paris"/>
    <s v="Networking"/>
    <s v="High"/>
    <n v="1467.17"/>
    <n v="1467.17"/>
    <n v="1.7999999999999999E-2"/>
    <n v="5"/>
    <n v="9391.848"/>
  </r>
  <r>
    <d v="2024-08-15T00:00:00"/>
    <x v="21"/>
    <x v="5"/>
    <d v="2024-08-15T00:00:00"/>
    <s v="Q3-2024"/>
    <s v="Asia"/>
    <x v="4"/>
    <s v="Delhi"/>
    <s v="Components"/>
    <s v="High"/>
    <n v="1651.14"/>
    <n v="1651.14"/>
    <n v="2.5000000000000001E-2"/>
    <n v="15"/>
    <n v="20216.283749999999"/>
  </r>
  <r>
    <d v="2024-08-16T00:00:00"/>
    <x v="26"/>
    <x v="5"/>
    <d v="2024-08-16T00:00:00"/>
    <s v="Q3-2024"/>
    <s v="Europe"/>
    <x v="6"/>
    <s v="Frankfurt"/>
    <s v="Accessories"/>
    <s v="High"/>
    <n v="1982.18"/>
    <n v="1982.18"/>
    <n v="0.127"/>
    <n v="6"/>
    <n v="7100.6851799999995"/>
  </r>
  <r>
    <d v="2024-08-17T00:00:00"/>
    <x v="28"/>
    <x v="5"/>
    <d v="2024-08-17T00:00:00"/>
    <s v="Q3-2024"/>
    <s v="Asia"/>
    <x v="9"/>
    <s v="Shanghai"/>
    <s v="Phones"/>
    <s v="High"/>
    <n v="2552.2199999999998"/>
    <n v="2552.2199999999998"/>
    <n v="0.18099999999999999"/>
    <n v="14"/>
    <n v="10180.661399999999"/>
  </r>
  <r>
    <d v="2024-08-18T00:00:00"/>
    <x v="2"/>
    <x v="5"/>
    <d v="2024-08-18T00:00:00"/>
    <s v="Q3-2024"/>
    <s v="Asia"/>
    <x v="4"/>
    <s v="Delhi"/>
    <s v="Monitors"/>
    <s v="High"/>
    <n v="523.01"/>
    <n v="523.01"/>
    <n v="0.157"/>
    <n v="50"/>
    <n v="43022.083500000001"/>
  </r>
  <r>
    <d v="2024-08-19T00:00:00"/>
    <x v="1"/>
    <x v="5"/>
    <d v="2024-08-19T00:00:00"/>
    <s v="Q3-2024"/>
    <s v="Asia"/>
    <x v="9"/>
    <s v="Shenzhen"/>
    <s v="Components"/>
    <s v="High"/>
    <n v="1217.71"/>
    <n v="1217.71"/>
    <n v="7.1999999999999995E-2"/>
    <n v="5"/>
    <n v="6475.2592000000004"/>
  </r>
  <r>
    <d v="2024-08-20T00:00:00"/>
    <x v="20"/>
    <x v="5"/>
    <d v="2024-08-20T00:00:00"/>
    <s v="Q3-2024"/>
    <s v="Americas"/>
    <x v="5"/>
    <s v="Brasília"/>
    <s v="Phones"/>
    <s v="High"/>
    <n v="1343.64"/>
    <n v="1343.64"/>
    <n v="0.13300000000000001"/>
    <n v="7"/>
    <n v="13797.385980000001"/>
  </r>
  <r>
    <d v="2024-08-21T00:00:00"/>
    <x v="22"/>
    <x v="5"/>
    <d v="2024-08-21T00:00:00"/>
    <s v="Q3-2024"/>
    <s v="Asia"/>
    <x v="2"/>
    <s v="Osaka"/>
    <s v="Monitors"/>
    <s v="High"/>
    <n v="301.7"/>
    <n v="301.7"/>
    <n v="0.14000000000000001"/>
    <n v="47"/>
    <n v="50207.703000000001"/>
  </r>
  <r>
    <d v="2024-08-22T00:00:00"/>
    <x v="17"/>
    <x v="5"/>
    <d v="2024-08-22T00:00:00"/>
    <s v="Q3-2024"/>
    <s v="Asia"/>
    <x v="9"/>
    <s v="Shanghai"/>
    <s v="Printers"/>
    <s v="High"/>
    <n v="1511.71"/>
    <n v="1511.71"/>
    <n v="0.02"/>
    <n v="8"/>
    <n v="10272.6736"/>
  </r>
  <r>
    <d v="2024-08-23T00:00:00"/>
    <x v="2"/>
    <x v="5"/>
    <d v="2024-08-23T00:00:00"/>
    <s v="Q3-2024"/>
    <s v="Europe"/>
    <x v="6"/>
    <s v="Berlin"/>
    <s v="Monitors"/>
    <s v="High"/>
    <n v="2055.2399999999998"/>
    <n v="2055.2399999999998"/>
    <n v="5.2999999999999999E-2"/>
    <n v="44"/>
    <n v="40303.373"/>
  </r>
  <r>
    <d v="2024-08-24T00:00:00"/>
    <x v="12"/>
    <x v="5"/>
    <d v="2024-08-24T00:00:00"/>
    <s v="Q3-2024"/>
    <s v="Asia"/>
    <x v="9"/>
    <s v="Shenzhen"/>
    <s v="Laptops"/>
    <s v="High"/>
    <n v="391.15"/>
    <n v="391.15"/>
    <n v="0.19700000000000001"/>
    <n v="46"/>
    <n v="32735.194359999998"/>
  </r>
  <r>
    <d v="2024-08-25T00:00:00"/>
    <x v="7"/>
    <x v="5"/>
    <d v="2024-08-25T00:00:00"/>
    <s v="Q3-2024"/>
    <s v="Europe"/>
    <x v="7"/>
    <s v="Marseille"/>
    <s v="Monitors"/>
    <s v="High"/>
    <n v="1848.97"/>
    <n v="1848.97"/>
    <n v="0.254"/>
    <n v="9"/>
    <n v="5308.1555399999997"/>
  </r>
  <r>
    <d v="2024-08-26T00:00:00"/>
    <x v="32"/>
    <x v="5"/>
    <d v="2024-08-26T00:00:00"/>
    <s v="Q3-2024"/>
    <s v="Asia"/>
    <x v="4"/>
    <s v="Hyderabad"/>
    <s v="Monitors"/>
    <s v="High"/>
    <n v="1395.56"/>
    <n v="1395.56"/>
    <n v="0.185"/>
    <n v="6"/>
    <n v="1766.9036999999998"/>
  </r>
  <r>
    <d v="2024-08-27T00:00:00"/>
    <x v="1"/>
    <x v="5"/>
    <d v="2024-08-27T00:00:00"/>
    <s v="Q3-2024"/>
    <s v="Europe"/>
    <x v="8"/>
    <s v="Manchester"/>
    <s v="Components"/>
    <s v="High"/>
    <n v="538.04"/>
    <n v="538.04"/>
    <n v="0.13900000000000001"/>
    <n v="5"/>
    <n v="8403.5321999999996"/>
  </r>
  <r>
    <d v="2024-08-28T00:00:00"/>
    <x v="14"/>
    <x v="5"/>
    <d v="2024-08-28T00:00:00"/>
    <s v="Q3-2024"/>
    <s v="Asia"/>
    <x v="2"/>
    <s v="Tokyo"/>
    <s v="Accessories"/>
    <s v="High"/>
    <n v="1218.92"/>
    <n v="1218.92"/>
    <n v="0.254"/>
    <n v="16"/>
    <n v="18676.97536"/>
  </r>
  <r>
    <d v="2024-08-29T00:00:00"/>
    <x v="27"/>
    <x v="5"/>
    <d v="2024-08-29T00:00:00"/>
    <s v="Q3-2024"/>
    <s v="Asia"/>
    <x v="2"/>
    <s v="Tokyo"/>
    <s v="Components"/>
    <s v="High"/>
    <n v="2062.12"/>
    <n v="2062.12"/>
    <n v="0.13400000000000001"/>
    <n v="5"/>
    <n v="3691.4982"/>
  </r>
  <r>
    <d v="2024-08-30T00:00:00"/>
    <x v="2"/>
    <x v="5"/>
    <d v="2024-08-30T00:00:00"/>
    <s v="Q3-2024"/>
    <s v="Americas"/>
    <x v="10"/>
    <s v="New York"/>
    <s v="Components"/>
    <s v="Low"/>
    <n v="10.18"/>
    <n v="10.18"/>
    <n v="4.7E-2"/>
    <n v="10"/>
    <n v="13964.213699999998"/>
  </r>
  <r>
    <d v="2024-08-31T00:00:00"/>
    <x v="8"/>
    <x v="5"/>
    <d v="2024-08-31T00:00:00"/>
    <s v="Q3-2024"/>
    <s v="Africa"/>
    <x v="11"/>
    <s v="Johannesburg"/>
    <s v="Laptops"/>
    <s v="High"/>
    <n v="2281.7199999999998"/>
    <n v="2281.7199999999998"/>
    <n v="7.8E-2"/>
    <n v="15"/>
    <n v="36583.530899999998"/>
  </r>
  <r>
    <d v="2024-09-01T00:00:00"/>
    <x v="7"/>
    <x v="6"/>
    <d v="2024-09-01T00:00:00"/>
    <s v="Q3-2024"/>
    <s v="Africa"/>
    <x v="11"/>
    <s v="Johannesburg"/>
    <s v="Printers"/>
    <s v="High"/>
    <n v="249.57"/>
    <n v="249.57"/>
    <n v="2.1999999999999999E-2"/>
    <n v="8"/>
    <n v="6897.4036800000003"/>
  </r>
  <r>
    <d v="2024-09-02T00:00:00"/>
    <x v="19"/>
    <x v="6"/>
    <d v="2024-09-02T00:00:00"/>
    <s v="Q3-2024"/>
    <s v="Europe"/>
    <x v="8"/>
    <s v="Birmingham"/>
    <s v="Monitors"/>
    <s v="High"/>
    <n v="3275"/>
    <n v="3275"/>
    <n v="0.255"/>
    <n v="38"/>
    <n v="17694.882399999999"/>
  </r>
  <r>
    <d v="2024-09-03T00:00:00"/>
    <x v="25"/>
    <x v="6"/>
    <d v="2024-09-03T00:00:00"/>
    <s v="Q3-2024"/>
    <s v="Europe"/>
    <x v="8"/>
    <s v="London"/>
    <s v="Printers"/>
    <s v="High"/>
    <n v="1913.76"/>
    <n v="1913.76"/>
    <n v="9.0999999999999998E-2"/>
    <n v="9"/>
    <n v="7960.4402400000008"/>
  </r>
  <r>
    <d v="2024-09-04T00:00:00"/>
    <x v="31"/>
    <x v="6"/>
    <d v="2024-09-04T00:00:00"/>
    <s v="Q3-2024"/>
    <s v="Europe"/>
    <x v="6"/>
    <s v="Frankfurt"/>
    <s v="Components"/>
    <s v="Low"/>
    <n v="30.09"/>
    <n v="30.09"/>
    <n v="0.17699999999999999"/>
    <n v="13"/>
    <n v="16533.592659999998"/>
  </r>
  <r>
    <d v="2024-09-05T00:00:00"/>
    <x v="12"/>
    <x v="6"/>
    <d v="2024-09-05T00:00:00"/>
    <s v="Q3-2024"/>
    <s v="Americas"/>
    <x v="3"/>
    <s v="Vancouver"/>
    <s v="Monitors"/>
    <s v="High"/>
    <n v="501.31"/>
    <n v="501.31"/>
    <n v="5.6000000000000001E-2"/>
    <n v="15"/>
    <n v="31908.427200000002"/>
  </r>
  <r>
    <d v="2024-09-06T00:00:00"/>
    <x v="28"/>
    <x v="6"/>
    <d v="2024-09-06T00:00:00"/>
    <s v="Q3-2024"/>
    <s v="Asia"/>
    <x v="9"/>
    <s v="Shenzhen"/>
    <s v="Printers"/>
    <s v="High"/>
    <n v="411.18"/>
    <n v="411.18"/>
    <n v="0.17299999999999999"/>
    <n v="13"/>
    <n v="26302.966559999997"/>
  </r>
  <r>
    <d v="2024-09-07T00:00:00"/>
    <x v="11"/>
    <x v="6"/>
    <d v="2024-09-07T00:00:00"/>
    <s v="Q3-2024"/>
    <s v="Americas"/>
    <x v="5"/>
    <s v="Rio de Janeiro"/>
    <s v="Accessories"/>
    <s v="Low"/>
    <n v="5.92"/>
    <n v="5.92"/>
    <n v="0.21199999999999999"/>
    <n v="4"/>
    <n v="593.52160000000003"/>
  </r>
  <r>
    <d v="2024-09-08T00:00:00"/>
    <x v="1"/>
    <x v="6"/>
    <d v="2024-09-08T00:00:00"/>
    <s v="Q3-2024"/>
    <s v="Asia"/>
    <x v="9"/>
    <s v="Beijing"/>
    <s v="Phones"/>
    <s v="High"/>
    <n v="2206.63"/>
    <n v="2206.63"/>
    <n v="6.3E-2"/>
    <n v="20"/>
    <n v="48027.621600000006"/>
  </r>
  <r>
    <d v="2024-09-09T00:00:00"/>
    <x v="26"/>
    <x v="6"/>
    <d v="2024-09-09T00:00:00"/>
    <s v="Q3-2024"/>
    <s v="Asia"/>
    <x v="2"/>
    <s v="Osaka"/>
    <s v="Accessories"/>
    <s v="High"/>
    <n v="1912.8"/>
    <n v="1912.8"/>
    <n v="0.19600000000000001"/>
    <n v="5"/>
    <n v="7256.5421999999999"/>
  </r>
  <r>
    <d v="2024-09-10T00:00:00"/>
    <x v="25"/>
    <x v="6"/>
    <d v="2024-09-10T00:00:00"/>
    <s v="Q3-2024"/>
    <s v="Africa"/>
    <x v="1"/>
    <s v="Abuja"/>
    <s v="Monitors"/>
    <s v="High"/>
    <n v="1382.31"/>
    <n v="1382.31"/>
    <n v="0.10100000000000001"/>
    <n v="7"/>
    <n v="12999.63889"/>
  </r>
  <r>
    <d v="2024-09-11T00:00:00"/>
    <x v="1"/>
    <x v="6"/>
    <d v="2024-09-11T00:00:00"/>
    <s v="Q3-2024"/>
    <s v="Africa"/>
    <x v="1"/>
    <s v="Port Harcourt"/>
    <s v="Monitors"/>
    <s v="High"/>
    <n v="1355.61"/>
    <n v="1355.61"/>
    <n v="0.153"/>
    <n v="23"/>
    <n v="46101.981310000003"/>
  </r>
  <r>
    <d v="2024-09-12T00:00:00"/>
    <x v="23"/>
    <x v="6"/>
    <d v="2024-09-12T00:00:00"/>
    <s v="Q3-2024"/>
    <s v="Europe"/>
    <x v="7"/>
    <s v="Lyon"/>
    <s v="Accessories"/>
    <s v="High"/>
    <n v="887.9"/>
    <n v="887.9"/>
    <n v="2.5000000000000001E-2"/>
    <n v="12"/>
    <n v="1541.5919999999999"/>
  </r>
  <r>
    <d v="2024-09-13T00:00:00"/>
    <x v="10"/>
    <x v="6"/>
    <d v="2024-09-13T00:00:00"/>
    <s v="Q3-2024"/>
    <s v="Europe"/>
    <x v="7"/>
    <s v="Paris"/>
    <s v="Monitors"/>
    <s v="High"/>
    <n v="1020.69"/>
    <n v="1020.69"/>
    <n v="0.21099999999999999"/>
    <n v="6"/>
    <n v="6319.9846800000005"/>
  </r>
  <r>
    <d v="2024-09-14T00:00:00"/>
    <x v="5"/>
    <x v="6"/>
    <d v="2024-09-14T00:00:00"/>
    <s v="Q3-2024"/>
    <s v="Asia"/>
    <x v="4"/>
    <s v="Bengaluru"/>
    <s v="Accessories"/>
    <s v="High"/>
    <n v="1395.53"/>
    <n v="1395.53"/>
    <n v="0.23300000000000001"/>
    <n v="25"/>
    <n v="51608.553749999999"/>
  </r>
  <r>
    <d v="2024-09-15T00:00:00"/>
    <x v="24"/>
    <x v="6"/>
    <d v="2024-09-15T00:00:00"/>
    <s v="Q3-2024"/>
    <s v="Americas"/>
    <x v="5"/>
    <s v="Rio de Janeiro"/>
    <s v="Monitors"/>
    <s v="High"/>
    <n v="2273.42"/>
    <n v="2273.42"/>
    <n v="0.11799999999999999"/>
    <n v="14"/>
    <n v="9587.7280800000008"/>
  </r>
  <r>
    <d v="2024-09-16T00:00:00"/>
    <x v="7"/>
    <x v="6"/>
    <d v="2024-09-16T00:00:00"/>
    <s v="Q3-2024"/>
    <s v="Americas"/>
    <x v="5"/>
    <s v="Brasília"/>
    <s v="Monitors"/>
    <s v="High"/>
    <n v="1242.1500000000001"/>
    <n v="1242.1500000000001"/>
    <n v="1.2E-2"/>
    <n v="7"/>
    <n v="2200.4637200000002"/>
  </r>
  <r>
    <d v="2024-09-17T00:00:00"/>
    <x v="31"/>
    <x v="6"/>
    <d v="2024-09-17T00:00:00"/>
    <s v="Q3-2024"/>
    <s v="Asia"/>
    <x v="9"/>
    <s v="Shenzhen"/>
    <s v="Laptops"/>
    <s v="High"/>
    <n v="1310.29"/>
    <n v="1310.29"/>
    <n v="0.215"/>
    <n v="19"/>
    <n v="18590.205150000002"/>
  </r>
  <r>
    <d v="2024-09-18T00:00:00"/>
    <x v="25"/>
    <x v="6"/>
    <d v="2024-09-18T00:00:00"/>
    <s v="Q3-2024"/>
    <s v="Europe"/>
    <x v="8"/>
    <s v="Birmingham"/>
    <s v="Monitors"/>
    <s v="High"/>
    <n v="967.25"/>
    <n v="967.25"/>
    <n v="9.4E-2"/>
    <n v="10"/>
    <n v="3143.4576000000002"/>
  </r>
  <r>
    <d v="2024-09-19T00:00:00"/>
    <x v="21"/>
    <x v="6"/>
    <d v="2024-09-19T00:00:00"/>
    <s v="Q3-2024"/>
    <s v="Americas"/>
    <x v="10"/>
    <s v="Austin"/>
    <s v="Laptops"/>
    <s v="High"/>
    <n v="886.22"/>
    <n v="886.22"/>
    <n v="0.23599999999999999"/>
    <n v="36"/>
    <n v="13882.919040000001"/>
  </r>
  <r>
    <d v="2024-09-20T00:00:00"/>
    <x v="32"/>
    <x v="6"/>
    <d v="2024-09-20T00:00:00"/>
    <s v="Q3-2024"/>
    <s v="Asia"/>
    <x v="9"/>
    <s v="Shenzhen"/>
    <s v="Printers"/>
    <s v="High"/>
    <n v="790.61"/>
    <n v="790.61"/>
    <n v="7.1999999999999995E-2"/>
    <n v="6"/>
    <n v="5219.7772800000002"/>
  </r>
  <r>
    <d v="2024-09-21T00:00:00"/>
    <x v="15"/>
    <x v="6"/>
    <d v="2024-09-21T00:00:00"/>
    <s v="Q3-2024"/>
    <s v="Americas"/>
    <x v="10"/>
    <s v="San Francisco"/>
    <s v="Networking"/>
    <s v="High"/>
    <n v="361.33"/>
    <n v="361.33"/>
    <n v="9.4E-2"/>
    <n v="12"/>
    <n v="14139.90576"/>
  </r>
  <r>
    <d v="2024-09-22T00:00:00"/>
    <x v="29"/>
    <x v="6"/>
    <d v="2024-09-22T00:00:00"/>
    <s v="Q3-2024"/>
    <s v="Americas"/>
    <x v="5"/>
    <s v="São Paulo"/>
    <s v="Monitors"/>
    <s v="High"/>
    <n v="1952.04"/>
    <n v="1952.04"/>
    <n v="0.159"/>
    <n v="19"/>
    <n v="3645.6088500000001"/>
  </r>
  <r>
    <d v="2024-09-23T00:00:00"/>
    <x v="1"/>
    <x v="6"/>
    <d v="2024-09-23T00:00:00"/>
    <s v="Q3-2024"/>
    <s v="Asia"/>
    <x v="2"/>
    <s v="Osaka"/>
    <s v="Phones"/>
    <s v="High"/>
    <n v="1564.76"/>
    <n v="1564.76"/>
    <n v="0.185"/>
    <n v="17"/>
    <n v="6879.2846"/>
  </r>
  <r>
    <d v="2024-09-24T00:00:00"/>
    <x v="31"/>
    <x v="6"/>
    <d v="2024-09-24T00:00:00"/>
    <s v="Q3-2024"/>
    <s v="Africa"/>
    <x v="0"/>
    <s v="Kisumu"/>
    <s v="Phones"/>
    <s v="High"/>
    <n v="852.54"/>
    <n v="852.54"/>
    <n v="5.0999999999999997E-2"/>
    <n v="14"/>
    <n v="39076.783199999991"/>
  </r>
  <r>
    <d v="2024-09-25T00:00:00"/>
    <x v="5"/>
    <x v="6"/>
    <d v="2024-09-25T00:00:00"/>
    <s v="Q3-2024"/>
    <s v="Europe"/>
    <x v="6"/>
    <s v="Munich"/>
    <s v="Networking"/>
    <s v="High"/>
    <n v="1465.29"/>
    <n v="1465.29"/>
    <n v="0.186"/>
    <n v="7"/>
    <n v="6200.5636000000013"/>
  </r>
  <r>
    <d v="2024-09-26T00:00:00"/>
    <x v="12"/>
    <x v="6"/>
    <d v="2024-09-26T00:00:00"/>
    <s v="Q3-2024"/>
    <s v="Europe"/>
    <x v="6"/>
    <s v="Frankfurt"/>
    <s v="Printers"/>
    <s v="High"/>
    <n v="2645.23"/>
    <n v="2645.23"/>
    <n v="0.155"/>
    <n v="25"/>
    <n v="53428.293749999997"/>
  </r>
  <r>
    <d v="2024-09-27T00:00:00"/>
    <x v="5"/>
    <x v="6"/>
    <d v="2024-09-27T00:00:00"/>
    <s v="Q3-2024"/>
    <s v="Americas"/>
    <x v="10"/>
    <s v="Chicago"/>
    <s v="Phones"/>
    <s v="High"/>
    <n v="881.57"/>
    <n v="881.57"/>
    <n v="5.7000000000000002E-2"/>
    <n v="18"/>
    <n v="45796.021740000004"/>
  </r>
  <r>
    <d v="2024-09-28T00:00:00"/>
    <x v="9"/>
    <x v="6"/>
    <d v="2024-09-28T00:00:00"/>
    <s v="Q3-2024"/>
    <s v="Americas"/>
    <x v="10"/>
    <s v="Chicago"/>
    <s v="Printers"/>
    <s v="High"/>
    <n v="625.04"/>
    <n v="625.04"/>
    <n v="0.25800000000000001"/>
    <n v="10"/>
    <n v="11002.004999999999"/>
  </r>
  <r>
    <d v="2024-09-29T00:00:00"/>
    <x v="25"/>
    <x v="6"/>
    <d v="2024-09-29T00:00:00"/>
    <s v="Q3-2024"/>
    <s v="Americas"/>
    <x v="10"/>
    <s v="New York"/>
    <s v="Phones"/>
    <s v="High"/>
    <n v="973.04"/>
    <n v="973.04"/>
    <n v="0"/>
    <n v="26"/>
    <n v="37877.06"/>
  </r>
  <r>
    <d v="2024-09-30T00:00:00"/>
    <x v="5"/>
    <x v="6"/>
    <d v="2024-09-30T00:00:00"/>
    <s v="Q3-2024"/>
    <s v="Africa"/>
    <x v="0"/>
    <s v="Kisumu"/>
    <s v="Networking"/>
    <s v="High"/>
    <n v="1545.34"/>
    <n v="1545.34"/>
    <n v="0.24299999999999999"/>
    <n v="41"/>
    <n v="28497.86303"/>
  </r>
  <r>
    <d v="2024-10-01T00:00:00"/>
    <x v="26"/>
    <x v="7"/>
    <d v="2024-10-01T00:00:00"/>
    <s v="Q4-2024"/>
    <s v="Europe"/>
    <x v="8"/>
    <s v="Birmingham"/>
    <s v="Monitors"/>
    <s v="High"/>
    <n v="2253.42"/>
    <n v="2253.42"/>
    <n v="5.5E-2"/>
    <n v="12"/>
    <n v="554.97959999999989"/>
  </r>
  <r>
    <d v="2024-10-02T00:00:00"/>
    <x v="12"/>
    <x v="7"/>
    <d v="2024-10-02T00:00:00"/>
    <s v="Q4-2024"/>
    <s v="Europe"/>
    <x v="6"/>
    <s v="Berlin"/>
    <s v="Monitors"/>
    <s v="High"/>
    <n v="2446.56"/>
    <n v="2446.56"/>
    <n v="2.9000000000000001E-2"/>
    <n v="11"/>
    <n v="9957.7894899999992"/>
  </r>
  <r>
    <d v="2024-10-03T00:00:00"/>
    <x v="24"/>
    <x v="7"/>
    <d v="2024-10-03T00:00:00"/>
    <s v="Q4-2024"/>
    <s v="Europe"/>
    <x v="8"/>
    <s v="Birmingham"/>
    <s v="Components"/>
    <s v="Medium"/>
    <n v="188.3"/>
    <n v="188.3"/>
    <n v="3.7999999999999999E-2"/>
    <n v="37"/>
    <n v="11596.169260000001"/>
  </r>
  <r>
    <d v="2024-10-04T00:00:00"/>
    <x v="10"/>
    <x v="7"/>
    <d v="2024-10-04T00:00:00"/>
    <s v="Q4-2024"/>
    <s v="Africa"/>
    <x v="0"/>
    <s v="Nairobi"/>
    <s v="Accessories"/>
    <s v="High"/>
    <n v="2562.84"/>
    <n v="2562.84"/>
    <n v="0.14799999999999999"/>
    <n v="13"/>
    <n v="4496.5237200000001"/>
  </r>
  <r>
    <d v="2024-10-05T00:00:00"/>
    <x v="29"/>
    <x v="7"/>
    <d v="2024-10-05T00:00:00"/>
    <s v="Q4-2024"/>
    <s v="Africa"/>
    <x v="0"/>
    <s v="Kisumu"/>
    <s v="Printers"/>
    <s v="High"/>
    <n v="1805.11"/>
    <n v="1805.11"/>
    <n v="0.20300000000000001"/>
    <n v="11"/>
    <n v="13931.376689999999"/>
  </r>
  <r>
    <d v="2024-10-06T00:00:00"/>
    <x v="13"/>
    <x v="7"/>
    <d v="2024-10-06T00:00:00"/>
    <s v="Q4-2024"/>
    <s v="Africa"/>
    <x v="1"/>
    <s v="Lagos"/>
    <s v="Accessories"/>
    <s v="High"/>
    <n v="2065.73"/>
    <n v="2065.73"/>
    <n v="0.13600000000000001"/>
    <n v="10"/>
    <n v="12379.392"/>
  </r>
  <r>
    <d v="2024-10-07T00:00:00"/>
    <x v="1"/>
    <x v="7"/>
    <d v="2024-10-07T00:00:00"/>
    <s v="Q4-2024"/>
    <s v="Africa"/>
    <x v="11"/>
    <s v="Durban"/>
    <s v="Components"/>
    <s v="High"/>
    <n v="2366.5100000000002"/>
    <n v="2366.5100000000002"/>
    <n v="0.152"/>
    <n v="9"/>
    <n v="13476.28032"/>
  </r>
  <r>
    <d v="2024-10-08T00:00:00"/>
    <x v="13"/>
    <x v="7"/>
    <d v="2024-10-08T00:00:00"/>
    <s v="Q4-2024"/>
    <s v="Americas"/>
    <x v="3"/>
    <s v="Montreal"/>
    <s v="Monitors"/>
    <s v="Medium"/>
    <n v="131.76"/>
    <n v="131.76"/>
    <n v="0.10199999999999999"/>
    <n v="15"/>
    <n v="37144.063799999996"/>
  </r>
  <r>
    <d v="2024-10-09T00:00:00"/>
    <x v="29"/>
    <x v="7"/>
    <d v="2024-10-09T00:00:00"/>
    <s v="Q4-2024"/>
    <s v="Asia"/>
    <x v="9"/>
    <s v="Shenzhen"/>
    <s v="Printers"/>
    <s v="High"/>
    <n v="1335.02"/>
    <n v="1335.02"/>
    <n v="0.128"/>
    <n v="6"/>
    <n v="4571.46"/>
  </r>
  <r>
    <d v="2024-10-10T00:00:00"/>
    <x v="10"/>
    <x v="7"/>
    <d v="2024-10-10T00:00:00"/>
    <s v="Q4-2024"/>
    <s v="Africa"/>
    <x v="0"/>
    <s v="Kisumu"/>
    <s v="Phones"/>
    <s v="High"/>
    <n v="2691.45"/>
    <n v="2691.45"/>
    <n v="0"/>
    <n v="9"/>
    <n v="2326.6799999999998"/>
  </r>
  <r>
    <d v="2024-10-11T00:00:00"/>
    <x v="30"/>
    <x v="7"/>
    <d v="2024-10-11T00:00:00"/>
    <s v="Q4-2024"/>
    <s v="Americas"/>
    <x v="5"/>
    <s v="Brasília"/>
    <s v="Accessories"/>
    <s v="High"/>
    <n v="776.46"/>
    <n v="776.46"/>
    <n v="0.157"/>
    <n v="12"/>
    <n v="6137.98416"/>
  </r>
  <r>
    <d v="2024-10-12T00:00:00"/>
    <x v="31"/>
    <x v="7"/>
    <d v="2024-10-12T00:00:00"/>
    <s v="Q4-2024"/>
    <s v="Asia"/>
    <x v="2"/>
    <s v="Nagoya"/>
    <s v="Networking"/>
    <s v="High"/>
    <n v="318.17"/>
    <n v="318.17"/>
    <n v="0.20100000000000001"/>
    <n v="60"/>
    <n v="64128.8586"/>
  </r>
  <r>
    <d v="2024-10-13T00:00:00"/>
    <x v="4"/>
    <x v="7"/>
    <d v="2024-10-13T00:00:00"/>
    <s v="Q4-2024"/>
    <s v="Asia"/>
    <x v="4"/>
    <s v="Mumbai"/>
    <s v="Monitors"/>
    <s v="High"/>
    <n v="1246.4100000000001"/>
    <n v="1246.4100000000001"/>
    <n v="0.113"/>
    <n v="7"/>
    <n v="11133.23372"/>
  </r>
  <r>
    <d v="2024-10-14T00:00:00"/>
    <x v="5"/>
    <x v="7"/>
    <d v="2024-10-14T00:00:00"/>
    <s v="Q4-2024"/>
    <s v="Europe"/>
    <x v="6"/>
    <s v="Munich"/>
    <s v="Monitors"/>
    <s v="High"/>
    <n v="346.96"/>
    <n v="346.96"/>
    <n v="0.19600000000000001"/>
    <n v="8"/>
    <n v="789.46368000000007"/>
  </r>
  <r>
    <d v="2024-10-15T00:00:00"/>
    <x v="1"/>
    <x v="7"/>
    <d v="2024-10-15T00:00:00"/>
    <s v="Q4-2024"/>
    <s v="Asia"/>
    <x v="9"/>
    <s v="Shanghai"/>
    <s v="Printers"/>
    <s v="High"/>
    <n v="504.76"/>
    <n v="504.76"/>
    <n v="4.0000000000000001E-3"/>
    <n v="13"/>
    <n v="12014.83764"/>
  </r>
  <r>
    <d v="2024-10-16T00:00:00"/>
    <x v="29"/>
    <x v="7"/>
    <d v="2024-10-16T00:00:00"/>
    <s v="Q4-2024"/>
    <s v="Americas"/>
    <x v="5"/>
    <s v="Rio de Janeiro"/>
    <s v="Printers"/>
    <s v="High"/>
    <n v="937.46"/>
    <n v="937.46"/>
    <n v="0.26600000000000001"/>
    <n v="41"/>
    <n v="4570.6767199999995"/>
  </r>
  <r>
    <d v="2024-10-17T00:00:00"/>
    <x v="28"/>
    <x v="7"/>
    <d v="2024-10-17T00:00:00"/>
    <s v="Q4-2024"/>
    <s v="Africa"/>
    <x v="0"/>
    <s v="Nairobi"/>
    <s v="Components"/>
    <s v="High"/>
    <n v="1300.58"/>
    <n v="1300.58"/>
    <n v="5.5E-2"/>
    <n v="11"/>
    <n v="22977.108"/>
  </r>
  <r>
    <d v="2024-10-18T00:00:00"/>
    <x v="27"/>
    <x v="7"/>
    <d v="2024-10-18T00:00:00"/>
    <s v="Q4-2024"/>
    <s v="Americas"/>
    <x v="10"/>
    <s v="New York"/>
    <s v="Accessories"/>
    <s v="High"/>
    <n v="228.15"/>
    <n v="228.15"/>
    <n v="0.20399999999999999"/>
    <n v="5"/>
    <n v="158.16520000000003"/>
  </r>
  <r>
    <d v="2024-10-19T00:00:00"/>
    <x v="25"/>
    <x v="7"/>
    <d v="2024-10-19T00:00:00"/>
    <s v="Q4-2024"/>
    <s v="Africa"/>
    <x v="11"/>
    <s v="Cape Town"/>
    <s v="Components"/>
    <s v="High"/>
    <n v="496.52"/>
    <n v="496.52"/>
    <n v="9.2999999999999999E-2"/>
    <n v="10"/>
    <n v="9151.630000000001"/>
  </r>
  <r>
    <d v="2024-10-20T00:00:00"/>
    <x v="13"/>
    <x v="7"/>
    <d v="2024-10-20T00:00:00"/>
    <s v="Q4-2024"/>
    <s v="Africa"/>
    <x v="11"/>
    <s v="Durban"/>
    <s v="Networking"/>
    <s v="High"/>
    <n v="2941.2"/>
    <n v="2941.2"/>
    <n v="5.0999999999999997E-2"/>
    <n v="24"/>
    <n v="37663.304640000002"/>
  </r>
  <r>
    <d v="2024-10-21T00:00:00"/>
    <x v="12"/>
    <x v="7"/>
    <d v="2024-10-21T00:00:00"/>
    <s v="Q4-2024"/>
    <s v="Europe"/>
    <x v="8"/>
    <s v="Birmingham"/>
    <s v="Laptops"/>
    <s v="High"/>
    <n v="1088.2"/>
    <n v="1088.2"/>
    <n v="5.0999999999999997E-2"/>
    <n v="15"/>
    <n v="14458.4895"/>
  </r>
  <r>
    <d v="2024-10-22T00:00:00"/>
    <x v="4"/>
    <x v="7"/>
    <d v="2024-10-22T00:00:00"/>
    <s v="Q4-2024"/>
    <s v="Americas"/>
    <x v="5"/>
    <s v="Rio de Janeiro"/>
    <s v="Phones"/>
    <s v="High"/>
    <n v="2529.15"/>
    <n v="2529.15"/>
    <n v="0.14699999999999999"/>
    <n v="10"/>
    <n v="7783.1984999999995"/>
  </r>
  <r>
    <d v="2024-10-23T00:00:00"/>
    <x v="24"/>
    <x v="7"/>
    <d v="2024-10-23T00:00:00"/>
    <s v="Q4-2024"/>
    <s v="Asia"/>
    <x v="2"/>
    <s v="Nagoya"/>
    <s v="Networking"/>
    <s v="High"/>
    <n v="2698.01"/>
    <n v="2698.01"/>
    <n v="0.13100000000000001"/>
    <n v="13"/>
    <n v="9209.201430000001"/>
  </r>
  <r>
    <d v="2024-10-24T00:00:00"/>
    <x v="32"/>
    <x v="7"/>
    <d v="2024-10-24T00:00:00"/>
    <s v="Q4-2024"/>
    <s v="Americas"/>
    <x v="10"/>
    <s v="San Francisco"/>
    <s v="Accessories"/>
    <s v="High"/>
    <n v="1482.75"/>
    <n v="1482.75"/>
    <n v="6.7000000000000004E-2"/>
    <n v="4"/>
    <n v="6770.0719200000003"/>
  </r>
  <r>
    <d v="2024-10-25T00:00:00"/>
    <x v="28"/>
    <x v="7"/>
    <d v="2024-10-25T00:00:00"/>
    <s v="Q4-2024"/>
    <s v="Americas"/>
    <x v="10"/>
    <s v="San Francisco"/>
    <s v="Printers"/>
    <s v="High"/>
    <n v="1456.81"/>
    <n v="1456.81"/>
    <n v="0.123"/>
    <n v="13"/>
    <n v="8652.4469199999985"/>
  </r>
  <r>
    <d v="2024-10-26T00:00:00"/>
    <x v="22"/>
    <x v="7"/>
    <d v="2024-10-26T00:00:00"/>
    <s v="Q4-2024"/>
    <s v="Africa"/>
    <x v="0"/>
    <s v="Nairobi"/>
    <s v="Printers"/>
    <s v="High"/>
    <n v="918.19"/>
    <n v="918.19"/>
    <n v="0.189"/>
    <n v="10"/>
    <n v="13522.938400000001"/>
  </r>
  <r>
    <d v="2024-10-27T00:00:00"/>
    <x v="15"/>
    <x v="7"/>
    <d v="2024-10-27T00:00:00"/>
    <s v="Q4-2024"/>
    <s v="Asia"/>
    <x v="9"/>
    <s v="Shanghai"/>
    <s v="Components"/>
    <s v="Low"/>
    <n v="48.94"/>
    <n v="48.94"/>
    <n v="0.14799999999999999"/>
    <n v="16"/>
    <n v="34932.681600000004"/>
  </r>
  <r>
    <d v="2024-10-28T00:00:00"/>
    <x v="19"/>
    <x v="7"/>
    <d v="2024-10-28T00:00:00"/>
    <s v="Q4-2024"/>
    <s v="Americas"/>
    <x v="5"/>
    <s v="Brasília"/>
    <s v="Phones"/>
    <s v="High"/>
    <n v="932.29"/>
    <n v="932.29"/>
    <n v="0.109"/>
    <n v="7"/>
    <n v="4648.9350599999998"/>
  </r>
  <r>
    <d v="2024-10-29T00:00:00"/>
    <x v="29"/>
    <x v="7"/>
    <d v="2024-10-29T00:00:00"/>
    <s v="Q4-2024"/>
    <s v="Africa"/>
    <x v="1"/>
    <s v="Lagos"/>
    <s v="Printers"/>
    <s v="High"/>
    <n v="325.79000000000002"/>
    <n v="325.79000000000002"/>
    <n v="0.11600000000000001"/>
    <n v="10"/>
    <n v="6081.4780000000001"/>
  </r>
  <r>
    <d v="2024-10-30T00:00:00"/>
    <x v="29"/>
    <x v="7"/>
    <d v="2024-10-30T00:00:00"/>
    <s v="Q4-2024"/>
    <s v="Asia"/>
    <x v="2"/>
    <s v="Osaka"/>
    <s v="Monitors"/>
    <s v="High"/>
    <n v="405.97"/>
    <n v="405.97"/>
    <n v="0.187"/>
    <n v="16"/>
    <n v="7155.3105599999999"/>
  </r>
  <r>
    <d v="2024-10-31T00:00:00"/>
    <x v="22"/>
    <x v="7"/>
    <d v="2024-10-31T00:00:00"/>
    <s v="Q4-2024"/>
    <s v="Africa"/>
    <x v="11"/>
    <s v="Cape Town"/>
    <s v="Components"/>
    <s v="High"/>
    <n v="1589.07"/>
    <n v="1589.07"/>
    <n v="0.10199999999999999"/>
    <n v="10"/>
    <n v="18572.525799999999"/>
  </r>
  <r>
    <d v="2024-11-01T00:00:00"/>
    <x v="9"/>
    <x v="8"/>
    <d v="2024-11-01T00:00:00"/>
    <s v="Q4-2024"/>
    <s v="Asia"/>
    <x v="2"/>
    <s v="Nagoya"/>
    <s v="Printers"/>
    <s v="High"/>
    <n v="1432.8"/>
    <n v="1432.8"/>
    <n v="6.8000000000000005E-2"/>
    <n v="13"/>
    <n v="31218.691400000003"/>
  </r>
  <r>
    <d v="2024-11-02T00:00:00"/>
    <x v="29"/>
    <x v="8"/>
    <d v="2024-11-02T00:00:00"/>
    <s v="Q4-2024"/>
    <s v="Africa"/>
    <x v="0"/>
    <s v="Mombasa"/>
    <s v="Phones"/>
    <s v="High"/>
    <n v="1765.76"/>
    <n v="1765.76"/>
    <n v="0.126"/>
    <n v="24"/>
    <n v="21901.880639999999"/>
  </r>
  <r>
    <d v="2024-11-03T00:00:00"/>
    <x v="13"/>
    <x v="8"/>
    <d v="2024-11-03T00:00:00"/>
    <s v="Q4-2024"/>
    <s v="Americas"/>
    <x v="3"/>
    <s v="Vancouver"/>
    <s v="Components"/>
    <s v="High"/>
    <n v="2757.54"/>
    <n v="2757.54"/>
    <n v="0.17199999999999999"/>
    <n v="61"/>
    <n v="5002.3123200000009"/>
  </r>
  <r>
    <d v="2024-11-04T00:00:00"/>
    <x v="30"/>
    <x v="8"/>
    <d v="2024-11-04T00:00:00"/>
    <s v="Q4-2024"/>
    <s v="Asia"/>
    <x v="4"/>
    <s v="Delhi"/>
    <s v="Phones"/>
    <s v="High"/>
    <n v="873.75"/>
    <n v="873.75"/>
    <n v="0.23499999999999999"/>
    <n v="10"/>
    <n v="15275.5965"/>
  </r>
  <r>
    <d v="2024-11-05T00:00:00"/>
    <x v="0"/>
    <x v="8"/>
    <d v="2024-11-05T00:00:00"/>
    <s v="Q4-2024"/>
    <s v="Americas"/>
    <x v="10"/>
    <s v="Austin"/>
    <s v="Laptops"/>
    <s v="High"/>
    <n v="258.52"/>
    <n v="258.52"/>
    <n v="0.13"/>
    <n v="17"/>
    <n v="13631.647199999999"/>
  </r>
  <r>
    <d v="2024-11-06T00:00:00"/>
    <x v="27"/>
    <x v="8"/>
    <d v="2024-11-06T00:00:00"/>
    <s v="Q4-2024"/>
    <s v="Asia"/>
    <x v="4"/>
    <s v="Bengaluru"/>
    <s v="Printers"/>
    <s v="High"/>
    <n v="606.76"/>
    <n v="606.76"/>
    <n v="8.5999999999999993E-2"/>
    <n v="8"/>
    <n v="18307.712480000002"/>
  </r>
  <r>
    <d v="2024-11-07T00:00:00"/>
    <x v="8"/>
    <x v="8"/>
    <d v="2024-11-07T00:00:00"/>
    <s v="Q4-2024"/>
    <s v="Asia"/>
    <x v="9"/>
    <s v="Beijing"/>
    <s v="Phones"/>
    <s v="High"/>
    <n v="1337.69"/>
    <n v="1337.69"/>
    <n v="9.5000000000000001E-2"/>
    <n v="8"/>
    <n v="17830.4548"/>
  </r>
  <r>
    <d v="2024-11-08T00:00:00"/>
    <x v="28"/>
    <x v="8"/>
    <d v="2024-11-08T00:00:00"/>
    <s v="Q4-2024"/>
    <s v="Asia"/>
    <x v="2"/>
    <s v="Osaka"/>
    <s v="Laptops"/>
    <s v="High"/>
    <n v="1793.08"/>
    <n v="1793.08"/>
    <n v="0.13600000000000001"/>
    <n v="22"/>
    <n v="9431.7695999999996"/>
  </r>
  <r>
    <d v="2024-11-09T00:00:00"/>
    <x v="6"/>
    <x v="8"/>
    <d v="2024-11-09T00:00:00"/>
    <s v="Q4-2024"/>
    <s v="Europe"/>
    <x v="6"/>
    <s v="Frankfurt"/>
    <s v="Printers"/>
    <s v="Medium"/>
    <n v="122.74"/>
    <n v="122.74"/>
    <n v="0.23799999999999999"/>
    <n v="8"/>
    <n v="5532.6686399999999"/>
  </r>
  <r>
    <d v="2024-11-10T00:00:00"/>
    <x v="12"/>
    <x v="8"/>
    <d v="2024-11-10T00:00:00"/>
    <s v="Q4-2024"/>
    <s v="Americas"/>
    <x v="5"/>
    <s v="Rio de Janeiro"/>
    <s v="Phones"/>
    <s v="High"/>
    <n v="927.93"/>
    <n v="927.93"/>
    <n v="0.17499999999999999"/>
    <n v="16"/>
    <n v="4411.308"/>
  </r>
  <r>
    <d v="2024-11-11T00:00:00"/>
    <x v="0"/>
    <x v="8"/>
    <d v="2024-11-11T00:00:00"/>
    <s v="Q4-2024"/>
    <s v="Africa"/>
    <x v="1"/>
    <s v="Port Harcourt"/>
    <s v="Phones"/>
    <s v="Medium"/>
    <n v="151.88"/>
    <n v="151.88"/>
    <n v="0.16700000000000001"/>
    <n v="23"/>
    <n v="10322.677609999999"/>
  </r>
  <r>
    <d v="2024-11-12T00:00:00"/>
    <x v="31"/>
    <x v="8"/>
    <d v="2024-11-12T00:00:00"/>
    <s v="Q4-2024"/>
    <s v="Americas"/>
    <x v="3"/>
    <s v="Montreal"/>
    <s v="Laptops"/>
    <s v="High"/>
    <n v="2210.4"/>
    <n v="2210.4"/>
    <n v="0.26300000000000001"/>
    <n v="6"/>
    <n v="6352.3798799999995"/>
  </r>
  <r>
    <d v="2024-11-13T00:00:00"/>
    <x v="19"/>
    <x v="8"/>
    <d v="2024-11-13T00:00:00"/>
    <s v="Q4-2024"/>
    <s v="Europe"/>
    <x v="6"/>
    <s v="Berlin"/>
    <s v="Monitors"/>
    <s v="Low"/>
    <n v="39.74"/>
    <n v="39.74"/>
    <n v="0.151"/>
    <n v="18"/>
    <n v="26996.417099999999"/>
  </r>
  <r>
    <d v="2024-11-14T00:00:00"/>
    <x v="18"/>
    <x v="8"/>
    <d v="2024-11-14T00:00:00"/>
    <s v="Q4-2024"/>
    <s v="Africa"/>
    <x v="0"/>
    <s v="Nakuru"/>
    <s v="Networking"/>
    <s v="High"/>
    <n v="1009"/>
    <n v="1009"/>
    <n v="0.11"/>
    <n v="4"/>
    <n v="2237.6023999999998"/>
  </r>
  <r>
    <d v="2024-11-15T00:00:00"/>
    <x v="11"/>
    <x v="8"/>
    <d v="2024-11-15T00:00:00"/>
    <s v="Q4-2024"/>
    <s v="Asia"/>
    <x v="2"/>
    <s v="Nagoya"/>
    <s v="Monitors"/>
    <s v="High"/>
    <n v="1653.64"/>
    <n v="1653.64"/>
    <n v="0.107"/>
    <n v="8"/>
    <n v="11792.958000000001"/>
  </r>
  <r>
    <d v="2024-11-16T00:00:00"/>
    <x v="29"/>
    <x v="8"/>
    <d v="2024-11-16T00:00:00"/>
    <s v="Q4-2024"/>
    <s v="Americas"/>
    <x v="10"/>
    <s v="Austin"/>
    <s v="Components"/>
    <s v="High"/>
    <n v="1015.7"/>
    <n v="1015.7"/>
    <n v="0.14299999999999999"/>
    <n v="14"/>
    <n v="26961.185719999998"/>
  </r>
  <r>
    <d v="2024-11-17T00:00:00"/>
    <x v="22"/>
    <x v="8"/>
    <d v="2024-11-17T00:00:00"/>
    <s v="Q4-2024"/>
    <s v="Americas"/>
    <x v="3"/>
    <s v="Montreal"/>
    <s v="Laptops"/>
    <s v="High"/>
    <n v="912.45"/>
    <n v="912.45"/>
    <n v="0.20300000000000001"/>
    <n v="24"/>
    <n v="17084.938320000001"/>
  </r>
  <r>
    <d v="2024-11-18T00:00:00"/>
    <x v="0"/>
    <x v="8"/>
    <d v="2024-11-18T00:00:00"/>
    <s v="Q4-2024"/>
    <s v="Americas"/>
    <x v="3"/>
    <s v="Vancouver"/>
    <s v="Monitors"/>
    <s v="High"/>
    <n v="815.19"/>
    <n v="815.19"/>
    <n v="0.22500000000000001"/>
    <n v="28"/>
    <n v="50537.130000000005"/>
  </r>
  <r>
    <d v="2024-11-19T00:00:00"/>
    <x v="14"/>
    <x v="8"/>
    <d v="2024-11-19T00:00:00"/>
    <s v="Q4-2024"/>
    <s v="Americas"/>
    <x v="10"/>
    <s v="New York"/>
    <s v="Printers"/>
    <s v="High"/>
    <n v="1814.06"/>
    <n v="1814.06"/>
    <n v="0.122"/>
    <n v="16"/>
    <n v="29033.704000000002"/>
  </r>
  <r>
    <d v="2024-11-20T00:00:00"/>
    <x v="1"/>
    <x v="8"/>
    <d v="2024-11-20T00:00:00"/>
    <s v="Q4-2024"/>
    <s v="Asia"/>
    <x v="2"/>
    <s v="Nagoya"/>
    <s v="Monitors"/>
    <s v="High"/>
    <n v="758.92"/>
    <n v="758.92"/>
    <n v="5.2999999999999999E-2"/>
    <n v="9"/>
    <n v="18599.828130000002"/>
  </r>
  <r>
    <d v="2024-11-21T00:00:00"/>
    <x v="20"/>
    <x v="8"/>
    <d v="2024-11-21T00:00:00"/>
    <s v="Q4-2024"/>
    <s v="Europe"/>
    <x v="6"/>
    <s v="Frankfurt"/>
    <s v="Laptops"/>
    <s v="High"/>
    <n v="1667.44"/>
    <n v="1667.44"/>
    <n v="3.4000000000000002E-2"/>
    <n v="15"/>
    <n v="39508.723799999992"/>
  </r>
  <r>
    <d v="2024-11-22T00:00:00"/>
    <x v="32"/>
    <x v="8"/>
    <d v="2024-11-22T00:00:00"/>
    <s v="Q4-2024"/>
    <s v="Asia"/>
    <x v="4"/>
    <s v="Bengaluru"/>
    <s v="Components"/>
    <s v="High"/>
    <n v="2562.5500000000002"/>
    <n v="2562.5500000000002"/>
    <n v="0.17299999999999999"/>
    <n v="9"/>
    <n v="828.33146999999997"/>
  </r>
  <r>
    <d v="2024-11-23T00:00:00"/>
    <x v="12"/>
    <x v="8"/>
    <d v="2024-11-23T00:00:00"/>
    <s v="Q4-2024"/>
    <s v="Europe"/>
    <x v="8"/>
    <s v="London"/>
    <s v="Networking"/>
    <s v="High"/>
    <n v="745.38"/>
    <n v="745.38"/>
    <n v="0.19700000000000001"/>
    <n v="4"/>
    <n v="3533.4890799999994"/>
  </r>
  <r>
    <d v="2024-11-24T00:00:00"/>
    <x v="16"/>
    <x v="8"/>
    <d v="2024-11-24T00:00:00"/>
    <s v="Q4-2024"/>
    <s v="Europe"/>
    <x v="6"/>
    <s v="Munich"/>
    <s v="Monitors"/>
    <s v="High"/>
    <n v="687.95"/>
    <n v="687.95"/>
    <n v="0.20499999999999999"/>
    <n v="8"/>
    <n v="9725.3304000000007"/>
  </r>
  <r>
    <d v="2024-11-25T00:00:00"/>
    <x v="32"/>
    <x v="8"/>
    <d v="2024-11-25T00:00:00"/>
    <s v="Q4-2024"/>
    <s v="Americas"/>
    <x v="5"/>
    <s v="Brasília"/>
    <s v="Accessories"/>
    <s v="High"/>
    <n v="550.07000000000005"/>
    <n v="550.07000000000005"/>
    <n v="0.14000000000000001"/>
    <n v="16"/>
    <n v="10026.7744"/>
  </r>
  <r>
    <d v="2024-11-26T00:00:00"/>
    <x v="15"/>
    <x v="8"/>
    <d v="2024-11-26T00:00:00"/>
    <s v="Q4-2024"/>
    <s v="Africa"/>
    <x v="1"/>
    <s v="Port Harcourt"/>
    <s v="Components"/>
    <s v="High"/>
    <n v="2068.21"/>
    <n v="2068.21"/>
    <n v="7.8E-2"/>
    <n v="12"/>
    <n v="69.481920000000002"/>
  </r>
  <r>
    <d v="2024-11-27T00:00:00"/>
    <x v="15"/>
    <x v="8"/>
    <d v="2024-11-27T00:00:00"/>
    <s v="Q4-2024"/>
    <s v="Europe"/>
    <x v="6"/>
    <s v="Berlin"/>
    <s v="Accessories"/>
    <s v="High"/>
    <n v="2576.65"/>
    <n v="2576.65"/>
    <n v="4.0000000000000001E-3"/>
    <n v="7"/>
    <n v="17916.436439999998"/>
  </r>
  <r>
    <d v="2024-11-28T00:00:00"/>
    <x v="25"/>
    <x v="8"/>
    <d v="2024-11-28T00:00:00"/>
    <s v="Q4-2024"/>
    <s v="Americas"/>
    <x v="5"/>
    <s v="Brasília"/>
    <s v="Networking"/>
    <s v="High"/>
    <n v="1044.1400000000001"/>
    <n v="1044.1400000000001"/>
    <n v="0.216"/>
    <n v="10"/>
    <n v="12481.436800000001"/>
  </r>
  <r>
    <d v="2024-11-29T00:00:00"/>
    <x v="16"/>
    <x v="8"/>
    <d v="2024-11-29T00:00:00"/>
    <s v="Q4-2024"/>
    <s v="Africa"/>
    <x v="11"/>
    <s v="Durban"/>
    <s v="Phones"/>
    <s v="Medium"/>
    <n v="99.04"/>
    <n v="99.04"/>
    <n v="5.7000000000000002E-2"/>
    <n v="6"/>
    <n v="5632.3692599999995"/>
  </r>
  <r>
    <d v="2024-11-30T00:00:00"/>
    <x v="19"/>
    <x v="8"/>
    <d v="2024-11-30T00:00:00"/>
    <s v="Q4-2024"/>
    <s v="Africa"/>
    <x v="1"/>
    <s v="Port Harcourt"/>
    <s v="Laptops"/>
    <s v="High"/>
    <n v="1996.81"/>
    <n v="1996.81"/>
    <n v="0.126"/>
    <n v="23"/>
    <n v="24932.711619999998"/>
  </r>
  <r>
    <d v="2024-12-01T00:00:00"/>
    <x v="11"/>
    <x v="9"/>
    <d v="2024-12-01T00:00:00"/>
    <s v="Q4-2024"/>
    <s v="Americas"/>
    <x v="3"/>
    <s v="Toronto"/>
    <s v="Printers"/>
    <s v="High"/>
    <n v="921.68"/>
    <n v="921.68"/>
    <n v="0.19600000000000001"/>
    <n v="17"/>
    <n v="1617.8811600000001"/>
  </r>
  <r>
    <d v="2024-12-02T00:00:00"/>
    <x v="1"/>
    <x v="9"/>
    <d v="2024-12-02T00:00:00"/>
    <s v="Q4-2024"/>
    <s v="Europe"/>
    <x v="8"/>
    <s v="London"/>
    <s v="Monitors"/>
    <s v="High"/>
    <n v="2503.79"/>
    <n v="2503.79"/>
    <n v="0.184"/>
    <n v="19"/>
    <n v="32644.137120000007"/>
  </r>
  <r>
    <d v="2024-12-03T00:00:00"/>
    <x v="15"/>
    <x v="9"/>
    <d v="2024-12-03T00:00:00"/>
    <s v="Q4-2024"/>
    <s v="Africa"/>
    <x v="1"/>
    <s v="Port Harcourt"/>
    <s v="Components"/>
    <s v="High"/>
    <n v="2462.77"/>
    <n v="2462.77"/>
    <n v="0.107"/>
    <n v="8"/>
    <n v="3736.3119999999999"/>
  </r>
  <r>
    <d v="2024-12-04T00:00:00"/>
    <x v="4"/>
    <x v="9"/>
    <d v="2024-12-04T00:00:00"/>
    <s v="Q4-2024"/>
    <s v="Americas"/>
    <x v="5"/>
    <s v="São Paulo"/>
    <s v="Phones"/>
    <s v="High"/>
    <n v="496.2"/>
    <n v="496.2"/>
    <n v="0"/>
    <n v="14"/>
    <n v="15054.199999999999"/>
  </r>
  <r>
    <d v="2024-12-05T00:00:00"/>
    <x v="9"/>
    <x v="9"/>
    <d v="2024-12-05T00:00:00"/>
    <s v="Q4-2024"/>
    <s v="Europe"/>
    <x v="7"/>
    <s v="Marseille"/>
    <s v="Printers"/>
    <s v="High"/>
    <n v="907.59"/>
    <n v="907.59"/>
    <n v="0.154"/>
    <n v="10"/>
    <n v="27872.062200000004"/>
  </r>
  <r>
    <d v="2024-12-06T00:00:00"/>
    <x v="25"/>
    <x v="9"/>
    <d v="2024-12-06T00:00:00"/>
    <s v="Q4-2024"/>
    <s v="Americas"/>
    <x v="5"/>
    <s v="Brasília"/>
    <s v="Accessories"/>
    <s v="High"/>
    <n v="334.19"/>
    <n v="334.19"/>
    <n v="0.13400000000000001"/>
    <n v="25"/>
    <n v="10046.682500000001"/>
  </r>
  <r>
    <d v="2024-12-07T00:00:00"/>
    <x v="26"/>
    <x v="9"/>
    <d v="2024-12-07T00:00:00"/>
    <s v="Q4-2024"/>
    <s v="Asia"/>
    <x v="4"/>
    <s v="Delhi"/>
    <s v="Monitors"/>
    <s v="High"/>
    <n v="538.79"/>
    <n v="538.79"/>
    <n v="0.17399999999999999"/>
    <n v="16"/>
    <n v="6753.7724800000005"/>
  </r>
  <r>
    <d v="2024-12-08T00:00:00"/>
    <x v="0"/>
    <x v="9"/>
    <d v="2024-12-08T00:00:00"/>
    <s v="Q4-2024"/>
    <s v="Europe"/>
    <x v="6"/>
    <s v="Frankfurt"/>
    <s v="Monitors"/>
    <s v="High"/>
    <n v="1436.54"/>
    <n v="1436.54"/>
    <n v="0.13900000000000001"/>
    <n v="28"/>
    <n v="101.73576"/>
  </r>
  <r>
    <d v="2024-12-09T00:00:00"/>
    <x v="24"/>
    <x v="9"/>
    <d v="2024-12-09T00:00:00"/>
    <s v="Q4-2024"/>
    <s v="Americas"/>
    <x v="3"/>
    <s v="Montreal"/>
    <s v="Monitors"/>
    <s v="High"/>
    <n v="1766.55"/>
    <n v="1766.55"/>
    <n v="0.16400000000000001"/>
    <n v="20"/>
    <n v="9651.4527999999991"/>
  </r>
  <r>
    <d v="2024-12-10T00:00:00"/>
    <x v="0"/>
    <x v="9"/>
    <d v="2024-12-10T00:00:00"/>
    <s v="Q4-2024"/>
    <s v="Europe"/>
    <x v="7"/>
    <s v="Paris"/>
    <s v="Printers"/>
    <s v="High"/>
    <n v="628.54"/>
    <n v="628.54"/>
    <n v="0.13500000000000001"/>
    <n v="21"/>
    <n v="25903.83495"/>
  </r>
  <r>
    <d v="2024-12-11T00:00:00"/>
    <x v="9"/>
    <x v="9"/>
    <d v="2024-12-11T00:00:00"/>
    <s v="Q4-2024"/>
    <s v="Americas"/>
    <x v="5"/>
    <s v="São Paulo"/>
    <s v="Laptops"/>
    <s v="High"/>
    <n v="1650.75"/>
    <n v="1650.75"/>
    <n v="0.13500000000000001"/>
    <n v="6"/>
    <n v="7059.0227999999997"/>
  </r>
  <r>
    <d v="2024-12-12T00:00:00"/>
    <x v="0"/>
    <x v="9"/>
    <d v="2024-12-12T00:00:00"/>
    <s v="Q4-2024"/>
    <s v="Americas"/>
    <x v="10"/>
    <s v="San Francisco"/>
    <s v="Networking"/>
    <s v="High"/>
    <n v="2247.14"/>
    <n v="2247.14"/>
    <n v="0.115"/>
    <n v="40"/>
    <n v="73316.94"/>
  </r>
  <r>
    <d v="2024-12-13T00:00:00"/>
    <x v="16"/>
    <x v="9"/>
    <d v="2024-12-13T00:00:00"/>
    <s v="Q4-2024"/>
    <s v="Europe"/>
    <x v="6"/>
    <s v="Berlin"/>
    <s v="Accessories"/>
    <s v="High"/>
    <n v="893.19"/>
    <n v="893.19"/>
    <n v="0.151"/>
    <n v="8"/>
    <n v="6655.0732799999996"/>
  </r>
  <r>
    <d v="2024-12-14T00:00:00"/>
    <x v="17"/>
    <x v="9"/>
    <d v="2024-12-14T00:00:00"/>
    <s v="Q4-2024"/>
    <s v="Africa"/>
    <x v="11"/>
    <s v="Johannesburg"/>
    <s v="Phones"/>
    <s v="High"/>
    <n v="2328.9"/>
    <n v="2328.9"/>
    <n v="0.12"/>
    <n v="17"/>
    <n v="8039.3543999999993"/>
  </r>
  <r>
    <d v="2024-12-15T00:00:00"/>
    <x v="32"/>
    <x v="9"/>
    <d v="2024-12-15T00:00:00"/>
    <s v="Q4-2024"/>
    <s v="Asia"/>
    <x v="4"/>
    <s v="Bengaluru"/>
    <s v="Laptops"/>
    <s v="High"/>
    <n v="2066.75"/>
    <n v="2066.75"/>
    <n v="0.13800000000000001"/>
    <n v="5"/>
    <n v="919.40919999999994"/>
  </r>
  <r>
    <d v="2024-12-16T00:00:00"/>
    <x v="23"/>
    <x v="9"/>
    <d v="2024-12-16T00:00:00"/>
    <s v="Q4-2024"/>
    <s v="Americas"/>
    <x v="10"/>
    <s v="San Francisco"/>
    <s v="Monitors"/>
    <s v="High"/>
    <n v="2182.31"/>
    <n v="2182.31"/>
    <n v="0.112"/>
    <n v="9"/>
    <n v="15941.402639999998"/>
  </r>
  <r>
    <d v="2024-12-17T00:00:00"/>
    <x v="3"/>
    <x v="9"/>
    <d v="2024-12-17T00:00:00"/>
    <s v="Q4-2024"/>
    <s v="Asia"/>
    <x v="2"/>
    <s v="Tokyo"/>
    <s v="Networking"/>
    <s v="High"/>
    <n v="2726.62"/>
    <n v="2726.62"/>
    <n v="0.317"/>
    <n v="7"/>
    <n v="2643.1280400000001"/>
  </r>
  <r>
    <d v="2024-12-18T00:00:00"/>
    <x v="25"/>
    <x v="9"/>
    <d v="2024-12-18T00:00:00"/>
    <s v="Q4-2024"/>
    <s v="Africa"/>
    <x v="0"/>
    <s v="Nairobi"/>
    <s v="Phones"/>
    <s v="Medium"/>
    <n v="111.29"/>
    <n v="111.29"/>
    <n v="0"/>
    <n v="6"/>
    <n v="1349.6999999999998"/>
  </r>
  <r>
    <d v="2024-12-19T00:00:00"/>
    <x v="8"/>
    <x v="9"/>
    <d v="2024-12-19T00:00:00"/>
    <s v="Q4-2024"/>
    <s v="Asia"/>
    <x v="4"/>
    <s v="Bengaluru"/>
    <s v="Laptops"/>
    <s v="High"/>
    <n v="1100.0899999999999"/>
    <n v="1100.0899999999999"/>
    <n v="0.114"/>
    <n v="12"/>
    <n v="8208.8608800000002"/>
  </r>
  <r>
    <d v="2024-12-20T00:00:00"/>
    <x v="9"/>
    <x v="9"/>
    <d v="2024-12-20T00:00:00"/>
    <s v="Q4-2024"/>
    <s v="Europe"/>
    <x v="6"/>
    <s v="Frankfurt"/>
    <s v="Laptops"/>
    <s v="High"/>
    <n v="1529.14"/>
    <n v="1529.14"/>
    <n v="0.155"/>
    <n v="12"/>
    <n v="31932.989400000002"/>
  </r>
  <r>
    <d v="2024-12-21T00:00:00"/>
    <x v="23"/>
    <x v="9"/>
    <d v="2024-12-21T00:00:00"/>
    <s v="Q4-2024"/>
    <s v="Asia"/>
    <x v="2"/>
    <s v="Nagoya"/>
    <s v="Phones"/>
    <s v="High"/>
    <n v="728.69"/>
    <n v="728.69"/>
    <n v="0.22"/>
    <n v="7"/>
    <n v="314.11380000000003"/>
  </r>
  <r>
    <d v="2024-12-22T00:00:00"/>
    <x v="19"/>
    <x v="9"/>
    <d v="2024-12-22T00:00:00"/>
    <s v="Q4-2024"/>
    <s v="Europe"/>
    <x v="6"/>
    <s v="Munich"/>
    <s v="Phones"/>
    <s v="Low"/>
    <n v="6.28"/>
    <n v="6.28"/>
    <n v="0.13400000000000001"/>
    <n v="14"/>
    <n v="9999.9964400000008"/>
  </r>
  <r>
    <d v="2024-12-23T00:00:00"/>
    <x v="29"/>
    <x v="9"/>
    <d v="2024-12-23T00:00:00"/>
    <s v="Q4-2024"/>
    <s v="Asia"/>
    <x v="4"/>
    <s v="Mumbai"/>
    <s v="Networking"/>
    <s v="High"/>
    <n v="2569.77"/>
    <n v="2569.77"/>
    <n v="0.13400000000000001"/>
    <n v="9"/>
    <n v="11640.572819999999"/>
  </r>
  <r>
    <d v="2024-12-24T00:00:00"/>
    <x v="9"/>
    <x v="9"/>
    <d v="2024-12-24T00:00:00"/>
    <s v="Q4-2024"/>
    <s v="Africa"/>
    <x v="11"/>
    <s v="Cape Town"/>
    <s v="Accessories"/>
    <s v="High"/>
    <n v="1592.02"/>
    <n v="1592.02"/>
    <n v="6.6000000000000003E-2"/>
    <n v="18"/>
    <n v="12473.159039999999"/>
  </r>
  <r>
    <d v="2024-12-25T00:00:00"/>
    <x v="24"/>
    <x v="9"/>
    <d v="2024-12-25T00:00:00"/>
    <s v="Q4-2024"/>
    <s v="Africa"/>
    <x v="11"/>
    <s v="Johannesburg"/>
    <s v="Components"/>
    <s v="High"/>
    <n v="995.47"/>
    <n v="995.47"/>
    <n v="0.192"/>
    <n v="13"/>
    <n v="7796.3839200000002"/>
  </r>
  <r>
    <d v="2024-12-26T00:00:00"/>
    <x v="28"/>
    <x v="9"/>
    <d v="2024-12-26T00:00:00"/>
    <s v="Q4-2024"/>
    <s v="Africa"/>
    <x v="1"/>
    <s v="Port Harcourt"/>
    <s v="Accessories"/>
    <s v="High"/>
    <n v="1240.31"/>
    <n v="1240.31"/>
    <n v="0.14599999999999999"/>
    <n v="18"/>
    <n v="7371.4888800000008"/>
  </r>
  <r>
    <d v="2024-12-27T00:00:00"/>
    <x v="3"/>
    <x v="9"/>
    <d v="2024-12-27T00:00:00"/>
    <s v="Q4-2024"/>
    <s v="Americas"/>
    <x v="5"/>
    <s v="São Paulo"/>
    <s v="Printers"/>
    <s v="Medium"/>
    <n v="118.37"/>
    <n v="118.37"/>
    <n v="0.156"/>
    <n v="11"/>
    <n v="10911.020999999999"/>
  </r>
  <r>
    <d v="2024-12-28T00:00:00"/>
    <x v="32"/>
    <x v="9"/>
    <d v="2024-12-28T00:00:00"/>
    <s v="Q4-2024"/>
    <s v="Europe"/>
    <x v="8"/>
    <s v="London"/>
    <s v="Accessories"/>
    <s v="High"/>
    <n v="2105.5300000000002"/>
    <n v="2105.5300000000002"/>
    <n v="0.20699999999999999"/>
    <n v="14"/>
    <n v="2525.1498999999999"/>
  </r>
  <r>
    <d v="2024-12-29T00:00:00"/>
    <x v="25"/>
    <x v="9"/>
    <d v="2024-12-29T00:00:00"/>
    <s v="Q4-2024"/>
    <s v="Europe"/>
    <x v="8"/>
    <s v="London"/>
    <s v="Accessories"/>
    <s v="High"/>
    <n v="523"/>
    <n v="523"/>
    <n v="5.8999999999999997E-2"/>
    <n v="15"/>
    <n v="16636.221300000001"/>
  </r>
  <r>
    <d v="2024-12-30T00:00:00"/>
    <x v="19"/>
    <x v="9"/>
    <d v="2024-12-30T00:00:00"/>
    <s v="Q4-2024"/>
    <s v="Asia"/>
    <x v="2"/>
    <s v="Osaka"/>
    <s v="Components"/>
    <s v="High"/>
    <n v="1075.3"/>
    <n v="1075.3"/>
    <n v="0.08"/>
    <n v="9"/>
    <n v="20054.987999999998"/>
  </r>
  <r>
    <d v="2024-12-31T00:00:00"/>
    <x v="16"/>
    <x v="9"/>
    <d v="2024-12-31T00:00:00"/>
    <s v="Q4-2024"/>
    <s v="Europe"/>
    <x v="6"/>
    <s v="Munich"/>
    <s v="Laptops"/>
    <s v="High"/>
    <n v="3294.57"/>
    <n v="3294.57"/>
    <n v="0.113"/>
    <n v="7"/>
    <n v="2693.96092"/>
  </r>
  <r>
    <d v="2025-01-01T00:00:00"/>
    <x v="0"/>
    <x v="10"/>
    <d v="2025-01-01T00:00:00"/>
    <s v="Q1-2025"/>
    <s v="Americas"/>
    <x v="3"/>
    <s v="Vancouver"/>
    <s v="Printers"/>
    <s v="High"/>
    <n v="464.05"/>
    <n v="464.05"/>
    <n v="0.16900000000000001"/>
    <n v="11"/>
    <n v="28786.197329999999"/>
  </r>
  <r>
    <d v="2025-01-02T00:00:00"/>
    <x v="23"/>
    <x v="10"/>
    <d v="2025-01-02T00:00:00"/>
    <s v="Q1-2025"/>
    <s v="Americas"/>
    <x v="10"/>
    <s v="Austin"/>
    <s v="Monitors"/>
    <s v="High"/>
    <n v="511.03"/>
    <n v="511.03"/>
    <n v="0.108"/>
    <n v="7"/>
    <n v="409.91860000000008"/>
  </r>
  <r>
    <d v="2025-01-03T00:00:00"/>
    <x v="0"/>
    <x v="10"/>
    <d v="2025-01-03T00:00:00"/>
    <s v="Q1-2025"/>
    <s v="Americas"/>
    <x v="10"/>
    <s v="Austin"/>
    <s v="Monitors"/>
    <s v="Low"/>
    <n v="4.22"/>
    <n v="4.22"/>
    <n v="0.11899999999999999"/>
    <n v="18"/>
    <n v="39520.356119999997"/>
  </r>
  <r>
    <d v="2025-01-04T00:00:00"/>
    <x v="10"/>
    <x v="10"/>
    <d v="2025-01-04T00:00:00"/>
    <s v="Q1-2025"/>
    <s v="Europe"/>
    <x v="7"/>
    <s v="Lyon"/>
    <s v="Accessories"/>
    <s v="High"/>
    <n v="577.24"/>
    <n v="577.24"/>
    <n v="0"/>
    <n v="22"/>
    <n v="20500.48"/>
  </r>
  <r>
    <d v="2025-01-05T00:00:00"/>
    <x v="8"/>
    <x v="10"/>
    <d v="2025-01-05T00:00:00"/>
    <s v="Q1-2025"/>
    <s v="Americas"/>
    <x v="3"/>
    <s v="Vancouver"/>
    <s v="Components"/>
    <s v="High"/>
    <n v="1426.03"/>
    <n v="1426.03"/>
    <n v="5.6000000000000001E-2"/>
    <n v="19"/>
    <n v="11111.531359999999"/>
  </r>
  <r>
    <d v="2025-01-06T00:00:00"/>
    <x v="32"/>
    <x v="10"/>
    <d v="2025-01-06T00:00:00"/>
    <s v="Q1-2025"/>
    <s v="Asia"/>
    <x v="9"/>
    <s v="Shanghai"/>
    <s v="Printers"/>
    <s v="High"/>
    <n v="1360.12"/>
    <n v="1360.12"/>
    <n v="0.19400000000000001"/>
    <n v="9"/>
    <n v="10311.923699999999"/>
  </r>
  <r>
    <d v="2025-01-07T00:00:00"/>
    <x v="24"/>
    <x v="10"/>
    <d v="2025-01-07T00:00:00"/>
    <s v="Q1-2025"/>
    <s v="Americas"/>
    <x v="5"/>
    <s v="São Paulo"/>
    <s v="Networking"/>
    <s v="High"/>
    <n v="2071.1"/>
    <n v="2071.1"/>
    <n v="0.129"/>
    <n v="22"/>
    <n v="18252.954719999998"/>
  </r>
  <r>
    <d v="2025-01-08T00:00:00"/>
    <x v="16"/>
    <x v="10"/>
    <d v="2025-01-08T00:00:00"/>
    <s v="Q1-2025"/>
    <s v="Europe"/>
    <x v="8"/>
    <s v="London"/>
    <s v="Phones"/>
    <s v="High"/>
    <n v="979.84"/>
    <n v="979.84"/>
    <n v="0.17399999999999999"/>
    <n v="10"/>
    <n v="26053.196400000001"/>
  </r>
  <r>
    <d v="2025-01-09T00:00:00"/>
    <x v="17"/>
    <x v="10"/>
    <d v="2025-01-09T00:00:00"/>
    <s v="Q1-2025"/>
    <s v="Africa"/>
    <x v="0"/>
    <s v="Kisumu"/>
    <s v="Laptops"/>
    <s v="High"/>
    <n v="537.39"/>
    <n v="537.39"/>
    <n v="0.08"/>
    <n v="12"/>
    <n v="2496.5855999999999"/>
  </r>
  <r>
    <d v="2025-01-10T00:00:00"/>
    <x v="19"/>
    <x v="10"/>
    <d v="2025-01-10T00:00:00"/>
    <s v="Q1-2025"/>
    <s v="Europe"/>
    <x v="7"/>
    <s v="Lyon"/>
    <s v="Monitors"/>
    <s v="High"/>
    <n v="213.32"/>
    <n v="213.32"/>
    <n v="3.7999999999999999E-2"/>
    <n v="8"/>
    <n v="6818.0403199999992"/>
  </r>
  <r>
    <d v="2025-01-11T00:00:00"/>
    <x v="3"/>
    <x v="10"/>
    <d v="2025-01-11T00:00:00"/>
    <s v="Q1-2025"/>
    <s v="Africa"/>
    <x v="1"/>
    <s v="Lagos"/>
    <s v="Accessories"/>
    <s v="High"/>
    <n v="1994.67"/>
    <n v="1994.67"/>
    <n v="0.1"/>
    <n v="24"/>
    <n v="52560.144000000008"/>
  </r>
  <r>
    <d v="2025-01-12T00:00:00"/>
    <x v="8"/>
    <x v="10"/>
    <d v="2025-01-12T00:00:00"/>
    <s v="Q1-2025"/>
    <s v="Americas"/>
    <x v="10"/>
    <s v="New York"/>
    <s v="Networking"/>
    <s v="High"/>
    <n v="552.84"/>
    <n v="552.84"/>
    <n v="0.17599999999999999"/>
    <n v="8"/>
    <n v="7609.4092799999999"/>
  </r>
  <r>
    <d v="2025-01-13T00:00:00"/>
    <x v="10"/>
    <x v="10"/>
    <d v="2025-01-13T00:00:00"/>
    <s v="Q1-2025"/>
    <s v="Asia"/>
    <x v="2"/>
    <s v="Tokyo"/>
    <s v="Printers"/>
    <s v="High"/>
    <n v="224.95"/>
    <n v="224.95"/>
    <n v="0.153"/>
    <n v="28"/>
    <n v="26941.13884"/>
  </r>
  <r>
    <d v="2025-01-14T00:00:00"/>
    <x v="5"/>
    <x v="10"/>
    <d v="2025-01-14T00:00:00"/>
    <s v="Q1-2025"/>
    <s v="Europe"/>
    <x v="7"/>
    <s v="Lyon"/>
    <s v="Laptops"/>
    <s v="High"/>
    <n v="772.09"/>
    <n v="772.09"/>
    <n v="8.8999999999999996E-2"/>
    <n v="14"/>
    <n v="35096.967360000002"/>
  </r>
  <r>
    <d v="2025-01-15T00:00:00"/>
    <x v="6"/>
    <x v="10"/>
    <d v="2025-01-15T00:00:00"/>
    <s v="Q1-2025"/>
    <s v="Europe"/>
    <x v="8"/>
    <s v="Manchester"/>
    <s v="Monitors"/>
    <s v="High"/>
    <n v="3149.21"/>
    <n v="3149.21"/>
    <n v="0.185"/>
    <n v="12"/>
    <n v="13444.761599999998"/>
  </r>
  <r>
    <d v="2025-01-16T00:00:00"/>
    <x v="7"/>
    <x v="10"/>
    <d v="2025-01-16T00:00:00"/>
    <s v="Q1-2025"/>
    <s v="Americas"/>
    <x v="5"/>
    <s v="Rio de Janeiro"/>
    <s v="Networking"/>
    <s v="Medium"/>
    <n v="57.53"/>
    <n v="57.53"/>
    <n v="4.4999999999999998E-2"/>
    <n v="16"/>
    <n v="20144.693599999999"/>
  </r>
  <r>
    <d v="2025-01-17T00:00:00"/>
    <x v="23"/>
    <x v="10"/>
    <d v="2025-01-17T00:00:00"/>
    <s v="Q1-2025"/>
    <s v="Americas"/>
    <x v="3"/>
    <s v="Toronto"/>
    <s v="Accessories"/>
    <s v="High"/>
    <n v="824.81"/>
    <n v="824.81"/>
    <n v="8.7999999999999995E-2"/>
    <n v="15"/>
    <n v="6043.0032000000001"/>
  </r>
  <r>
    <d v="2025-01-18T00:00:00"/>
    <x v="18"/>
    <x v="10"/>
    <d v="2025-01-18T00:00:00"/>
    <s v="Q1-2025"/>
    <s v="Europe"/>
    <x v="8"/>
    <s v="London"/>
    <s v="Printers"/>
    <s v="High"/>
    <n v="1493.53"/>
    <n v="1493.53"/>
    <n v="0"/>
    <n v="27"/>
    <n v="35911.89"/>
  </r>
  <r>
    <d v="2025-01-19T00:00:00"/>
    <x v="17"/>
    <x v="10"/>
    <d v="2025-01-19T00:00:00"/>
    <s v="Q1-2025"/>
    <s v="Africa"/>
    <x v="11"/>
    <s v="Durban"/>
    <s v="Monitors"/>
    <s v="High"/>
    <n v="741.92"/>
    <n v="741.92"/>
    <n v="3.1E-2"/>
    <n v="7"/>
    <n v="11089.255379999999"/>
  </r>
  <r>
    <d v="2025-01-20T00:00:00"/>
    <x v="16"/>
    <x v="10"/>
    <d v="2025-01-20T00:00:00"/>
    <s v="Q1-2025"/>
    <s v="Europe"/>
    <x v="7"/>
    <s v="Paris"/>
    <s v="Components"/>
    <s v="High"/>
    <n v="742.23"/>
    <n v="742.23"/>
    <n v="0.09"/>
    <n v="13"/>
    <n v="835.19799999999998"/>
  </r>
  <r>
    <d v="2025-01-21T00:00:00"/>
    <x v="15"/>
    <x v="10"/>
    <d v="2025-01-21T00:00:00"/>
    <s v="Q1-2025"/>
    <s v="Asia"/>
    <x v="2"/>
    <s v="Osaka"/>
    <s v="Phones"/>
    <s v="High"/>
    <n v="479.54"/>
    <n v="479.54"/>
    <n v="0.14099999999999999"/>
    <n v="22"/>
    <n v="34451.80992"/>
  </r>
  <r>
    <d v="2025-01-22T00:00:00"/>
    <x v="30"/>
    <x v="10"/>
    <d v="2025-01-22T00:00:00"/>
    <s v="Q1-2025"/>
    <s v="Americas"/>
    <x v="5"/>
    <s v="São Paulo"/>
    <s v="Networking"/>
    <s v="High"/>
    <n v="1175.25"/>
    <n v="1175.25"/>
    <n v="7.4999999999999997E-2"/>
    <n v="15"/>
    <n v="27971.861250000002"/>
  </r>
  <r>
    <d v="2025-01-23T00:00:00"/>
    <x v="19"/>
    <x v="10"/>
    <d v="2025-01-23T00:00:00"/>
    <s v="Q1-2025"/>
    <s v="Americas"/>
    <x v="10"/>
    <s v="San Francisco"/>
    <s v="Monitors"/>
    <s v="High"/>
    <n v="227.45"/>
    <n v="227.45"/>
    <n v="1.4E-2"/>
    <n v="13"/>
    <n v="3129.2583399999999"/>
  </r>
  <r>
    <d v="2025-01-24T00:00:00"/>
    <x v="22"/>
    <x v="10"/>
    <d v="2025-01-24T00:00:00"/>
    <s v="Q1-2025"/>
    <s v="Africa"/>
    <x v="0"/>
    <s v="Mombasa"/>
    <s v="Accessories"/>
    <s v="High"/>
    <n v="1178.6199999999999"/>
    <n v="1178.6199999999999"/>
    <n v="0.151"/>
    <n v="53"/>
    <n v="125232.05063999999"/>
  </r>
  <r>
    <d v="2025-01-25T00:00:00"/>
    <x v="7"/>
    <x v="10"/>
    <d v="2025-01-25T00:00:00"/>
    <s v="Q1-2025"/>
    <s v="Europe"/>
    <x v="6"/>
    <s v="Frankfurt"/>
    <s v="Phones"/>
    <s v="High"/>
    <n v="2422.1"/>
    <n v="2422.1"/>
    <n v="7.5999999999999998E-2"/>
    <n v="10"/>
    <n v="18944.864399999999"/>
  </r>
  <r>
    <d v="2025-01-26T00:00:00"/>
    <x v="9"/>
    <x v="10"/>
    <d v="2025-01-26T00:00:00"/>
    <s v="Q1-2025"/>
    <s v="Americas"/>
    <x v="10"/>
    <s v="Chicago"/>
    <s v="Networking"/>
    <s v="High"/>
    <n v="433.88"/>
    <n v="433.88"/>
    <n v="0.215"/>
    <n v="22"/>
    <n v="2540.7624000000005"/>
  </r>
  <r>
    <d v="2025-01-27T00:00:00"/>
    <x v="2"/>
    <x v="10"/>
    <d v="2025-01-27T00:00:00"/>
    <s v="Q1-2025"/>
    <s v="Europe"/>
    <x v="7"/>
    <s v="Marseille"/>
    <s v="Networking"/>
    <s v="High"/>
    <n v="3149.13"/>
    <n v="3149.13"/>
    <n v="0.10299999999999999"/>
    <n v="14"/>
    <n v="24902.262840000003"/>
  </r>
  <r>
    <d v="2025-01-28T00:00:00"/>
    <x v="31"/>
    <x v="10"/>
    <d v="2025-01-28T00:00:00"/>
    <s v="Q1-2025"/>
    <s v="Americas"/>
    <x v="5"/>
    <s v="São Paulo"/>
    <s v="Components"/>
    <s v="Medium"/>
    <n v="65.650000000000006"/>
    <n v="65.650000000000006"/>
    <n v="0.17599999999999999"/>
    <n v="13"/>
    <n v="24630.101600000002"/>
  </r>
  <r>
    <d v="2025-01-29T00:00:00"/>
    <x v="29"/>
    <x v="10"/>
    <d v="2025-01-29T00:00:00"/>
    <s v="Q1-2025"/>
    <s v="Americas"/>
    <x v="5"/>
    <s v="São Paulo"/>
    <s v="Components"/>
    <s v="High"/>
    <n v="2492.14"/>
    <n v="2492.14"/>
    <n v="5.0999999999999997E-2"/>
    <n v="11"/>
    <n v="4829.1857899999995"/>
  </r>
  <r>
    <d v="2025-01-30T00:00:00"/>
    <x v="15"/>
    <x v="10"/>
    <d v="2025-01-30T00:00:00"/>
    <s v="Q1-2025"/>
    <s v="Africa"/>
    <x v="11"/>
    <s v="Durban"/>
    <s v="Accessories"/>
    <s v="High"/>
    <n v="931.84"/>
    <n v="931.84"/>
    <n v="0.121"/>
    <n v="12"/>
    <n v="11533.077720000001"/>
  </r>
  <r>
    <d v="2025-01-31T00:00:00"/>
    <x v="9"/>
    <x v="10"/>
    <d v="2025-01-31T00:00:00"/>
    <s v="Q1-2025"/>
    <s v="Asia"/>
    <x v="4"/>
    <s v="Hyderabad"/>
    <s v="Components"/>
    <s v="High"/>
    <n v="619.51"/>
    <n v="619.51"/>
    <n v="4.2000000000000003E-2"/>
    <n v="4"/>
    <n v="5572.5710399999998"/>
  </r>
  <r>
    <d v="2025-02-01T00:00:00"/>
    <x v="23"/>
    <x v="11"/>
    <d v="2025-02-01T00:00:00"/>
    <s v="Q1-2025"/>
    <s v="Africa"/>
    <x v="0"/>
    <s v="Nakuru"/>
    <s v="Phones"/>
    <s v="High"/>
    <n v="1421.55"/>
    <n v="1421.55"/>
    <n v="0.109"/>
    <n v="3"/>
    <n v="5667.829200000001"/>
  </r>
  <r>
    <d v="2025-02-02T00:00:00"/>
    <x v="8"/>
    <x v="11"/>
    <d v="2025-02-02T00:00:00"/>
    <s v="Q1-2025"/>
    <s v="Americas"/>
    <x v="5"/>
    <s v="São Paulo"/>
    <s v="Monitors"/>
    <s v="High"/>
    <n v="952.56"/>
    <n v="952.56"/>
    <n v="0.34599999999999997"/>
    <n v="10"/>
    <n v="841.56720000000018"/>
  </r>
  <r>
    <d v="2025-02-03T00:00:00"/>
    <x v="32"/>
    <x v="11"/>
    <d v="2025-02-03T00:00:00"/>
    <s v="Q1-2025"/>
    <s v="Americas"/>
    <x v="3"/>
    <s v="Toronto"/>
    <s v="Laptops"/>
    <s v="High"/>
    <n v="3154.14"/>
    <n v="3154.14"/>
    <n v="0.2"/>
    <n v="11"/>
    <n v="11668.448000000002"/>
  </r>
  <r>
    <d v="2025-02-04T00:00:00"/>
    <x v="10"/>
    <x v="11"/>
    <d v="2025-02-04T00:00:00"/>
    <s v="Q1-2025"/>
    <s v="Americas"/>
    <x v="10"/>
    <s v="Austin"/>
    <s v="Phones"/>
    <s v="High"/>
    <n v="226.14"/>
    <n v="226.14"/>
    <n v="6.5000000000000002E-2"/>
    <n v="12"/>
    <n v="27369.282600000002"/>
  </r>
  <r>
    <d v="2025-02-05T00:00:00"/>
    <x v="11"/>
    <x v="11"/>
    <d v="2025-02-05T00:00:00"/>
    <s v="Q1-2025"/>
    <s v="Europe"/>
    <x v="8"/>
    <s v="London"/>
    <s v="Networking"/>
    <s v="High"/>
    <n v="885.92"/>
    <n v="885.92"/>
    <n v="0.23899999999999999"/>
    <n v="13"/>
    <n v="21779.835220000001"/>
  </r>
  <r>
    <d v="2025-02-06T00:00:00"/>
    <x v="25"/>
    <x v="11"/>
    <d v="2025-02-06T00:00:00"/>
    <s v="Q1-2025"/>
    <s v="Asia"/>
    <x v="4"/>
    <s v="Delhi"/>
    <s v="Accessories"/>
    <s v="High"/>
    <n v="2433.34"/>
    <n v="2433.34"/>
    <n v="0.27"/>
    <n v="4"/>
    <n v="2377.9312"/>
  </r>
  <r>
    <d v="2025-02-07T00:00:00"/>
    <x v="30"/>
    <x v="11"/>
    <d v="2025-02-07T00:00:00"/>
    <s v="Q1-2025"/>
    <s v="Europe"/>
    <x v="8"/>
    <s v="Manchester"/>
    <s v="Accessories"/>
    <s v="High"/>
    <n v="1154.3399999999999"/>
    <n v="1154.3399999999999"/>
    <n v="2.8000000000000001E-2"/>
    <n v="5"/>
    <n v="6720.9426000000003"/>
  </r>
  <r>
    <d v="2025-02-08T00:00:00"/>
    <x v="19"/>
    <x v="11"/>
    <d v="2025-02-08T00:00:00"/>
    <s v="Q1-2025"/>
    <s v="Asia"/>
    <x v="4"/>
    <s v="Not Provided"/>
    <s v="Phones"/>
    <s v="High"/>
    <n v="1135.99"/>
    <n v="1135.99"/>
    <n v="0.14499999999999999"/>
    <n v="5"/>
    <n v="7038.4882499999994"/>
  </r>
  <r>
    <d v="2025-02-09T00:00:00"/>
    <x v="20"/>
    <x v="11"/>
    <d v="2025-02-09T00:00:00"/>
    <s v="Q1-2025"/>
    <s v="Europe"/>
    <x v="7"/>
    <s v="Lyon"/>
    <s v="Printers"/>
    <s v="High"/>
    <n v="2751.84"/>
    <n v="2751.84"/>
    <n v="0.158"/>
    <n v="7"/>
    <n v="2362.5509599999996"/>
  </r>
  <r>
    <d v="2025-02-10T00:00:00"/>
    <x v="14"/>
    <x v="11"/>
    <d v="2025-02-10T00:00:00"/>
    <s v="Q1-2025"/>
    <s v="Asia"/>
    <x v="9"/>
    <s v="Shenzhen"/>
    <s v="Phones"/>
    <s v="High"/>
    <n v="1374.72"/>
    <n v="1374.72"/>
    <n v="6.6000000000000003E-2"/>
    <n v="22"/>
    <n v="36586.946879999996"/>
  </r>
  <r>
    <d v="2025-02-11T00:00:00"/>
    <x v="31"/>
    <x v="11"/>
    <d v="2025-02-11T00:00:00"/>
    <s v="Q1-2025"/>
    <s v="Americas"/>
    <x v="5"/>
    <s v="Not Provided"/>
    <s v="Printers"/>
    <s v="High"/>
    <n v="1318.37"/>
    <n v="1318.37"/>
    <n v="0.21"/>
    <n v="37"/>
    <n v="32691.708900000005"/>
  </r>
  <r>
    <d v="2025-02-12T00:00:00"/>
    <x v="24"/>
    <x v="11"/>
    <d v="2025-02-12T00:00:00"/>
    <s v="Q1-2025"/>
    <s v="Africa"/>
    <x v="1"/>
    <s v="Port Harcourt"/>
    <s v="Accessories"/>
    <s v="High"/>
    <n v="441.74"/>
    <n v="441.74"/>
    <n v="0.24"/>
    <n v="9"/>
    <n v="5274.4607999999998"/>
  </r>
  <r>
    <d v="2025-02-13T00:00:00"/>
    <x v="24"/>
    <x v="11"/>
    <d v="2025-02-13T00:00:00"/>
    <s v="Q1-2025"/>
    <s v="Africa"/>
    <x v="11"/>
    <s v="Durban"/>
    <s v="Monitors"/>
    <s v="High"/>
    <n v="1330.07"/>
    <n v="1330.07"/>
    <n v="0.29899999999999999"/>
    <n v="28"/>
    <n v="23750.665119999998"/>
  </r>
  <r>
    <d v="2025-02-14T00:00:00"/>
    <x v="24"/>
    <x v="11"/>
    <d v="2025-02-14T00:00:00"/>
    <s v="Q1-2025"/>
    <s v="Africa"/>
    <x v="0"/>
    <s v="Nairobi"/>
    <s v="Accessories"/>
    <s v="High"/>
    <n v="1634.86"/>
    <n v="1634.86"/>
    <n v="0.56499999999999995"/>
    <n v="24"/>
    <n v="31570.873200000005"/>
  </r>
  <r>
    <d v="2025-02-15T00:00:00"/>
    <x v="12"/>
    <x v="11"/>
    <d v="2025-02-15T00:00:00"/>
    <s v="Q1-2025"/>
    <s v="Americas"/>
    <x v="10"/>
    <s v="San Francisco"/>
    <s v="Networking"/>
    <s v="Medium"/>
    <n v="70.599999999999994"/>
    <n v="70.599999999999994"/>
    <n v="0.28199999999999997"/>
    <n v="22"/>
    <n v="36385.454160000001"/>
  </r>
  <r>
    <d v="2025-02-16T00:00:00"/>
    <x v="1"/>
    <x v="11"/>
    <d v="2025-02-16T00:00:00"/>
    <s v="Q1-2025"/>
    <s v="Africa"/>
    <x v="0"/>
    <s v="Nairobi"/>
    <s v="Printers"/>
    <s v="High"/>
    <n v="1823.04"/>
    <n v="1823.04"/>
    <n v="0"/>
    <n v="11"/>
    <n v="33921.800000000003"/>
  </r>
  <r>
    <d v="2025-02-17T00:00:00"/>
    <x v="31"/>
    <x v="11"/>
    <d v="2025-02-17T00:00:00"/>
    <s v="Q1-2025"/>
    <s v="Asia"/>
    <x v="4"/>
    <s v="Delhi"/>
    <s v="Phones"/>
    <s v="High"/>
    <n v="2015.99"/>
    <n v="2015.99"/>
    <n v="0.26100000000000001"/>
    <n v="6"/>
    <n v="1430.8961399999998"/>
  </r>
  <r>
    <d v="2025-02-18T00:00:00"/>
    <x v="14"/>
    <x v="11"/>
    <d v="2025-02-18T00:00:00"/>
    <s v="Q1-2025"/>
    <s v="Asia"/>
    <x v="2"/>
    <s v="Nagoya"/>
    <s v="Networking"/>
    <s v="High"/>
    <n v="244.13"/>
    <n v="244.13"/>
    <n v="7.0999999999999994E-2"/>
    <n v="14"/>
    <n v="9511.1577400000006"/>
  </r>
  <r>
    <d v="2025-02-19T00:00:00"/>
    <x v="4"/>
    <x v="11"/>
    <d v="2025-02-19T00:00:00"/>
    <s v="Q1-2025"/>
    <s v="Asia"/>
    <x v="2"/>
    <s v="Nagoya"/>
    <s v="Laptops"/>
    <s v="High"/>
    <n v="2783.12"/>
    <n v="2783.12"/>
    <n v="0.02"/>
    <n v="5"/>
    <n v="7516.3549999999996"/>
  </r>
  <r>
    <d v="2025-02-20T00:00:00"/>
    <x v="14"/>
    <x v="11"/>
    <d v="2025-02-20T00:00:00"/>
    <s v="Q1-2025"/>
    <s v="Americas"/>
    <x v="3"/>
    <s v="Montreal"/>
    <s v="Accessories"/>
    <s v="High"/>
    <n v="2050.31"/>
    <n v="2050.31"/>
    <n v="0.10299999999999999"/>
    <n v="43"/>
    <n v="60620.497860000003"/>
  </r>
  <r>
    <d v="2025-02-21T00:00:00"/>
    <x v="15"/>
    <x v="11"/>
    <d v="2025-02-21T00:00:00"/>
    <s v="Q1-2025"/>
    <s v="Africa"/>
    <x v="1"/>
    <s v="Abuja"/>
    <s v="Phones"/>
    <s v="Medium"/>
    <n v="147.12"/>
    <n v="147.12"/>
    <n v="0"/>
    <n v="15"/>
    <n v="3760.95"/>
  </r>
  <r>
    <d v="2025-02-22T00:00:00"/>
    <x v="4"/>
    <x v="11"/>
    <d v="2025-02-22T00:00:00"/>
    <s v="Q1-2025"/>
    <s v="Africa"/>
    <x v="1"/>
    <s v="Not Provided"/>
    <s v="Components"/>
    <s v="High"/>
    <n v="1982.98"/>
    <n v="1982.98"/>
    <n v="0.14399999999999999"/>
    <n v="16"/>
    <n v="47563.605759999999"/>
  </r>
  <r>
    <d v="2025-02-23T00:00:00"/>
    <x v="16"/>
    <x v="11"/>
    <d v="2025-02-23T00:00:00"/>
    <s v="Q1-2025"/>
    <s v="Asia"/>
    <x v="4"/>
    <s v="Delhi"/>
    <s v="Laptops"/>
    <s v="High"/>
    <n v="2299.3000000000002"/>
    <n v="2299.3000000000002"/>
    <n v="0.113"/>
    <n v="6"/>
    <n v="6418.5448799999995"/>
  </r>
  <r>
    <d v="2025-02-24T00:00:00"/>
    <x v="2"/>
    <x v="11"/>
    <d v="2025-02-24T00:00:00"/>
    <s v="Q1-2025"/>
    <s v="Europe"/>
    <x v="8"/>
    <s v="Manchester"/>
    <s v="Printers"/>
    <s v="High"/>
    <n v="462.61"/>
    <n v="462.61"/>
    <n v="0.188"/>
    <n v="11"/>
    <n v="19625.658360000001"/>
  </r>
  <r>
    <d v="2025-02-25T00:00:00"/>
    <x v="4"/>
    <x v="11"/>
    <d v="2025-02-25T00:00:00"/>
    <s v="Q1-2025"/>
    <s v="Europe"/>
    <x v="6"/>
    <s v="Frankfurt"/>
    <s v="Monitors"/>
    <s v="High"/>
    <n v="1093.3900000000001"/>
    <n v="1093.3900000000001"/>
    <n v="0.113"/>
    <n v="17"/>
    <n v="24437.027399999999"/>
  </r>
  <r>
    <d v="2025-02-26T00:00:00"/>
    <x v="24"/>
    <x v="11"/>
    <d v="2025-02-26T00:00:00"/>
    <s v="Q1-2025"/>
    <s v="Africa"/>
    <x v="1"/>
    <s v="Lagos"/>
    <s v="Accessories"/>
    <s v="High"/>
    <n v="1454.22"/>
    <n v="1454.22"/>
    <n v="3.9E-2"/>
    <n v="19"/>
    <n v="18891.856940000001"/>
  </r>
  <r>
    <d v="2025-02-27T00:00:00"/>
    <x v="21"/>
    <x v="11"/>
    <d v="2025-02-27T00:00:00"/>
    <s v="Q1-2025"/>
    <s v="Asia"/>
    <x v="2"/>
    <s v="Osaka"/>
    <s v="Networking"/>
    <s v="High"/>
    <n v="2120.4"/>
    <n v="2120.4"/>
    <n v="0.17899999999999999"/>
    <n v="20"/>
    <n v="31286.9964"/>
  </r>
  <r>
    <d v="2025-02-28T00:00:00"/>
    <x v="18"/>
    <x v="11"/>
    <d v="2025-02-28T00:00:00"/>
    <s v="Q1-2025"/>
    <s v="Americas"/>
    <x v="5"/>
    <s v="Rio de Janeiro"/>
    <s v="Printers"/>
    <s v="Medium"/>
    <n v="128.68"/>
    <n v="128.68"/>
    <n v="0.128"/>
    <n v="10"/>
    <n v="4722.4031999999997"/>
  </r>
  <r>
    <d v="2025-03-01T00:00:00"/>
    <x v="9"/>
    <x v="12"/>
    <d v="2025-03-01T00:00:00"/>
    <s v="Q1-2025"/>
    <s v="Europe"/>
    <x v="8"/>
    <s v="Manchester"/>
    <s v="Accessories"/>
    <s v="High"/>
    <n v="1325.96"/>
    <n v="1325.96"/>
    <n v="0.16700000000000001"/>
    <n v="21"/>
    <n v="19532.683799999999"/>
  </r>
  <r>
    <d v="2025-03-02T00:00:00"/>
    <x v="28"/>
    <x v="12"/>
    <d v="2025-03-02T00:00:00"/>
    <s v="Q1-2025"/>
    <s v="Americas"/>
    <x v="5"/>
    <s v="São Paulo"/>
    <s v="Printers"/>
    <s v="High"/>
    <n v="2439.33"/>
    <n v="2439.33"/>
    <n v="0"/>
    <n v="18"/>
    <n v="26190"/>
  </r>
  <r>
    <d v="2025-03-03T00:00:00"/>
    <x v="20"/>
    <x v="12"/>
    <d v="2025-03-03T00:00:00"/>
    <s v="Q1-2025"/>
    <s v="Americas"/>
    <x v="5"/>
    <s v="Brasília"/>
    <s v="Networking"/>
    <s v="High"/>
    <n v="2201.54"/>
    <n v="2201.54"/>
    <n v="0.17"/>
    <n v="27"/>
    <n v="28646.702999999998"/>
  </r>
  <r>
    <d v="2025-03-04T00:00:00"/>
    <x v="18"/>
    <x v="12"/>
    <d v="2025-03-04T00:00:00"/>
    <s v="Q1-2025"/>
    <s v="Asia"/>
    <x v="9"/>
    <s v="Shanghai"/>
    <s v="Accessories"/>
    <s v="High"/>
    <n v="814.36"/>
    <n v="814.36"/>
    <n v="0"/>
    <n v="5"/>
    <n v="4499.1500000000005"/>
  </r>
  <r>
    <d v="2025-03-05T00:00:00"/>
    <x v="9"/>
    <x v="12"/>
    <d v="2025-03-05T00:00:00"/>
    <s v="Q1-2025"/>
    <s v="Africa"/>
    <x v="11"/>
    <s v="Cape Town"/>
    <s v="Printers"/>
    <s v="High"/>
    <n v="1382.91"/>
    <n v="1382.91"/>
    <n v="0.17599999999999999"/>
    <n v="13"/>
    <n v="9412.9557600000007"/>
  </r>
  <r>
    <d v="2025-03-06T00:00:00"/>
    <x v="17"/>
    <x v="12"/>
    <d v="2025-03-06T00:00:00"/>
    <s v="Q1-2025"/>
    <s v="Europe"/>
    <x v="8"/>
    <s v="Birmingham"/>
    <s v="Accessories"/>
    <s v="High"/>
    <n v="1646.43"/>
    <n v="1646.43"/>
    <n v="0.11"/>
    <n v="24"/>
    <n v="12696.811199999998"/>
  </r>
  <r>
    <d v="2025-03-07T00:00:00"/>
    <x v="16"/>
    <x v="12"/>
    <d v="2025-03-07T00:00:00"/>
    <s v="Q1-2025"/>
    <s v="Europe"/>
    <x v="8"/>
    <s v="Birmingham"/>
    <s v="Phones"/>
    <s v="High"/>
    <n v="400.84"/>
    <n v="400.84"/>
    <n v="7.8E-2"/>
    <n v="13"/>
    <n v="19391.5501"/>
  </r>
  <r>
    <d v="2025-03-08T00:00:00"/>
    <x v="24"/>
    <x v="12"/>
    <d v="2025-03-08T00:00:00"/>
    <s v="Q1-2025"/>
    <s v="Africa"/>
    <x v="1"/>
    <s v="Port Harcourt"/>
    <s v="Laptops"/>
    <s v="High"/>
    <n v="1780.56"/>
    <n v="1780.56"/>
    <n v="1.4E-2"/>
    <n v="47"/>
    <n v="45086.595219999996"/>
  </r>
  <r>
    <d v="2025-03-09T00:00:00"/>
    <x v="0"/>
    <x v="12"/>
    <d v="2025-03-09T00:00:00"/>
    <s v="Q1-2025"/>
    <s v="Asia"/>
    <x v="9"/>
    <s v="Shenzhen"/>
    <s v="Monitors"/>
    <s v="High"/>
    <n v="1118.43"/>
    <n v="1118.43"/>
    <n v="0.27200000000000002"/>
    <n v="9"/>
    <n v="278.85311999999999"/>
  </r>
  <r>
    <d v="2025-03-10T00:00:00"/>
    <x v="23"/>
    <x v="12"/>
    <d v="2025-03-10T00:00:00"/>
    <s v="Q1-2025"/>
    <s v="Europe"/>
    <x v="8"/>
    <s v="Birmingham"/>
    <s v="Printers"/>
    <s v="High"/>
    <n v="771.12"/>
    <n v="771.12"/>
    <n v="0.13200000000000001"/>
    <n v="19"/>
    <n v="24421.848359999996"/>
  </r>
  <r>
    <d v="2025-03-11T00:00:00"/>
    <x v="3"/>
    <x v="12"/>
    <d v="2025-03-11T00:00:00"/>
    <s v="Q1-2025"/>
    <s v="Asia"/>
    <x v="2"/>
    <s v="Tokyo"/>
    <s v="Components"/>
    <s v="High"/>
    <n v="1210.04"/>
    <n v="1210.04"/>
    <n v="8.9999999999999993E-3"/>
    <n v="18"/>
    <n v="10065.26988"/>
  </r>
  <r>
    <d v="2025-03-12T00:00:00"/>
    <x v="17"/>
    <x v="12"/>
    <d v="2025-03-12T00:00:00"/>
    <s v="Q1-2025"/>
    <s v="Africa"/>
    <x v="0"/>
    <s v="Mombasa"/>
    <s v="Phones"/>
    <s v="High"/>
    <n v="3024.03"/>
    <n v="3024.03"/>
    <n v="0.192"/>
    <n v="8"/>
    <n v="13814.925440000001"/>
  </r>
  <r>
    <d v="2025-03-13T00:00:00"/>
    <x v="3"/>
    <x v="12"/>
    <d v="2025-03-13T00:00:00"/>
    <s v="Q1-2025"/>
    <s v="Asia"/>
    <x v="4"/>
    <s v="Mumbai"/>
    <s v="Components"/>
    <s v="High"/>
    <n v="2303.46"/>
    <n v="2303.46"/>
    <n v="0.105"/>
    <n v="9"/>
    <n v="13539.891150000001"/>
  </r>
  <r>
    <d v="2025-03-14T00:00:00"/>
    <x v="27"/>
    <x v="12"/>
    <d v="2025-03-14T00:00:00"/>
    <s v="Q1-2025"/>
    <s v="Americas"/>
    <x v="10"/>
    <s v="New York"/>
    <s v="Laptops"/>
    <s v="High"/>
    <n v="3083.8"/>
    <n v="3083.8"/>
    <n v="0.106"/>
    <n v="5"/>
    <n v="12985.618199999999"/>
  </r>
  <r>
    <d v="2025-03-15T00:00:00"/>
    <x v="16"/>
    <x v="12"/>
    <d v="2025-03-15T00:00:00"/>
    <s v="Q1-2025"/>
    <s v="Americas"/>
    <x v="3"/>
    <s v="Vancouver"/>
    <s v="Printers"/>
    <s v="High"/>
    <n v="322.70999999999998"/>
    <n v="322.70999999999998"/>
    <n v="0.115"/>
    <n v="16"/>
    <n v="11923.994400000001"/>
  </r>
  <r>
    <d v="2025-03-16T00:00:00"/>
    <x v="4"/>
    <x v="12"/>
    <d v="2025-03-16T00:00:00"/>
    <s v="Q1-2025"/>
    <s v="Europe"/>
    <x v="7"/>
    <s v="Lyon"/>
    <s v="Laptops"/>
    <s v="High"/>
    <n v="731.29"/>
    <n v="731.29"/>
    <n v="5.8000000000000003E-2"/>
    <n v="6"/>
    <n v="17698.503240000002"/>
  </r>
  <r>
    <d v="2025-03-17T00:00:00"/>
    <x v="2"/>
    <x v="12"/>
    <d v="2025-03-17T00:00:00"/>
    <s v="Q1-2025"/>
    <s v="Americas"/>
    <x v="10"/>
    <s v="Austin"/>
    <s v="Phones"/>
    <s v="High"/>
    <n v="1533.95"/>
    <n v="1533.95"/>
    <n v="0"/>
    <n v="11"/>
    <n v="15891.92"/>
  </r>
  <r>
    <d v="2025-03-18T00:00:00"/>
    <x v="12"/>
    <x v="12"/>
    <d v="2025-03-18T00:00:00"/>
    <s v="Q1-2025"/>
    <s v="Africa"/>
    <x v="1"/>
    <s v="Abuja"/>
    <s v="Monitors"/>
    <s v="High"/>
    <n v="1571.66"/>
    <n v="1571.66"/>
    <n v="0.107"/>
    <n v="23"/>
    <n v="59066.056200000006"/>
  </r>
  <r>
    <d v="2025-03-19T00:00:00"/>
    <x v="19"/>
    <x v="12"/>
    <d v="2025-03-19T00:00:00"/>
    <s v="Q1-2025"/>
    <s v="Europe"/>
    <x v="8"/>
    <s v="Birmingham"/>
    <s v="Printers"/>
    <s v="High"/>
    <n v="250.73"/>
    <n v="250.73"/>
    <n v="3.4000000000000002E-2"/>
    <n v="17"/>
    <n v="26958.519419999997"/>
  </r>
  <r>
    <d v="2025-03-20T00:00:00"/>
    <x v="7"/>
    <x v="12"/>
    <d v="2025-03-20T00:00:00"/>
    <s v="Q1-2025"/>
    <s v="Americas"/>
    <x v="10"/>
    <s v="Austin"/>
    <s v="Phones"/>
    <s v="High"/>
    <n v="3472.81"/>
    <n v="3472.81"/>
    <n v="0.25600000000000001"/>
    <n v="12"/>
    <n v="11597.65056"/>
  </r>
  <r>
    <d v="2025-03-21T00:00:00"/>
    <x v="0"/>
    <x v="12"/>
    <d v="2025-03-21T00:00:00"/>
    <s v="Q1-2025"/>
    <s v="Asia"/>
    <x v="9"/>
    <s v="Beijing"/>
    <s v="Phones"/>
    <s v="High"/>
    <n v="1206.04"/>
    <n v="1206.04"/>
    <n v="6.3E-2"/>
    <n v="34"/>
    <n v="35635.084480000005"/>
  </r>
  <r>
    <d v="2025-03-22T00:00:00"/>
    <x v="16"/>
    <x v="12"/>
    <d v="2025-03-22T00:00:00"/>
    <s v="Q1-2025"/>
    <s v="Asia"/>
    <x v="9"/>
    <s v="Shanghai"/>
    <s v="Networking"/>
    <s v="High"/>
    <n v="2197.23"/>
    <n v="2197.23"/>
    <n v="9.9000000000000005E-2"/>
    <n v="22"/>
    <n v="23483.321620000002"/>
  </r>
  <r>
    <d v="2025-03-23T00:00:00"/>
    <x v="22"/>
    <x v="12"/>
    <d v="2025-03-23T00:00:00"/>
    <s v="Q1-2025"/>
    <s v="Africa"/>
    <x v="11"/>
    <s v="Durban"/>
    <s v="Components"/>
    <s v="High"/>
    <n v="1620.6"/>
    <n v="1620.6"/>
    <n v="0.13900000000000001"/>
    <n v="11"/>
    <n v="11379.122369999999"/>
  </r>
  <r>
    <d v="2025-03-24T00:00:00"/>
    <x v="10"/>
    <x v="12"/>
    <d v="2025-03-24T00:00:00"/>
    <s v="Q1-2025"/>
    <s v="Africa"/>
    <x v="11"/>
    <s v="Cape Town"/>
    <s v="Networking"/>
    <s v="High"/>
    <n v="1034.6600000000001"/>
    <n v="1034.6600000000001"/>
    <n v="9.1999999999999998E-2"/>
    <n v="7"/>
    <n v="5599.5724400000008"/>
  </r>
  <r>
    <d v="2025-03-25T00:00:00"/>
    <x v="26"/>
    <x v="12"/>
    <d v="2025-03-25T00:00:00"/>
    <s v="Q1-2025"/>
    <s v="Americas"/>
    <x v="5"/>
    <s v="São Paulo"/>
    <s v="Networking"/>
    <s v="High"/>
    <n v="1905.42"/>
    <n v="1905.42"/>
    <n v="3.2000000000000001E-2"/>
    <n v="18"/>
    <n v="35734.358879999992"/>
  </r>
  <r>
    <d v="2025-03-26T00:00:00"/>
    <x v="10"/>
    <x v="12"/>
    <d v="2025-03-26T00:00:00"/>
    <s v="Q1-2025"/>
    <s v="Europe"/>
    <x v="8"/>
    <s v="London"/>
    <s v="Components"/>
    <s v="High"/>
    <n v="541.55999999999995"/>
    <n v="541.55999999999995"/>
    <n v="0.16300000000000001"/>
    <n v="25"/>
    <n v="36365.557499999995"/>
  </r>
  <r>
    <d v="2025-03-27T00:00:00"/>
    <x v="28"/>
    <x v="12"/>
    <d v="2025-03-27T00:00:00"/>
    <s v="Q1-2025"/>
    <s v="Americas"/>
    <x v="3"/>
    <s v="Montreal"/>
    <s v="Networking"/>
    <s v="High"/>
    <n v="1116.5999999999999"/>
    <n v="1116.5999999999999"/>
    <n v="0.17599999999999999"/>
    <n v="14"/>
    <n v="16015.544160000001"/>
  </r>
  <r>
    <d v="2025-03-28T00:00:00"/>
    <x v="13"/>
    <x v="12"/>
    <d v="2025-03-28T00:00:00"/>
    <s v="Q1-2025"/>
    <s v="Europe"/>
    <x v="8"/>
    <s v="Birmingham"/>
    <s v="Printers"/>
    <s v="High"/>
    <n v="1455"/>
    <n v="1455"/>
    <n v="7.8E-2"/>
    <n v="28"/>
    <n v="13660.278240000001"/>
  </r>
  <r>
    <d v="2025-03-29T00:00:00"/>
    <x v="23"/>
    <x v="12"/>
    <d v="2025-03-29T00:00:00"/>
    <s v="Q1-2025"/>
    <s v="Americas"/>
    <x v="10"/>
    <s v="New York"/>
    <s v="Networking"/>
    <s v="High"/>
    <n v="1278.3"/>
    <n v="1278.3"/>
    <n v="0.09"/>
    <n v="41"/>
    <n v="73589.497799999997"/>
  </r>
  <r>
    <d v="2025-03-30T00:00:00"/>
    <x v="14"/>
    <x v="12"/>
    <d v="2025-03-30T00:00:00"/>
    <s v="Q1-2025"/>
    <s v="Europe"/>
    <x v="7"/>
    <s v="Marseille"/>
    <s v="Monitors"/>
    <s v="High"/>
    <n v="899.83"/>
    <n v="899.83"/>
    <n v="5.8000000000000003E-2"/>
    <n v="18"/>
    <n v="14867.190359999997"/>
  </r>
  <r>
    <d v="2025-03-31T00:00:00"/>
    <x v="15"/>
    <x v="12"/>
    <d v="2025-03-31T00:00:00"/>
    <s v="Q1-2025"/>
    <s v="Asia"/>
    <x v="4"/>
    <s v="Delhi"/>
    <s v="Laptops"/>
    <s v="High"/>
    <n v="878.73"/>
    <n v="878.73"/>
    <n v="0.19"/>
    <n v="31"/>
    <n v="20697.168600000001"/>
  </r>
  <r>
    <d v="2025-04-01T00:00:00"/>
    <x v="8"/>
    <x v="13"/>
    <d v="2025-04-01T00:00:00"/>
    <s v="Q2-2025"/>
    <s v="Asia"/>
    <x v="4"/>
    <s v="Hyderabad"/>
    <s v="Printers"/>
    <s v="High"/>
    <n v="594.41999999999996"/>
    <n v="594.41999999999996"/>
    <n v="0.104"/>
    <n v="18"/>
    <n v="18697.996800000001"/>
  </r>
  <r>
    <d v="2025-04-02T00:00:00"/>
    <x v="7"/>
    <x v="13"/>
    <d v="2025-04-02T00:00:00"/>
    <s v="Q2-2025"/>
    <s v="Africa"/>
    <x v="1"/>
    <s v="Abuja"/>
    <s v="Laptops"/>
    <s v="High"/>
    <n v="1617.85"/>
    <n v="1617.85"/>
    <n v="0.127"/>
    <n v="14"/>
    <n v="30720.11922"/>
  </r>
  <r>
    <d v="2025-04-03T00:00:00"/>
    <x v="27"/>
    <x v="13"/>
    <d v="2025-04-03T00:00:00"/>
    <s v="Q2-2025"/>
    <s v="Asia"/>
    <x v="9"/>
    <s v="Beijing"/>
    <s v="Laptops"/>
    <s v="High"/>
    <n v="972.91"/>
    <n v="972.91"/>
    <n v="0.14699999999999999"/>
    <n v="17"/>
    <n v="44766.472129999995"/>
  </r>
  <r>
    <d v="2025-04-04T00:00:00"/>
    <x v="32"/>
    <x v="13"/>
    <d v="2025-04-04T00:00:00"/>
    <s v="Q2-2025"/>
    <s v="Africa"/>
    <x v="11"/>
    <s v="Cape Town"/>
    <s v="Laptops"/>
    <s v="Low"/>
    <n v="42.56"/>
    <n v="42.56"/>
    <n v="7.1999999999999995E-2"/>
    <n v="11"/>
    <n v="27736.667200000004"/>
  </r>
  <r>
    <d v="2025-04-05T00:00:00"/>
    <x v="16"/>
    <x v="13"/>
    <d v="2025-04-05T00:00:00"/>
    <s v="Q2-2025"/>
    <s v="Africa"/>
    <x v="11"/>
    <s v="Johannesburg"/>
    <s v="Monitors"/>
    <s v="High"/>
    <n v="1480.83"/>
    <n v="1480.83"/>
    <n v="8.9999999999999993E-3"/>
    <n v="11"/>
    <n v="9830.4127899999985"/>
  </r>
  <r>
    <d v="2025-04-06T00:00:00"/>
    <x v="21"/>
    <x v="13"/>
    <d v="2025-04-06T00:00:00"/>
    <s v="Q2-2025"/>
    <s v="Europe"/>
    <x v="7"/>
    <s v="Marseille"/>
    <s v="Printers"/>
    <s v="High"/>
    <n v="564.26"/>
    <n v="564.26"/>
    <n v="0.105"/>
    <n v="5"/>
    <n v="3562.7712500000002"/>
  </r>
  <r>
    <d v="2025-04-07T00:00:00"/>
    <x v="32"/>
    <x v="13"/>
    <d v="2025-04-07T00:00:00"/>
    <s v="Q2-2025"/>
    <s v="Asia"/>
    <x v="9"/>
    <s v="Shanghai"/>
    <s v="Components"/>
    <s v="High"/>
    <n v="2137.21"/>
    <n v="2137.21"/>
    <n v="0.35699999999999998"/>
    <n v="35"/>
    <n v="3551.7390999999998"/>
  </r>
  <r>
    <d v="2025-04-08T00:00:00"/>
    <x v="0"/>
    <x v="13"/>
    <d v="2025-04-08T00:00:00"/>
    <s v="Q2-2025"/>
    <s v="Americas"/>
    <x v="10"/>
    <s v="San Francisco"/>
    <s v="Phones"/>
    <s v="High"/>
    <n v="1680.93"/>
    <n v="1680.93"/>
    <n v="0.254"/>
    <n v="9"/>
    <n v="5499.1688399999994"/>
  </r>
  <r>
    <d v="2025-04-09T00:00:00"/>
    <x v="15"/>
    <x v="13"/>
    <d v="2025-04-09T00:00:00"/>
    <s v="Q2-2025"/>
    <s v="Europe"/>
    <x v="8"/>
    <s v="London"/>
    <s v="Components"/>
    <s v="High"/>
    <n v="2905.06"/>
    <n v="2905.06"/>
    <n v="0.14799999999999999"/>
    <n v="8"/>
    <n v="11663.26656"/>
  </r>
  <r>
    <d v="2025-04-10T00:00:00"/>
    <x v="8"/>
    <x v="13"/>
    <d v="2025-04-10T00:00:00"/>
    <s v="Q2-2025"/>
    <s v="Asia"/>
    <x v="2"/>
    <s v="Osaka"/>
    <s v="Accessories"/>
    <s v="High"/>
    <n v="842.09"/>
    <n v="842.09"/>
    <n v="9.8000000000000004E-2"/>
    <n v="19"/>
    <n v="29072.046299999998"/>
  </r>
  <r>
    <d v="2025-04-11T00:00:00"/>
    <x v="28"/>
    <x v="13"/>
    <d v="2025-04-11T00:00:00"/>
    <s v="Q2-2025"/>
    <s v="Europe"/>
    <x v="6"/>
    <s v="Berlin"/>
    <s v="Monitors"/>
    <s v="High"/>
    <n v="3131.37"/>
    <n v="3131.37"/>
    <n v="0.10299999999999999"/>
    <n v="20"/>
    <n v="51745.059600000001"/>
  </r>
  <r>
    <d v="2025-04-12T00:00:00"/>
    <x v="6"/>
    <x v="13"/>
    <d v="2025-04-12T00:00:00"/>
    <s v="Q2-2025"/>
    <s v="Asia"/>
    <x v="2"/>
    <s v="Tokyo"/>
    <s v="Laptops"/>
    <s v="High"/>
    <n v="1444.72"/>
    <n v="1444.72"/>
    <n v="0.24099999999999999"/>
    <n v="17"/>
    <n v="19144.697220000002"/>
  </r>
  <r>
    <d v="2025-04-13T00:00:00"/>
    <x v="11"/>
    <x v="13"/>
    <d v="2025-04-13T00:00:00"/>
    <s v="Q2-2025"/>
    <s v="Africa"/>
    <x v="11"/>
    <s v="Durban"/>
    <s v="Components"/>
    <s v="High"/>
    <n v="2875.8"/>
    <n v="2875.8"/>
    <n v="8.3000000000000004E-2"/>
    <n v="5"/>
    <n v="14660.399949999999"/>
  </r>
  <r>
    <d v="2025-04-14T00:00:00"/>
    <x v="29"/>
    <x v="13"/>
    <d v="2025-04-14T00:00:00"/>
    <s v="Q2-2025"/>
    <s v="Africa"/>
    <x v="11"/>
    <s v="Cape Town"/>
    <s v="Monitors"/>
    <s v="High"/>
    <n v="1641.61"/>
    <n v="1641.61"/>
    <n v="0.122"/>
    <n v="9"/>
    <n v="18353.975399999999"/>
  </r>
  <r>
    <d v="2025-04-15T00:00:00"/>
    <x v="19"/>
    <x v="13"/>
    <d v="2025-04-15T00:00:00"/>
    <s v="Q2-2025"/>
    <s v="Africa"/>
    <x v="0"/>
    <s v="Kisumu"/>
    <s v="Networking"/>
    <s v="High"/>
    <n v="1299.02"/>
    <n v="1299.02"/>
    <n v="2.5000000000000001E-2"/>
    <n v="14"/>
    <n v="26377.532999999999"/>
  </r>
  <r>
    <d v="2025-04-16T00:00:00"/>
    <x v="21"/>
    <x v="13"/>
    <d v="2025-04-16T00:00:00"/>
    <s v="Q2-2025"/>
    <s v="Americas"/>
    <x v="10"/>
    <s v="Chicago"/>
    <s v="Printers"/>
    <s v="High"/>
    <n v="1118.56"/>
    <n v="1118.56"/>
    <n v="0.18"/>
    <n v="19"/>
    <n v="24777.808799999999"/>
  </r>
  <r>
    <d v="2025-04-17T00:00:00"/>
    <x v="18"/>
    <x v="13"/>
    <d v="2025-04-17T00:00:00"/>
    <s v="Q2-2025"/>
    <s v="Americas"/>
    <x v="3"/>
    <s v="Toronto"/>
    <s v="Components"/>
    <s v="High"/>
    <n v="1184.71"/>
    <n v="1184.71"/>
    <n v="0.106"/>
    <n v="16"/>
    <n v="5658.8054400000001"/>
  </r>
  <r>
    <d v="2025-04-18T00:00:00"/>
    <x v="14"/>
    <x v="13"/>
    <d v="2025-04-18T00:00:00"/>
    <s v="Q2-2025"/>
    <s v="Europe"/>
    <x v="7"/>
    <s v="Marseille"/>
    <s v="Laptops"/>
    <s v="High"/>
    <n v="1201.47"/>
    <n v="1201.47"/>
    <n v="0.126"/>
    <n v="5"/>
    <n v="9079.5053000000007"/>
  </r>
  <r>
    <d v="2025-04-19T00:00:00"/>
    <x v="10"/>
    <x v="13"/>
    <d v="2025-04-19T00:00:00"/>
    <s v="Q2-2025"/>
    <s v="Americas"/>
    <x v="5"/>
    <s v="Brasília"/>
    <s v="Components"/>
    <s v="High"/>
    <n v="880.99"/>
    <n v="880.99"/>
    <n v="0.111"/>
    <n v="10"/>
    <n v="11831.2565"/>
  </r>
  <r>
    <d v="2025-04-20T00:00:00"/>
    <x v="22"/>
    <x v="13"/>
    <d v="2025-04-20T00:00:00"/>
    <s v="Q2-2025"/>
    <s v="Asia"/>
    <x v="9"/>
    <s v="Beijing"/>
    <s v="Monitors"/>
    <s v="High"/>
    <n v="2050.87"/>
    <n v="2050.87"/>
    <n v="6.4000000000000001E-2"/>
    <n v="7"/>
    <n v="18113.986799999999"/>
  </r>
  <r>
    <d v="2025-04-21T00:00:00"/>
    <x v="6"/>
    <x v="13"/>
    <d v="2025-04-21T00:00:00"/>
    <s v="Q2-2025"/>
    <s v="Asia"/>
    <x v="4"/>
    <s v="Delhi"/>
    <s v="Printers"/>
    <s v="High"/>
    <n v="1737.9"/>
    <n v="1737.9"/>
    <n v="7.6999999999999999E-2"/>
    <n v="14"/>
    <n v="3596.8387000000007"/>
  </r>
  <r>
    <d v="2025-04-22T00:00:00"/>
    <x v="26"/>
    <x v="13"/>
    <d v="2025-04-22T00:00:00"/>
    <s v="Q2-2025"/>
    <s v="Africa"/>
    <x v="1"/>
    <s v="Abuja"/>
    <s v="Phones"/>
    <s v="High"/>
    <n v="1388.31"/>
    <n v="1388.31"/>
    <n v="0.13800000000000001"/>
    <n v="18"/>
    <n v="15273.329759999999"/>
  </r>
  <r>
    <d v="2025-04-23T00:00:00"/>
    <x v="3"/>
    <x v="13"/>
    <d v="2025-04-23T00:00:00"/>
    <s v="Q2-2025"/>
    <s v="Asia"/>
    <x v="4"/>
    <s v="Bengaluru"/>
    <s v="Laptops"/>
    <s v="High"/>
    <n v="529.14"/>
    <n v="529.14"/>
    <n v="0.19600000000000001"/>
    <n v="11"/>
    <n v="1687.7889600000003"/>
  </r>
  <r>
    <d v="2025-04-24T00:00:00"/>
    <x v="4"/>
    <x v="13"/>
    <d v="2025-04-24T00:00:00"/>
    <s v="Q2-2025"/>
    <s v="Asia"/>
    <x v="9"/>
    <s v="Beijing"/>
    <s v="Accessories"/>
    <s v="High"/>
    <n v="1972.38"/>
    <n v="1972.38"/>
    <n v="0"/>
    <n v="12"/>
    <n v="10899.599999999999"/>
  </r>
  <r>
    <d v="2025-04-25T00:00:00"/>
    <x v="21"/>
    <x v="13"/>
    <d v="2025-04-25T00:00:00"/>
    <s v="Q2-2025"/>
    <s v="Asia"/>
    <x v="2"/>
    <s v="Nagoya"/>
    <s v="Laptops"/>
    <s v="High"/>
    <n v="876.81"/>
    <n v="876.81"/>
    <n v="0.24099999999999999"/>
    <n v="8"/>
    <n v="1725.8445600000002"/>
  </r>
  <r>
    <d v="2025-04-26T00:00:00"/>
    <x v="7"/>
    <x v="13"/>
    <d v="2025-04-26T00:00:00"/>
    <s v="Q2-2025"/>
    <s v="Europe"/>
    <x v="7"/>
    <s v="Marseille"/>
    <s v="Printers"/>
    <s v="High"/>
    <n v="824.26"/>
    <n v="824.26"/>
    <n v="0.23899999999999999"/>
    <n v="11"/>
    <n v="10290.80514"/>
  </r>
  <r>
    <d v="2025-04-27T00:00:00"/>
    <x v="22"/>
    <x v="13"/>
    <d v="2025-04-27T00:00:00"/>
    <s v="Q2-2025"/>
    <s v="Europe"/>
    <x v="6"/>
    <s v="Munich"/>
    <s v="Phones"/>
    <s v="High"/>
    <n v="1159.3499999999999"/>
    <n v="1159.3499999999999"/>
    <n v="0.112"/>
    <n v="2"/>
    <n v="2175.1027199999999"/>
  </r>
  <r>
    <d v="2025-04-28T00:00:00"/>
    <x v="25"/>
    <x v="13"/>
    <d v="2025-04-28T00:00:00"/>
    <s v="Q2-2025"/>
    <s v="Africa"/>
    <x v="1"/>
    <s v="Abuja"/>
    <s v="Phones"/>
    <s v="High"/>
    <n v="2513.5100000000002"/>
    <n v="2513.5100000000002"/>
    <n v="8.3000000000000004E-2"/>
    <n v="7"/>
    <n v="3118.7353400000002"/>
  </r>
  <r>
    <d v="2025-04-29T00:00:00"/>
    <x v="17"/>
    <x v="13"/>
    <d v="2025-04-29T00:00:00"/>
    <s v="Q2-2025"/>
    <s v="Asia"/>
    <x v="4"/>
    <s v="Bengaluru"/>
    <s v="Networking"/>
    <s v="High"/>
    <n v="3087.13"/>
    <n v="3087.13"/>
    <n v="7.1999999999999995E-2"/>
    <n v="11"/>
    <n v="22569.275520000003"/>
  </r>
  <r>
    <d v="2025-04-30T00:00:00"/>
    <x v="25"/>
    <x v="13"/>
    <d v="2025-04-30T00:00:00"/>
    <s v="Q2-2025"/>
    <s v="Americas"/>
    <x v="3"/>
    <s v="Vancouver"/>
    <s v="Printers"/>
    <s v="High"/>
    <n v="2717.15"/>
    <n v="2717.15"/>
    <n v="3.2000000000000001E-2"/>
    <n v="7"/>
    <n v="3875.12664"/>
  </r>
  <r>
    <d v="2025-05-01T00:00:00"/>
    <x v="18"/>
    <x v="14"/>
    <d v="2025-05-01T00:00:00"/>
    <s v="Q2-2025"/>
    <s v="Asia"/>
    <x v="4"/>
    <s v="Hyderabad"/>
    <s v="Accessories"/>
    <s v="High"/>
    <n v="901.79"/>
    <n v="901.79"/>
    <n v="0.245"/>
    <n v="16"/>
    <n v="41052.309600000001"/>
  </r>
  <r>
    <d v="2025-05-02T00:00:00"/>
    <x v="16"/>
    <x v="14"/>
    <d v="2025-05-02T00:00:00"/>
    <s v="Q2-2025"/>
    <s v="Asia"/>
    <x v="4"/>
    <s v="Delhi"/>
    <s v="Accessories"/>
    <s v="High"/>
    <n v="796.15"/>
    <n v="796.15"/>
    <n v="0.09"/>
    <n v="11"/>
    <n v="1948.1462000000001"/>
  </r>
  <r>
    <d v="2025-05-03T00:00:00"/>
    <x v="3"/>
    <x v="14"/>
    <d v="2025-05-03T00:00:00"/>
    <s v="Q2-2025"/>
    <s v="Asia"/>
    <x v="9"/>
    <s v="Not Provided"/>
    <s v="Printers"/>
    <s v="Medium"/>
    <n v="157.82"/>
    <n v="157.82"/>
    <n v="0.217"/>
    <n v="6"/>
    <n v="4846.6447200000002"/>
  </r>
  <r>
    <d v="2025-05-04T00:00:00"/>
    <x v="9"/>
    <x v="14"/>
    <d v="2025-05-04T00:00:00"/>
    <s v="Q2-2025"/>
    <s v="Europe"/>
    <x v="6"/>
    <s v="Frankfurt"/>
    <s v="Monitors"/>
    <s v="High"/>
    <n v="819.06"/>
    <n v="819.06"/>
    <n v="0.22600000000000001"/>
    <n v="15"/>
    <n v="5749.1559000000007"/>
  </r>
  <r>
    <d v="2025-05-05T00:00:00"/>
    <x v="32"/>
    <x v="14"/>
    <d v="2025-05-05T00:00:00"/>
    <s v="Q2-2025"/>
    <s v="Asia"/>
    <x v="2"/>
    <s v="Nagoya"/>
    <s v="Phones"/>
    <s v="High"/>
    <n v="1711.16"/>
    <n v="1711.16"/>
    <n v="0.151"/>
    <n v="10"/>
    <n v="11198.649599999999"/>
  </r>
  <r>
    <d v="2025-05-06T00:00:00"/>
    <x v="26"/>
    <x v="14"/>
    <d v="2025-05-06T00:00:00"/>
    <s v="Q2-2025"/>
    <s v="Americas"/>
    <x v="10"/>
    <s v="San Francisco"/>
    <s v="Phones"/>
    <s v="High"/>
    <n v="1696.35"/>
    <n v="1696.35"/>
    <n v="1.9E-2"/>
    <n v="6"/>
    <n v="1853.32482"/>
  </r>
  <r>
    <d v="2025-05-07T00:00:00"/>
    <x v="13"/>
    <x v="14"/>
    <d v="2025-05-07T00:00:00"/>
    <s v="Q2-2025"/>
    <s v="Africa"/>
    <x v="1"/>
    <s v="Lagos"/>
    <s v="Laptops"/>
    <s v="High"/>
    <n v="2884.34"/>
    <n v="2884.34"/>
    <n v="0.157"/>
    <n v="42"/>
    <n v="78253.279020000002"/>
  </r>
  <r>
    <d v="2025-05-08T00:00:00"/>
    <x v="11"/>
    <x v="14"/>
    <d v="2025-05-08T00:00:00"/>
    <s v="Q2-2025"/>
    <s v="Asia"/>
    <x v="4"/>
    <s v="Delhi"/>
    <s v="Phones"/>
    <s v="High"/>
    <n v="1483.74"/>
    <n v="1483.74"/>
    <n v="0.16800000000000001"/>
    <n v="24"/>
    <n v="20866.559999999998"/>
  </r>
  <r>
    <d v="2025-05-09T00:00:00"/>
    <x v="31"/>
    <x v="14"/>
    <d v="2025-05-09T00:00:00"/>
    <s v="Q2-2025"/>
    <s v="Asia"/>
    <x v="9"/>
    <s v="Beijing"/>
    <s v="Printers"/>
    <s v="High"/>
    <n v="3197.47"/>
    <n v="3197.47"/>
    <n v="0.24299999999999999"/>
    <n v="24"/>
    <n v="38737.627919999999"/>
  </r>
  <r>
    <d v="2025-05-10T00:00:00"/>
    <x v="31"/>
    <x v="14"/>
    <d v="2025-05-10T00:00:00"/>
    <s v="Q2-2025"/>
    <s v="Asia"/>
    <x v="4"/>
    <s v="Mumbai"/>
    <s v="Laptops"/>
    <s v="High"/>
    <n v="2322.6999999999998"/>
    <n v="2322.6999999999998"/>
    <n v="0.17299999999999999"/>
    <n v="8"/>
    <n v="13903.854800000001"/>
  </r>
  <r>
    <d v="2025-05-11T00:00:00"/>
    <x v="28"/>
    <x v="14"/>
    <d v="2025-05-11T00:00:00"/>
    <s v="Q2-2025"/>
    <s v="Africa"/>
    <x v="1"/>
    <s v="Port Harcourt"/>
    <s v="Laptops"/>
    <s v="High"/>
    <n v="1932.42"/>
    <n v="1932.42"/>
    <n v="0.25"/>
    <n v="21"/>
    <n v="33475.68"/>
  </r>
  <r>
    <d v="2025-05-12T00:00:00"/>
    <x v="21"/>
    <x v="14"/>
    <d v="2025-05-12T00:00:00"/>
    <s v="Q2-2025"/>
    <s v="Asia"/>
    <x v="4"/>
    <s v="Mumbai"/>
    <s v="Phones"/>
    <s v="High"/>
    <n v="1590.36"/>
    <n v="1590.36"/>
    <n v="0.314"/>
    <n v="18"/>
    <n v="8801.0369999999984"/>
  </r>
  <r>
    <d v="2025-05-13T00:00:00"/>
    <x v="31"/>
    <x v="14"/>
    <d v="2025-05-13T00:00:00"/>
    <s v="Q2-2025"/>
    <s v="Europe"/>
    <x v="7"/>
    <s v="Marseille"/>
    <s v="Monitors"/>
    <s v="High"/>
    <n v="395.61"/>
    <n v="395.61"/>
    <n v="0"/>
    <n v="34"/>
    <n v="53340.22"/>
  </r>
  <r>
    <d v="2025-05-14T00:00:00"/>
    <x v="8"/>
    <x v="14"/>
    <d v="2025-05-14T00:00:00"/>
    <s v="Q2-2025"/>
    <s v="Asia"/>
    <x v="4"/>
    <s v="Bengaluru"/>
    <s v="Phones"/>
    <s v="High"/>
    <n v="2077.69"/>
    <n v="2077.69"/>
    <n v="0.17499999999999999"/>
    <n v="24"/>
    <n v="41071.932000000001"/>
  </r>
  <r>
    <d v="2025-05-15T00:00:00"/>
    <x v="18"/>
    <x v="14"/>
    <d v="2025-05-15T00:00:00"/>
    <s v="Q2-2025"/>
    <s v="Europe"/>
    <x v="6"/>
    <s v="Frankfurt"/>
    <s v="Printers"/>
    <s v="High"/>
    <n v="1330.85"/>
    <n v="1330.85"/>
    <n v="0.115"/>
    <n v="11"/>
    <n v="4820.6746499999999"/>
  </r>
  <r>
    <d v="2025-05-16T00:00:00"/>
    <x v="6"/>
    <x v="14"/>
    <d v="2025-05-16T00:00:00"/>
    <s v="Q2-2025"/>
    <s v="Asia"/>
    <x v="9"/>
    <s v="Shenzhen"/>
    <s v="Laptops"/>
    <s v="High"/>
    <n v="2764.65"/>
    <n v="2764.65"/>
    <n v="0"/>
    <n v="21"/>
    <n v="15909.390000000001"/>
  </r>
  <r>
    <d v="2025-05-17T00:00:00"/>
    <x v="32"/>
    <x v="14"/>
    <d v="2025-05-17T00:00:00"/>
    <s v="Q2-2025"/>
    <s v="Europe"/>
    <x v="8"/>
    <s v="Manchester"/>
    <s v="Monitors"/>
    <s v="High"/>
    <n v="278.35000000000002"/>
    <n v="278.35000000000002"/>
    <n v="5.6000000000000001E-2"/>
    <n v="10"/>
    <n v="3926.6623999999993"/>
  </r>
  <r>
    <d v="2025-05-18T00:00:00"/>
    <x v="6"/>
    <x v="14"/>
    <d v="2025-05-18T00:00:00"/>
    <s v="Q2-2025"/>
    <s v="Africa"/>
    <x v="1"/>
    <s v="Lagos"/>
    <s v="Monitors"/>
    <s v="High"/>
    <n v="984.36"/>
    <n v="984.36"/>
    <n v="5.8999999999999997E-2"/>
    <n v="14"/>
    <n v="24647.104860000003"/>
  </r>
  <r>
    <d v="2025-05-19T00:00:00"/>
    <x v="29"/>
    <x v="14"/>
    <d v="2025-05-19T00:00:00"/>
    <s v="Q2-2025"/>
    <s v="Asia"/>
    <x v="9"/>
    <s v="Beijing"/>
    <s v="Networking"/>
    <s v="Medium"/>
    <n v="190.84"/>
    <n v="190.84"/>
    <n v="0.214"/>
    <n v="13"/>
    <n v="2113.89984"/>
  </r>
  <r>
    <d v="2025-05-20T00:00:00"/>
    <x v="32"/>
    <x v="14"/>
    <d v="2025-05-20T00:00:00"/>
    <s v="Q2-2025"/>
    <s v="Africa"/>
    <x v="0"/>
    <s v="Kisumu"/>
    <s v="Phones"/>
    <s v="High"/>
    <n v="908.3"/>
    <n v="908.3"/>
    <n v="0"/>
    <n v="30"/>
    <n v="1884.6"/>
  </r>
  <r>
    <d v="2025-05-21T00:00:00"/>
    <x v="6"/>
    <x v="14"/>
    <d v="2025-05-21T00:00:00"/>
    <s v="Q2-2025"/>
    <s v="Asia"/>
    <x v="4"/>
    <s v="Bengaluru"/>
    <s v="Networking"/>
    <s v="High"/>
    <n v="284.23"/>
    <n v="284.23"/>
    <n v="0.113"/>
    <n v="22"/>
    <n v="18664.94586"/>
  </r>
  <r>
    <d v="2025-05-22T00:00:00"/>
    <x v="12"/>
    <x v="14"/>
    <d v="2025-05-22T00:00:00"/>
    <s v="Q2-2025"/>
    <s v="Asia"/>
    <x v="2"/>
    <s v="Nagoya"/>
    <s v="Components"/>
    <s v="High"/>
    <n v="1229.3399999999999"/>
    <n v="1229.3399999999999"/>
    <n v="0.14699999999999999"/>
    <n v="7"/>
    <n v="989.39469999999983"/>
  </r>
  <r>
    <d v="2025-05-23T00:00:00"/>
    <x v="4"/>
    <x v="14"/>
    <d v="2025-05-23T00:00:00"/>
    <s v="Q2-2025"/>
    <s v="Europe"/>
    <x v="7"/>
    <s v="Marseille"/>
    <s v="Accessories"/>
    <s v="High"/>
    <n v="1224.72"/>
    <n v="1224.72"/>
    <n v="0.17399999999999999"/>
    <n v="24"/>
    <n v="12060.128640000001"/>
  </r>
  <r>
    <d v="2025-05-24T00:00:00"/>
    <x v="2"/>
    <x v="14"/>
    <d v="2025-05-24T00:00:00"/>
    <s v="Q2-2025"/>
    <s v="Africa"/>
    <x v="0"/>
    <s v="Nakuru"/>
    <s v="Networking"/>
    <s v="High"/>
    <n v="485.86"/>
    <n v="485.86"/>
    <n v="4.1000000000000002E-2"/>
    <n v="6"/>
    <n v="15339.646139999999"/>
  </r>
  <r>
    <d v="2025-05-25T00:00:00"/>
    <x v="15"/>
    <x v="14"/>
    <d v="2025-05-25T00:00:00"/>
    <s v="Q2-2025"/>
    <s v="Asia"/>
    <x v="9"/>
    <s v="Beijing"/>
    <s v="Printers"/>
    <s v="High"/>
    <n v="2210.94"/>
    <n v="2210.94"/>
    <n v="0.15"/>
    <n v="11"/>
    <n v="5497.3325000000004"/>
  </r>
  <r>
    <d v="2025-05-26T00:00:00"/>
    <x v="0"/>
    <x v="14"/>
    <d v="2025-05-26T00:00:00"/>
    <s v="Q2-2025"/>
    <s v="Asia"/>
    <x v="4"/>
    <s v="Bengaluru"/>
    <s v="Phones"/>
    <s v="High"/>
    <n v="571.89"/>
    <n v="571.89"/>
    <n v="0.14799999999999999"/>
    <n v="26"/>
    <n v="48582.215760000006"/>
  </r>
  <r>
    <d v="2025-05-27T00:00:00"/>
    <x v="27"/>
    <x v="14"/>
    <d v="2025-05-27T00:00:00"/>
    <s v="Q2-2025"/>
    <s v="Asia"/>
    <x v="4"/>
    <s v="Not Provided"/>
    <s v="Accessories"/>
    <s v="High"/>
    <n v="3398.37"/>
    <n v="3398.37"/>
    <n v="0.157"/>
    <n v="11"/>
    <n v="20287.469400000002"/>
  </r>
  <r>
    <d v="2025-05-28T00:00:00"/>
    <x v="21"/>
    <x v="14"/>
    <d v="2025-05-28T00:00:00"/>
    <s v="Q2-2025"/>
    <s v="Europe"/>
    <x v="6"/>
    <s v="Frankfurt"/>
    <s v="Printers"/>
    <s v="Medium"/>
    <n v="194.62"/>
    <n v="194.62"/>
    <n v="4.2999999999999997E-2"/>
    <n v="32"/>
    <n v="30688.61664"/>
  </r>
  <r>
    <d v="2025-05-29T00:00:00"/>
    <x v="29"/>
    <x v="14"/>
    <d v="2025-05-29T00:00:00"/>
    <s v="Q2-2025"/>
    <s v="Americas"/>
    <x v="3"/>
    <s v="Toronto"/>
    <s v="Printers"/>
    <s v="High"/>
    <n v="1031.6400000000001"/>
    <n v="1031.6400000000001"/>
    <n v="0"/>
    <n v="21"/>
    <n v="19189.38"/>
  </r>
  <r>
    <d v="2025-05-30T00:00:00"/>
    <x v="23"/>
    <x v="14"/>
    <d v="2025-05-30T00:00:00"/>
    <s v="Q2-2025"/>
    <s v="Americas"/>
    <x v="3"/>
    <s v="Toronto"/>
    <s v="Printers"/>
    <s v="High"/>
    <n v="495.19"/>
    <n v="495.19"/>
    <n v="2.8000000000000001E-2"/>
    <n v="4"/>
    <n v="7167.5668799999994"/>
  </r>
  <r>
    <d v="2025-05-31T00:00:00"/>
    <x v="4"/>
    <x v="14"/>
    <d v="2025-05-31T00:00:00"/>
    <s v="Q2-2025"/>
    <s v="Asia"/>
    <x v="2"/>
    <s v="Nagoya"/>
    <s v="Laptops"/>
    <s v="High"/>
    <n v="1319.04"/>
    <n v="1319.04"/>
    <n v="7.3999999999999996E-2"/>
    <n v="8"/>
    <n v="10249.7088"/>
  </r>
  <r>
    <d v="2025-06-01T00:00:00"/>
    <x v="3"/>
    <x v="15"/>
    <d v="2025-06-01T00:00:00"/>
    <s v="Q2-2025"/>
    <s v="Africa"/>
    <x v="11"/>
    <s v="Durban"/>
    <s v="Monitors"/>
    <s v="High"/>
    <n v="314.87"/>
    <n v="314.87"/>
    <n v="0.29299999999999998"/>
    <n v="25"/>
    <n v="28077.267750000003"/>
  </r>
  <r>
    <d v="2025-06-02T00:00:00"/>
    <x v="17"/>
    <x v="15"/>
    <d v="2025-06-02T00:00:00"/>
    <s v="Q2-2025"/>
    <s v="Americas"/>
    <x v="3"/>
    <s v="Toronto"/>
    <s v="Monitors"/>
    <s v="High"/>
    <n v="2210.17"/>
    <n v="2210.17"/>
    <n v="0.104"/>
    <n v="23"/>
    <n v="27698.182399999998"/>
  </r>
  <r>
    <d v="2025-06-03T00:00:00"/>
    <x v="17"/>
    <x v="15"/>
    <d v="2025-06-03T00:00:00"/>
    <s v="Q2-2025"/>
    <s v="Africa"/>
    <x v="1"/>
    <s v="Port Harcourt"/>
    <s v="Phones"/>
    <s v="High"/>
    <n v="1045"/>
    <n v="1045"/>
    <n v="0.216"/>
    <n v="15"/>
    <n v="15173.8104"/>
  </r>
  <r>
    <d v="2025-06-04T00:00:00"/>
    <x v="24"/>
    <x v="15"/>
    <d v="2025-06-04T00:00:00"/>
    <s v="Q2-2025"/>
    <s v="Asia"/>
    <x v="4"/>
    <s v="Delhi"/>
    <s v="Printers"/>
    <s v="High"/>
    <n v="2132.19"/>
    <n v="2132.19"/>
    <n v="0.16500000000000001"/>
    <n v="7"/>
    <n v="1295.1351000000002"/>
  </r>
  <r>
    <d v="2025-06-05T00:00:00"/>
    <x v="5"/>
    <x v="15"/>
    <d v="2025-06-05T00:00:00"/>
    <s v="Q2-2025"/>
    <s v="Europe"/>
    <x v="8"/>
    <s v="London"/>
    <s v="Accessories"/>
    <s v="High"/>
    <n v="2101.5500000000002"/>
    <n v="2101.5500000000002"/>
    <n v="6.6000000000000003E-2"/>
    <n v="10"/>
    <n v="3365.5755999999997"/>
  </r>
  <r>
    <d v="2025-06-06T00:00:00"/>
    <x v="7"/>
    <x v="15"/>
    <d v="2025-06-06T00:00:00"/>
    <s v="Q2-2025"/>
    <s v="Asia"/>
    <x v="4"/>
    <s v="Bengaluru"/>
    <s v="Components"/>
    <s v="High"/>
    <n v="2125.44"/>
    <n v="2125.44"/>
    <n v="7.0999999999999994E-2"/>
    <n v="12"/>
    <n v="28380.689880000002"/>
  </r>
  <r>
    <d v="2025-06-07T00:00:00"/>
    <x v="16"/>
    <x v="15"/>
    <d v="2025-06-07T00:00:00"/>
    <s v="Q2-2025"/>
    <s v="Asia"/>
    <x v="2"/>
    <s v="Nagoya"/>
    <s v="Phones"/>
    <s v="High"/>
    <n v="712.75"/>
    <n v="712.75"/>
    <n v="0.115"/>
    <n v="19"/>
    <n v="11761.58805"/>
  </r>
  <r>
    <d v="2025-06-08T00:00:00"/>
    <x v="15"/>
    <x v="15"/>
    <d v="2025-06-08T00:00:00"/>
    <s v="Q2-2025"/>
    <s v="Americas"/>
    <x v="10"/>
    <s v="Austin"/>
    <s v="Monitors"/>
    <s v="High"/>
    <n v="1568.83"/>
    <n v="1568.83"/>
    <n v="1.7000000000000001E-2"/>
    <n v="15"/>
    <n v="40381.984049999999"/>
  </r>
  <r>
    <d v="2025-06-09T00:00:00"/>
    <x v="6"/>
    <x v="15"/>
    <d v="2025-06-09T00:00:00"/>
    <s v="Q2-2025"/>
    <s v="Americas"/>
    <x v="3"/>
    <s v="Vancouver"/>
    <s v="Accessories"/>
    <s v="High"/>
    <n v="2074.34"/>
    <n v="2074.34"/>
    <n v="0.111"/>
    <n v="8"/>
    <n v="674.07536000000005"/>
  </r>
  <r>
    <d v="2025-06-10T00:00:00"/>
    <x v="4"/>
    <x v="15"/>
    <d v="2025-06-10T00:00:00"/>
    <s v="Q2-2025"/>
    <s v="Americas"/>
    <x v="5"/>
    <s v="Brasília"/>
    <s v="Phones"/>
    <s v="High"/>
    <n v="495.19"/>
    <n v="495.19"/>
    <n v="0"/>
    <n v="42"/>
    <n v="116648.7"/>
  </r>
  <r>
    <d v="2025-06-11T00:00:00"/>
    <x v="15"/>
    <x v="15"/>
    <d v="2025-06-11T00:00:00"/>
    <s v="Q2-2025"/>
    <s v="Asia"/>
    <x v="9"/>
    <s v="Shanghai"/>
    <s v="Monitors"/>
    <s v="High"/>
    <n v="757.59"/>
    <n v="757.59"/>
    <n v="0.13600000000000001"/>
    <n v="12"/>
    <n v="5102.9222399999999"/>
  </r>
  <r>
    <d v="2025-06-12T00:00:00"/>
    <x v="30"/>
    <x v="15"/>
    <d v="2025-06-12T00:00:00"/>
    <s v="Q2-2025"/>
    <s v="Europe"/>
    <x v="6"/>
    <s v="Munich"/>
    <s v="Laptops"/>
    <s v="High"/>
    <n v="415.96"/>
    <n v="415.96"/>
    <n v="0.125"/>
    <n v="21"/>
    <n v="35310.318749999999"/>
  </r>
  <r>
    <d v="2025-06-13T00:00:00"/>
    <x v="7"/>
    <x v="15"/>
    <d v="2025-06-13T00:00:00"/>
    <s v="Q2-2025"/>
    <s v="Europe"/>
    <x v="7"/>
    <s v="Marseille"/>
    <s v="Components"/>
    <s v="High"/>
    <n v="1870.89"/>
    <n v="1870.89"/>
    <n v="0"/>
    <n v="13"/>
    <n v="3774.29"/>
  </r>
  <r>
    <d v="2025-06-14T00:00:00"/>
    <x v="24"/>
    <x v="15"/>
    <d v="2025-06-14T00:00:00"/>
    <s v="Q2-2025"/>
    <s v="Asia"/>
    <x v="2"/>
    <s v="Tokyo"/>
    <s v="Components"/>
    <s v="High"/>
    <n v="206.88"/>
    <n v="206.88"/>
    <n v="0.107"/>
    <n v="9"/>
    <n v="4845.6680399999996"/>
  </r>
  <r>
    <d v="2025-06-15T00:00:00"/>
    <x v="15"/>
    <x v="15"/>
    <d v="2025-06-15T00:00:00"/>
    <s v="Q2-2025"/>
    <s v="Africa"/>
    <x v="11"/>
    <s v="Durban"/>
    <s v="Accessories"/>
    <s v="Medium"/>
    <n v="62.82"/>
    <n v="62.82"/>
    <n v="0.129"/>
    <n v="17"/>
    <n v="30761.5425"/>
  </r>
  <r>
    <d v="2025-06-16T00:00:00"/>
    <x v="0"/>
    <x v="15"/>
    <d v="2025-06-16T00:00:00"/>
    <s v="Q2-2025"/>
    <s v="Europe"/>
    <x v="6"/>
    <s v="Frankfurt"/>
    <s v="Printers"/>
    <s v="High"/>
    <n v="956.49"/>
    <n v="956.49"/>
    <n v="0.152"/>
    <n v="5"/>
    <n v="733.01119999999992"/>
  </r>
  <r>
    <d v="2025-06-17T00:00:00"/>
    <x v="19"/>
    <x v="15"/>
    <d v="2025-06-17T00:00:00"/>
    <s v="Q2-2025"/>
    <s v="Africa"/>
    <x v="11"/>
    <s v="Durban"/>
    <s v="Networking"/>
    <s v="Medium"/>
    <n v="165.7"/>
    <n v="165.7"/>
    <n v="0.124"/>
    <n v="13"/>
    <n v="31644.291119999994"/>
  </r>
  <r>
    <d v="2025-06-18T00:00:00"/>
    <x v="13"/>
    <x v="15"/>
    <d v="2025-06-18T00:00:00"/>
    <s v="Q2-2025"/>
    <s v="Asia"/>
    <x v="2"/>
    <s v="Tokyo"/>
    <s v="Components"/>
    <s v="High"/>
    <n v="608.36"/>
    <n v="608.36"/>
    <n v="0.25700000000000001"/>
    <n v="4"/>
    <n v="919.74484000000007"/>
  </r>
  <r>
    <d v="2025-06-19T00:00:00"/>
    <x v="18"/>
    <x v="15"/>
    <d v="2025-06-19T00:00:00"/>
    <s v="Q2-2025"/>
    <s v="Africa"/>
    <x v="0"/>
    <s v="Mombasa"/>
    <s v="Components"/>
    <s v="High"/>
    <n v="2665.91"/>
    <n v="2665.91"/>
    <n v="0.21099999999999999"/>
    <n v="40"/>
    <n v="21031.899600000001"/>
  </r>
  <r>
    <d v="2025-06-20T00:00:00"/>
    <x v="17"/>
    <x v="15"/>
    <d v="2025-06-20T00:00:00"/>
    <s v="Q2-2025"/>
    <s v="Africa"/>
    <x v="1"/>
    <s v="Port Harcourt"/>
    <s v="Accessories"/>
    <s v="High"/>
    <n v="587.95000000000005"/>
    <n v="587.95000000000005"/>
    <n v="0.22900000000000001"/>
    <n v="6"/>
    <n v="3442.9930199999999"/>
  </r>
  <r>
    <d v="2025-06-21T00:00:00"/>
    <x v="4"/>
    <x v="15"/>
    <d v="2025-06-21T00:00:00"/>
    <s v="Q2-2025"/>
    <s v="Asia"/>
    <x v="4"/>
    <s v="Mumbai"/>
    <s v="Networking"/>
    <s v="High"/>
    <n v="2193.13"/>
    <n v="2193.13"/>
    <n v="7.0999999999999994E-2"/>
    <n v="7"/>
    <n v="82.523070000000004"/>
  </r>
  <r>
    <d v="2025-06-22T00:00:00"/>
    <x v="16"/>
    <x v="15"/>
    <d v="2025-06-22T00:00:00"/>
    <s v="Q2-2025"/>
    <s v="Europe"/>
    <x v="6"/>
    <s v="Munich"/>
    <s v="Components"/>
    <s v="High"/>
    <n v="2187.8000000000002"/>
    <n v="2187.8000000000002"/>
    <n v="0.23"/>
    <n v="15"/>
    <n v="7525.518"/>
  </r>
  <r>
    <d v="2025-06-23T00:00:00"/>
    <x v="3"/>
    <x v="15"/>
    <d v="2025-06-23T00:00:00"/>
    <s v="Q2-2025"/>
    <s v="Europe"/>
    <x v="6"/>
    <s v="Berlin"/>
    <s v="Printers"/>
    <s v="High"/>
    <n v="1002.11"/>
    <n v="1002.11"/>
    <n v="4.5999999999999999E-2"/>
    <n v="17"/>
    <n v="12231.93996"/>
  </r>
  <r>
    <d v="2025-06-24T00:00:00"/>
    <x v="15"/>
    <x v="15"/>
    <d v="2025-06-24T00:00:00"/>
    <s v="Q2-2025"/>
    <s v="Africa"/>
    <x v="0"/>
    <s v="Mombasa"/>
    <s v="Printers"/>
    <s v="High"/>
    <n v="913.78"/>
    <n v="913.78"/>
    <n v="4.9000000000000002E-2"/>
    <n v="12"/>
    <n v="34019.286120000004"/>
  </r>
  <r>
    <d v="2025-06-25T00:00:00"/>
    <x v="25"/>
    <x v="15"/>
    <d v="2025-06-25T00:00:00"/>
    <s v="Q2-2025"/>
    <s v="Europe"/>
    <x v="7"/>
    <s v="Lyon"/>
    <s v="Printers"/>
    <s v="High"/>
    <n v="1843.51"/>
    <n v="1843.51"/>
    <n v="0.13800000000000001"/>
    <n v="23"/>
    <n v="19353.546419999999"/>
  </r>
  <r>
    <d v="2025-06-26T00:00:00"/>
    <x v="13"/>
    <x v="15"/>
    <d v="2025-06-26T00:00:00"/>
    <s v="Q2-2025"/>
    <s v="Asia"/>
    <x v="9"/>
    <s v="Beijing"/>
    <s v="Components"/>
    <s v="High"/>
    <n v="1383.6"/>
    <n v="1383.6"/>
    <n v="7.3999999999999996E-2"/>
    <n v="12"/>
    <n v="12733.240800000001"/>
  </r>
  <r>
    <d v="2025-06-27T00:00:00"/>
    <x v="31"/>
    <x v="15"/>
    <d v="2025-06-27T00:00:00"/>
    <s v="Q2-2025"/>
    <s v="Africa"/>
    <x v="0"/>
    <s v="Kisumu"/>
    <s v="Monitors"/>
    <s v="High"/>
    <n v="1588.53"/>
    <n v="1588.53"/>
    <n v="0.126"/>
    <n v="6"/>
    <n v="8549.7651600000008"/>
  </r>
  <r>
    <d v="2025-06-28T00:00:00"/>
    <x v="28"/>
    <x v="15"/>
    <d v="2025-06-28T00:00:00"/>
    <s v="Q2-2025"/>
    <s v="Europe"/>
    <x v="7"/>
    <s v="Paris"/>
    <s v="Phones"/>
    <s v="High"/>
    <n v="1344.05"/>
    <n v="1344.05"/>
    <n v="0.20499999999999999"/>
    <n v="18"/>
    <n v="13790.9763"/>
  </r>
  <r>
    <d v="2025-06-29T00:00:00"/>
    <x v="15"/>
    <x v="15"/>
    <d v="2025-06-29T00:00:00"/>
    <s v="Q2-2025"/>
    <s v="Americas"/>
    <x v="5"/>
    <s v="Rio de Janeiro"/>
    <s v="Printers"/>
    <s v="High"/>
    <n v="1290.29"/>
    <n v="1290.29"/>
    <n v="4.2000000000000003E-2"/>
    <n v="22"/>
    <n v="18794.101480000001"/>
  </r>
  <r>
    <d v="2025-06-30T00:00:00"/>
    <x v="7"/>
    <x v="15"/>
    <d v="2025-06-30T00:00:00"/>
    <s v="Q2-2025"/>
    <s v="Europe"/>
    <x v="8"/>
    <s v="Birmingham"/>
    <s v="Laptops"/>
    <s v="High"/>
    <n v="221.58"/>
    <n v="221.58"/>
    <n v="8.8999999999999996E-2"/>
    <n v="5"/>
    <n v="7596.9201000000003"/>
  </r>
  <r>
    <d v="2025-07-01T00:00:00"/>
    <x v="22"/>
    <x v="16"/>
    <d v="2025-07-01T00:00:00"/>
    <s v="Q3-2025"/>
    <s v="Europe"/>
    <x v="6"/>
    <s v="Frankfurt"/>
    <s v="Components"/>
    <s v="High"/>
    <n v="360.34"/>
    <n v="360.34"/>
    <n v="0.16500000000000001"/>
    <n v="14"/>
    <n v="22462.4519"/>
  </r>
  <r>
    <d v="2025-07-02T00:00:00"/>
    <x v="24"/>
    <x v="16"/>
    <d v="2025-07-02T00:00:00"/>
    <s v="Q3-2025"/>
    <s v="Europe"/>
    <x v="8"/>
    <s v="Manchester"/>
    <s v="Laptops"/>
    <s v="High"/>
    <n v="2545.81"/>
    <n v="2545.81"/>
    <n v="0.216"/>
    <n v="21"/>
    <n v="20043.767520000001"/>
  </r>
  <r>
    <d v="2025-07-03T00:00:00"/>
    <x v="12"/>
    <x v="16"/>
    <d v="2025-07-03T00:00:00"/>
    <s v="Q3-2025"/>
    <s v="Europe"/>
    <x v="6"/>
    <s v="Munich"/>
    <s v="Accessories"/>
    <s v="High"/>
    <n v="699.47"/>
    <n v="699.47"/>
    <n v="0.02"/>
    <n v="33"/>
    <n v="31378.531800000001"/>
  </r>
  <r>
    <d v="2025-07-04T00:00:00"/>
    <x v="9"/>
    <x v="16"/>
    <d v="2025-07-04T00:00:00"/>
    <s v="Q3-2025"/>
    <s v="Asia"/>
    <x v="2"/>
    <s v="Nagoya"/>
    <s v="Networking"/>
    <s v="High"/>
    <n v="2738.69"/>
    <n v="2738.69"/>
    <n v="7.5999999999999998E-2"/>
    <n v="16"/>
    <n v="24019.121280000003"/>
  </r>
  <r>
    <d v="2025-07-05T00:00:00"/>
    <x v="29"/>
    <x v="16"/>
    <d v="2025-07-05T00:00:00"/>
    <s v="Q3-2025"/>
    <s v="Asia"/>
    <x v="2"/>
    <s v="Tokyo"/>
    <s v="Printers"/>
    <s v="Medium"/>
    <n v="94.78"/>
    <n v="94.78"/>
    <n v="9.0999999999999998E-2"/>
    <n v="55"/>
    <n v="130292.46945000002"/>
  </r>
  <r>
    <d v="2025-07-06T00:00:00"/>
    <x v="28"/>
    <x v="16"/>
    <d v="2025-07-06T00:00:00"/>
    <s v="Q3-2025"/>
    <s v="Europe"/>
    <x v="7"/>
    <s v="Marseille"/>
    <s v="Laptops"/>
    <s v="High"/>
    <n v="2777.35"/>
    <n v="2777.35"/>
    <n v="0.13200000000000001"/>
    <n v="15"/>
    <n v="5660.0544"/>
  </r>
  <r>
    <d v="2025-07-07T00:00:00"/>
    <x v="19"/>
    <x v="16"/>
    <d v="2025-07-07T00:00:00"/>
    <s v="Q3-2025"/>
    <s v="Europe"/>
    <x v="6"/>
    <s v="Berlin"/>
    <s v="Phones"/>
    <s v="High"/>
    <n v="492.18"/>
    <n v="492.18"/>
    <n v="5.2999999999999999E-2"/>
    <n v="11"/>
    <n v="19379.89097"/>
  </r>
  <r>
    <d v="2025-07-08T00:00:00"/>
    <x v="25"/>
    <x v="16"/>
    <d v="2025-07-08T00:00:00"/>
    <s v="Q3-2025"/>
    <s v="Americas"/>
    <x v="5"/>
    <s v="São Paulo"/>
    <s v="Networking"/>
    <s v="High"/>
    <n v="1921.65"/>
    <n v="1921.65"/>
    <n v="0.123"/>
    <n v="13"/>
    <n v="9504.8996900000002"/>
  </r>
  <r>
    <d v="2025-07-09T00:00:00"/>
    <x v="6"/>
    <x v="16"/>
    <d v="2025-07-09T00:00:00"/>
    <s v="Q3-2025"/>
    <s v="Europe"/>
    <x v="7"/>
    <s v="Lyon"/>
    <s v="Components"/>
    <s v="High"/>
    <n v="290.33"/>
    <n v="290.33"/>
    <n v="9.1999999999999998E-2"/>
    <n v="23"/>
    <n v="6964.3963200000007"/>
  </r>
  <r>
    <d v="2025-07-10T00:00:00"/>
    <x v="32"/>
    <x v="16"/>
    <d v="2025-07-10T00:00:00"/>
    <s v="Q3-2025"/>
    <s v="Europe"/>
    <x v="7"/>
    <s v="Paris"/>
    <s v="Phones"/>
    <s v="High"/>
    <n v="602.91999999999996"/>
    <n v="602.91999999999996"/>
    <n v="0.222"/>
    <n v="11"/>
    <n v="15273.462600000001"/>
  </r>
  <r>
    <d v="2025-07-11T00:00:00"/>
    <x v="18"/>
    <x v="16"/>
    <d v="2025-07-11T00:00:00"/>
    <s v="Q3-2025"/>
    <s v="Americas"/>
    <x v="3"/>
    <s v="Not Provided"/>
    <s v="Printers"/>
    <s v="High"/>
    <n v="2077.5"/>
    <n v="2077.5"/>
    <n v="7.3999999999999996E-2"/>
    <n v="15"/>
    <n v="14894.108099999999"/>
  </r>
  <r>
    <d v="2025-07-12T00:00:00"/>
    <x v="7"/>
    <x v="16"/>
    <d v="2025-07-12T00:00:00"/>
    <s v="Q3-2025"/>
    <s v="Europe"/>
    <x v="8"/>
    <s v="Manchester"/>
    <s v="Printers"/>
    <s v="Medium"/>
    <n v="172.88"/>
    <n v="172.88"/>
    <n v="0.19700000000000001"/>
    <n v="29"/>
    <n v="70514.200349999999"/>
  </r>
  <r>
    <d v="2025-07-13T00:00:00"/>
    <x v="8"/>
    <x v="16"/>
    <d v="2025-07-13T00:00:00"/>
    <s v="Q3-2025"/>
    <s v="Asia"/>
    <x v="2"/>
    <s v="Osaka"/>
    <s v="Phones"/>
    <s v="High"/>
    <n v="2778.74"/>
    <n v="2778.74"/>
    <n v="0.13500000000000001"/>
    <n v="4"/>
    <n v="3415.8503999999998"/>
  </r>
  <r>
    <d v="2025-07-14T00:00:00"/>
    <x v="20"/>
    <x v="16"/>
    <d v="2025-07-14T00:00:00"/>
    <s v="Q3-2025"/>
    <s v="Africa"/>
    <x v="1"/>
    <s v="Lagos"/>
    <s v="Accessories"/>
    <s v="High"/>
    <n v="309.47000000000003"/>
    <n v="309.47000000000003"/>
    <n v="0"/>
    <n v="5"/>
    <n v="4877.1499999999996"/>
  </r>
  <r>
    <d v="2025-07-15T00:00:00"/>
    <x v="21"/>
    <x v="16"/>
    <d v="2025-07-15T00:00:00"/>
    <s v="Q3-2025"/>
    <s v="Europe"/>
    <x v="7"/>
    <s v="Lyon"/>
    <s v="Components"/>
    <s v="High"/>
    <n v="666.41"/>
    <n v="666.41"/>
    <n v="0"/>
    <n v="10"/>
    <n v="1414.3000000000002"/>
  </r>
  <r>
    <d v="2025-07-16T00:00:00"/>
    <x v="13"/>
    <x v="16"/>
    <d v="2025-07-16T00:00:00"/>
    <s v="Q3-2025"/>
    <s v="Asia"/>
    <x v="2"/>
    <s v="Nagoya"/>
    <s v="Accessories"/>
    <s v="High"/>
    <n v="744.27"/>
    <n v="744.27"/>
    <n v="8.3000000000000004E-2"/>
    <n v="11"/>
    <n v="16395.611540000002"/>
  </r>
  <r>
    <d v="2025-07-17T00:00:00"/>
    <x v="0"/>
    <x v="16"/>
    <d v="2025-07-17T00:00:00"/>
    <s v="Q3-2025"/>
    <s v="Americas"/>
    <x v="5"/>
    <s v="São Paulo"/>
    <s v="Phones"/>
    <s v="Low"/>
    <n v="12.69"/>
    <n v="12.69"/>
    <n v="0.13200000000000001"/>
    <n v="10"/>
    <n v="2603.4792000000002"/>
  </r>
  <r>
    <d v="2025-07-18T00:00:00"/>
    <x v="7"/>
    <x v="16"/>
    <d v="2025-07-18T00:00:00"/>
    <s v="Q3-2025"/>
    <s v="Asia"/>
    <x v="4"/>
    <s v="Delhi"/>
    <s v="Accessories"/>
    <s v="High"/>
    <n v="651.55999999999995"/>
    <n v="651.55999999999995"/>
    <n v="4.2000000000000003E-2"/>
    <n v="19"/>
    <n v="27375.07992"/>
  </r>
  <r>
    <d v="2025-07-19T00:00:00"/>
    <x v="21"/>
    <x v="16"/>
    <d v="2025-07-19T00:00:00"/>
    <s v="Q3-2025"/>
    <s v="Americas"/>
    <x v="10"/>
    <s v="Austin"/>
    <s v="Monitors"/>
    <s v="High"/>
    <n v="754.22"/>
    <n v="754.22"/>
    <n v="0.113"/>
    <n v="7"/>
    <n v="19254.791990000002"/>
  </r>
  <r>
    <d v="2025-07-20T00:00:00"/>
    <x v="23"/>
    <x v="16"/>
    <d v="2025-07-20T00:00:00"/>
    <s v="Q3-2025"/>
    <s v="Americas"/>
    <x v="5"/>
    <s v="Brasília"/>
    <s v="Networking"/>
    <s v="High"/>
    <n v="2981.01"/>
    <n v="2981.01"/>
    <n v="0.14199999999999999"/>
    <n v="12"/>
    <n v="10084.108319999999"/>
  </r>
  <r>
    <d v="2025-07-21T00:00:00"/>
    <x v="29"/>
    <x v="16"/>
    <d v="2025-07-21T00:00:00"/>
    <s v="Q3-2025"/>
    <s v="Europe"/>
    <x v="8"/>
    <s v="London"/>
    <s v="Networking"/>
    <s v="High"/>
    <n v="976.17"/>
    <n v="976.17"/>
    <n v="4.2000000000000003E-2"/>
    <n v="27"/>
    <n v="30683.801159999999"/>
  </r>
  <r>
    <d v="2025-07-22T00:00:00"/>
    <x v="32"/>
    <x v="16"/>
    <d v="2025-07-22T00:00:00"/>
    <s v="Q3-2025"/>
    <s v="Americas"/>
    <x v="5"/>
    <s v="Brasília"/>
    <s v="Accessories"/>
    <s v="High"/>
    <n v="1145.9000000000001"/>
    <n v="1145.9000000000001"/>
    <n v="5.7000000000000002E-2"/>
    <n v="8"/>
    <n v="14622.761519999998"/>
  </r>
  <r>
    <d v="2025-07-23T00:00:00"/>
    <x v="11"/>
    <x v="16"/>
    <d v="2025-07-23T00:00:00"/>
    <s v="Q3-2025"/>
    <s v="Americas"/>
    <x v="5"/>
    <s v="Rio de Janeiro"/>
    <s v="Monitors"/>
    <s v="High"/>
    <n v="1630.39"/>
    <n v="1630.39"/>
    <n v="0.218"/>
    <n v="13"/>
    <n v="8401.8940200000015"/>
  </r>
  <r>
    <d v="2025-07-24T00:00:00"/>
    <x v="15"/>
    <x v="16"/>
    <d v="2025-07-24T00:00:00"/>
    <s v="Q3-2025"/>
    <s v="Asia"/>
    <x v="4"/>
    <s v="Bengaluru"/>
    <s v="Monitors"/>
    <s v="High"/>
    <n v="963.73"/>
    <n v="963.73"/>
    <n v="4.1000000000000002E-2"/>
    <n v="22"/>
    <n v="2493.1506600000002"/>
  </r>
  <r>
    <d v="2025-07-25T00:00:00"/>
    <x v="20"/>
    <x v="16"/>
    <d v="2025-07-25T00:00:00"/>
    <s v="Q3-2025"/>
    <s v="Europe"/>
    <x v="8"/>
    <s v="London"/>
    <s v="Phones"/>
    <s v="High"/>
    <n v="891.73"/>
    <n v="891.73"/>
    <n v="0.16700000000000001"/>
    <n v="10"/>
    <n v="11877.497099999999"/>
  </r>
  <r>
    <d v="2025-07-26T00:00:00"/>
    <x v="2"/>
    <x v="16"/>
    <d v="2025-07-26T00:00:00"/>
    <s v="Q3-2025"/>
    <s v="Asia"/>
    <x v="9"/>
    <s v="Beijing"/>
    <s v="Printers"/>
    <s v="High"/>
    <n v="1667.82"/>
    <n v="1667.82"/>
    <n v="6.9000000000000006E-2"/>
    <n v="7"/>
    <n v="10393.181259999999"/>
  </r>
  <r>
    <d v="2025-07-27T00:00:00"/>
    <x v="3"/>
    <x v="16"/>
    <d v="2025-07-27T00:00:00"/>
    <s v="Q3-2025"/>
    <s v="Asia"/>
    <x v="9"/>
    <s v="Beijing"/>
    <s v="Networking"/>
    <s v="High"/>
    <n v="1921.51"/>
    <n v="1921.51"/>
    <n v="0.10100000000000001"/>
    <n v="5"/>
    <n v="15022.784449999999"/>
  </r>
  <r>
    <d v="2025-07-28T00:00:00"/>
    <x v="3"/>
    <x v="16"/>
    <d v="2025-07-28T00:00:00"/>
    <s v="Q3-2025"/>
    <s v="Americas"/>
    <x v="5"/>
    <s v="Rio de Janeiro"/>
    <s v="Networking"/>
    <s v="High"/>
    <n v="1217.43"/>
    <n v="1217.43"/>
    <n v="7.0000000000000007E-2"/>
    <n v="9"/>
    <n v="8953.9748999999993"/>
  </r>
  <r>
    <d v="2025-07-29T00:00:00"/>
    <x v="20"/>
    <x v="16"/>
    <d v="2025-07-29T00:00:00"/>
    <s v="Q3-2025"/>
    <s v="Africa"/>
    <x v="1"/>
    <s v="Lagos"/>
    <s v="Components"/>
    <s v="High"/>
    <n v="970.27"/>
    <n v="970.27"/>
    <n v="0.123"/>
    <n v="38"/>
    <n v="4692.9673199999997"/>
  </r>
  <r>
    <d v="2025-07-30T00:00:00"/>
    <x v="19"/>
    <x v="16"/>
    <d v="2025-07-30T00:00:00"/>
    <s v="Q3-2025"/>
    <s v="Americas"/>
    <x v="10"/>
    <s v="Austin"/>
    <s v="Phones"/>
    <s v="High"/>
    <n v="1624.67"/>
    <n v="1624.67"/>
    <n v="0.23499999999999999"/>
    <n v="28"/>
    <n v="1435.9968000000001"/>
  </r>
  <r>
    <d v="2025-07-31T00:00:00"/>
    <x v="1"/>
    <x v="16"/>
    <d v="2025-07-31T00:00:00"/>
    <s v="Q3-2025"/>
    <s v="Asia"/>
    <x v="9"/>
    <s v="Shanghai"/>
    <s v="Networking"/>
    <s v="High"/>
    <n v="2606.11"/>
    <n v="2606.11"/>
    <n v="0.02"/>
    <n v="6"/>
    <n v="7506.8196000000007"/>
  </r>
  <r>
    <d v="2025-08-01T00:00:00"/>
    <x v="12"/>
    <x v="17"/>
    <d v="2025-08-01T00:00:00"/>
    <s v="Q3-2025"/>
    <s v="Europe"/>
    <x v="7"/>
    <s v="Lyon"/>
    <s v="Laptops"/>
    <s v="High"/>
    <n v="434.72"/>
    <n v="434.72"/>
    <n v="9.8000000000000004E-2"/>
    <n v="10"/>
    <n v="25448.667200000004"/>
  </r>
  <r>
    <d v="2025-08-02T00:00:00"/>
    <x v="18"/>
    <x v="17"/>
    <d v="2025-08-02T00:00:00"/>
    <s v="Q3-2025"/>
    <s v="Asia"/>
    <x v="4"/>
    <s v="Mumbai"/>
    <s v="Laptops"/>
    <s v="High"/>
    <n v="1860.41"/>
    <n v="1860.41"/>
    <n v="0.108"/>
    <n v="5"/>
    <n v="6953.9874000000009"/>
  </r>
  <r>
    <d v="2025-08-03T00:00:00"/>
    <x v="15"/>
    <x v="17"/>
    <d v="2025-08-03T00:00:00"/>
    <s v="Q3-2025"/>
    <s v="Asia"/>
    <x v="4"/>
    <s v="Delhi"/>
    <s v="Monitors"/>
    <s v="High"/>
    <n v="833.69"/>
    <n v="833.69"/>
    <n v="0.20899999999999999"/>
    <n v="14"/>
    <n v="7271.8528400000005"/>
  </r>
  <r>
    <d v="2025-08-04T00:00:00"/>
    <x v="0"/>
    <x v="17"/>
    <d v="2025-08-04T00:00:00"/>
    <s v="Q3-2025"/>
    <s v="Americas"/>
    <x v="10"/>
    <s v="Chicago"/>
    <s v="Components"/>
    <s v="High"/>
    <n v="333.48"/>
    <n v="333.48"/>
    <n v="0.11899999999999999"/>
    <n v="12"/>
    <n v="28098.68448"/>
  </r>
  <r>
    <d v="2025-08-05T00:00:00"/>
    <x v="1"/>
    <x v="17"/>
    <d v="2025-08-05T00:00:00"/>
    <s v="Q3-2025"/>
    <s v="Europe"/>
    <x v="8"/>
    <s v="Manchester"/>
    <s v="Components"/>
    <s v="High"/>
    <n v="1784.7"/>
    <n v="1784.7"/>
    <n v="0.14599999999999999"/>
    <n v="33"/>
    <n v="40152.022679999995"/>
  </r>
  <r>
    <d v="2025-08-06T00:00:00"/>
    <x v="23"/>
    <x v="17"/>
    <d v="2025-08-06T00:00:00"/>
    <s v="Q3-2025"/>
    <s v="Europe"/>
    <x v="6"/>
    <s v="Frankfurt"/>
    <s v="Phones"/>
    <s v="High"/>
    <n v="1072.29"/>
    <n v="1072.29"/>
    <n v="3.2000000000000001E-2"/>
    <n v="5"/>
    <n v="11222.701599999999"/>
  </r>
  <r>
    <d v="2025-08-07T00:00:00"/>
    <x v="10"/>
    <x v="17"/>
    <d v="2025-08-07T00:00:00"/>
    <s v="Q3-2025"/>
    <s v="Asia"/>
    <x v="4"/>
    <s v="Delhi"/>
    <s v="Components"/>
    <s v="High"/>
    <n v="3028.05"/>
    <n v="3028.05"/>
    <n v="0"/>
    <n v="11"/>
    <n v="4033.7"/>
  </r>
  <r>
    <d v="2025-08-08T00:00:00"/>
    <x v="28"/>
    <x v="17"/>
    <d v="2025-08-08T00:00:00"/>
    <s v="Q3-2025"/>
    <s v="Asia"/>
    <x v="4"/>
    <s v="Mumbai"/>
    <s v="Laptops"/>
    <s v="High"/>
    <n v="987.24"/>
    <n v="987.24"/>
    <n v="0"/>
    <n v="11"/>
    <n v="30771.51"/>
  </r>
  <r>
    <d v="2025-08-09T00:00:00"/>
    <x v="27"/>
    <x v="17"/>
    <d v="2025-08-09T00:00:00"/>
    <s v="Q3-2025"/>
    <s v="Asia"/>
    <x v="2"/>
    <s v="Tokyo"/>
    <s v="Printers"/>
    <s v="High"/>
    <n v="975.43"/>
    <n v="975.43"/>
    <n v="0.157"/>
    <n v="27"/>
    <n v="50294.07125999999"/>
  </r>
  <r>
    <d v="2025-08-10T00:00:00"/>
    <x v="8"/>
    <x v="17"/>
    <d v="2025-08-10T00:00:00"/>
    <s v="Q3-2025"/>
    <s v="Africa"/>
    <x v="1"/>
    <s v="Lagos"/>
    <s v="Accessories"/>
    <s v="Medium"/>
    <n v="141.43"/>
    <n v="141.43"/>
    <n v="0.107"/>
    <n v="8"/>
    <n v="5994.1017599999996"/>
  </r>
  <r>
    <d v="2025-08-11T00:00:00"/>
    <x v="7"/>
    <x v="17"/>
    <d v="2025-08-11T00:00:00"/>
    <s v="Q3-2025"/>
    <s v="Europe"/>
    <x v="6"/>
    <s v="Berlin"/>
    <s v="Networking"/>
    <s v="High"/>
    <n v="1625.42"/>
    <n v="1625.42"/>
    <n v="0.13800000000000001"/>
    <n v="7"/>
    <n v="6873.6311000000005"/>
  </r>
  <r>
    <d v="2025-08-12T00:00:00"/>
    <x v="15"/>
    <x v="17"/>
    <d v="2025-08-12T00:00:00"/>
    <s v="Q3-2025"/>
    <s v="Africa"/>
    <x v="1"/>
    <s v="Port Harcourt"/>
    <s v="Components"/>
    <s v="High"/>
    <n v="299.94"/>
    <n v="299.94"/>
    <n v="4.9000000000000002E-2"/>
    <n v="3"/>
    <n v="4884.4215899999999"/>
  </r>
  <r>
    <d v="2025-08-13T00:00:00"/>
    <x v="14"/>
    <x v="17"/>
    <d v="2025-08-13T00:00:00"/>
    <s v="Q3-2025"/>
    <s v="Europe"/>
    <x v="7"/>
    <s v="Marseille"/>
    <s v="Components"/>
    <s v="High"/>
    <n v="1503.96"/>
    <n v="1503.96"/>
    <n v="0.18"/>
    <n v="6"/>
    <n v="5187.1068000000005"/>
  </r>
  <r>
    <d v="2025-08-14T00:00:00"/>
    <x v="15"/>
    <x v="17"/>
    <d v="2025-08-14T00:00:00"/>
    <s v="Q3-2025"/>
    <s v="Asia"/>
    <x v="4"/>
    <s v="Mumbai"/>
    <s v="Laptops"/>
    <s v="High"/>
    <n v="3101.11"/>
    <n v="3101.11"/>
    <n v="0.1"/>
    <n v="23"/>
    <n v="50740.254000000001"/>
  </r>
  <r>
    <d v="2025-08-15T00:00:00"/>
    <x v="14"/>
    <x v="17"/>
    <d v="2025-08-15T00:00:00"/>
    <s v="Q3-2025"/>
    <s v="Asia"/>
    <x v="9"/>
    <s v="Shanghai"/>
    <s v="Accessories"/>
    <s v="High"/>
    <n v="979.42"/>
    <n v="979.42"/>
    <n v="0"/>
    <n v="23"/>
    <n v="28777.83"/>
  </r>
  <r>
    <d v="2025-08-16T00:00:00"/>
    <x v="20"/>
    <x v="17"/>
    <d v="2025-08-16T00:00:00"/>
    <s v="Q3-2025"/>
    <s v="Africa"/>
    <x v="0"/>
    <s v="Kisumu"/>
    <s v="Monitors"/>
    <s v="High"/>
    <n v="1186.26"/>
    <n v="1186.26"/>
    <n v="9.4E-2"/>
    <n v="15"/>
    <n v="15014.232"/>
  </r>
  <r>
    <d v="2025-08-17T00:00:00"/>
    <x v="9"/>
    <x v="17"/>
    <d v="2025-08-17T00:00:00"/>
    <s v="Q3-2025"/>
    <s v="Americas"/>
    <x v="10"/>
    <s v="San Francisco"/>
    <s v="Components"/>
    <s v="High"/>
    <n v="1938.33"/>
    <n v="1938.33"/>
    <n v="0.17"/>
    <n v="4"/>
    <n v="7912.9211999999989"/>
  </r>
  <r>
    <d v="2025-08-18T00:00:00"/>
    <x v="20"/>
    <x v="17"/>
    <d v="2025-08-18T00:00:00"/>
    <s v="Q3-2025"/>
    <s v="Africa"/>
    <x v="0"/>
    <s v="Nakuru"/>
    <s v="Printers"/>
    <s v="High"/>
    <n v="826.47"/>
    <n v="826.47"/>
    <n v="0.22500000000000001"/>
    <n v="13"/>
    <n v="2146.5795000000003"/>
  </r>
  <r>
    <d v="2025-08-19T00:00:00"/>
    <x v="26"/>
    <x v="17"/>
    <d v="2025-08-19T00:00:00"/>
    <s v="Q3-2025"/>
    <s v="Africa"/>
    <x v="1"/>
    <s v="Lagos"/>
    <s v="Printers"/>
    <s v="Medium"/>
    <n v="118.17"/>
    <n v="118.17"/>
    <n v="0.13500000000000001"/>
    <n v="21"/>
    <n v="36886.575600000004"/>
  </r>
  <r>
    <d v="2025-08-20T00:00:00"/>
    <x v="5"/>
    <x v="17"/>
    <d v="2025-08-20T00:00:00"/>
    <s v="Q3-2025"/>
    <s v="Asia"/>
    <x v="9"/>
    <s v="Shenzhen"/>
    <s v="Printers"/>
    <s v="High"/>
    <n v="1425.87"/>
    <n v="1425.87"/>
    <n v="0"/>
    <n v="8"/>
    <n v="7653.6"/>
  </r>
  <r>
    <d v="2025-08-21T00:00:00"/>
    <x v="17"/>
    <x v="17"/>
    <d v="2025-08-21T00:00:00"/>
    <s v="Q3-2025"/>
    <s v="Africa"/>
    <x v="0"/>
    <s v="Nairobi"/>
    <s v="Laptops"/>
    <s v="High"/>
    <n v="1594.78"/>
    <n v="1594.78"/>
    <n v="5.8999999999999997E-2"/>
    <n v="39"/>
    <n v="53128.40832000001"/>
  </r>
  <r>
    <d v="2025-08-22T00:00:00"/>
    <x v="25"/>
    <x v="17"/>
    <d v="2025-08-22T00:00:00"/>
    <s v="Q3-2025"/>
    <s v="Africa"/>
    <x v="11"/>
    <s v="Durban"/>
    <s v="Printers"/>
    <s v="High"/>
    <n v="3342.11"/>
    <n v="3342.11"/>
    <n v="0"/>
    <n v="10"/>
    <n v="29496.199999999997"/>
  </r>
  <r>
    <d v="2025-08-23T00:00:00"/>
    <x v="9"/>
    <x v="17"/>
    <d v="2025-08-23T00:00:00"/>
    <s v="Q3-2025"/>
    <s v="Asia"/>
    <x v="2"/>
    <s v="Osaka"/>
    <s v="Networking"/>
    <s v="High"/>
    <n v="1069.77"/>
    <n v="1069.77"/>
    <n v="3.7999999999999999E-2"/>
    <n v="9"/>
    <n v="22342.575059999999"/>
  </r>
  <r>
    <d v="2025-08-24T00:00:00"/>
    <x v="3"/>
    <x v="17"/>
    <d v="2025-08-24T00:00:00"/>
    <s v="Q3-2025"/>
    <s v="Europe"/>
    <x v="6"/>
    <s v="Berlin"/>
    <s v="Phones"/>
    <s v="Medium"/>
    <n v="140.82"/>
    <n v="140.82"/>
    <n v="0.122"/>
    <n v="5"/>
    <n v="8687.4149000000016"/>
  </r>
  <r>
    <d v="2025-08-25T00:00:00"/>
    <x v="19"/>
    <x v="17"/>
    <d v="2025-08-25T00:00:00"/>
    <s v="Q3-2025"/>
    <s v="Europe"/>
    <x v="7"/>
    <s v="Lyon"/>
    <s v="Monitors"/>
    <s v="Medium"/>
    <n v="67.040000000000006"/>
    <n v="67.040000000000006"/>
    <n v="0.114"/>
    <n v="9"/>
    <n v="11813.082300000002"/>
  </r>
  <r>
    <d v="2025-08-26T00:00:00"/>
    <x v="25"/>
    <x v="17"/>
    <d v="2025-08-26T00:00:00"/>
    <s v="Q3-2025"/>
    <s v="Africa"/>
    <x v="11"/>
    <s v="Durban"/>
    <s v="Phones"/>
    <s v="High"/>
    <n v="1276.67"/>
    <n v="1276.67"/>
    <n v="6.6000000000000003E-2"/>
    <n v="10"/>
    <n v="15494.3128"/>
  </r>
  <r>
    <d v="2025-08-27T00:00:00"/>
    <x v="16"/>
    <x v="17"/>
    <d v="2025-08-27T00:00:00"/>
    <s v="Q3-2025"/>
    <s v="Africa"/>
    <x v="11"/>
    <s v="Johannesburg"/>
    <s v="Laptops"/>
    <s v="High"/>
    <n v="2821.36"/>
    <n v="2821.36"/>
    <n v="0.248"/>
    <n v="20"/>
    <n v="9059.1936000000005"/>
  </r>
  <r>
    <d v="2025-08-28T00:00:00"/>
    <x v="10"/>
    <x v="17"/>
    <d v="2025-08-28T00:00:00"/>
    <s v="Q3-2025"/>
    <s v="Americas"/>
    <x v="5"/>
    <s v="Brasília"/>
    <s v="Laptops"/>
    <s v="High"/>
    <n v="1559.19"/>
    <n v="1559.19"/>
    <n v="0.19"/>
    <n v="12"/>
    <n v="5128.6608000000006"/>
  </r>
  <r>
    <d v="2025-08-29T00:00:00"/>
    <x v="24"/>
    <x v="17"/>
    <d v="2025-08-29T00:00:00"/>
    <s v="Q3-2025"/>
    <s v="Europe"/>
    <x v="7"/>
    <s v="Paris"/>
    <s v="Networking"/>
    <s v="High"/>
    <n v="656.66"/>
    <n v="656.66"/>
    <n v="0.14899999999999999"/>
    <n v="14"/>
    <n v="21944.3966"/>
  </r>
  <r>
    <d v="2025-08-30T00:00:00"/>
    <x v="21"/>
    <x v="17"/>
    <d v="2025-08-30T00:00:00"/>
    <s v="Q3-2025"/>
    <s v="Americas"/>
    <x v="10"/>
    <s v="Chicago"/>
    <s v="Laptops"/>
    <s v="High"/>
    <n v="2657.84"/>
    <n v="2657.84"/>
    <n v="8.6999999999999994E-2"/>
    <n v="21"/>
    <n v="31548.788040000003"/>
  </r>
  <r>
    <d v="2025-08-31T00:00:00"/>
    <x v="24"/>
    <x v="17"/>
    <d v="2025-08-31T00:00:00"/>
    <s v="Q3-2025"/>
    <s v="Africa"/>
    <x v="11"/>
    <s v="Cape Town"/>
    <s v="Accessories"/>
    <s v="High"/>
    <n v="1424.74"/>
    <n v="1424.74"/>
    <n v="4.3999999999999997E-2"/>
    <n v="15"/>
    <n v="10428.334800000001"/>
  </r>
  <r>
    <d v="2025-09-01T00:00:00"/>
    <x v="4"/>
    <x v="18"/>
    <d v="2025-09-01T00:00:00"/>
    <s v="Q3-2025"/>
    <s v="Africa"/>
    <x v="11"/>
    <s v="Cape Town"/>
    <s v="Printers"/>
    <s v="High"/>
    <n v="2318.7399999999998"/>
    <n v="2318.7399999999998"/>
    <n v="0.107"/>
    <n v="32"/>
    <n v="35256.783040000002"/>
  </r>
  <r>
    <d v="2025-09-02T00:00:00"/>
    <x v="5"/>
    <x v="18"/>
    <d v="2025-09-02T00:00:00"/>
    <s v="Q3-2025"/>
    <s v="Europe"/>
    <x v="6"/>
    <s v="Berlin"/>
    <s v="Networking"/>
    <s v="High"/>
    <n v="366.7"/>
    <n v="366.7"/>
    <n v="8.8999999999999996E-2"/>
    <n v="10"/>
    <n v="14063.653600000001"/>
  </r>
  <r>
    <d v="2025-09-03T00:00:00"/>
    <x v="24"/>
    <x v="18"/>
    <d v="2025-09-03T00:00:00"/>
    <s v="Q3-2025"/>
    <s v="Africa"/>
    <x v="0"/>
    <s v="Nairobi"/>
    <s v="Laptops"/>
    <s v="High"/>
    <n v="2797.41"/>
    <n v="2797.41"/>
    <n v="0"/>
    <n v="7"/>
    <n v="14806.33"/>
  </r>
  <r>
    <d v="2025-09-04T00:00:00"/>
    <x v="17"/>
    <x v="18"/>
    <d v="2025-09-04T00:00:00"/>
    <s v="Q3-2025"/>
    <s v="Asia"/>
    <x v="9"/>
    <s v="Shanghai"/>
    <s v="Monitors"/>
    <s v="High"/>
    <n v="2209.66"/>
    <n v="2209.66"/>
    <n v="0.13300000000000001"/>
    <n v="16"/>
    <n v="25485.499680000001"/>
  </r>
  <r>
    <d v="2025-09-05T00:00:00"/>
    <x v="2"/>
    <x v="18"/>
    <d v="2025-09-05T00:00:00"/>
    <s v="Q3-2025"/>
    <s v="Africa"/>
    <x v="1"/>
    <s v="Port Harcourt"/>
    <s v="Accessories"/>
    <s v="High"/>
    <n v="839.04"/>
    <n v="839.04"/>
    <n v="5.8999999999999997E-2"/>
    <n v="6"/>
    <n v="16141.518779999999"/>
  </r>
  <r>
    <d v="2025-09-06T00:00:00"/>
    <x v="24"/>
    <x v="18"/>
    <d v="2025-09-06T00:00:00"/>
    <s v="Q3-2025"/>
    <s v="Europe"/>
    <x v="6"/>
    <s v="Frankfurt"/>
    <s v="Laptops"/>
    <s v="High"/>
    <n v="1139.1500000000001"/>
    <n v="1139.1500000000001"/>
    <n v="0.115"/>
    <n v="14"/>
    <n v="3592.1088"/>
  </r>
  <r>
    <d v="2025-09-07T00:00:00"/>
    <x v="28"/>
    <x v="18"/>
    <d v="2025-09-07T00:00:00"/>
    <s v="Q3-2025"/>
    <s v="Americas"/>
    <x v="10"/>
    <s v="New York"/>
    <s v="Networking"/>
    <s v="High"/>
    <n v="1712.03"/>
    <n v="1712.03"/>
    <n v="0.21199999999999999"/>
    <n v="8"/>
    <n v="6286.3488000000007"/>
  </r>
  <r>
    <d v="2025-09-08T00:00:00"/>
    <x v="0"/>
    <x v="18"/>
    <d v="2025-09-08T00:00:00"/>
    <s v="Q3-2025"/>
    <s v="Africa"/>
    <x v="11"/>
    <s v="Johannesburg"/>
    <s v="Monitors"/>
    <s v="High"/>
    <n v="1054.29"/>
    <n v="1054.29"/>
    <n v="0.23699999999999999"/>
    <n v="6"/>
    <n v="216.49362000000002"/>
  </r>
  <r>
    <d v="2025-09-09T00:00:00"/>
    <x v="27"/>
    <x v="18"/>
    <d v="2025-09-09T00:00:00"/>
    <s v="Q3-2025"/>
    <s v="Americas"/>
    <x v="3"/>
    <s v="Toronto"/>
    <s v="Accessories"/>
    <s v="High"/>
    <n v="2451.2199999999998"/>
    <n v="2451.2199999999998"/>
    <n v="0.20799999999999999"/>
    <n v="8"/>
    <n v="4778.8646400000007"/>
  </r>
  <r>
    <d v="2025-09-10T00:00:00"/>
    <x v="2"/>
    <x v="18"/>
    <d v="2025-09-10T00:00:00"/>
    <s v="Q3-2025"/>
    <s v="Europe"/>
    <x v="6"/>
    <s v="Frankfurt"/>
    <s v="Printers"/>
    <s v="High"/>
    <n v="1251.21"/>
    <n v="1251.21"/>
    <n v="0.123"/>
    <n v="29"/>
    <n v="22927.340840000001"/>
  </r>
  <r>
    <d v="2025-09-11T00:00:00"/>
    <x v="14"/>
    <x v="18"/>
    <d v="2025-09-11T00:00:00"/>
    <s v="Q3-2025"/>
    <s v="Americas"/>
    <x v="5"/>
    <s v="Rio de Janeiro"/>
    <s v="Monitors"/>
    <s v="High"/>
    <n v="1104.8"/>
    <n v="1104.8"/>
    <n v="0.17499999999999999"/>
    <n v="12"/>
    <n v="1119.492"/>
  </r>
  <r>
    <d v="2025-09-12T00:00:00"/>
    <x v="6"/>
    <x v="18"/>
    <d v="2025-09-12T00:00:00"/>
    <s v="Q3-2025"/>
    <s v="Europe"/>
    <x v="8"/>
    <s v="London"/>
    <s v="Networking"/>
    <s v="High"/>
    <n v="2383.41"/>
    <n v="2383.41"/>
    <n v="0.17"/>
    <n v="15"/>
    <n v="10814.319"/>
  </r>
  <r>
    <d v="2025-09-13T00:00:00"/>
    <x v="28"/>
    <x v="18"/>
    <d v="2025-09-13T00:00:00"/>
    <s v="Q3-2025"/>
    <s v="Americas"/>
    <x v="5"/>
    <s v="Brasília"/>
    <s v="Monitors"/>
    <s v="High"/>
    <n v="213.06"/>
    <n v="213.06"/>
    <n v="0.21199999999999999"/>
    <n v="11"/>
    <n v="3015.5971999999997"/>
  </r>
  <r>
    <d v="2025-09-14T00:00:00"/>
    <x v="22"/>
    <x v="18"/>
    <d v="2025-09-14T00:00:00"/>
    <s v="Q3-2025"/>
    <s v="Asia"/>
    <x v="2"/>
    <s v="Nagoya"/>
    <s v="Networking"/>
    <s v="High"/>
    <n v="2030.64"/>
    <n v="2030.64"/>
    <n v="0.157"/>
    <n v="11"/>
    <n v="10310.463239999999"/>
  </r>
  <r>
    <d v="2025-09-15T00:00:00"/>
    <x v="26"/>
    <x v="18"/>
    <d v="2025-09-15T00:00:00"/>
    <s v="Q3-2025"/>
    <s v="Europe"/>
    <x v="6"/>
    <s v="Munich"/>
    <s v="Accessories"/>
    <s v="High"/>
    <n v="956.7"/>
    <n v="956.7"/>
    <n v="4.2000000000000003E-2"/>
    <n v="22"/>
    <n v="6907.0267199999998"/>
  </r>
  <r>
    <d v="2025-09-16T00:00:00"/>
    <x v="26"/>
    <x v="18"/>
    <d v="2025-09-16T00:00:00"/>
    <s v="Q3-2025"/>
    <s v="Africa"/>
    <x v="0"/>
    <s v="Mombasa"/>
    <s v="Accessories"/>
    <s v="High"/>
    <n v="1447.68"/>
    <n v="1447.68"/>
    <n v="8.6999999999999994E-2"/>
    <n v="12"/>
    <n v="5326.0402800000002"/>
  </r>
  <r>
    <d v="2025-09-17T00:00:00"/>
    <x v="21"/>
    <x v="18"/>
    <d v="2025-09-17T00:00:00"/>
    <s v="Q3-2025"/>
    <s v="Asia"/>
    <x v="2"/>
    <s v="Tokyo"/>
    <s v="Phones"/>
    <s v="High"/>
    <n v="2949.62"/>
    <n v="2949.62"/>
    <n v="0.125"/>
    <n v="13"/>
    <n v="23507.575000000001"/>
  </r>
  <r>
    <d v="2025-09-18T00:00:00"/>
    <x v="15"/>
    <x v="18"/>
    <d v="2025-09-18T00:00:00"/>
    <s v="Q3-2025"/>
    <s v="Asia"/>
    <x v="4"/>
    <s v="Mumbai"/>
    <s v="Accessories"/>
    <s v="High"/>
    <n v="2580.5700000000002"/>
    <n v="2580.5700000000002"/>
    <n v="0"/>
    <n v="18"/>
    <n v="1551.6000000000001"/>
  </r>
  <r>
    <d v="2025-09-19T00:00:00"/>
    <x v="8"/>
    <x v="18"/>
    <d v="2025-09-19T00:00:00"/>
    <s v="Q3-2025"/>
    <s v="Americas"/>
    <x v="3"/>
    <s v="Vancouver"/>
    <s v="Printers"/>
    <s v="High"/>
    <n v="1978.91"/>
    <n v="1978.91"/>
    <n v="5.3999999999999999E-2"/>
    <n v="27"/>
    <n v="58944.550499999998"/>
  </r>
  <r>
    <d v="2025-09-20T00:00:00"/>
    <x v="0"/>
    <x v="18"/>
    <d v="2025-09-20T00:00:00"/>
    <s v="Q3-2025"/>
    <s v="Americas"/>
    <x v="10"/>
    <s v="New York"/>
    <s v="Monitors"/>
    <s v="High"/>
    <n v="1481.45"/>
    <n v="1481.45"/>
    <n v="0.21099999999999999"/>
    <n v="9"/>
    <n v="7902.0638099999996"/>
  </r>
  <r>
    <d v="2025-09-21T00:00:00"/>
    <x v="7"/>
    <x v="18"/>
    <d v="2025-09-21T00:00:00"/>
    <s v="Q3-2025"/>
    <s v="Africa"/>
    <x v="0"/>
    <s v="Nairobi"/>
    <s v="Accessories"/>
    <s v="High"/>
    <n v="1658.92"/>
    <n v="1658.92"/>
    <n v="0.122"/>
    <n v="9"/>
    <n v="8897.572979999999"/>
  </r>
  <r>
    <d v="2025-09-22T00:00:00"/>
    <x v="9"/>
    <x v="18"/>
    <d v="2025-09-22T00:00:00"/>
    <s v="Q3-2025"/>
    <s v="Asia"/>
    <x v="4"/>
    <s v="Bengaluru"/>
    <s v="Printers"/>
    <s v="High"/>
    <n v="602.34"/>
    <n v="602.34"/>
    <n v="0.12"/>
    <n v="25"/>
    <n v="2719.64"/>
  </r>
  <r>
    <d v="2025-09-23T00:00:00"/>
    <x v="1"/>
    <x v="18"/>
    <d v="2025-09-23T00:00:00"/>
    <s v="Q3-2025"/>
    <s v="Americas"/>
    <x v="10"/>
    <s v="New York"/>
    <s v="Components"/>
    <s v="High"/>
    <n v="527.64"/>
    <n v="527.64"/>
    <n v="0.14499999999999999"/>
    <n v="15"/>
    <n v="22209.693749999999"/>
  </r>
  <r>
    <d v="2025-09-24T00:00:00"/>
    <x v="18"/>
    <x v="18"/>
    <d v="2025-09-24T00:00:00"/>
    <s v="Q3-2025"/>
    <s v="Africa"/>
    <x v="0"/>
    <s v="Kisumu"/>
    <s v="Phones"/>
    <s v="High"/>
    <n v="1841.9"/>
    <n v="1841.9"/>
    <n v="5.5E-2"/>
    <n v="19"/>
    <n v="54978.38955"/>
  </r>
  <r>
    <d v="2025-09-25T00:00:00"/>
    <x v="12"/>
    <x v="18"/>
    <d v="2025-09-25T00:00:00"/>
    <s v="Q3-2025"/>
    <s v="Americas"/>
    <x v="3"/>
    <s v="Montreal"/>
    <s v="Monitors"/>
    <s v="High"/>
    <n v="1645.48"/>
    <n v="1645.48"/>
    <n v="0.13700000000000001"/>
    <n v="6"/>
    <n v="11393.722979999999"/>
  </r>
  <r>
    <d v="2025-09-26T00:00:00"/>
    <x v="26"/>
    <x v="18"/>
    <d v="2025-09-26T00:00:00"/>
    <s v="Q3-2025"/>
    <s v="Europe"/>
    <x v="8"/>
    <s v="Manchester"/>
    <s v="Networking"/>
    <s v="High"/>
    <n v="727.22"/>
    <n v="727.22"/>
    <n v="6.8000000000000005E-2"/>
    <n v="15"/>
    <n v="8408.8302000000003"/>
  </r>
  <r>
    <d v="2025-09-27T00:00:00"/>
    <x v="9"/>
    <x v="18"/>
    <d v="2025-09-27T00:00:00"/>
    <s v="Q3-2025"/>
    <s v="Europe"/>
    <x v="8"/>
    <s v="Manchester"/>
    <s v="Laptops"/>
    <s v="High"/>
    <n v="1233.79"/>
    <n v="1233.79"/>
    <n v="0.14299999999999999"/>
    <n v="4"/>
    <n v="3248.9555599999999"/>
  </r>
  <r>
    <d v="2025-09-28T00:00:00"/>
    <x v="31"/>
    <x v="18"/>
    <d v="2025-09-28T00:00:00"/>
    <s v="Q3-2025"/>
    <s v="Africa"/>
    <x v="0"/>
    <s v="Mombasa"/>
    <s v="Components"/>
    <s v="High"/>
    <n v="1543.76"/>
    <n v="1543.76"/>
    <n v="0.126"/>
    <n v="13"/>
    <n v="26490.27576"/>
  </r>
  <r>
    <d v="2025-09-29T00:00:00"/>
    <x v="16"/>
    <x v="18"/>
    <d v="2025-09-29T00:00:00"/>
    <s v="Q3-2025"/>
    <s v="Africa"/>
    <x v="1"/>
    <s v="Port Harcourt"/>
    <s v="Laptops"/>
    <s v="High"/>
    <n v="2115.19"/>
    <n v="2115.19"/>
    <n v="9.1999999999999998E-2"/>
    <n v="23"/>
    <n v="29597.640160000003"/>
  </r>
  <r>
    <d v="2025-09-30T00:00:00"/>
    <x v="18"/>
    <x v="18"/>
    <d v="2025-09-30T00:00:00"/>
    <s v="Q3-2025"/>
    <s v="Europe"/>
    <x v="7"/>
    <s v="Lyon"/>
    <s v="Monitors"/>
    <s v="High"/>
    <n v="1837.19"/>
    <n v="1837.19"/>
    <n v="0.19700000000000001"/>
    <n v="17"/>
    <n v="9548.8744999999999"/>
  </r>
  <r>
    <d v="2025-10-01T00:00:00"/>
    <x v="31"/>
    <x v="19"/>
    <d v="2025-10-01T00:00:00"/>
    <s v="Q4-2025"/>
    <s v="Americas"/>
    <x v="10"/>
    <s v="New York"/>
    <s v="Networking"/>
    <s v="High"/>
    <n v="2858.93"/>
    <n v="2858.93"/>
    <n v="0"/>
    <n v="12"/>
    <n v="21446.400000000001"/>
  </r>
  <r>
    <d v="2025-10-02T00:00:00"/>
    <x v="19"/>
    <x v="19"/>
    <d v="2025-10-02T00:00:00"/>
    <s v="Q4-2025"/>
    <s v="Asia"/>
    <x v="2"/>
    <s v="Osaka"/>
    <s v="Components"/>
    <s v="High"/>
    <n v="289.92"/>
    <n v="289.92"/>
    <n v="2.9000000000000001E-2"/>
    <n v="12"/>
    <n v="19793.834999999999"/>
  </r>
  <r>
    <d v="2025-10-03T00:00:00"/>
    <x v="23"/>
    <x v="19"/>
    <d v="2025-10-03T00:00:00"/>
    <s v="Q4-2025"/>
    <s v="Asia"/>
    <x v="4"/>
    <s v="Bengaluru"/>
    <s v="Accessories"/>
    <s v="High"/>
    <n v="997.2"/>
    <n v="997.2"/>
    <n v="8.2000000000000003E-2"/>
    <n v="5"/>
    <n v="3326.373"/>
  </r>
  <r>
    <d v="2025-10-04T00:00:00"/>
    <x v="3"/>
    <x v="19"/>
    <d v="2025-10-04T00:00:00"/>
    <s v="Q4-2025"/>
    <s v="Asia"/>
    <x v="4"/>
    <s v="Mumbai"/>
    <s v="Phones"/>
    <s v="Low"/>
    <n v="47.29"/>
    <n v="47.29"/>
    <n v="6.4000000000000001E-2"/>
    <n v="19"/>
    <n v="24114.036959999998"/>
  </r>
  <r>
    <d v="2025-10-05T00:00:00"/>
    <x v="9"/>
    <x v="19"/>
    <d v="2025-10-05T00:00:00"/>
    <s v="Q4-2025"/>
    <s v="Americas"/>
    <x v="3"/>
    <s v="Vancouver"/>
    <s v="Laptops"/>
    <s v="High"/>
    <n v="754.24"/>
    <n v="754.24"/>
    <n v="0.20699999999999999"/>
    <n v="32"/>
    <n v="6980.1763200000005"/>
  </r>
  <r>
    <d v="2025-10-06T00:00:00"/>
    <x v="4"/>
    <x v="19"/>
    <d v="2025-10-06T00:00:00"/>
    <s v="Q4-2025"/>
    <s v="Americas"/>
    <x v="3"/>
    <s v="Toronto"/>
    <s v="Monitors"/>
    <s v="High"/>
    <n v="901.48"/>
    <n v="901.48"/>
    <n v="5.6000000000000001E-2"/>
    <n v="17"/>
    <n v="28925.557119999998"/>
  </r>
  <r>
    <d v="2025-10-07T00:00:00"/>
    <x v="12"/>
    <x v="19"/>
    <d v="2025-10-07T00:00:00"/>
    <s v="Q4-2025"/>
    <s v="Europe"/>
    <x v="7"/>
    <s v="Marseille"/>
    <s v="Components"/>
    <s v="Medium"/>
    <n v="113.08"/>
    <n v="113.08"/>
    <n v="0.121"/>
    <n v="5"/>
    <n v="5580.6830999999993"/>
  </r>
  <r>
    <d v="2025-10-08T00:00:00"/>
    <x v="28"/>
    <x v="19"/>
    <d v="2025-10-08T00:00:00"/>
    <s v="Q4-2025"/>
    <s v="Americas"/>
    <x v="3"/>
    <s v="Montreal"/>
    <s v="Networking"/>
    <s v="High"/>
    <n v="868.62"/>
    <n v="868.62"/>
    <n v="7.1999999999999995E-2"/>
    <n v="15"/>
    <n v="7960.848"/>
  </r>
  <r>
    <d v="2025-10-09T00:00:00"/>
    <x v="25"/>
    <x v="19"/>
    <d v="2025-10-09T00:00:00"/>
    <s v="Q4-2025"/>
    <s v="Americas"/>
    <x v="3"/>
    <s v="Vancouver"/>
    <s v="Networking"/>
    <s v="High"/>
    <n v="347.9"/>
    <n v="347.9"/>
    <n v="7.1999999999999995E-2"/>
    <n v="43"/>
    <n v="109937.11616000001"/>
  </r>
  <r>
    <d v="2025-10-10T00:00:00"/>
    <x v="23"/>
    <x v="19"/>
    <d v="2025-10-10T00:00:00"/>
    <s v="Q4-2025"/>
    <s v="Europe"/>
    <x v="8"/>
    <s v="Manchester"/>
    <s v="Accessories"/>
    <s v="High"/>
    <n v="1111.8800000000001"/>
    <n v="1111.8800000000001"/>
    <n v="0.13500000000000001"/>
    <n v="7"/>
    <n v="5827.9980499999992"/>
  </r>
  <r>
    <d v="2025-10-11T00:00:00"/>
    <x v="18"/>
    <x v="19"/>
    <d v="2025-10-11T00:00:00"/>
    <s v="Q4-2025"/>
    <s v="Europe"/>
    <x v="8"/>
    <s v="London"/>
    <s v="Networking"/>
    <s v="High"/>
    <n v="327.72"/>
    <n v="327.72"/>
    <n v="6.7000000000000004E-2"/>
    <n v="14"/>
    <n v="8728.9427399999986"/>
  </r>
  <r>
    <d v="2025-10-12T00:00:00"/>
    <x v="13"/>
    <x v="19"/>
    <d v="2025-10-12T00:00:00"/>
    <s v="Q4-2025"/>
    <s v="Africa"/>
    <x v="0"/>
    <s v="Nakuru"/>
    <s v="Phones"/>
    <s v="High"/>
    <n v="486.13"/>
    <n v="486.13"/>
    <n v="0.13200000000000001"/>
    <n v="17"/>
    <n v="20722.29348"/>
  </r>
  <r>
    <d v="2025-10-13T00:00:00"/>
    <x v="23"/>
    <x v="19"/>
    <d v="2025-10-13T00:00:00"/>
    <s v="Q4-2025"/>
    <s v="Americas"/>
    <x v="5"/>
    <s v="Brasília"/>
    <s v="Components"/>
    <s v="High"/>
    <n v="2066.6"/>
    <n v="2066.6"/>
    <n v="0.01"/>
    <n v="3"/>
    <n v="10661.9733"/>
  </r>
  <r>
    <d v="2025-10-14T00:00:00"/>
    <x v="5"/>
    <x v="19"/>
    <d v="2025-10-14T00:00:00"/>
    <s v="Q4-2025"/>
    <s v="Americas"/>
    <x v="5"/>
    <s v="Brasília"/>
    <s v="Monitors"/>
    <s v="Medium"/>
    <n v="86.2"/>
    <n v="86.2"/>
    <n v="0.22600000000000001"/>
    <n v="27"/>
    <n v="4879.8919799999994"/>
  </r>
  <r>
    <d v="2025-10-15T00:00:00"/>
    <x v="29"/>
    <x v="19"/>
    <d v="2025-10-15T00:00:00"/>
    <s v="Q4-2025"/>
    <s v="Asia"/>
    <x v="2"/>
    <s v="Osaka"/>
    <s v="Laptops"/>
    <s v="High"/>
    <n v="2307.75"/>
    <n v="2307.75"/>
    <n v="0.16300000000000001"/>
    <n v="21"/>
    <n v="2183.9422500000001"/>
  </r>
  <r>
    <d v="2025-10-16T00:00:00"/>
    <x v="21"/>
    <x v="19"/>
    <d v="2025-10-16T00:00:00"/>
    <s v="Q4-2025"/>
    <s v="Africa"/>
    <x v="0"/>
    <s v="Mombasa"/>
    <s v="Laptops"/>
    <s v="High"/>
    <n v="1112.81"/>
    <n v="1112.81"/>
    <n v="0.14099999999999999"/>
    <n v="4"/>
    <n v="4918.1873199999991"/>
  </r>
  <r>
    <d v="2025-10-17T00:00:00"/>
    <x v="19"/>
    <x v="19"/>
    <d v="2025-10-17T00:00:00"/>
    <s v="Q4-2025"/>
    <s v="Americas"/>
    <x v="5"/>
    <s v="São Paulo"/>
    <s v="Phones"/>
    <s v="High"/>
    <n v="1125.99"/>
    <n v="1125.99"/>
    <n v="4.1000000000000002E-2"/>
    <n v="21"/>
    <n v="32132.177279999996"/>
  </r>
  <r>
    <d v="2025-10-18T00:00:00"/>
    <x v="15"/>
    <x v="19"/>
    <d v="2025-10-18T00:00:00"/>
    <s v="Q4-2025"/>
    <s v="Americas"/>
    <x v="10"/>
    <s v="New York"/>
    <s v="Phones"/>
    <s v="Medium"/>
    <n v="123.62"/>
    <n v="123.62"/>
    <n v="0"/>
    <n v="3"/>
    <n v="3085.38"/>
  </r>
  <r>
    <d v="2025-10-19T00:00:00"/>
    <x v="0"/>
    <x v="19"/>
    <d v="2025-10-19T00:00:00"/>
    <s v="Q4-2025"/>
    <s v="Africa"/>
    <x v="1"/>
    <s v="Abuja"/>
    <s v="Components"/>
    <s v="High"/>
    <n v="1731.75"/>
    <n v="1731.75"/>
    <n v="9.2999999999999999E-2"/>
    <n v="16"/>
    <n v="46878.839200000002"/>
  </r>
  <r>
    <d v="2025-10-20T00:00:00"/>
    <x v="17"/>
    <x v="19"/>
    <d v="2025-10-20T00:00:00"/>
    <s v="Q4-2025"/>
    <s v="Asia"/>
    <x v="2"/>
    <s v="Tokyo"/>
    <s v="Phones"/>
    <s v="High"/>
    <n v="3062.01"/>
    <n v="3062.01"/>
    <n v="0.10299999999999999"/>
    <n v="25"/>
    <n v="62557.004249999998"/>
  </r>
  <r>
    <d v="2025-10-21T00:00:00"/>
    <x v="26"/>
    <x v="19"/>
    <d v="2025-10-21T00:00:00"/>
    <s v="Q4-2025"/>
    <s v="Europe"/>
    <x v="7"/>
    <s v="Lyon"/>
    <s v="Accessories"/>
    <s v="High"/>
    <n v="2200.41"/>
    <n v="2200.41"/>
    <n v="8.7999999999999995E-2"/>
    <n v="6"/>
    <n v="10384.433280000001"/>
  </r>
  <r>
    <d v="2025-10-22T00:00:00"/>
    <x v="12"/>
    <x v="19"/>
    <d v="2025-10-22T00:00:00"/>
    <s v="Q4-2025"/>
    <s v="Europe"/>
    <x v="7"/>
    <s v="Marseille"/>
    <s v="Accessories"/>
    <s v="High"/>
    <n v="601.49"/>
    <n v="601.49"/>
    <n v="0"/>
    <n v="15"/>
    <n v="13537.050000000001"/>
  </r>
  <r>
    <d v="2025-10-23T00:00:00"/>
    <x v="28"/>
    <x v="19"/>
    <d v="2025-10-23T00:00:00"/>
    <s v="Q4-2025"/>
    <s v="Europe"/>
    <x v="7"/>
    <s v="Marseille"/>
    <s v="Components"/>
    <s v="High"/>
    <n v="947.77"/>
    <n v="947.77"/>
    <n v="0.17399999999999999"/>
    <n v="15"/>
    <n v="-417.04740000000004"/>
  </r>
  <r>
    <d v="2025-10-24T00:00:00"/>
    <x v="2"/>
    <x v="19"/>
    <d v="2025-10-24T00:00:00"/>
    <s v="Q4-2025"/>
    <s v="Americas"/>
    <x v="10"/>
    <s v="San Francisco"/>
    <s v="Networking"/>
    <s v="High"/>
    <n v="2331.48"/>
    <n v="2331.48"/>
    <n v="0.14599999999999999"/>
    <n v="26"/>
    <n v="24128.64272"/>
  </r>
  <r>
    <d v="2025-10-25T00:00:00"/>
    <x v="14"/>
    <x v="19"/>
    <d v="2025-10-25T00:00:00"/>
    <s v="Q4-2025"/>
    <s v="Asia"/>
    <x v="2"/>
    <s v="Tokyo"/>
    <s v="Monitors"/>
    <s v="High"/>
    <n v="1417.24"/>
    <n v="1417.24"/>
    <n v="0.192"/>
    <n v="5"/>
    <n v="4083.4300000000003"/>
  </r>
  <r>
    <d v="2025-10-26T00:00:00"/>
    <x v="16"/>
    <x v="19"/>
    <d v="2025-10-26T00:00:00"/>
    <s v="Q4-2025"/>
    <s v="Europe"/>
    <x v="7"/>
    <s v="Marseille"/>
    <s v="Accessories"/>
    <s v="High"/>
    <n v="699.5"/>
    <n v="699.5"/>
    <n v="0.08"/>
    <n v="13"/>
    <n v="4921.3008"/>
  </r>
  <r>
    <d v="2025-10-27T00:00:00"/>
    <x v="17"/>
    <x v="19"/>
    <d v="2025-10-27T00:00:00"/>
    <s v="Q4-2025"/>
    <s v="Africa"/>
    <x v="0"/>
    <s v="Kisumu"/>
    <s v="Laptops"/>
    <s v="High"/>
    <n v="1787.2"/>
    <n v="1787.2"/>
    <n v="7.2999999999999995E-2"/>
    <n v="9"/>
    <n v="3448.4956200000001"/>
  </r>
  <r>
    <d v="2025-10-28T00:00:00"/>
    <x v="26"/>
    <x v="19"/>
    <d v="2025-10-28T00:00:00"/>
    <s v="Q4-2025"/>
    <s v="Americas"/>
    <x v="3"/>
    <s v="Toronto"/>
    <s v="Components"/>
    <s v="High"/>
    <n v="1698.75"/>
    <n v="1698.75"/>
    <n v="4.2999999999999997E-2"/>
    <n v="5"/>
    <n v="7459.2886500000004"/>
  </r>
  <r>
    <d v="2025-10-29T00:00:00"/>
    <x v="5"/>
    <x v="19"/>
    <d v="2025-10-29T00:00:00"/>
    <s v="Q4-2025"/>
    <s v="Africa"/>
    <x v="11"/>
    <s v="Cape Town"/>
    <s v="Printers"/>
    <s v="High"/>
    <n v="724.7"/>
    <n v="724.7"/>
    <n v="0.14000000000000001"/>
    <n v="5"/>
    <n v="3702.9880000000003"/>
  </r>
  <r>
    <d v="2025-10-30T00:00:00"/>
    <x v="3"/>
    <x v="19"/>
    <d v="2025-10-30T00:00:00"/>
    <s v="Q4-2025"/>
    <s v="Asia"/>
    <x v="2"/>
    <s v="Osaka"/>
    <s v="Printers"/>
    <s v="High"/>
    <n v="1355.94"/>
    <n v="1355.94"/>
    <n v="0.187"/>
    <n v="4"/>
    <n v="7467.4049999999997"/>
  </r>
  <r>
    <d v="2025-10-31T00:00:00"/>
    <x v="21"/>
    <x v="19"/>
    <d v="2025-10-31T00:00:00"/>
    <s v="Q4-2025"/>
    <s v="Americas"/>
    <x v="5"/>
    <s v="Rio de Janeiro"/>
    <s v="Monitors"/>
    <s v="High"/>
    <n v="275.07"/>
    <n v="275.07"/>
    <n v="0.13300000000000001"/>
    <n v="25"/>
    <n v="57148.305"/>
  </r>
  <r>
    <d v="2025-11-01T00:00:00"/>
    <x v="0"/>
    <x v="20"/>
    <d v="2025-11-01T00:00:00"/>
    <s v="Q4-2025"/>
    <s v="Europe"/>
    <x v="8"/>
    <s v="Manchester"/>
    <s v="Laptops"/>
    <s v="High"/>
    <n v="1802.44"/>
    <n v="1802.44"/>
    <n v="8.9999999999999993E-3"/>
    <n v="19"/>
    <n v="18416.456609999997"/>
  </r>
  <r>
    <d v="2025-11-02T00:00:00"/>
    <x v="21"/>
    <x v="20"/>
    <d v="2025-11-02T00:00:00"/>
    <s v="Q4-2025"/>
    <s v="Americas"/>
    <x v="3"/>
    <s v="Toronto"/>
    <s v="Printers"/>
    <s v="High"/>
    <n v="1269.78"/>
    <n v="1269.78"/>
    <n v="0.16"/>
    <n v="7"/>
    <n v="3208.8335999999999"/>
  </r>
  <r>
    <d v="2025-11-03T00:00:00"/>
    <x v="28"/>
    <x v="20"/>
    <d v="2025-11-03T00:00:00"/>
    <s v="Q4-2025"/>
    <s v="Europe"/>
    <x v="7"/>
    <s v="Paris"/>
    <s v="Networking"/>
    <s v="High"/>
    <n v="571.9"/>
    <n v="571.9"/>
    <n v="7.0999999999999994E-2"/>
    <n v="2"/>
    <n v="2667.2333200000003"/>
  </r>
  <r>
    <d v="2025-11-04T00:00:00"/>
    <x v="8"/>
    <x v="20"/>
    <d v="2025-11-04T00:00:00"/>
    <s v="Q4-2025"/>
    <s v="Asia"/>
    <x v="2"/>
    <s v="Tokyo"/>
    <s v="Printers"/>
    <s v="High"/>
    <n v="2755.04"/>
    <n v="2755.04"/>
    <n v="0.15"/>
    <n v="17"/>
    <n v="34640.985000000001"/>
  </r>
  <r>
    <d v="2025-11-05T00:00:00"/>
    <x v="12"/>
    <x v="20"/>
    <d v="2025-11-05T00:00:00"/>
    <s v="Q4-2025"/>
    <s v="Europe"/>
    <x v="8"/>
    <s v="London"/>
    <s v="Printers"/>
    <s v="High"/>
    <n v="962.51"/>
    <n v="962.51"/>
    <n v="0.19"/>
    <n v="7"/>
    <n v="10511.386199999999"/>
  </r>
  <r>
    <d v="2025-11-06T00:00:00"/>
    <x v="27"/>
    <x v="20"/>
    <d v="2025-11-06T00:00:00"/>
    <s v="Q4-2025"/>
    <s v="Americas"/>
    <x v="5"/>
    <s v="Rio de Janeiro"/>
    <s v="Laptops"/>
    <s v="High"/>
    <n v="668.27"/>
    <n v="668.27"/>
    <n v="0.186"/>
    <n v="13"/>
    <n v="486.56036000000006"/>
  </r>
  <r>
    <d v="2025-11-07T00:00:00"/>
    <x v="12"/>
    <x v="20"/>
    <d v="2025-11-07T00:00:00"/>
    <s v="Q4-2025"/>
    <s v="Asia"/>
    <x v="2"/>
    <s v="Nagoya"/>
    <s v="Accessories"/>
    <s v="High"/>
    <n v="1404.33"/>
    <n v="1404.33"/>
    <n v="0.10299999999999999"/>
    <n v="11"/>
    <n v="0"/>
  </r>
  <r>
    <d v="2025-11-08T00:00:00"/>
    <x v="16"/>
    <x v="20"/>
    <d v="2025-11-08T00:00:00"/>
    <s v="Q4-2025"/>
    <s v="Africa"/>
    <x v="11"/>
    <s v="Johannesburg"/>
    <s v="Phones"/>
    <s v="High"/>
    <n v="3589.89"/>
    <n v="3589.89"/>
    <n v="9.7000000000000003E-2"/>
    <n v="9"/>
    <n v="0"/>
  </r>
  <r>
    <d v="2025-11-09T00:00:00"/>
    <x v="18"/>
    <x v="20"/>
    <d v="2025-11-09T00:00:00"/>
    <s v="Q4-2025"/>
    <s v="Africa"/>
    <x v="0"/>
    <s v="Mombasa"/>
    <s v="Printers"/>
    <s v="High"/>
    <n v="233.51"/>
    <n v="233.51"/>
    <n v="0.16300000000000001"/>
    <n v="14"/>
    <n v="0"/>
  </r>
  <r>
    <d v="2025-11-10T00:00:00"/>
    <x v="9"/>
    <x v="20"/>
    <d v="2025-11-10T00:00:00"/>
    <s v="Q4-2025"/>
    <s v="Africa"/>
    <x v="11"/>
    <s v="Cape Town"/>
    <s v="Components"/>
    <s v="Medium"/>
    <n v="124.25"/>
    <n v="124.25"/>
    <n v="0.12"/>
    <n v="19"/>
    <n v="0"/>
  </r>
  <r>
    <d v="2025-11-11T00:00:00"/>
    <x v="12"/>
    <x v="20"/>
    <d v="2025-11-11T00:00:00"/>
    <s v="Q4-2025"/>
    <s v="Americas"/>
    <x v="10"/>
    <s v="Austin"/>
    <s v="Printers"/>
    <s v="High"/>
    <n v="1431.37"/>
    <n v="1431.37"/>
    <n v="0.104"/>
    <n v="8"/>
    <n v="0"/>
  </r>
  <r>
    <d v="2025-11-12T00:00:00"/>
    <x v="31"/>
    <x v="20"/>
    <d v="2025-11-12T00:00:00"/>
    <s v="Q4-2025"/>
    <s v="Americas"/>
    <x v="10"/>
    <s v="Austin"/>
    <s v="Printers"/>
    <s v="High"/>
    <n v="1595.52"/>
    <n v="1595.52"/>
    <n v="0.19400000000000001"/>
    <n v="14"/>
    <n v="0"/>
  </r>
  <r>
    <d v="2025-11-13T00:00:00"/>
    <x v="1"/>
    <x v="20"/>
    <d v="2025-11-13T00:00:00"/>
    <s v="Q4-2025"/>
    <s v="Americas"/>
    <x v="10"/>
    <s v="Chicago"/>
    <s v="Monitors"/>
    <s v="High"/>
    <n v="1028.46"/>
    <n v="1028.46"/>
    <n v="0"/>
    <n v="9"/>
    <n v="0"/>
  </r>
  <r>
    <d v="2025-11-14T00:00:00"/>
    <x v="17"/>
    <x v="20"/>
    <d v="2025-11-14T00:00:00"/>
    <s v="Q4-2025"/>
    <s v="Africa"/>
    <x v="0"/>
    <s v="Kisumu"/>
    <s v="Networking"/>
    <s v="High"/>
    <n v="3230.35"/>
    <n v="3230.35"/>
    <n v="2.1999999999999999E-2"/>
    <n v="26"/>
    <n v="0"/>
  </r>
  <r>
    <d v="2025-11-15T00:00:00"/>
    <x v="24"/>
    <x v="20"/>
    <d v="2025-11-15T00:00:00"/>
    <s v="Q4-2025"/>
    <s v="Europe"/>
    <x v="7"/>
    <s v="Paris"/>
    <s v="Networking"/>
    <s v="High"/>
    <n v="2789.61"/>
    <n v="2789.61"/>
    <n v="0.17100000000000001"/>
    <n v="8"/>
    <n v="0"/>
  </r>
  <r>
    <d v="2025-11-16T00:00:00"/>
    <x v="3"/>
    <x v="20"/>
    <d v="2025-11-16T00:00:00"/>
    <s v="Q4-2025"/>
    <s v="Asia"/>
    <x v="2"/>
    <s v="Tokyo"/>
    <s v="Printers"/>
    <s v="High"/>
    <n v="1897.74"/>
    <n v="1897.74"/>
    <n v="8.1000000000000003E-2"/>
    <n v="6"/>
    <n v="0"/>
  </r>
  <r>
    <d v="2025-11-17T00:00:00"/>
    <x v="32"/>
    <x v="20"/>
    <d v="2025-11-17T00:00:00"/>
    <s v="Q4-2025"/>
    <s v="Africa"/>
    <x v="1"/>
    <s v="Port Harcourt"/>
    <s v="Networking"/>
    <s v="High"/>
    <n v="902.47"/>
    <n v="902.47"/>
    <n v="4.0000000000000001E-3"/>
    <n v="12"/>
    <n v="0"/>
  </r>
  <r>
    <d v="2025-11-18T00:00:00"/>
    <x v="6"/>
    <x v="20"/>
    <d v="2025-11-18T00:00:00"/>
    <s v="Q4-2025"/>
    <s v="Europe"/>
    <x v="8"/>
    <s v="Manchester"/>
    <s v="Monitors"/>
    <s v="Low"/>
    <n v="-33.659999999999997"/>
    <n v="-33.659999999999997"/>
    <n v="0.10199999999999999"/>
    <n v="28"/>
    <n v="0"/>
  </r>
  <r>
    <d v="2025-11-19T00:00:00"/>
    <x v="13"/>
    <x v="20"/>
    <d v="2025-11-19T00:00:00"/>
    <s v="Q4-2025"/>
    <s v="Europe"/>
    <x v="8"/>
    <s v="London"/>
    <s v="Printers"/>
    <s v="High"/>
    <n v="1086.68"/>
    <n v="1086.68"/>
    <n v="0.109"/>
    <n v="26"/>
    <n v="0"/>
  </r>
  <r>
    <d v="2025-11-20T00:00:00"/>
    <x v="1"/>
    <x v="20"/>
    <d v="2025-11-20T00:00:00"/>
    <s v="Q4-2025"/>
    <s v="Europe"/>
    <x v="7"/>
    <s v="Paris"/>
    <s v="Components"/>
    <s v="High"/>
    <n v="1010.75"/>
    <n v="1010.75"/>
    <n v="4.7E-2"/>
    <n v="43"/>
    <n v="0"/>
  </r>
  <r>
    <d v="2025-11-21T00:00:00"/>
    <x v="27"/>
    <x v="20"/>
    <d v="2025-11-21T00:00:00"/>
    <s v="Q4-2025"/>
    <s v="Africa"/>
    <x v="0"/>
    <s v="Nakuru"/>
    <s v="Accessories"/>
    <s v="High"/>
    <n v="411.48"/>
    <n v="411.48"/>
    <n v="0.16500000000000001"/>
    <n v="3"/>
    <n v="0"/>
  </r>
  <r>
    <d v="2025-11-22T00:00:00"/>
    <x v="19"/>
    <x v="20"/>
    <d v="2025-11-22T00:00:00"/>
    <s v="Q4-2025"/>
    <s v="Americas"/>
    <x v="5"/>
    <s v="Rio de Janeiro"/>
    <s v="Networking"/>
    <s v="High"/>
    <n v="413.34"/>
    <n v="413.34"/>
    <n v="0.186"/>
    <n v="7"/>
    <n v="0"/>
  </r>
  <r>
    <d v="2025-11-23T00:00:00"/>
    <x v="14"/>
    <x v="20"/>
    <d v="2025-11-23T00:00:00"/>
    <s v="Q4-2025"/>
    <s v="Asia"/>
    <x v="4"/>
    <s v="Hyderabad"/>
    <s v="Networking"/>
    <s v="High"/>
    <n v="1558.89"/>
    <n v="1558.89"/>
    <n v="0.192"/>
    <n v="24"/>
    <n v="0"/>
  </r>
  <r>
    <d v="2025-11-24T00:00:00"/>
    <x v="13"/>
    <x v="20"/>
    <d v="2025-11-24T00:00:00"/>
    <s v="Q4-2025"/>
    <s v="Africa"/>
    <x v="0"/>
    <s v="Nairobi"/>
    <s v="Accessories"/>
    <s v="High"/>
    <n v="861.16"/>
    <n v="861.16"/>
    <n v="0.113"/>
    <n v="14"/>
    <n v="0"/>
  </r>
  <r>
    <d v="2025-11-25T00:00:00"/>
    <x v="25"/>
    <x v="20"/>
    <d v="2025-11-25T00:00:00"/>
    <s v="Q4-2025"/>
    <s v="Asia"/>
    <x v="9"/>
    <s v="Shanghai"/>
    <s v="Networking"/>
    <s v="High"/>
    <n v="2296.25"/>
    <n v="2296.25"/>
    <n v="0.161"/>
    <n v="26"/>
    <n v="0"/>
  </r>
  <r>
    <d v="2025-11-26T00:00:00"/>
    <x v="30"/>
    <x v="20"/>
    <d v="2025-11-26T00:00:00"/>
    <s v="Q4-2025"/>
    <s v="Asia"/>
    <x v="4"/>
    <s v="Delhi"/>
    <s v="Networking"/>
    <s v="High"/>
    <n v="2636.6"/>
    <n v="2636.6"/>
    <n v="0.114"/>
    <n v="14"/>
    <n v="0"/>
  </r>
  <r>
    <d v="2025-11-27T00:00:00"/>
    <x v="4"/>
    <x v="20"/>
    <d v="2025-11-27T00:00:00"/>
    <s v="Q4-2025"/>
    <s v="Asia"/>
    <x v="4"/>
    <s v="Hyderabad"/>
    <s v="Components"/>
    <s v="High"/>
    <n v="978.09"/>
    <n v="978.09"/>
    <n v="0.159"/>
    <n v="17"/>
    <n v="0"/>
  </r>
  <r>
    <d v="2025-11-28T00:00:00"/>
    <x v="25"/>
    <x v="20"/>
    <d v="2025-11-28T00:00:00"/>
    <s v="Q4-2025"/>
    <s v="Asia"/>
    <x v="9"/>
    <s v="Shanghai"/>
    <s v="Monitors"/>
    <s v="High"/>
    <n v="545.72"/>
    <n v="545.72"/>
    <n v="0.151"/>
    <n v="11"/>
    <n v="0"/>
  </r>
  <r>
    <d v="2025-11-29T00:00:00"/>
    <x v="23"/>
    <x v="20"/>
    <d v="2025-11-29T00:00:00"/>
    <s v="Q4-2025"/>
    <s v="Americas"/>
    <x v="3"/>
    <s v="Vancouver"/>
    <s v="Phones"/>
    <s v="High"/>
    <n v="1435.54"/>
    <n v="1435.54"/>
    <n v="0"/>
    <n v="23"/>
    <n v="0"/>
  </r>
  <r>
    <d v="2025-11-30T00:00:00"/>
    <x v="4"/>
    <x v="20"/>
    <d v="2025-11-30T00:00:00"/>
    <s v="Q4-2025"/>
    <s v="Europe"/>
    <x v="6"/>
    <s v="Frankfurt"/>
    <s v="Components"/>
    <s v="High"/>
    <n v="2397.3000000000002"/>
    <n v="2397.3000000000002"/>
    <n v="6.2E-2"/>
    <n v="18"/>
    <n v="0"/>
  </r>
  <r>
    <d v="2025-12-01T00:00:00"/>
    <x v="30"/>
    <x v="21"/>
    <d v="2025-12-01T00:00:00"/>
    <s v="Q4-2025"/>
    <s v="Asia"/>
    <x v="2"/>
    <s v="Nagoya"/>
    <s v="Phones"/>
    <s v="High"/>
    <n v="1853.86"/>
    <n v="1853.86"/>
    <n v="0.13900000000000001"/>
    <n v="8"/>
    <n v="0"/>
  </r>
  <r>
    <d v="2025-12-02T00:00:00"/>
    <x v="26"/>
    <x v="21"/>
    <d v="2025-12-02T00:00:00"/>
    <s v="Q4-2025"/>
    <s v="Asia"/>
    <x v="2"/>
    <s v="Osaka"/>
    <s v="Laptops"/>
    <s v="Low"/>
    <n v="45.98"/>
    <n v="45.98"/>
    <n v="0.17299999999999999"/>
    <n v="7"/>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3">
  <r>
    <s v="ORD-2024-275203"/>
    <d v="2024-03-11T00:00:00"/>
    <d v="2024-04-06T00:00:00"/>
    <n v="26"/>
    <s v="Mar-2024"/>
    <s v="Q1-2024"/>
    <s v="Africa"/>
    <s v="Kenya"/>
    <s v="Kisumu"/>
    <s v="Corporate"/>
    <s v="Retail"/>
    <s v="C. Otieno"/>
    <x v="0"/>
    <x v="0"/>
    <n v="279.24"/>
    <s v="High"/>
    <n v="608.9"/>
    <n v="0.112"/>
    <n v="9"/>
    <x v="0"/>
    <n v="2513.16"/>
    <n v="-1109.2053599999999"/>
    <n v="-0.79005783263766982"/>
  </r>
  <r>
    <s v="ORD-2024-358795"/>
    <d v="2024-10-23T00:00:00"/>
    <d v="2024-10-22T00:00:00"/>
    <n v="1"/>
    <s v="Oct-2024"/>
    <s v="Q4-2024"/>
    <s v="Africa"/>
    <s v="Nigeria"/>
    <s v="Port Harcourt"/>
    <s v="Education"/>
    <s v="Online"/>
    <s v="J. Njeri"/>
    <x v="1"/>
    <x v="1"/>
    <n v="1084.3900000000001"/>
    <s v="High"/>
    <n v="759.33"/>
    <n v="0.23699999999999999"/>
    <n v="31"/>
    <x v="1"/>
    <n v="33616.090000000004"/>
    <n v="-15681.675810000004"/>
    <n v="-0.87439018882166253"/>
  </r>
  <r>
    <s v="ORD-2023-373538"/>
    <d v="2023-02-28T00:00:00"/>
    <d v="2023-03-25T00:00:00"/>
    <n v="25"/>
    <s v="Feb-2023"/>
    <s v="Q1-2023"/>
    <s v="Africa"/>
    <s v="Kenya"/>
    <s v="Nairobi"/>
    <s v="Corporate"/>
    <s v="Retail"/>
    <s v="I. Johnson"/>
    <x v="2"/>
    <x v="2"/>
    <n v="1460.76"/>
    <s v="Low"/>
    <n v="-30.66"/>
    <n v="0.13100000000000001"/>
    <n v="12"/>
    <x v="2"/>
    <n v="17529.12"/>
    <n v="-12995.025599999999"/>
    <n v="-2.8660686023652264"/>
  </r>
  <r>
    <s v="ORD-2025-168148"/>
    <d v="2025-03-29T00:00:00"/>
    <d v="2025-04-02T00:00:00"/>
    <n v="4"/>
    <s v="Mar-2025"/>
    <s v="Q1-2025"/>
    <s v="Africa"/>
    <s v="Nigeria"/>
    <s v="Lagos"/>
    <s v="Non-Profit"/>
    <s v="Marketplace"/>
    <s v="G. Dubois"/>
    <x v="3"/>
    <x v="3"/>
    <n v="259.93"/>
    <s v="High"/>
    <n v="255.94"/>
    <n v="7.1999999999999995E-2"/>
    <n v="22"/>
    <x v="3"/>
    <n v="5718.46"/>
    <n v="28298.270880000004"/>
    <n v="0.83189272301994943"/>
  </r>
  <r>
    <s v="ORD-2023-824839"/>
    <d v="2023-12-06T00:00:00"/>
    <d v="2023-12-31T00:00:00"/>
    <n v="25"/>
    <s v="Dec-2023"/>
    <s v="Q4-2023"/>
    <s v="Asia"/>
    <s v="Japan"/>
    <s v="Osaka"/>
    <s v="Consumer"/>
    <s v="Retail"/>
    <s v="L. Okafor"/>
    <x v="1"/>
    <x v="4"/>
    <n v="663.03"/>
    <s v="High"/>
    <n v="813.51"/>
    <n v="0.10199999999999999"/>
    <n v="15"/>
    <x v="4"/>
    <n v="9945.4499999999989"/>
    <n v="-1435.3734000000004"/>
    <n v="-0.16866750647109341"/>
  </r>
  <r>
    <s v="ORD-2023-723587"/>
    <d v="2023-01-02T00:00:00"/>
    <d v="2023-01-05T00:00:00"/>
    <n v="3"/>
    <s v="Jan-2023"/>
    <s v="Q1-2023"/>
    <s v="Americas"/>
    <s v="Canada"/>
    <s v="Toronto"/>
    <s v="Corporate"/>
    <s v="Distributor"/>
    <s v="B. Chen"/>
    <x v="4"/>
    <x v="5"/>
    <n v="315.87"/>
    <s v="High"/>
    <n v="591.67999999999995"/>
    <n v="0"/>
    <n v="7"/>
    <x v="5"/>
    <n v="2211.09"/>
    <n v="10347.4"/>
    <n v="0.82393663569425946"/>
  </r>
  <r>
    <s v="ORD-2024-336584"/>
    <d v="2024-12-27T00:00:00"/>
    <d v="2025-01-14T00:00:00"/>
    <n v="18"/>
    <s v="Dec-2024"/>
    <s v="Q4-2024"/>
    <s v="Asia"/>
    <s v="India"/>
    <s v="Bengaluru"/>
    <s v="Small Business"/>
    <s v="Marketplace"/>
    <s v="E. Garcia"/>
    <x v="5"/>
    <x v="6"/>
    <n v="586.07000000000005"/>
    <s v="High"/>
    <n v="845.97"/>
    <n v="0.14699999999999999"/>
    <n v="4"/>
    <x v="6"/>
    <n v="2344.2800000000002"/>
    <n v="6639.5842399999983"/>
    <n v="0.73905660889639613"/>
  </r>
  <r>
    <s v="ORD-2023-112666"/>
    <d v="2023-01-15T00:00:00"/>
    <d v="2023-01-13T00:00:00"/>
    <n v="2"/>
    <s v="Jan-2023"/>
    <s v="Q1-2023"/>
    <s v="Africa"/>
    <s v="Nigeria"/>
    <s v="Abuja"/>
    <s v="Education"/>
    <s v="Online"/>
    <s v="O. Wang"/>
    <x v="1"/>
    <x v="7"/>
    <n v="28.38"/>
    <s v="Low"/>
    <n v="47.22"/>
    <n v="0.19400000000000001"/>
    <n v="18"/>
    <x v="7"/>
    <n v="510.84"/>
    <n v="18666.559799999999"/>
    <n v="0.97336239504168864"/>
  </r>
  <r>
    <s v="ORD-2024-589570"/>
    <d v="2024-05-04T00:00:00"/>
    <d v="2024-05-29T00:00:00"/>
    <n v="25"/>
    <s v="May-2024"/>
    <s v="Q2-2024"/>
    <s v="Africa"/>
    <s v="Nigeria"/>
    <s v="Abuja"/>
    <s v="Non-Profit"/>
    <s v="Marketplace"/>
    <s v="O. Wang"/>
    <x v="5"/>
    <x v="8"/>
    <n v="1295.3399999999999"/>
    <s v="High"/>
    <n v="2530.81"/>
    <n v="3.1E-2"/>
    <n v="6"/>
    <x v="8"/>
    <n v="7772.0399999999991"/>
    <n v="9884.322180000001"/>
    <n v="0.55981646044825306"/>
  </r>
  <r>
    <s v="ORD-2025-997421"/>
    <d v="2025-05-21T00:00:00"/>
    <d v="2025-06-09T00:00:00"/>
    <n v="19"/>
    <s v="May-2025"/>
    <s v="Q2-2025"/>
    <s v="Americas"/>
    <s v="Brazil"/>
    <s v="São Paulo"/>
    <s v="Non-Profit"/>
    <s v="Online"/>
    <s v="A. Patel"/>
    <x v="0"/>
    <x v="9"/>
    <n v="1331.38"/>
    <s v="High"/>
    <n v="2309.56"/>
    <n v="0.14899999999999999"/>
    <n v="31"/>
    <x v="9"/>
    <n v="41272.780000000006"/>
    <n v="-36013.200030000007"/>
    <n v="-6.8471627459635354"/>
  </r>
  <r>
    <s v="ORD-2024-210687"/>
    <d v="2024-01-28T00:00:00"/>
    <d v="2024-02-09T00:00:00"/>
    <n v="12"/>
    <s v="Jan-2024"/>
    <s v="Q1-2024"/>
    <s v="Europe"/>
    <s v="Germany"/>
    <s v="Berlin"/>
    <s v="Corporate"/>
    <s v="Online"/>
    <s v="G. Dubois"/>
    <x v="6"/>
    <x v="10"/>
    <n v="644.16999999999996"/>
    <s v="High"/>
    <n v="700.12"/>
    <n v="6.0000000000000001E-3"/>
    <n v="23"/>
    <x v="10"/>
    <n v="14815.91"/>
    <n v="6388.8236199999992"/>
    <n v="0.30129233097152197"/>
  </r>
  <r>
    <s v="ORD-2025-515515"/>
    <d v="2025-01-03T00:00:00"/>
    <d v="2025-01-23T00:00:00"/>
    <n v="20"/>
    <s v="Jan-2025"/>
    <s v="Q1-2025"/>
    <s v="Asia"/>
    <s v="Japan"/>
    <s v="Osaka"/>
    <s v="Corporate"/>
    <s v="Distributor"/>
    <s v="F. Müller"/>
    <x v="3"/>
    <x v="11"/>
    <n v="908.6"/>
    <s v="High"/>
    <n v="691.37"/>
    <n v="0.25"/>
    <n v="20"/>
    <x v="11"/>
    <n v="18172"/>
    <n v="7859.1500000000015"/>
    <n v="0.30191328466087747"/>
  </r>
  <r>
    <s v="ORD-2025-487261"/>
    <d v="2025-03-06T00:00:00"/>
    <d v="2025-03-31T00:00:00"/>
    <n v="25"/>
    <s v="Mar-2025"/>
    <s v="Q1-2025"/>
    <s v="Americas"/>
    <s v="Brazil"/>
    <s v="Brasília"/>
    <s v="Non-Profit"/>
    <s v="Online"/>
    <s v="J. Njeri"/>
    <x v="0"/>
    <x v="12"/>
    <n v="331.57"/>
    <s v="High"/>
    <n v="548.4"/>
    <n v="9.4E-2"/>
    <n v="10"/>
    <x v="12"/>
    <n v="3315.7"/>
    <n v="9328.7984000000033"/>
    <n v="0.73777528415045723"/>
  </r>
  <r>
    <s v="ORD-2024-890180"/>
    <d v="2024-01-20T00:00:00"/>
    <d v="2024-02-13T00:00:00"/>
    <n v="24"/>
    <s v="Jan-2024"/>
    <s v="Q1-2024"/>
    <s v="Europe"/>
    <s v="France"/>
    <s v="Marseille"/>
    <s v="Corporate"/>
    <s v="Retail"/>
    <s v="H. Kim"/>
    <x v="1"/>
    <x v="13"/>
    <n v="643.53"/>
    <s v="High"/>
    <n v="1439.01"/>
    <n v="0"/>
    <n v="15"/>
    <x v="13"/>
    <n v="9652.9499999999989"/>
    <n v="-2836.6499999999987"/>
    <n v="-0.4161568592931647"/>
  </r>
  <r>
    <s v="ORD-2025-840976"/>
    <d v="2025-09-01T00:00:00"/>
    <d v="2025-09-30T00:00:00"/>
    <n v="29"/>
    <s v="Sept-2025"/>
    <s v="Q3-2025"/>
    <s v="Americas"/>
    <s v="Brazil"/>
    <s v="Brasília"/>
    <s v="Education"/>
    <s v="Retail"/>
    <s v="K. Singh"/>
    <x v="6"/>
    <x v="14"/>
    <n v="780.59"/>
    <s v="High"/>
    <n v="631.57000000000005"/>
    <n v="0"/>
    <n v="12"/>
    <x v="14"/>
    <n v="9367.08"/>
    <n v="9604.56"/>
    <n v="0.50625881579030596"/>
  </r>
  <r>
    <s v="ORD-2023-937291"/>
    <d v="2023-04-23T00:00:00"/>
    <d v="2023-04-22T00:00:00"/>
    <n v="1"/>
    <s v="Apr-2023"/>
    <s v="Q2-2023"/>
    <s v="Africa"/>
    <s v="Kenya"/>
    <s v="Nairobi"/>
    <s v="Small Business"/>
    <s v="Direct"/>
    <s v="E. Garcia"/>
    <x v="4"/>
    <x v="15"/>
    <n v="756.51"/>
    <s v="High"/>
    <n v="850.8"/>
    <n v="7.3999999999999996E-2"/>
    <n v="9"/>
    <x v="15"/>
    <n v="6808.59"/>
    <n v="7857.4998600000017"/>
    <n v="0.53575969702943038"/>
  </r>
  <r>
    <s v="ORD-2024-206081"/>
    <d v="2024-12-10T00:00:00"/>
    <d v="2025-01-08T00:00:00"/>
    <n v="29"/>
    <s v="Dec-2024"/>
    <s v="Q4-2024"/>
    <s v="Europe"/>
    <s v="France"/>
    <s v="Marseille"/>
    <s v="Small Business"/>
    <s v="Retail"/>
    <s v="K. Singh"/>
    <x v="1"/>
    <x v="16"/>
    <n v="891.08"/>
    <s v="High"/>
    <n v="1040.0999999999999"/>
    <n v="0.109"/>
    <n v="28"/>
    <x v="16"/>
    <n v="24950.240000000002"/>
    <n v="54995.625999999989"/>
    <n v="0.68791081705212864"/>
  </r>
  <r>
    <s v="ORD-2025-233883"/>
    <d v="2025-09-08T00:00:00"/>
    <d v="2025-09-16T00:00:00"/>
    <n v="8"/>
    <s v="Sept-2025"/>
    <s v="Q3-2025"/>
    <s v="Asia"/>
    <s v="Japan"/>
    <s v="Osaka"/>
    <s v="Corporate"/>
    <s v="Distributor"/>
    <s v="C. Otieno"/>
    <x v="3"/>
    <x v="17"/>
    <n v="1225.57"/>
    <s v="High"/>
    <n v="2705.57"/>
    <n v="0.183"/>
    <n v="16"/>
    <x v="17"/>
    <n v="19609.12"/>
    <n v="-4766.7790399999994"/>
    <n v="-0.32116086356232038"/>
  </r>
  <r>
    <s v="ORD-2025-843974"/>
    <d v="2025-07-20T00:00:00"/>
    <d v="2025-08-05T00:00:00"/>
    <n v="16"/>
    <s v="Jul-2025"/>
    <s v="Q3-2025"/>
    <s v="Americas"/>
    <s v="Brazil"/>
    <s v="Brasília"/>
    <s v="Enterprise"/>
    <s v="Marketplace"/>
    <s v="G. Dubois"/>
    <x v="6"/>
    <x v="18"/>
    <n v="1068.17"/>
    <s v="High"/>
    <n v="2375.37"/>
    <n v="0.109"/>
    <n v="18"/>
    <x v="18"/>
    <n v="19227.060000000001"/>
    <n v="-3247.4383200000011"/>
    <n v="-0.20322372988745258"/>
  </r>
  <r>
    <s v="ORD-2025-745263"/>
    <d v="2025-05-21T00:00:00"/>
    <d v="2025-05-19T00:00:00"/>
    <n v="2"/>
    <s v="May-2025"/>
    <s v="Q2-2025"/>
    <s v="Europe"/>
    <s v="United Kingdom"/>
    <s v="Birmingham"/>
    <s v="Enterprise"/>
    <s v="Online"/>
    <s v="M. Rossi"/>
    <x v="4"/>
    <x v="19"/>
    <n v="1015.16"/>
    <s v="High"/>
    <n v="2148.14"/>
    <n v="3.7999999999999999E-2"/>
    <n v="19"/>
    <x v="19"/>
    <n v="19288.04"/>
    <n v="6247.2399000000005"/>
    <n v="0.24465131866441769"/>
  </r>
  <r>
    <s v="ORD-2024-798002"/>
    <d v="2024-07-25T00:00:00"/>
    <d v="2024-07-24T00:00:00"/>
    <n v="1"/>
    <s v="Jul-2024"/>
    <s v="Q3-2024"/>
    <s v="Africa"/>
    <s v="Kenya"/>
    <s v="Mombasa"/>
    <s v="Non-Profit"/>
    <s v="Direct"/>
    <s v="J. Njeri"/>
    <x v="4"/>
    <x v="20"/>
    <n v="1494.4"/>
    <s v="High"/>
    <n v="3661.07"/>
    <n v="7.1999999999999995E-2"/>
    <n v="7"/>
    <x v="20"/>
    <n v="10460.800000000001"/>
    <n v="-6895.2105600000014"/>
    <n v="-1.9338206700544864"/>
  </r>
  <r>
    <s v="ORD-2023-867836"/>
    <d v="2023-05-11T00:00:00"/>
    <d v="2023-05-28T00:00:00"/>
    <n v="17"/>
    <s v="May-2023"/>
    <s v="Q2-2023"/>
    <s v="Asia"/>
    <s v="China"/>
    <s v="Shenzhen"/>
    <s v="Enterprise"/>
    <s v="Marketplace"/>
    <s v="E. Garcia"/>
    <x v="2"/>
    <x v="21"/>
    <n v="1331.19"/>
    <s v="High"/>
    <n v="2903.09"/>
    <n v="0.14299999999999999"/>
    <n v="8"/>
    <x v="21"/>
    <n v="10649.52"/>
    <n v="13511.023999999998"/>
    <n v="0.55921853415221112"/>
  </r>
  <r>
    <s v="ORD-2025-580047"/>
    <d v="2025-06-14T00:00:00"/>
    <d v="2025-06-29T00:00:00"/>
    <n v="15"/>
    <s v="Jun-2025"/>
    <s v="Q2-2025"/>
    <s v="Africa"/>
    <s v="Nigeria"/>
    <s v="Port Harcourt"/>
    <s v="Consumer"/>
    <s v="Marketplace"/>
    <s v="M. Rossi"/>
    <x v="6"/>
    <x v="22"/>
    <n v="730.99"/>
    <s v="High"/>
    <n v="1242.8399999999999"/>
    <n v="0.12"/>
    <n v="10"/>
    <x v="22"/>
    <n v="7309.9"/>
    <n v="8755.4679999999989"/>
    <n v="0.54499019256826231"/>
  </r>
  <r>
    <s v="ORD-2024-500109"/>
    <d v="2024-05-18T00:00:00"/>
    <d v="2024-05-23T00:00:00"/>
    <n v="5"/>
    <s v="May-2024"/>
    <s v="Q2-2024"/>
    <s v="Americas"/>
    <s v="USA"/>
    <s v="Chicago"/>
    <s v="Enterprise"/>
    <s v="Retail"/>
    <s v="H. Kim"/>
    <x v="4"/>
    <x v="23"/>
    <n v="1274.5899999999999"/>
    <s v="High"/>
    <n v="2553.69"/>
    <n v="0.01"/>
    <n v="8"/>
    <x v="23"/>
    <n v="10196.719999999999"/>
    <n v="3990.9303999999993"/>
    <n v="0.28129607704458237"/>
  </r>
  <r>
    <s v="ORD-2023-271836"/>
    <d v="2023-02-07T00:00:00"/>
    <d v="2023-02-12T00:00:00"/>
    <n v="5"/>
    <s v="Feb-2023"/>
    <s v="Q1-2023"/>
    <s v="Americas"/>
    <s v="Brazil"/>
    <s v="São Paulo"/>
    <s v="Education"/>
    <s v="Online"/>
    <s v="N. Brown"/>
    <x v="0"/>
    <x v="24"/>
    <n v="948.55"/>
    <s v="High"/>
    <n v="2089.16"/>
    <n v="7.0000000000000001E-3"/>
    <n v="12"/>
    <x v="24"/>
    <n v="11382.599999999999"/>
    <n v="19953.501"/>
    <n v="0.63675761703729516"/>
  </r>
  <r>
    <s v="ORD-2024-215294"/>
    <d v="2024-06-30T00:00:00"/>
    <d v="2024-07-14T00:00:00"/>
    <n v="14"/>
    <s v="Jun-2024"/>
    <s v="Q2-2024"/>
    <s v="Americas"/>
    <s v="Brazil"/>
    <s v="Brasília"/>
    <s v="Education"/>
    <s v="Retail"/>
    <s v="C. Otieno"/>
    <x v="6"/>
    <x v="25"/>
    <n v="1491.85"/>
    <s v="High"/>
    <n v="2583.02"/>
    <n v="0.16800000000000001"/>
    <n v="4"/>
    <x v="25"/>
    <n v="5967.4"/>
    <n v="-5613.6335999999992"/>
    <n v="-15.868193248426079"/>
  </r>
  <r>
    <s v="ORD-2024-788105"/>
    <d v="2024-11-30T00:00:00"/>
    <d v="2024-12-30T00:00:00"/>
    <n v="0"/>
    <s v="Nov-2024"/>
    <s v="Q4-2024"/>
    <s v="Europe"/>
    <s v="France"/>
    <s v="Marseille"/>
    <s v="Consumer"/>
    <s v="Marketplace"/>
    <s v="F. Müller"/>
    <x v="1"/>
    <x v="26"/>
    <n v="117.64"/>
    <s v="Medium"/>
    <n v="175.67"/>
    <n v="0"/>
    <n v="10"/>
    <x v="26"/>
    <n v="1176.4000000000001"/>
    <n v="2680.8"/>
    <n v="0.69501192574924819"/>
  </r>
  <r>
    <s v="ORD-2024-855073"/>
    <d v="2024-07-19T00:00:00"/>
    <d v="2024-07-19T00:00:00"/>
    <n v="0"/>
    <s v="Jul-2024"/>
    <s v="Q3-2024"/>
    <s v="Africa"/>
    <s v="Kenya"/>
    <s v="Kisumu"/>
    <s v="Small Business"/>
    <s v="Retail"/>
    <s v="A. Patel"/>
    <x v="3"/>
    <x v="27"/>
    <n v="857.24"/>
    <s v="High"/>
    <n v="758.23"/>
    <n v="0.125"/>
    <n v="6"/>
    <x v="27"/>
    <n v="5143.4400000000005"/>
    <n v="-3899.8725000000004"/>
    <n v="-3.1360360414694015"/>
  </r>
  <r>
    <s v="ORD-2023-897079"/>
    <d v="2023-04-14T00:00:00"/>
    <d v="2023-05-14T00:00:00"/>
    <n v="0"/>
    <s v="Apr-2023"/>
    <s v="Q2-2023"/>
    <s v="Africa"/>
    <s v="Kenya"/>
    <s v="Nakuru"/>
    <s v="Consumer"/>
    <s v="Marketplace"/>
    <s v="M. Rossi"/>
    <x v="3"/>
    <x v="28"/>
    <n v="209.25"/>
    <s v="High"/>
    <n v="434.8"/>
    <n v="0"/>
    <n v="9"/>
    <x v="28"/>
    <n v="1883.25"/>
    <n v="-1506.15"/>
    <n v="-3.9940334128878288"/>
  </r>
  <r>
    <s v="ORD-2025-548982"/>
    <d v="2025-04-07T00:00:00"/>
    <d v="2025-04-11T00:00:00"/>
    <n v="4"/>
    <s v="Apr-2025"/>
    <s v="Q2-2025"/>
    <s v="Europe"/>
    <s v="France"/>
    <s v="Lyon"/>
    <s v="Education"/>
    <s v="Retail"/>
    <s v="E. Garcia"/>
    <x v="2"/>
    <x v="29"/>
    <n v="754.77"/>
    <s v="High"/>
    <n v="1666.18"/>
    <n v="0.13900000000000001"/>
    <n v="14"/>
    <x v="29"/>
    <n v="10566.779999999999"/>
    <n v="1214.5585200000005"/>
    <n v="0.10309172577786183"/>
  </r>
  <r>
    <s v="ORD-2024-170313"/>
    <d v="2024-12-27T00:00:00"/>
    <d v="2025-01-15T00:00:00"/>
    <n v="19"/>
    <s v="Dec-2024"/>
    <s v="Q4-2024"/>
    <s v="Asia"/>
    <s v="India"/>
    <s v="Delhi"/>
    <s v="Non-Profit"/>
    <s v="Distributor"/>
    <s v="G. Dubois"/>
    <x v="0"/>
    <x v="30"/>
    <n v="495.59"/>
    <s v="High"/>
    <n v="631.78"/>
    <n v="8.6999999999999994E-2"/>
    <n v="17"/>
    <x v="30"/>
    <n v="8425.0299999999988"/>
    <n v="34942.66173"/>
    <n v="0.8057302645376464"/>
  </r>
  <r>
    <s v="ORD-2023-562894"/>
    <d v="2023-02-23T00:00:00"/>
    <d v="2023-03-25T00:00:00"/>
    <n v="2"/>
    <s v="Feb-2023"/>
    <s v="Q1-2023"/>
    <s v="Americas"/>
    <s v="Canada"/>
    <s v="Montreal"/>
    <s v="Enterprise"/>
    <s v="Online"/>
    <s v="D. Smith"/>
    <x v="3"/>
    <x v="31"/>
    <n v="1242.6600000000001"/>
    <s v="High"/>
    <n v="1794.07"/>
    <n v="8.8999999999999996E-2"/>
    <n v="16"/>
    <x v="31"/>
    <n v="19882.560000000001"/>
    <n v="-9650.9367999999995"/>
    <n v="-0.94324591624914389"/>
  </r>
  <r>
    <s v="ORD-2025-474710"/>
    <d v="2025-07-24T00:00:00"/>
    <d v="2025-08-06T00:00:00"/>
    <n v="13"/>
    <s v="Jul-2025"/>
    <s v="Q3-2025"/>
    <s v="Africa"/>
    <s v="South Africa"/>
    <s v="Johannesburg"/>
    <s v="Education"/>
    <s v="Marketplace"/>
    <s v="D. Smith"/>
    <x v="2"/>
    <x v="32"/>
    <n v="1463.9"/>
    <s v="High"/>
    <n v="2633.02"/>
    <n v="8.4000000000000005E-2"/>
    <n v="4"/>
    <x v="32"/>
    <n v="5855.6"/>
    <n v="-5874.9092800000008"/>
    <n v="304.25315081660227"/>
  </r>
  <r>
    <s v="ORD-2024-629525"/>
    <d v="2024-04-18T00:00:00"/>
    <d v="2024-05-08T00:00:00"/>
    <n v="20"/>
    <s v="Apr-2024"/>
    <s v="Q2-2024"/>
    <s v="Europe"/>
    <s v="United Kingdom"/>
    <s v="London"/>
    <s v="Non-Profit"/>
    <s v="Not Provided"/>
    <s v="D. Smith"/>
    <x v="4"/>
    <x v="33"/>
    <n v="645.33000000000004"/>
    <s v="High"/>
    <n v="1321.85"/>
    <n v="0"/>
    <n v="10"/>
    <x v="33"/>
    <n v="6453.3"/>
    <n v="7917.2999999999984"/>
    <n v="0.55093733038286496"/>
  </r>
  <r>
    <s v="ORD-2024-167215"/>
    <d v="2024-08-23T00:00:00"/>
    <d v="2024-08-21T00:00:00"/>
    <n v="2"/>
    <s v="Aug-2024"/>
    <s v="Q3-2024"/>
    <s v="Africa"/>
    <s v="South Africa"/>
    <s v="Johannesburg"/>
    <s v="Education"/>
    <s v="Retail"/>
    <s v="E. Garcia"/>
    <x v="0"/>
    <x v="34"/>
    <n v="1432.52"/>
    <s v="High"/>
    <n v="3036.87"/>
    <n v="0"/>
    <n v="9"/>
    <x v="34"/>
    <n v="12892.68"/>
    <n v="4314.3300000000017"/>
    <n v="0.25073095209452434"/>
  </r>
  <r>
    <s v="ORD-2023-864121"/>
    <d v="2023-03-27T00:00:00"/>
    <d v="2023-04-22T00:00:00"/>
    <n v="26"/>
    <s v="Mar-2023"/>
    <s v="Q1-2023"/>
    <s v="Asia"/>
    <s v="India"/>
    <s v="Delhi"/>
    <s v="Non-Profit"/>
    <s v="Marketplace"/>
    <s v="J. Njeri"/>
    <x v="1"/>
    <x v="35"/>
    <n v="178.53"/>
    <s v="Medium"/>
    <n v="199.37"/>
    <n v="0.10100000000000001"/>
    <n v="37"/>
    <x v="35"/>
    <n v="6605.61"/>
    <n v="79671.294139999998"/>
    <n v="0.92343709981432354"/>
  </r>
  <r>
    <s v="ORD-2024-692673"/>
    <d v="2024-03-07T00:00:00"/>
    <d v="2024-03-25T00:00:00"/>
    <n v="18"/>
    <s v="Mar-2024"/>
    <s v="Q1-2024"/>
    <s v="Europe"/>
    <s v="Germany"/>
    <s v="Munich"/>
    <s v="Corporate"/>
    <s v="Online"/>
    <s v="B. Chen"/>
    <x v="0"/>
    <x v="36"/>
    <n v="712.84"/>
    <s v="High"/>
    <n v="927.51"/>
    <n v="0.24299999999999999"/>
    <n v="27"/>
    <x v="36"/>
    <n v="19246.68"/>
    <n v="6181.0711199999969"/>
    <n v="0.24308367227718869"/>
  </r>
  <r>
    <s v="ORD-2025-718992"/>
    <d v="2025-06-24T00:00:00"/>
    <d v="2025-07-10T00:00:00"/>
    <n v="16"/>
    <s v="Jun-2025"/>
    <s v="Q2-2025"/>
    <s v="Asia"/>
    <s v="China"/>
    <s v="Shanghai"/>
    <s v="Enterprise"/>
    <s v="Direct"/>
    <s v="N. Brown"/>
    <x v="0"/>
    <x v="37"/>
    <n v="757.19"/>
    <s v="High"/>
    <n v="1735.41"/>
    <n v="0.13600000000000001"/>
    <n v="8"/>
    <x v="37"/>
    <n v="6057.52"/>
    <n v="7161.7491199999986"/>
    <n v="0.54176589151700383"/>
  </r>
  <r>
    <s v="ORD-2024-599522"/>
    <d v="2024-04-19T00:00:00"/>
    <d v="2024-05-06T00:00:00"/>
    <n v="17"/>
    <s v="Apr-2024"/>
    <s v="Q2-2024"/>
    <s v="Africa"/>
    <s v="Nigeria"/>
    <s v="Port Harcourt"/>
    <s v="Non-Profit"/>
    <s v="Online"/>
    <s v="A. Patel"/>
    <x v="1"/>
    <x v="38"/>
    <n v="865.33"/>
    <s v="High"/>
    <n v="1395.64"/>
    <n v="0.17499999999999999"/>
    <n v="13"/>
    <x v="38"/>
    <n v="11249.29"/>
    <n v="-3142.5842500000017"/>
    <n v="-0.38765243822991874"/>
  </r>
  <r>
    <s v="ORD-2023-651638"/>
    <d v="2023-06-17T00:00:00"/>
    <d v="2023-06-24T00:00:00"/>
    <n v="7"/>
    <s v="Jun-2023"/>
    <s v="Q2-2023"/>
    <s v="Americas"/>
    <s v="USA"/>
    <s v="San Francisco"/>
    <s v="Corporate"/>
    <s v="Retail"/>
    <s v="I. Johnson"/>
    <x v="1"/>
    <x v="39"/>
    <n v="313.99"/>
    <s v="High"/>
    <n v="454.42"/>
    <n v="0.129"/>
    <n v="9"/>
    <x v="39"/>
    <n v="2825.91"/>
    <n v="6154.9971300000016"/>
    <n v="0.68534247608904963"/>
  </r>
  <r>
    <s v="ORD-2024-635626"/>
    <d v="2024-08-27T00:00:00"/>
    <d v="2024-09-19T00:00:00"/>
    <n v="23"/>
    <s v="Aug-2024"/>
    <s v="Q3-2024"/>
    <s v="Europe"/>
    <s v="Germany"/>
    <s v="Berlin"/>
    <s v="Small Business"/>
    <s v="Direct"/>
    <s v="D. Smith"/>
    <x v="5"/>
    <x v="40"/>
    <n v="1024.01"/>
    <s v="High"/>
    <n v="1580.97"/>
    <n v="3.6999999999999998E-2"/>
    <n v="27"/>
    <x v="40"/>
    <n v="27648.27"/>
    <n v="4439.564099999996"/>
    <n v="0.13835661472707492"/>
  </r>
  <r>
    <s v="ORD-2024-296582"/>
    <d v="2024-01-11T00:00:00"/>
    <d v="2024-02-02T00:00:00"/>
    <n v="22"/>
    <s v="Jan-2024"/>
    <s v="Q1-2024"/>
    <s v="Africa"/>
    <s v="South Africa"/>
    <s v="Durban"/>
    <s v="Consumer"/>
    <s v="Online"/>
    <s v="K. Singh"/>
    <x v="2"/>
    <x v="41"/>
    <n v="1206.2"/>
    <s v="High"/>
    <n v="1759.79"/>
    <n v="0"/>
    <n v="6"/>
    <x v="41"/>
    <n v="7237.2000000000007"/>
    <n v="130.85999999999876"/>
    <n v="1.7760441690214082E-2"/>
  </r>
  <r>
    <s v="ORD-2024-998320"/>
    <d v="2024-10-25T00:00:00"/>
    <d v="2024-11-14T00:00:00"/>
    <n v="20"/>
    <s v="Oct-2024"/>
    <s v="Q4-2024"/>
    <s v="Africa"/>
    <s v="Kenya"/>
    <s v="Mombasa"/>
    <s v="Corporate"/>
    <s v="Direct"/>
    <s v="H. Kim"/>
    <x v="1"/>
    <x v="42"/>
    <n v="1396.48"/>
    <s v="High"/>
    <n v="3204.5"/>
    <n v="0.318"/>
    <n v="14"/>
    <x v="42"/>
    <n v="19550.72"/>
    <n v="-13771.983960000001"/>
    <n v="-2.3832173445319715"/>
  </r>
  <r>
    <s v="ORD-2025-820255"/>
    <d v="2025-05-29T00:00:00"/>
    <d v="2025-06-20T00:00:00"/>
    <n v="22"/>
    <s v="May-2025"/>
    <s v="Q2-2025"/>
    <s v="Europe"/>
    <s v="Germany"/>
    <s v="Berlin"/>
    <s v="Corporate"/>
    <s v="Direct"/>
    <s v="A. Patel"/>
    <x v="1"/>
    <x v="43"/>
    <n v="483.47"/>
    <s v="High"/>
    <n v="1135.43"/>
    <n v="0.14599999999999999"/>
    <n v="11"/>
    <x v="43"/>
    <n v="5318.17"/>
    <n v="12343.959100000002"/>
    <n v="0.6988941723905755"/>
  </r>
  <r>
    <s v="ORD-2024-389336"/>
    <d v="2024-05-20T00:00:00"/>
    <d v="2024-06-02T00:00:00"/>
    <n v="13"/>
    <s v="May-2024"/>
    <s v="Q2-2024"/>
    <s v="Americas"/>
    <s v="Canada"/>
    <s v="Vancouver"/>
    <s v="Enterprise"/>
    <s v="Marketplace"/>
    <s v="K. Singh"/>
    <x v="0"/>
    <x v="44"/>
    <n v="675.43"/>
    <s v="High"/>
    <n v="996.36"/>
    <n v="0.182"/>
    <n v="22"/>
    <x v="44"/>
    <n v="14859.46"/>
    <n v="7984.6624000000047"/>
    <n v="0.34952808692707771"/>
  </r>
  <r>
    <s v="ORD-2023-308124"/>
    <d v="2023-04-19T00:00:00"/>
    <d v="2023-04-30T00:00:00"/>
    <n v="11"/>
    <s v="Apr-2023"/>
    <s v="Q2-2023"/>
    <s v="Asia"/>
    <s v="India"/>
    <s v="Delhi"/>
    <s v="Small Business"/>
    <s v="Retail"/>
    <s v="A. Patel"/>
    <x v="2"/>
    <x v="45"/>
    <n v="826.55"/>
    <s v="High"/>
    <n v="1397.05"/>
    <n v="0.16900000000000001"/>
    <n v="28"/>
    <x v="45"/>
    <n v="23143.399999999998"/>
    <n v="-8695.6007600000012"/>
    <n v="-0.6018633437212686"/>
  </r>
  <r>
    <s v="ORD-2023-128295"/>
    <d v="2023-06-23T00:00:00"/>
    <d v="2023-07-03T00:00:00"/>
    <n v="10"/>
    <s v="Jun-2023"/>
    <s v="Q2-2023"/>
    <s v="Africa"/>
    <s v="Nigeria"/>
    <s v="Abuja"/>
    <s v="Consumer"/>
    <s v="Online"/>
    <s v="J. Njeri"/>
    <x v="1"/>
    <x v="46"/>
    <n v="337.75"/>
    <s v="High"/>
    <n v="548.89"/>
    <n v="0"/>
    <n v="13"/>
    <x v="46"/>
    <n v="4390.75"/>
    <n v="14536.080000000002"/>
    <n v="0.76801450639119173"/>
  </r>
  <r>
    <s v="ORD-2024-548345"/>
    <d v="2024-05-14T00:00:00"/>
    <d v="2024-05-28T00:00:00"/>
    <n v="14"/>
    <s v="May-2024"/>
    <s v="Q2-2024"/>
    <s v="Europe"/>
    <s v="United Kingdom"/>
    <s v="Birmingham"/>
    <s v="Consumer"/>
    <s v="Retail"/>
    <s v="B. Chen"/>
    <x v="2"/>
    <x v="47"/>
    <n v="1421.14"/>
    <s v="High"/>
    <n v="3524"/>
    <n v="0"/>
    <n v="31"/>
    <x v="47"/>
    <n v="44055.340000000004"/>
    <n v="-27116.010000000006"/>
    <n v="-1.6007722855626527"/>
  </r>
  <r>
    <s v="ORD-2024-966651"/>
    <d v="2024-10-14T00:00:00"/>
    <d v="2024-11-08T00:00:00"/>
    <n v="25"/>
    <s v="Oct-2024"/>
    <s v="Q4-2024"/>
    <s v="Africa"/>
    <s v="Nigeria"/>
    <s v="Lagos"/>
    <s v="Enterprise"/>
    <s v="Online"/>
    <s v="O. Wang"/>
    <x v="2"/>
    <x v="48"/>
    <n v="859.35"/>
    <s v="High"/>
    <n v="1825.61"/>
    <n v="0.187"/>
    <n v="24"/>
    <x v="48"/>
    <n v="20624.400000000001"/>
    <n v="5676.2150399999991"/>
    <n v="0.21582061983596865"/>
  </r>
  <r>
    <s v="ORD-2023-292714"/>
    <d v="2023-07-10T00:00:00"/>
    <d v="2023-08-01T00:00:00"/>
    <n v="22"/>
    <s v="Jul-2023"/>
    <s v="Q3-2023"/>
    <s v="Europe"/>
    <s v="France"/>
    <s v="Marseille"/>
    <s v="Consumer"/>
    <s v="Marketplace"/>
    <s v="B. Chen"/>
    <x v="1"/>
    <x v="49"/>
    <n v="1303.56"/>
    <s v="High"/>
    <n v="1791.37"/>
    <n v="0.126"/>
    <n v="22"/>
    <x v="49"/>
    <n v="28678.32"/>
    <n v="-7365.4279599999973"/>
    <n v="-0.34558557075110097"/>
  </r>
  <r>
    <s v="ORD-2024-468501"/>
    <d v="2024-11-06T00:00:00"/>
    <d v="2024-11-22T00:00:00"/>
    <n v="16"/>
    <s v="Nov-2024"/>
    <s v="Q4-2024"/>
    <s v="Americas"/>
    <s v="Canada"/>
    <s v="Toronto"/>
    <s v="Non-Profit"/>
    <s v="Distributor"/>
    <s v="D. Smith"/>
    <x v="6"/>
    <x v="50"/>
    <n v="1454.11"/>
    <s v="High"/>
    <n v="2629.75"/>
    <n v="0.29199999999999998"/>
    <n v="8"/>
    <x v="50"/>
    <n v="11632.88"/>
    <n v="6175.3023999999987"/>
    <n v="0.34676769707839467"/>
  </r>
  <r>
    <s v="ORD-2024-260775"/>
    <d v="2024-10-17T00:00:00"/>
    <d v="2024-11-06T00:00:00"/>
    <n v="20"/>
    <s v="Oct-2024"/>
    <s v="Q4-2024"/>
    <s v="Asia"/>
    <s v="India"/>
    <s v="Bengaluru"/>
    <s v="Enterprise"/>
    <s v="Distributor"/>
    <s v="O. Wang"/>
    <x v="5"/>
    <x v="51"/>
    <n v="72.94"/>
    <s v="Medium"/>
    <n v="106.3"/>
    <n v="0.29499999999999998"/>
    <n v="8"/>
    <x v="51"/>
    <n v="583.52"/>
    <n v="11236.397200000001"/>
    <n v="0.95063247989588284"/>
  </r>
  <r>
    <s v="ORD-2023-419187"/>
    <d v="2023-03-31T00:00:00"/>
    <d v="2023-04-05T00:00:00"/>
    <n v="5"/>
    <s v="Mar-2023"/>
    <s v="Q1-2023"/>
    <s v="Africa"/>
    <s v="Kenya"/>
    <s v="Nakuru"/>
    <s v="Education"/>
    <s v="Marketplace"/>
    <s v="B. Chen"/>
    <x v="4"/>
    <x v="52"/>
    <n v="533.26"/>
    <s v="High"/>
    <n v="385.72"/>
    <n v="0"/>
    <n v="15"/>
    <x v="52"/>
    <n v="7998.9"/>
    <n v="2555.3999999999996"/>
    <n v="0.24211932577243397"/>
  </r>
  <r>
    <s v="ORD-2025-578007"/>
    <d v="2025-01-21T00:00:00"/>
    <d v="2025-02-16T00:00:00"/>
    <n v="26"/>
    <s v="Jan-2025"/>
    <s v="Q1-2025"/>
    <s v="Europe"/>
    <s v="France"/>
    <s v="Lyon"/>
    <s v="Corporate"/>
    <s v="Distributor"/>
    <s v="O. Wang"/>
    <x v="4"/>
    <x v="53"/>
    <n v="204.11"/>
    <s v="High"/>
    <n v="236.87"/>
    <n v="0.182"/>
    <n v="13"/>
    <x v="53"/>
    <n v="2653.4300000000003"/>
    <n v="18584.688460000001"/>
    <n v="0.87506284961177294"/>
  </r>
  <r>
    <s v="ORD-2023-235230"/>
    <d v="2023-08-30T00:00:00"/>
    <d v="2023-09-01T00:00:00"/>
    <n v="2"/>
    <s v="Aug-2023"/>
    <s v="Q3-2023"/>
    <s v="Europe"/>
    <s v="Germany"/>
    <s v="Munich"/>
    <s v="Corporate"/>
    <s v="Direct"/>
    <s v="N. Brown"/>
    <x v="2"/>
    <x v="54"/>
    <n v="44.42"/>
    <s v="Low"/>
    <n v="41.9"/>
    <n v="0.14399999999999999"/>
    <n v="6"/>
    <x v="54"/>
    <n v="266.52"/>
    <n v="13929.127199999997"/>
    <n v="0.9812252307876459"/>
  </r>
  <r>
    <s v="ORD-2025-765220"/>
    <d v="2025-04-06T00:00:00"/>
    <d v="2025-04-30T00:00:00"/>
    <n v="24"/>
    <s v="Apr-2025"/>
    <s v="Q2-2025"/>
    <s v="Americas"/>
    <s v="Brazil"/>
    <s v="Brasília"/>
    <s v="Education"/>
    <s v="Online"/>
    <s v="K. Singh"/>
    <x v="5"/>
    <x v="55"/>
    <n v="855.78"/>
    <s v="High"/>
    <n v="977.38"/>
    <n v="0.14699999999999999"/>
    <n v="38"/>
    <x v="55"/>
    <n v="32519.64"/>
    <n v="16215.781419999999"/>
    <n v="0.33273091619036216"/>
  </r>
  <r>
    <s v="ORD-2025-931538"/>
    <d v="2025-02-09T00:00:00"/>
    <d v="2025-03-01T00:00:00"/>
    <n v="20"/>
    <s v="Feb-2025"/>
    <s v="Q1-2025"/>
    <s v="Americas"/>
    <s v="Brazil"/>
    <s v="São Paulo"/>
    <s v="Corporate"/>
    <s v="Distributor"/>
    <s v="B. Chen"/>
    <x v="4"/>
    <x v="56"/>
    <n v="1154.6400000000001"/>
    <s v="High"/>
    <n v="2794.13"/>
    <n v="3.5000000000000003E-2"/>
    <n v="11"/>
    <x v="56"/>
    <n v="12701.04"/>
    <n v="-8581.9953999999998"/>
    <n v="-2.0834917398078185"/>
  </r>
  <r>
    <s v="ORD-2024-289089"/>
    <d v="2024-12-17T00:00:00"/>
    <d v="2024-12-18T00:00:00"/>
    <n v="1"/>
    <s v="Dec-2024"/>
    <s v="Q4-2024"/>
    <s v="Europe"/>
    <s v="Germany"/>
    <s v="Munich"/>
    <s v="Education"/>
    <s v="Retail"/>
    <s v="L. Okafor"/>
    <x v="6"/>
    <x v="57"/>
    <n v="346.82"/>
    <s v="High"/>
    <n v="701.95"/>
    <n v="0.14699999999999999"/>
    <n v="8"/>
    <x v="57"/>
    <n v="2774.56"/>
    <n v="-2470.4143199999999"/>
    <n v="-8.122470521363315"/>
  </r>
  <r>
    <s v="ORD-2025-639542"/>
    <d v="2025-06-09T00:00:00"/>
    <d v="2025-06-18T00:00:00"/>
    <n v="9"/>
    <s v="Jun-2025"/>
    <s v="Q2-2025"/>
    <s v="Europe"/>
    <s v="France"/>
    <s v="Marseille"/>
    <s v="Small Business"/>
    <s v="Marketplace"/>
    <s v="H. Kim"/>
    <x v="6"/>
    <x v="58"/>
    <n v="1225.5"/>
    <s v="Low"/>
    <n v="-5.27"/>
    <n v="7.4999999999999997E-2"/>
    <n v="56"/>
    <x v="58"/>
    <n v="68628"/>
    <n v="25039.868000000002"/>
    <n v="0.2673261229774121"/>
  </r>
  <r>
    <s v="ORD-2025-762301"/>
    <d v="2025-05-02T00:00:00"/>
    <d v="2025-05-13T00:00:00"/>
    <n v="11"/>
    <s v="May-2025"/>
    <s v="Q2-2025"/>
    <s v="Africa"/>
    <s v="Kenya"/>
    <s v="Nakuru"/>
    <s v="Small Business"/>
    <s v="Online"/>
    <s v="A. Patel"/>
    <x v="6"/>
    <x v="59"/>
    <n v="1057.5999999999999"/>
    <s v="High"/>
    <n v="1437.06"/>
    <n v="0.20499999999999999"/>
    <n v="4"/>
    <x v="59"/>
    <n v="4230.3999999999996"/>
    <n v="-143.8137999999999"/>
    <n v="-3.5191671718560573E-2"/>
  </r>
  <r>
    <s v="ORD-2024-906395"/>
    <d v="2024-03-10T00:00:00"/>
    <d v="2024-04-09T00:00:00"/>
    <n v="30"/>
    <s v="Mar-2024"/>
    <s v="Q1-2024"/>
    <s v="Europe"/>
    <s v="France"/>
    <s v="Lyon"/>
    <s v="Corporate"/>
    <s v="Direct"/>
    <s v="I. Johnson"/>
    <x v="0"/>
    <x v="60"/>
    <n v="1176.56"/>
    <s v="High"/>
    <n v="1911.89"/>
    <n v="0.11899999999999999"/>
    <n v="20"/>
    <x v="60"/>
    <n v="23531.199999999997"/>
    <n v="6037.6268000000055"/>
    <n v="0.20418891966319086"/>
  </r>
  <r>
    <s v="ORD-2025-779574"/>
    <d v="2025-09-10T00:00:00"/>
    <d v="2025-09-12T00:00:00"/>
    <n v="2"/>
    <s v="Sept-2025"/>
    <s v="Q3-2025"/>
    <s v="Asia"/>
    <s v="Japan"/>
    <s v="Tokyo"/>
    <s v="Consumer"/>
    <s v="Online"/>
    <s v="O. Wang"/>
    <x v="0"/>
    <x v="61"/>
    <n v="1470.15"/>
    <s v="High"/>
    <n v="2593.7800000000002"/>
    <n v="0.11"/>
    <n v="12"/>
    <x v="61"/>
    <n v="17641.800000000003"/>
    <n v="-10386.342000000002"/>
    <n v="-1.4315212078961799"/>
  </r>
  <r>
    <s v="ORD-2025-526650"/>
    <d v="2025-04-27T00:00:00"/>
    <d v="2025-05-25T00:00:00"/>
    <n v="28"/>
    <s v="Apr-2025"/>
    <s v="Q2-2025"/>
    <s v="Europe"/>
    <s v="France"/>
    <s v="Paris"/>
    <s v="Small Business"/>
    <s v="Marketplace"/>
    <s v="I. Johnson"/>
    <x v="3"/>
    <x v="62"/>
    <n v="603.45000000000005"/>
    <s v="High"/>
    <n v="1244.08"/>
    <n v="0.2"/>
    <n v="11"/>
    <x v="62"/>
    <n v="6637.9500000000007"/>
    <n v="3129.3459999999995"/>
    <n v="0.32039020830330106"/>
  </r>
  <r>
    <s v="ORD-2024-247979"/>
    <d v="2024-11-02T00:00:00"/>
    <d v="2024-11-18T00:00:00"/>
    <n v="16"/>
    <s v="Nov-2024"/>
    <s v="Q4-2024"/>
    <s v="Asia"/>
    <s v="India"/>
    <s v="Mumbai"/>
    <s v="Small Business"/>
    <s v="Distributor"/>
    <s v="O. Wang"/>
    <x v="5"/>
    <x v="63"/>
    <n v="1233.58"/>
    <s v="High"/>
    <n v="1912.51"/>
    <n v="0.255"/>
    <n v="51"/>
    <x v="63"/>
    <n v="62912.579999999994"/>
    <n v="-59737.337849999996"/>
    <n v="-18.813474698299782"/>
  </r>
  <r>
    <s v="ORD-2023-480975"/>
    <d v="2023-02-15T00:00:00"/>
    <d v="2023-02-26T00:00:00"/>
    <n v="11"/>
    <s v="Feb-2023"/>
    <s v="Q1-2023"/>
    <s v="Africa"/>
    <s v="South Africa"/>
    <s v="Johannesburg"/>
    <s v="Non-Profit"/>
    <s v="Retail"/>
    <s v="K. Singh"/>
    <x v="4"/>
    <x v="64"/>
    <n v="498.5"/>
    <s v="High"/>
    <n v="755.87"/>
    <n v="0.13"/>
    <n v="40"/>
    <x v="64"/>
    <n v="19940"/>
    <n v="24753.64"/>
    <n v="0.55385150996875621"/>
  </r>
  <r>
    <s v="ORD-2023-239789"/>
    <d v="2023-12-03T00:00:00"/>
    <d v="2023-12-26T00:00:00"/>
    <n v="23"/>
    <s v="Dec-2023"/>
    <s v="Q4-2023"/>
    <s v="Americas"/>
    <s v="Brazil"/>
    <s v="Rio de Janeiro"/>
    <s v="Education"/>
    <s v="Retail"/>
    <s v="O. Wang"/>
    <x v="3"/>
    <x v="65"/>
    <n v="1303.1099999999999"/>
    <s v="High"/>
    <n v="1145.67"/>
    <n v="0.184"/>
    <n v="13"/>
    <x v="65"/>
    <n v="16940.43"/>
    <n v="-7268.9042399999998"/>
    <n v="-0.75157781929952694"/>
  </r>
  <r>
    <s v="ORD-2023-548874"/>
    <d v="2023-03-19T00:00:00"/>
    <d v="2023-04-09T00:00:00"/>
    <n v="21"/>
    <s v="Mar-2023"/>
    <s v="Q1-2023"/>
    <s v="Europe"/>
    <s v="United Kingdom"/>
    <s v="Manchester"/>
    <s v="Consumer"/>
    <s v="Retail"/>
    <s v="L. Okafor"/>
    <x v="6"/>
    <x v="66"/>
    <n v="1082.17"/>
    <s v="High"/>
    <n v="1234.0999999999999"/>
    <n v="0.189"/>
    <n v="16"/>
    <x v="66"/>
    <n v="17314.72"/>
    <n v="917.46831999999631"/>
    <n v="5.0321349467061474E-2"/>
  </r>
  <r>
    <s v="ORD-2024-347736"/>
    <d v="2024-05-22T00:00:00"/>
    <d v="2024-06-06T00:00:00"/>
    <n v="15"/>
    <s v="May-2024"/>
    <s v="Q2-2024"/>
    <s v="Asia"/>
    <s v="Japan"/>
    <s v="Nagoya"/>
    <s v="Corporate"/>
    <s v="Distributor"/>
    <s v="C. Otieno"/>
    <x v="5"/>
    <x v="67"/>
    <n v="673.88"/>
    <s v="High"/>
    <n v="1228.01"/>
    <n v="0.105"/>
    <n v="13"/>
    <x v="67"/>
    <n v="8760.44"/>
    <n v="2513.1769000000004"/>
    <n v="0.22292551913840536"/>
  </r>
  <r>
    <s v="ORD-2023-749324"/>
    <d v="2023-08-19T00:00:00"/>
    <d v="2023-09-07T00:00:00"/>
    <n v="19"/>
    <s v="Aug-2023"/>
    <s v="Q3-2023"/>
    <s v="Africa"/>
    <s v="South Africa"/>
    <s v="Johannesburg"/>
    <s v="Enterprise"/>
    <s v="Retail"/>
    <s v="D. Smith"/>
    <x v="5"/>
    <x v="68"/>
    <n v="494.61"/>
    <s v="High"/>
    <n v="605.23"/>
    <n v="0.20399999999999999"/>
    <n v="18"/>
    <x v="68"/>
    <n v="8902.98"/>
    <n v="6697.4896800000006"/>
    <n v="0.42931333590464055"/>
  </r>
  <r>
    <s v="ORD-2023-809913"/>
    <d v="2023-04-21T00:00:00"/>
    <d v="2023-05-10T00:00:00"/>
    <n v="19"/>
    <s v="Apr-2023"/>
    <s v="Q2-2023"/>
    <s v="Asia"/>
    <s v="China"/>
    <s v="Shanghai"/>
    <s v="Corporate"/>
    <s v="Retail"/>
    <s v="A. Patel"/>
    <x v="0"/>
    <x v="69"/>
    <n v="882.33"/>
    <s v="High"/>
    <n v="1880.15"/>
    <n v="0.05"/>
    <n v="5"/>
    <x v="69"/>
    <n v="4411.6500000000005"/>
    <n v="7392.0524999999971"/>
    <n v="0.6262486283435218"/>
  </r>
  <r>
    <s v="ORD-2024-287210"/>
    <d v="2024-03-18T00:00:00"/>
    <d v="2024-03-21T00:00:00"/>
    <n v="3"/>
    <s v="Mar-2024"/>
    <s v="Q1-2024"/>
    <s v="Europe"/>
    <s v="Germany"/>
    <s v="Munich"/>
    <s v="Small Business"/>
    <s v="Online"/>
    <s v="M. Rossi"/>
    <x v="6"/>
    <x v="70"/>
    <n v="910.63"/>
    <s v="High"/>
    <n v="1269.4000000000001"/>
    <n v="6.8000000000000005E-2"/>
    <n v="9"/>
    <x v="70"/>
    <n v="8195.67"/>
    <n v="-7955.0182800000002"/>
    <n v="-33.05614553679483"/>
  </r>
  <r>
    <s v="ORD-2025-640677"/>
    <d v="2025-04-09T00:00:00"/>
    <d v="2025-05-06T00:00:00"/>
    <n v="27"/>
    <s v="Apr-2025"/>
    <s v="Q2-2025"/>
    <s v="Americas"/>
    <s v="Brazil"/>
    <s v="Brasília"/>
    <s v="Enterprise"/>
    <s v="Marketplace"/>
    <s v="F. Müller"/>
    <x v="4"/>
    <x v="71"/>
    <n v="264.19"/>
    <s v="High"/>
    <n v="620.92999999999995"/>
    <n v="0.14199999999999999"/>
    <n v="12"/>
    <x v="71"/>
    <n v="3170.2799999999997"/>
    <n v="16357.319520000001"/>
    <n v="0.83765132028885447"/>
  </r>
  <r>
    <s v="ORD-2024-939873"/>
    <d v="2024-04-12T00:00:00"/>
    <d v="2024-05-07T00:00:00"/>
    <n v="25"/>
    <s v="Apr-2024"/>
    <s v="Q2-2024"/>
    <s v="Africa"/>
    <s v="South Africa"/>
    <s v="Johannesburg"/>
    <s v="Education"/>
    <s v="Distributor"/>
    <s v="A. Patel"/>
    <x v="4"/>
    <x v="72"/>
    <n v="1376.51"/>
    <s v="High"/>
    <n v="1455.91"/>
    <n v="0.185"/>
    <n v="17"/>
    <x v="72"/>
    <n v="23400.67"/>
    <n v="-17593.069649999998"/>
    <n v="-3.0293182364037841"/>
  </r>
  <r>
    <s v="ORD-2024-800947"/>
    <d v="2024-12-15T00:00:00"/>
    <d v="2024-12-20T00:00:00"/>
    <n v="5"/>
    <s v="Dec-2024"/>
    <s v="Q4-2024"/>
    <s v="Asia"/>
    <s v="China"/>
    <s v="Shenzhen"/>
    <s v="Small Business"/>
    <s v="Direct"/>
    <s v="J. Njeri"/>
    <x v="2"/>
    <x v="73"/>
    <n v="717.55"/>
    <s v="High"/>
    <n v="546.42999999999995"/>
    <n v="4.7E-2"/>
    <n v="18"/>
    <x v="73"/>
    <n v="12915.9"/>
    <n v="21412.170179999994"/>
    <n v="0.62375106050893059"/>
  </r>
  <r>
    <s v="ORD-2023-382272"/>
    <d v="2023-05-20T00:00:00"/>
    <d v="2023-05-18T00:00:00"/>
    <n v="2"/>
    <s v="May-2023"/>
    <s v="Q2-2023"/>
    <s v="Africa"/>
    <s v="South Africa"/>
    <s v="Durban"/>
    <s v="Corporate"/>
    <s v="Distributor"/>
    <s v="A. Patel"/>
    <x v="0"/>
    <x v="74"/>
    <n v="917.88"/>
    <s v="High"/>
    <n v="1347.92"/>
    <n v="0.34300000000000003"/>
    <n v="5"/>
    <x v="74"/>
    <n v="4589.3999999999996"/>
    <n v="5609.5723500000004"/>
    <n v="0.55001348738826616"/>
  </r>
  <r>
    <s v="ORD-2023-722117"/>
    <d v="2023-09-18T00:00:00"/>
    <d v="2023-10-08T00:00:00"/>
    <n v="20"/>
    <s v="Sept-2023"/>
    <s v="Q3-2023"/>
    <s v="Asia"/>
    <s v="India"/>
    <s v="Delhi"/>
    <s v="Small Business"/>
    <s v="Direct"/>
    <s v="B. Chen"/>
    <x v="0"/>
    <x v="75"/>
    <n v="825.64"/>
    <s v="High"/>
    <n v="1108.43"/>
    <n v="0.114"/>
    <n v="7"/>
    <x v="75"/>
    <n v="5779.48"/>
    <n v="-3706.2754399999994"/>
    <n v="-1.7877036890175464"/>
  </r>
  <r>
    <s v="ORD-2024-446699"/>
    <d v="2024-08-28T00:00:00"/>
    <d v="2024-09-25T00:00:00"/>
    <n v="28"/>
    <s v="Aug-2024"/>
    <s v="Q3-2024"/>
    <s v="Americas"/>
    <s v="Brazil"/>
    <s v="Rio de Janeiro"/>
    <s v="Non-Profit"/>
    <s v="Online"/>
    <s v="Not Provided"/>
    <x v="6"/>
    <x v="76"/>
    <n v="1394.65"/>
    <s v="High"/>
    <n v="3144.1"/>
    <n v="0.13400000000000001"/>
    <n v="13"/>
    <x v="76"/>
    <n v="18130.45"/>
    <n v="3854.5101399999985"/>
    <n v="0.17532486370020767"/>
  </r>
  <r>
    <s v="ORD-2024-451005"/>
    <d v="2024-06-30T00:00:00"/>
    <d v="2024-06-28T00:00:00"/>
    <n v="2"/>
    <s v="Jun-2024"/>
    <s v="Q2-2024"/>
    <s v="Americas"/>
    <s v="Brazil"/>
    <s v="Rio de Janeiro"/>
    <s v="Small Business"/>
    <s v="Direct"/>
    <s v="L. Okafor"/>
    <x v="6"/>
    <x v="77"/>
    <n v="1112.98"/>
    <s v="High"/>
    <n v="2095.73"/>
    <n v="7.1999999999999995E-2"/>
    <n v="17"/>
    <x v="77"/>
    <n v="18920.66"/>
    <n v="-15098.292959999999"/>
    <n v="-3.9499851275402365"/>
  </r>
  <r>
    <s v="ORD-2023-290279"/>
    <d v="2023-06-14T00:00:00"/>
    <d v="2023-06-16T00:00:00"/>
    <n v="2"/>
    <s v="Jun-2023"/>
    <s v="Q2-2023"/>
    <s v="Europe"/>
    <s v="United Kingdom"/>
    <s v="Manchester"/>
    <s v="Non-Profit"/>
    <s v="Direct"/>
    <s v="K. Singh"/>
    <x v="0"/>
    <x v="78"/>
    <n v="357.36"/>
    <s v="High"/>
    <n v="703.62"/>
    <n v="0.25700000000000001"/>
    <n v="20"/>
    <x v="78"/>
    <n v="7147.2000000000007"/>
    <n v="36970.208199999994"/>
    <n v="0.83799592288832592"/>
  </r>
  <r>
    <s v="ORD-2024-192263"/>
    <d v="2024-11-21T00:00:00"/>
    <d v="2024-12-21T00:00:00"/>
    <n v="0"/>
    <s v="Nov-2024"/>
    <s v="Q4-2024"/>
    <s v="Europe"/>
    <s v="France"/>
    <s v="Marseille"/>
    <s v="Small Business"/>
    <s v="Direct"/>
    <s v="I. Johnson"/>
    <x v="5"/>
    <x v="79"/>
    <n v="1122.68"/>
    <s v="High"/>
    <n v="1997.19"/>
    <n v="0.186"/>
    <n v="3"/>
    <x v="79"/>
    <n v="3368.04"/>
    <n v="36.840599999999995"/>
    <n v="1.081993888420052E-2"/>
  </r>
  <r>
    <s v="ORD-2023-159379"/>
    <d v="2023-02-08T00:00:00"/>
    <d v="2023-02-11T00:00:00"/>
    <n v="3"/>
    <s v="Feb-2023"/>
    <s v="Q1-2023"/>
    <s v="Africa"/>
    <s v="South Africa"/>
    <s v="Cape Town"/>
    <s v="Corporate"/>
    <s v="Direct"/>
    <s v="M. Rossi"/>
    <x v="2"/>
    <x v="80"/>
    <n v="1410.05"/>
    <s v="High"/>
    <n v="2763.95"/>
    <n v="0.161"/>
    <n v="26"/>
    <x v="80"/>
    <n v="36661.299999999996"/>
    <n v="-36325.146259999994"/>
    <n v="-108.06110995522462"/>
  </r>
  <r>
    <s v="ORD-2023-343322"/>
    <d v="2023-08-19T00:00:00"/>
    <d v="2023-09-12T00:00:00"/>
    <n v="24"/>
    <s v="Aug-2023"/>
    <s v="Q3-2023"/>
    <s v="Americas"/>
    <s v="Canada"/>
    <s v="Vancouver"/>
    <s v="Enterprise"/>
    <s v="Retail"/>
    <s v="I. Johnson"/>
    <x v="1"/>
    <x v="81"/>
    <n v="1183.95"/>
    <s v="High"/>
    <n v="1503.53"/>
    <n v="0.24099999999999999"/>
    <n v="16"/>
    <x v="81"/>
    <n v="18943.2"/>
    <n v="8390.6366400000006"/>
    <n v="0.30696885879976488"/>
  </r>
  <r>
    <s v="ORD-2025-114382"/>
    <d v="2025-05-14T00:00:00"/>
    <d v="2025-05-24T00:00:00"/>
    <n v="10"/>
    <s v="May-2025"/>
    <s v="Q2-2025"/>
    <s v="Europe"/>
    <s v="France"/>
    <s v="Paris"/>
    <s v="Small Business"/>
    <s v="Marketplace"/>
    <s v="K. Singh"/>
    <x v="0"/>
    <x v="82"/>
    <n v="170.39"/>
    <s v="High"/>
    <n v="388.04"/>
    <n v="8.4000000000000005E-2"/>
    <n v="15"/>
    <x v="82"/>
    <n v="2555.85"/>
    <n v="-274.46039999999994"/>
    <n v="-0.12030404627074653"/>
  </r>
  <r>
    <s v="ORD-2025-488349"/>
    <d v="2025-04-23T00:00:00"/>
    <d v="2025-04-22T00:00:00"/>
    <n v="1"/>
    <s v="Apr-2025"/>
    <s v="Q2-2025"/>
    <s v="Americas"/>
    <s v="USA"/>
    <s v="San Francisco"/>
    <s v="Non-Profit"/>
    <s v="Distributor"/>
    <s v="D. Smith"/>
    <x v="5"/>
    <x v="83"/>
    <n v="23.24"/>
    <s v="Low"/>
    <n v="44.57"/>
    <n v="0.215"/>
    <n v="15"/>
    <x v="83"/>
    <n v="348.59999999999997"/>
    <n v="3849.7762500000003"/>
    <n v="0.91696789919674304"/>
  </r>
  <r>
    <s v="ORD-2025-330203"/>
    <d v="2025-03-25T00:00:00"/>
    <d v="2025-04-17T00:00:00"/>
    <n v="23"/>
    <s v="Mar-2025"/>
    <s v="Q1-2025"/>
    <s v="Europe"/>
    <s v="United Kingdom"/>
    <s v="London"/>
    <s v="Consumer"/>
    <s v="Retail"/>
    <s v="H. Kim"/>
    <x v="2"/>
    <x v="84"/>
    <n v="1421.19"/>
    <s v="High"/>
    <n v="1808.26"/>
    <n v="0.104"/>
    <n v="13"/>
    <x v="84"/>
    <n v="18475.47"/>
    <n v="-6535.6876000000011"/>
    <n v="-0.54738749677716081"/>
  </r>
  <r>
    <s v="ORD-2023-841426"/>
    <d v="2023-12-22T00:00:00"/>
    <d v="2023-12-23T00:00:00"/>
    <n v="1"/>
    <s v="Dec-2023"/>
    <s v="Q4-2023"/>
    <s v="Africa"/>
    <s v="South Africa"/>
    <s v="Cape Town"/>
    <s v="Non-Profit"/>
    <s v="Marketplace"/>
    <s v="D. Smith"/>
    <x v="0"/>
    <x v="85"/>
    <n v="1186.18"/>
    <s v="High"/>
    <n v="1285.0899999999999"/>
    <n v="7.0000000000000007E-2"/>
    <n v="11"/>
    <x v="85"/>
    <n v="13047.980000000001"/>
    <n v="5316.6090999999997"/>
    <n v="0.28950329740838032"/>
  </r>
  <r>
    <s v="ORD-2024-594592"/>
    <d v="2024-04-06T00:00:00"/>
    <d v="2024-04-25T00:00:00"/>
    <n v="19"/>
    <s v="Apr-2024"/>
    <s v="Q2-2024"/>
    <s v="Asia"/>
    <s v="China"/>
    <s v="Shanghai"/>
    <s v="Corporate"/>
    <s v="Retail"/>
    <s v="K. Singh"/>
    <x v="0"/>
    <x v="86"/>
    <n v="1366.48"/>
    <s v="High"/>
    <n v="1678.14"/>
    <n v="0.154"/>
    <n v="10"/>
    <x v="86"/>
    <n v="13664.8"/>
    <n v="-13627.8298"/>
    <n v="-368.61661013464897"/>
  </r>
  <r>
    <s v="ORD-2025-863978"/>
    <d v="2025-08-07T00:00:00"/>
    <d v="2025-08-19T00:00:00"/>
    <n v="12"/>
    <s v="Aug-2025"/>
    <s v="Q3-2025"/>
    <s v="Africa"/>
    <s v="Kenya"/>
    <s v="Nakuru"/>
    <s v="Corporate"/>
    <s v="Not Provided"/>
    <s v="M. Rossi"/>
    <x v="0"/>
    <x v="87"/>
    <n v="601.51"/>
    <s v="High"/>
    <n v="679.35"/>
    <n v="0.188"/>
    <n v="3"/>
    <x v="87"/>
    <n v="1804.53"/>
    <n v="-1272.2639999999999"/>
    <n v="-2.3902785449380568"/>
  </r>
  <r>
    <s v="ORD-2024-604471"/>
    <d v="2024-01-21T00:00:00"/>
    <d v="2024-01-25T00:00:00"/>
    <n v="4"/>
    <s v="Jan-2024"/>
    <s v="Q1-2024"/>
    <s v="Asia"/>
    <s v="India"/>
    <s v="Delhi"/>
    <s v="Consumer"/>
    <s v="Direct"/>
    <s v="C. Otieno"/>
    <x v="5"/>
    <x v="88"/>
    <n v="523.70000000000005"/>
    <s v="High"/>
    <n v="1109.92"/>
    <n v="0.03"/>
    <n v="11"/>
    <x v="88"/>
    <n v="5760.7000000000007"/>
    <n v="-3094.5871000000006"/>
    <n v="-1.160711198689298"/>
  </r>
  <r>
    <s v="ORD-2023-258768"/>
    <d v="2023-06-29T00:00:00"/>
    <d v="2023-07-02T00:00:00"/>
    <n v="3"/>
    <s v="Jun-2023"/>
    <s v="Q2-2023"/>
    <s v="Asia"/>
    <s v="Japan"/>
    <s v="Nagoya"/>
    <s v="Education"/>
    <s v="Marketplace"/>
    <s v="F. Müller"/>
    <x v="5"/>
    <x v="89"/>
    <n v="55.65"/>
    <s v="Medium"/>
    <n v="83.57"/>
    <n v="6.6000000000000003E-2"/>
    <n v="8"/>
    <x v="89"/>
    <n v="445.2"/>
    <n v="25232.477439999999"/>
    <n v="0.98266198331059018"/>
  </r>
  <r>
    <s v="ORD-2025-626047"/>
    <d v="2025-04-28T00:00:00"/>
    <d v="2025-05-15T00:00:00"/>
    <n v="17"/>
    <s v="Apr-2025"/>
    <s v="Q2-2025"/>
    <s v="Asia"/>
    <s v="Japan"/>
    <s v="Nagoya"/>
    <s v="Education"/>
    <s v="Direct"/>
    <s v="N. Brown"/>
    <x v="2"/>
    <x v="90"/>
    <n v="691.19"/>
    <s v="High"/>
    <n v="1284.3"/>
    <n v="7.3999999999999996E-2"/>
    <n v="7"/>
    <x v="90"/>
    <n v="4838.33"/>
    <n v="-4491.8670999999995"/>
    <n v="-12.964929578318483"/>
  </r>
  <r>
    <s v="ORD-2025-526752"/>
    <d v="2025-06-09T00:00:00"/>
    <d v="2025-06-25T00:00:00"/>
    <n v="16"/>
    <s v="Jun-2025"/>
    <s v="Q2-2025"/>
    <s v="Asia"/>
    <s v="India"/>
    <s v="Hyderabad"/>
    <s v="Enterprise"/>
    <s v="Distributor"/>
    <s v="M. Rossi"/>
    <x v="3"/>
    <x v="91"/>
    <n v="527.33000000000004"/>
    <s v="High"/>
    <n v="911.72"/>
    <n v="0.14399999999999999"/>
    <n v="25"/>
    <x v="91"/>
    <n v="13183.250000000002"/>
    <n v="61068.33"/>
    <n v="0.82245158958233622"/>
  </r>
  <r>
    <s v="ORD-2023-374486"/>
    <d v="2023-06-24T00:00:00"/>
    <d v="2023-06-23T00:00:00"/>
    <n v="1"/>
    <s v="Jun-2023"/>
    <s v="Q2-2023"/>
    <s v="Americas"/>
    <s v="Brazil"/>
    <s v="Rio de Janeiro"/>
    <s v="Non-Profit"/>
    <s v="Retail"/>
    <s v="E. Garcia"/>
    <x v="1"/>
    <x v="92"/>
    <n v="804.01"/>
    <s v="High"/>
    <n v="1405.07"/>
    <n v="9.6000000000000002E-2"/>
    <n v="8"/>
    <x v="92"/>
    <n v="6432.08"/>
    <n v="-1940.8633600000003"/>
    <n v="-0.43214645731273393"/>
  </r>
  <r>
    <s v="ORD-2024-997336"/>
    <d v="2024-10-04T00:00:00"/>
    <d v="2024-11-02T00:00:00"/>
    <n v="29"/>
    <s v="Oct-2024"/>
    <s v="Q4-2024"/>
    <s v="Africa"/>
    <s v="Nigeria"/>
    <s v="Abuja"/>
    <s v="Corporate"/>
    <s v="Distributor"/>
    <s v="F. Müller"/>
    <x v="6"/>
    <x v="93"/>
    <n v="412.09"/>
    <s v="High"/>
    <n v="968.94"/>
    <n v="9.9000000000000005E-2"/>
    <n v="23"/>
    <x v="93"/>
    <n v="9478.07"/>
    <n v="-7643.87727"/>
    <n v="-4.1674340678473847"/>
  </r>
  <r>
    <s v="ORD-2025-725646"/>
    <d v="2025-09-10T00:00:00"/>
    <d v="2025-09-30T00:00:00"/>
    <n v="20"/>
    <s v="Sept-2025"/>
    <s v="Q3-2025"/>
    <s v="Africa"/>
    <s v="Kenya"/>
    <s v="Mombasa"/>
    <s v="Corporate"/>
    <s v="Direct"/>
    <s v="L. Okafor"/>
    <x v="3"/>
    <x v="94"/>
    <n v="1009.48"/>
    <s v="High"/>
    <n v="1088.81"/>
    <n v="0.16"/>
    <n v="6"/>
    <x v="94"/>
    <n v="6056.88"/>
    <n v="3816.9335999999994"/>
    <n v="0.38657136488782812"/>
  </r>
  <r>
    <s v="ORD-2023-868734"/>
    <d v="2023-04-06T00:00:00"/>
    <d v="2023-04-27T00:00:00"/>
    <n v="21"/>
    <s v="Apr-2023"/>
    <s v="Q2-2023"/>
    <s v="Europe"/>
    <s v="United Kingdom"/>
    <s v="Manchester"/>
    <s v="Enterprise"/>
    <s v="Distributor"/>
    <s v="I. Johnson"/>
    <x v="1"/>
    <x v="95"/>
    <n v="1084.79"/>
    <s v="High"/>
    <n v="2484.9899999999998"/>
    <n v="3.4000000000000002E-2"/>
    <n v="18"/>
    <x v="95"/>
    <n v="19526.22"/>
    <n v="28168.542359999999"/>
    <n v="0.59060032939013052"/>
  </r>
  <r>
    <s v="ORD-2025-262491"/>
    <d v="2025-08-01T00:00:00"/>
    <d v="2025-08-16T00:00:00"/>
    <n v="15"/>
    <s v="Aug-2025"/>
    <s v="Q3-2025"/>
    <s v="Asia"/>
    <s v="India"/>
    <s v="Not Provided"/>
    <s v="Enterprise"/>
    <s v="Direct"/>
    <s v="O. Wang"/>
    <x v="5"/>
    <x v="96"/>
    <n v="24.44"/>
    <s v="Low"/>
    <n v="28.69"/>
    <n v="0.14599999999999999"/>
    <n v="6"/>
    <x v="96"/>
    <n v="146.64000000000001"/>
    <n v="8458.7080800000003"/>
    <n v="0.98295943422197984"/>
  </r>
  <r>
    <s v="ORD-2024-638884"/>
    <d v="2024-05-28T00:00:00"/>
    <d v="2024-05-26T00:00:00"/>
    <n v="2"/>
    <s v="May-2024"/>
    <s v="Q2-2024"/>
    <s v="Africa"/>
    <s v="Nigeria"/>
    <s v="Abuja"/>
    <s v="Enterprise"/>
    <s v="Online"/>
    <s v="F. Müller"/>
    <x v="6"/>
    <x v="97"/>
    <n v="1227.08"/>
    <s v="High"/>
    <n v="1896.62"/>
    <n v="0"/>
    <n v="18"/>
    <x v="97"/>
    <n v="22087.439999999999"/>
    <n v="3722.760000000002"/>
    <n v="0.14423599972104059"/>
  </r>
  <r>
    <s v="ORD-2025-541501"/>
    <d v="2025-07-22T00:00:00"/>
    <d v="2025-08-18T00:00:00"/>
    <n v="27"/>
    <s v="Jul-2025"/>
    <s v="Q3-2025"/>
    <s v="Asia"/>
    <s v="China"/>
    <s v="Shenzhen"/>
    <s v="Non-Profit"/>
    <s v="Marketplace"/>
    <s v="M. Rossi"/>
    <x v="2"/>
    <x v="98"/>
    <n v="547.32000000000005"/>
    <s v="High"/>
    <n v="419.17"/>
    <n v="9.1999999999999998E-2"/>
    <n v="14"/>
    <x v="98"/>
    <n v="7662.4800000000005"/>
    <n v="-4046.8058400000004"/>
    <n v="-1.1192396385630061"/>
  </r>
  <r>
    <s v="ORD-2023-422918"/>
    <d v="2023-02-28T00:00:00"/>
    <d v="2023-03-20T00:00:00"/>
    <n v="20"/>
    <s v="Feb-2023"/>
    <s v="Q1-2023"/>
    <s v="Europe"/>
    <s v="Germany"/>
    <s v="Berlin"/>
    <s v="Small Business"/>
    <s v="Direct"/>
    <s v="H. Kim"/>
    <x v="4"/>
    <x v="99"/>
    <n v="1200.78"/>
    <s v="High"/>
    <n v="2001.17"/>
    <n v="0.29199999999999998"/>
    <n v="18"/>
    <x v="99"/>
    <n v="21614.04"/>
    <n v="-12759.763680000002"/>
    <n v="-1.4410848745682701"/>
  </r>
  <r>
    <s v="ORD-2025-328504"/>
    <d v="2025-01-27T00:00:00"/>
    <d v="2025-02-15T00:00:00"/>
    <n v="19"/>
    <s v="Jan-2025"/>
    <s v="Q1-2025"/>
    <s v="Asia"/>
    <s v="China"/>
    <s v="Shenzhen"/>
    <s v="Non-Profit"/>
    <s v="Direct"/>
    <s v="L. Okafor"/>
    <x v="3"/>
    <x v="100"/>
    <n v="1253.22"/>
    <s v="High"/>
    <n v="3104.71"/>
    <n v="0"/>
    <n v="17"/>
    <x v="100"/>
    <n v="21304.74"/>
    <n v="10117.89"/>
    <n v="0.3219937350883742"/>
  </r>
  <r>
    <s v="ORD-2024-851883"/>
    <d v="2024-01-13T00:00:00"/>
    <d v="2024-01-22T00:00:00"/>
    <n v="9"/>
    <s v="Jan-2024"/>
    <s v="Q1-2024"/>
    <s v="Asia"/>
    <s v="India"/>
    <s v="Mumbai"/>
    <s v="Enterprise"/>
    <s v="Marketplace"/>
    <s v="J. Njeri"/>
    <x v="0"/>
    <x v="101"/>
    <n v="313.60000000000002"/>
    <s v="High"/>
    <n v="334.28"/>
    <n v="0.14000000000000001"/>
    <n v="22"/>
    <x v="101"/>
    <n v="6899.2000000000007"/>
    <n v="-6044.2052000000003"/>
    <n v="-7.0692888424584579"/>
  </r>
  <r>
    <s v="ORD-2025-662997"/>
    <d v="2025-03-31T00:00:00"/>
    <d v="2025-04-04T00:00:00"/>
    <n v="4"/>
    <s v="Mar-2025"/>
    <s v="Q1-2025"/>
    <s v="Africa"/>
    <s v="Kenya"/>
    <s v="Nakuru"/>
    <s v="Corporate"/>
    <s v="Direct"/>
    <s v="C. Otieno"/>
    <x v="4"/>
    <x v="102"/>
    <n v="862.08"/>
    <s v="High"/>
    <n v="1952.83"/>
    <n v="0"/>
    <n v="7"/>
    <x v="102"/>
    <n v="6034.56"/>
    <n v="-3506.86"/>
    <n v="-1.3873719191359732"/>
  </r>
  <r>
    <s v="ORD-2024-478165"/>
    <d v="2024-12-05T00:00:00"/>
    <d v="2024-12-28T00:00:00"/>
    <n v="23"/>
    <s v="Dec-2024"/>
    <s v="Q4-2024"/>
    <s v="Americas"/>
    <s v="Canada"/>
    <s v="Vancouver"/>
    <s v="Corporate"/>
    <s v="Direct"/>
    <s v="F. Müller"/>
    <x v="6"/>
    <x v="103"/>
    <n v="107.03"/>
    <s v="High"/>
    <n v="242.29"/>
    <n v="0.18"/>
    <n v="30"/>
    <x v="103"/>
    <n v="3210.9"/>
    <n v="21495.864000000001"/>
    <n v="0.87003963772835646"/>
  </r>
  <r>
    <s v="ORD-2024-771210"/>
    <d v="2024-09-14T00:00:00"/>
    <d v="2024-10-05T00:00:00"/>
    <n v="21"/>
    <s v="Sept-2024"/>
    <s v="Q3-2024"/>
    <s v="Asia"/>
    <s v="China"/>
    <s v="Shanghai"/>
    <s v="Small Business"/>
    <s v="Online"/>
    <s v="H. Kim"/>
    <x v="4"/>
    <x v="104"/>
    <n v="1405.56"/>
    <s v="High"/>
    <n v="2968.87"/>
    <n v="0.16900000000000001"/>
    <n v="5"/>
    <x v="104"/>
    <n v="7027.7999999999993"/>
    <n v="-2757.5818499999996"/>
    <n v="-0.64577072016800818"/>
  </r>
  <r>
    <s v="ORD-2024-155337"/>
    <d v="2024-05-21T00:00:00"/>
    <d v="2024-05-27T00:00:00"/>
    <n v="6"/>
    <s v="May-2024"/>
    <s v="Q2-2024"/>
    <s v="Africa"/>
    <s v="South Africa"/>
    <s v="Johannesburg"/>
    <s v="Non-Profit"/>
    <s v="Online"/>
    <s v="M. Rossi"/>
    <x v="0"/>
    <x v="105"/>
    <n v="1157.51"/>
    <s v="High"/>
    <n v="1394.3"/>
    <n v="0.27800000000000002"/>
    <n v="12"/>
    <x v="105"/>
    <n v="13890.119999999999"/>
    <n v="-9834.5882399999991"/>
    <n v="-2.4249811916156712"/>
  </r>
  <r>
    <s v="ORD-2023-251563"/>
    <d v="2023-05-11T00:00:00"/>
    <d v="2023-06-07T00:00:00"/>
    <n v="27"/>
    <s v="May-2023"/>
    <s v="Q2-2023"/>
    <s v="Africa"/>
    <s v="Kenya"/>
    <s v="Mombasa"/>
    <s v="Corporate"/>
    <s v="Online"/>
    <s v="J. Njeri"/>
    <x v="3"/>
    <x v="106"/>
    <n v="12.85"/>
    <s v="Low"/>
    <n v="15.41"/>
    <n v="0.13700000000000001"/>
    <n v="39"/>
    <x v="106"/>
    <n v="501.15"/>
    <n v="21982.399139999998"/>
    <n v="0.97771036961827273"/>
  </r>
  <r>
    <s v="ORD-2024-286833"/>
    <d v="2024-08-14T00:00:00"/>
    <d v="2024-09-04T00:00:00"/>
    <n v="21"/>
    <s v="Aug-2024"/>
    <s v="Q3-2024"/>
    <s v="Europe"/>
    <s v="United Kingdom"/>
    <s v="Manchester"/>
    <s v="Non-Profit"/>
    <s v="Online"/>
    <s v="J. Njeri"/>
    <x v="3"/>
    <x v="107"/>
    <n v="1138.8"/>
    <s v="High"/>
    <n v="2250.81"/>
    <n v="0.123"/>
    <n v="12"/>
    <x v="107"/>
    <n v="13665.599999999999"/>
    <n v="-8011.3705199999986"/>
    <n v="-1.4168810353979475"/>
  </r>
  <r>
    <s v="ORD-2024-792558"/>
    <d v="2024-10-16T00:00:00"/>
    <d v="2024-11-08T00:00:00"/>
    <n v="23"/>
    <s v="Oct-2024"/>
    <s v="Q4-2024"/>
    <s v="Asia"/>
    <s v="Japan"/>
    <s v="Osaka"/>
    <s v="Small Business"/>
    <s v="Retail"/>
    <s v="J. Njeri"/>
    <x v="2"/>
    <x v="108"/>
    <n v="82.14"/>
    <s v="Medium"/>
    <n v="166.04"/>
    <n v="0"/>
    <n v="10"/>
    <x v="108"/>
    <n v="821.4"/>
    <n v="4905.7000000000007"/>
    <n v="0.85657662691414516"/>
  </r>
  <r>
    <s v="ORD-2024-166150"/>
    <d v="2024-06-02T00:00:00"/>
    <d v="2024-06-08T00:00:00"/>
    <n v="6"/>
    <s v="Jun-2024"/>
    <s v="Q2-2024"/>
    <s v="Africa"/>
    <s v="Kenya"/>
    <s v="Kisumu"/>
    <s v="Consumer"/>
    <s v="Marketplace"/>
    <s v="A. Patel"/>
    <x v="6"/>
    <x v="109"/>
    <n v="292.94"/>
    <s v="High"/>
    <n v="356.55"/>
    <n v="0.22900000000000001"/>
    <n v="2"/>
    <x v="109"/>
    <n v="585.88"/>
    <n v="2997.5275399999996"/>
    <n v="0.83650199050482543"/>
  </r>
  <r>
    <s v="ORD-2024-909942"/>
    <d v="2024-06-09T00:00:00"/>
    <d v="2024-07-07T00:00:00"/>
    <n v="28"/>
    <s v="Jun-2024"/>
    <s v="Q2-2024"/>
    <s v="Asia"/>
    <s v="China"/>
    <s v="Shenzhen"/>
    <s v="Corporate"/>
    <s v="Online"/>
    <s v="J. Njeri"/>
    <x v="0"/>
    <x v="110"/>
    <n v="550.22"/>
    <s v="High"/>
    <n v="1025.05"/>
    <n v="0"/>
    <n v="27"/>
    <x v="110"/>
    <n v="14855.94"/>
    <n v="29182.14"/>
    <n v="0.66265695507161071"/>
  </r>
  <r>
    <s v="ORD-2024-223618"/>
    <d v="2024-06-10T00:00:00"/>
    <d v="2024-06-11T00:00:00"/>
    <n v="1"/>
    <s v="Jun-2024"/>
    <s v="Q2-2024"/>
    <s v="Europe"/>
    <s v="United Kingdom"/>
    <s v="Birmingham"/>
    <s v="Small Business"/>
    <s v="Marketplace"/>
    <s v="M. Rossi"/>
    <x v="4"/>
    <x v="111"/>
    <n v="1187.1300000000001"/>
    <s v="High"/>
    <n v="1795.17"/>
    <n v="1.2E-2"/>
    <n v="17"/>
    <x v="111"/>
    <n v="20181.210000000003"/>
    <n v="-13575.175240000002"/>
    <n v="-2.0549657598229172"/>
  </r>
  <r>
    <s v="ORD-2024-919471"/>
    <d v="2024-06-29T00:00:00"/>
    <d v="2024-07-26T00:00:00"/>
    <n v="27"/>
    <s v="Jun-2024"/>
    <s v="Q2-2024"/>
    <s v="Africa"/>
    <s v="South Africa"/>
    <s v="Durban"/>
    <s v="Enterprise"/>
    <s v="Distributor"/>
    <s v="B. Chen"/>
    <x v="2"/>
    <x v="112"/>
    <n v="5.36"/>
    <s v="Low"/>
    <n v="4.37"/>
    <n v="0.11799999999999999"/>
    <n v="9"/>
    <x v="112"/>
    <n v="48.24"/>
    <n v="14685.958080000002"/>
    <n v="0.99672598401771995"/>
  </r>
  <r>
    <s v="ORD-2025-649239"/>
    <d v="2025-01-17T00:00:00"/>
    <d v="2025-01-24T00:00:00"/>
    <n v="7"/>
    <s v="Jan-2025"/>
    <s v="Q1-2025"/>
    <s v="Americas"/>
    <s v="USA"/>
    <s v="Austin"/>
    <s v="Enterprise"/>
    <s v="Online"/>
    <s v="G. Dubois"/>
    <x v="6"/>
    <x v="113"/>
    <n v="142.09"/>
    <s v="High"/>
    <n v="218.5"/>
    <n v="0.11899999999999999"/>
    <n v="11"/>
    <x v="113"/>
    <n v="1562.99"/>
    <n v="-740.22409999999991"/>
    <n v="-0.89967766043779862"/>
  </r>
  <r>
    <s v="ORD-2023-975863"/>
    <d v="2023-11-20T00:00:00"/>
    <d v="2023-12-05T00:00:00"/>
    <n v="15"/>
    <s v="Nov-2023"/>
    <s v="Q4-2023"/>
    <s v="Asia"/>
    <s v="Japan"/>
    <s v="Tokyo"/>
    <s v="Enterprise"/>
    <s v="Retail"/>
    <s v="L. Okafor"/>
    <x v="2"/>
    <x v="114"/>
    <n v="354.24"/>
    <s v="High"/>
    <n v="249.87"/>
    <n v="0"/>
    <n v="6"/>
    <x v="114"/>
    <n v="2125.44"/>
    <n v="11387.999999999998"/>
    <n v="0.84271658437821895"/>
  </r>
  <r>
    <s v="ORD-2023-869884"/>
    <d v="2023-03-02T00:00:00"/>
    <d v="2023-03-05T00:00:00"/>
    <n v="3"/>
    <s v="Mar-2023"/>
    <s v="Q1-2023"/>
    <s v="Americas"/>
    <s v="Brazil"/>
    <s v="Brasília"/>
    <s v="Enterprise"/>
    <s v="Direct"/>
    <s v="G. Dubois"/>
    <x v="5"/>
    <x v="115"/>
    <n v="1473.58"/>
    <s v="High"/>
    <n v="3436.52"/>
    <n v="0.108"/>
    <n v="8"/>
    <x v="115"/>
    <n v="11788.64"/>
    <n v="-5211.959679999999"/>
    <n v="-0.79249095689662452"/>
  </r>
  <r>
    <s v="ORD-2025-698069"/>
    <d v="2025-06-03T00:00:00"/>
    <d v="2025-06-10T00:00:00"/>
    <n v="7"/>
    <s v="Jun-2025"/>
    <s v="Q2-2025"/>
    <s v="Americas"/>
    <s v="Canada"/>
    <s v="Toronto"/>
    <s v="Consumer"/>
    <s v="Distributor"/>
    <s v="O. Wang"/>
    <x v="1"/>
    <x v="116"/>
    <n v="75.180000000000007"/>
    <s v="Medium"/>
    <n v="53.45"/>
    <n v="0.157"/>
    <n v="17"/>
    <x v="116"/>
    <n v="1278.0600000000002"/>
    <n v="22270.352579999999"/>
    <n v="0.94572627791117114"/>
  </r>
  <r>
    <s v="ORD-2024-474999"/>
    <d v="2024-12-27T00:00:00"/>
    <d v="2025-01-02T00:00:00"/>
    <n v="6"/>
    <s v="Dec-2024"/>
    <s v="Q4-2024"/>
    <s v="Europe"/>
    <s v="Germany"/>
    <s v="Frankfurt"/>
    <s v="Education"/>
    <s v="Direct"/>
    <s v="F. Müller"/>
    <x v="4"/>
    <x v="117"/>
    <n v="1391.99"/>
    <s v="High"/>
    <n v="3469.7"/>
    <n v="0.184"/>
    <n v="23"/>
    <x v="117"/>
    <n v="32015.77"/>
    <n v="-4479.923439999995"/>
    <n v="-0.16269423314218215"/>
  </r>
  <r>
    <s v="ORD-2023-427304"/>
    <d v="2023-06-09T00:00:00"/>
    <d v="2023-06-19T00:00:00"/>
    <n v="10"/>
    <s v="Jun-2023"/>
    <s v="Q2-2023"/>
    <s v="Asia"/>
    <s v="China"/>
    <s v="Beijing"/>
    <s v="Enterprise"/>
    <s v="Retail"/>
    <s v="F. Müller"/>
    <x v="5"/>
    <x v="118"/>
    <n v="339.61"/>
    <s v="High"/>
    <n v="621.02"/>
    <n v="7.0999999999999994E-2"/>
    <n v="10"/>
    <x v="118"/>
    <n v="3396.1000000000004"/>
    <n v="5882.3804"/>
    <n v="0.63398101266668616"/>
  </r>
  <r>
    <s v="ORD-2025-956101"/>
    <d v="2025-07-09T00:00:00"/>
    <d v="2025-07-18T00:00:00"/>
    <n v="9"/>
    <s v="Jul-2025"/>
    <s v="Q3-2025"/>
    <s v="Americas"/>
    <s v="Canada"/>
    <s v="Vancouver"/>
    <s v="Education"/>
    <s v="Distributor"/>
    <s v="I. Johnson"/>
    <x v="4"/>
    <x v="119"/>
    <n v="57.96"/>
    <s v="Medium"/>
    <n v="88.51"/>
    <n v="4.2999999999999997E-2"/>
    <n v="7"/>
    <x v="119"/>
    <n v="405.72"/>
    <n v="3819.4732799999992"/>
    <n v="0.90397599041907017"/>
  </r>
  <r>
    <s v="ORD-2025-184082"/>
    <d v="2025-06-19T00:00:00"/>
    <d v="2025-07-12T00:00:00"/>
    <n v="23"/>
    <s v="Jun-2025"/>
    <s v="Q2-2025"/>
    <s v="Europe"/>
    <s v="United Kingdom"/>
    <s v="Not Provided"/>
    <s v="Non-Profit"/>
    <s v="Direct"/>
    <s v="Not Provided"/>
    <x v="2"/>
    <x v="120"/>
    <n v="801.24"/>
    <s v="High"/>
    <n v="1959.09"/>
    <n v="0.123"/>
    <n v="23"/>
    <x v="120"/>
    <n v="18428.52"/>
    <n v="-3731.7276900000015"/>
    <n v="-0.25391443325091134"/>
  </r>
  <r>
    <s v="ORD-2023-576840"/>
    <d v="2023-11-19T00:00:00"/>
    <d v="2023-12-13T00:00:00"/>
    <n v="24"/>
    <s v="Nov-2023"/>
    <s v="Q4-2023"/>
    <s v="Europe"/>
    <s v="France"/>
    <s v="Lyon"/>
    <s v="Non-Profit"/>
    <s v="Direct"/>
    <s v="H. Kim"/>
    <x v="5"/>
    <x v="121"/>
    <n v="1297.42"/>
    <s v="High"/>
    <n v="2742.97"/>
    <n v="6.9000000000000006E-2"/>
    <n v="9"/>
    <x v="121"/>
    <n v="11676.78"/>
    <n v="-3704.0777100000005"/>
    <n v="-0.46459501123551927"/>
  </r>
  <r>
    <s v="ORD-2023-178249"/>
    <d v="2023-12-29T00:00:00"/>
    <d v="2024-01-20T00:00:00"/>
    <n v="22"/>
    <s v="Dec-2023"/>
    <s v="Q4-2023"/>
    <s v="Africa"/>
    <s v="Kenya"/>
    <s v="Kisumu"/>
    <s v="Corporate"/>
    <s v="Direct"/>
    <s v="L. Okafor"/>
    <x v="3"/>
    <x v="122"/>
    <n v="1395.49"/>
    <s v="High"/>
    <n v="1679.42"/>
    <n v="0.20300000000000001"/>
    <n v="12"/>
    <x v="122"/>
    <n v="16745.88"/>
    <n v="-9736.6156800000026"/>
    <n v="-1.3891066502111884"/>
  </r>
  <r>
    <s v="ORD-2024-588972"/>
    <d v="2024-11-02T00:00:00"/>
    <d v="2024-11-29T00:00:00"/>
    <n v="27"/>
    <s v="Nov-2024"/>
    <s v="Q4-2024"/>
    <s v="Americas"/>
    <s v="Brazil"/>
    <s v="Brasília"/>
    <s v="Small Business"/>
    <s v="Direct"/>
    <s v="I. Johnson"/>
    <x v="2"/>
    <x v="123"/>
    <n v="1363.51"/>
    <s v="High"/>
    <n v="1433.9"/>
    <n v="5.7000000000000002E-2"/>
    <n v="8"/>
    <x v="123"/>
    <n v="10908.08"/>
    <n v="7284.4268799999973"/>
    <n v="0.4004080871343883"/>
  </r>
  <r>
    <s v="ORD-2023-603238"/>
    <d v="2023-08-21T00:00:00"/>
    <d v="2023-09-04T00:00:00"/>
    <n v="14"/>
    <s v="Aug-2023"/>
    <s v="Q3-2023"/>
    <s v="Americas"/>
    <s v="Canada"/>
    <s v="Montreal"/>
    <s v="Education"/>
    <s v="Distributor"/>
    <s v="F. Müller"/>
    <x v="0"/>
    <x v="124"/>
    <n v="178.19"/>
    <s v="High"/>
    <n v="284.43"/>
    <n v="8.8999999999999996E-2"/>
    <n v="8"/>
    <x v="124"/>
    <n v="1425.52"/>
    <n v="2716.1775199999997"/>
    <n v="0.65581262438498888"/>
  </r>
  <r>
    <s v="ORD-2023-883066"/>
    <d v="2023-08-12T00:00:00"/>
    <d v="2023-09-06T00:00:00"/>
    <n v="25"/>
    <s v="Aug-2023"/>
    <s v="Q3-2023"/>
    <s v="Asia"/>
    <s v="China"/>
    <s v="Shanghai"/>
    <s v="Small Business"/>
    <s v="Retail"/>
    <s v="B. Chen"/>
    <x v="0"/>
    <x v="125"/>
    <n v="950.77"/>
    <s v="High"/>
    <n v="694.78"/>
    <n v="8.4000000000000005E-2"/>
    <n v="14"/>
    <x v="125"/>
    <n v="13310.779999999999"/>
    <n v="2782.6988000000019"/>
    <n v="0.17290847023081185"/>
  </r>
  <r>
    <s v="ORD-2024-584090"/>
    <d v="2024-06-07T00:00:00"/>
    <d v="2024-06-26T00:00:00"/>
    <n v="19"/>
    <s v="Jun-2024"/>
    <s v="Q2-2024"/>
    <s v="Europe"/>
    <s v="Germany"/>
    <s v="Berlin"/>
    <s v="Non-Profit"/>
    <s v="Marketplace"/>
    <s v="M. Rossi"/>
    <x v="0"/>
    <x v="126"/>
    <n v="1064.32"/>
    <s v="High"/>
    <n v="1848.39"/>
    <n v="7.2999999999999995E-2"/>
    <n v="38"/>
    <x v="126"/>
    <n v="40444.159999999996"/>
    <n v="-10658.815699999996"/>
    <n v="-0.35785437269563458"/>
  </r>
  <r>
    <s v="ORD-2025-537785"/>
    <d v="2025-08-05T00:00:00"/>
    <d v="2025-08-14T00:00:00"/>
    <n v="9"/>
    <s v="Aug-2025"/>
    <s v="Q3-2025"/>
    <s v="Europe"/>
    <s v="United Kingdom"/>
    <s v="London"/>
    <s v="Non-Profit"/>
    <s v="Direct"/>
    <s v="E. Garcia"/>
    <x v="0"/>
    <x v="127"/>
    <n v="41.76"/>
    <s v="Low"/>
    <n v="45.19"/>
    <n v="0.17899999999999999"/>
    <n v="23"/>
    <x v="127"/>
    <n v="960.4799999999999"/>
    <n v="39546.76511"/>
    <n v="0.97628868619942533"/>
  </r>
  <r>
    <s v="ORD-2024-605518"/>
    <d v="2024-05-30T00:00:00"/>
    <d v="2024-06-13T00:00:00"/>
    <n v="14"/>
    <s v="May-2024"/>
    <s v="Q2-2024"/>
    <s v="Americas"/>
    <s v="USA"/>
    <s v="San Francisco"/>
    <s v="Small Business"/>
    <s v="Retail"/>
    <s v="F. Müller"/>
    <x v="3"/>
    <x v="128"/>
    <n v="157.78"/>
    <s v="High"/>
    <n v="361.1"/>
    <n v="0.187"/>
    <n v="9"/>
    <x v="128"/>
    <n v="1420.02"/>
    <n v="8457.4909800000005"/>
    <n v="0.85623706185948478"/>
  </r>
  <r>
    <s v="ORD-2023-521818"/>
    <d v="2023-01-22T00:00:00"/>
    <d v="2023-01-30T00:00:00"/>
    <n v="8"/>
    <s v="Jan-2023"/>
    <s v="Q1-2023"/>
    <s v="Americas"/>
    <s v="USA"/>
    <s v="San Francisco"/>
    <s v="Small Business"/>
    <s v="Online"/>
    <s v="A. Patel"/>
    <x v="2"/>
    <x v="129"/>
    <n v="413.52"/>
    <s v="High"/>
    <n v="1004.34"/>
    <n v="0.111"/>
    <n v="18"/>
    <x v="129"/>
    <n v="7443.36"/>
    <n v="997.3749600000001"/>
    <n v="0.11816209900281008"/>
  </r>
  <r>
    <s v="ORD-2025-650719"/>
    <d v="2025-02-12T00:00:00"/>
    <d v="2025-02-28T00:00:00"/>
    <n v="16"/>
    <s v="Feb-2025"/>
    <s v="Q1-2025"/>
    <s v="Americas"/>
    <s v="Brazil"/>
    <s v="São Paulo"/>
    <s v="Non-Profit"/>
    <s v="Direct"/>
    <s v="B. Chen"/>
    <x v="5"/>
    <x v="130"/>
    <n v="414.95"/>
    <s v="High"/>
    <n v="1027.73"/>
    <n v="6.3E-2"/>
    <n v="8"/>
    <x v="130"/>
    <n v="3319.6"/>
    <n v="7678.3063200000015"/>
    <n v="0.69816073137818835"/>
  </r>
  <r>
    <s v="ORD-2025-501927"/>
    <d v="2025-03-03T00:00:00"/>
    <d v="2025-03-24T00:00:00"/>
    <n v="21"/>
    <s v="Mar-2025"/>
    <s v="Q1-2025"/>
    <s v="Africa"/>
    <s v="Nigeria"/>
    <s v="Abuja"/>
    <s v="Enterprise"/>
    <s v="Direct"/>
    <s v="H. Kim"/>
    <x v="6"/>
    <x v="131"/>
    <n v="555.95000000000005"/>
    <s v="High"/>
    <n v="468.09"/>
    <n v="0.14199999999999999"/>
    <n v="11"/>
    <x v="131"/>
    <n v="6115.4500000000007"/>
    <n v="9468.0093199999992"/>
    <n v="0.60756787858063332"/>
  </r>
  <r>
    <s v="ORD-2023-430904"/>
    <d v="2023-01-27T00:00:00"/>
    <d v="2023-01-31T00:00:00"/>
    <n v="4"/>
    <s v="Jan-2023"/>
    <s v="Q1-2023"/>
    <s v="Europe"/>
    <s v="United Kingdom"/>
    <s v="Manchester"/>
    <s v="Enterprise"/>
    <s v="Online"/>
    <s v="N. Brown"/>
    <x v="4"/>
    <x v="132"/>
    <n v="941.2"/>
    <s v="High"/>
    <n v="668.02"/>
    <n v="0.22"/>
    <n v="16"/>
    <x v="132"/>
    <n v="15059.2"/>
    <n v="9678.4063999999998"/>
    <n v="0.3912426385763822"/>
  </r>
  <r>
    <s v="ORD-2025-354346"/>
    <d v="2025-01-09T00:00:00"/>
    <d v="2025-01-15T00:00:00"/>
    <n v="6"/>
    <s v="Jan-2025"/>
    <s v="Q1-2025"/>
    <s v="Asia"/>
    <s v="China"/>
    <s v="Beijing"/>
    <s v="Education"/>
    <s v="Online"/>
    <s v="C. Otieno"/>
    <x v="3"/>
    <x v="133"/>
    <n v="304.77999999999997"/>
    <s v="High"/>
    <n v="537.27"/>
    <n v="0.187"/>
    <n v="8"/>
    <x v="133"/>
    <n v="2438.2399999999998"/>
    <n v="14161.398879999999"/>
    <n v="0.85311487691833454"/>
  </r>
  <r>
    <s v="ORD-2024-164288"/>
    <d v="2024-12-21T00:00:00"/>
    <d v="2024-12-26T00:00:00"/>
    <n v="5"/>
    <s v="Dec-2024"/>
    <s v="Q4-2024"/>
    <s v="Americas"/>
    <s v="USA"/>
    <s v="San Francisco"/>
    <s v="Consumer"/>
    <s v="Marketplace"/>
    <s v="M. Rossi"/>
    <x v="1"/>
    <x v="134"/>
    <n v="699.57"/>
    <s v="High"/>
    <n v="572.71"/>
    <n v="0.192"/>
    <n v="26"/>
    <x v="134"/>
    <n v="18188.82"/>
    <n v="-7201.4259199999997"/>
    <n v="-0.65542619729172391"/>
  </r>
  <r>
    <s v="ORD-2023-867285"/>
    <d v="2023-04-12T00:00:00"/>
    <d v="2023-04-17T00:00:00"/>
    <n v="5"/>
    <s v="Apr-2023"/>
    <s v="Q2-2023"/>
    <s v="Europe"/>
    <s v="France"/>
    <s v="Lyon"/>
    <s v="Enterprise"/>
    <s v="Direct"/>
    <s v="E. Garcia"/>
    <x v="5"/>
    <x v="135"/>
    <n v="1087.81"/>
    <s v="High"/>
    <n v="2323.87"/>
    <n v="9.4E-2"/>
    <n v="13"/>
    <x v="135"/>
    <n v="14141.529999999999"/>
    <n v="200.65838000000076"/>
    <n v="1.399077844213902E-2"/>
  </r>
  <r>
    <s v="ORD-2024-836421"/>
    <d v="2024-12-14T00:00:00"/>
    <d v="2025-01-12T00:00:00"/>
    <n v="29"/>
    <s v="Dec-2024"/>
    <s v="Q4-2024"/>
    <s v="Asia"/>
    <s v="China"/>
    <s v="Shenzhen"/>
    <s v="Education"/>
    <s v="Online"/>
    <s v="J. Njeri"/>
    <x v="0"/>
    <x v="136"/>
    <n v="1412.15"/>
    <s v="High"/>
    <n v="1631.04"/>
    <n v="8.9999999999999993E-3"/>
    <n v="6"/>
    <x v="136"/>
    <n v="8472.9000000000015"/>
    <n v="-483.6165600000013"/>
    <n v="-6.0533158403002073E-2"/>
  </r>
  <r>
    <s v="ORD-2023-613287"/>
    <d v="2023-03-31T00:00:00"/>
    <d v="2023-04-12T00:00:00"/>
    <n v="12"/>
    <s v="Mar-2023"/>
    <s v="Q1-2023"/>
    <s v="Africa"/>
    <s v="Kenya"/>
    <s v="Mombasa"/>
    <s v="Small Business"/>
    <s v="Online"/>
    <s v="C. Otieno"/>
    <x v="3"/>
    <x v="137"/>
    <n v="304.22000000000003"/>
    <s v="High"/>
    <n v="393.31"/>
    <n v="0.26500000000000001"/>
    <n v="15"/>
    <x v="137"/>
    <n v="4563.3"/>
    <n v="-1237.0575000000003"/>
    <n v="-0.3719083921271526"/>
  </r>
  <r>
    <s v="ORD-2024-783321"/>
    <d v="2024-11-20T00:00:00"/>
    <d v="2024-12-15T00:00:00"/>
    <n v="25"/>
    <s v="Nov-2024"/>
    <s v="Q4-2024"/>
    <s v="Europe"/>
    <s v="France"/>
    <s v="Paris"/>
    <s v="Corporate"/>
    <s v="Online"/>
    <s v="G. Dubois"/>
    <x v="1"/>
    <x v="138"/>
    <n v="1203.58"/>
    <s v="High"/>
    <n v="1856.16"/>
    <n v="0.129"/>
    <n v="22"/>
    <x v="138"/>
    <n v="26478.76"/>
    <n v="2488.6270200000035"/>
    <n v="8.591133947572753E-2"/>
  </r>
  <r>
    <s v="ORD-2024-232632"/>
    <d v="2024-02-14T00:00:00"/>
    <d v="2024-02-14T00:00:00"/>
    <n v="0"/>
    <s v="Feb-2024"/>
    <s v="Q1-2024"/>
    <s v="Asia"/>
    <s v="China"/>
    <s v="Beijing"/>
    <s v="Corporate"/>
    <s v="Distributor"/>
    <s v="L. Okafor"/>
    <x v="6"/>
    <x v="139"/>
    <n v="65.930000000000007"/>
    <s v="Medium"/>
    <n v="84.9"/>
    <n v="0.25900000000000001"/>
    <n v="23"/>
    <x v="139"/>
    <n v="1516.39"/>
    <n v="33511.065319999994"/>
    <n v="0.95670853088964847"/>
  </r>
  <r>
    <s v="ORD-2023-906481"/>
    <d v="2023-05-02T00:00:00"/>
    <d v="2023-05-18T00:00:00"/>
    <n v="16"/>
    <s v="May-2023"/>
    <s v="Q2-2023"/>
    <s v="Asia"/>
    <s v="India"/>
    <s v="Delhi"/>
    <s v="Small Business"/>
    <s v="Marketplace"/>
    <s v="K. Singh"/>
    <x v="5"/>
    <x v="140"/>
    <n v="1463.92"/>
    <s v="High"/>
    <n v="2252.2399999999998"/>
    <n v="0.11799999999999999"/>
    <n v="44"/>
    <x v="140"/>
    <n v="64412.480000000003"/>
    <n v="-49232.730800000005"/>
    <n v="-3.2433164837795876"/>
  </r>
  <r>
    <s v="ORD-2024-902741"/>
    <d v="2024-12-23T00:00:00"/>
    <d v="2025-01-11T00:00:00"/>
    <n v="19"/>
    <s v="Dec-2024"/>
    <s v="Q4-2024"/>
    <s v="Europe"/>
    <s v="Germany"/>
    <s v="Berlin"/>
    <s v="Education"/>
    <s v="Retail"/>
    <s v="K. Singh"/>
    <x v="3"/>
    <x v="141"/>
    <n v="501.81"/>
    <s v="High"/>
    <n v="921.62"/>
    <n v="0.01"/>
    <n v="9"/>
    <x v="141"/>
    <n v="4516.29"/>
    <n v="11958.0327"/>
    <n v="0.72585883606614066"/>
  </r>
  <r>
    <s v="ORD-2023-912395"/>
    <d v="2023-07-26T00:00:00"/>
    <d v="2023-08-25T00:00:00"/>
    <n v="30"/>
    <s v="Jul-2023"/>
    <s v="Q3-2023"/>
    <s v="Americas"/>
    <s v="USA"/>
    <s v="New York"/>
    <s v="Consumer"/>
    <s v="Retail"/>
    <s v="M. Rossi"/>
    <x v="6"/>
    <x v="142"/>
    <n v="1261.48"/>
    <s v="High"/>
    <n v="1643.18"/>
    <n v="0.151"/>
    <n v="23"/>
    <x v="142"/>
    <n v="29014.04"/>
    <n v="-1762.9398800000054"/>
    <n v="-6.4692429745475011E-2"/>
  </r>
  <r>
    <s v="ORD-2024-389102"/>
    <d v="2024-06-15T00:00:00"/>
    <d v="2024-07-06T00:00:00"/>
    <n v="21"/>
    <s v="Jun-2024"/>
    <s v="Q2-2024"/>
    <s v="Americas"/>
    <s v="Canada"/>
    <s v="Toronto"/>
    <s v="Enterprise"/>
    <s v="Distributor"/>
    <s v="L. Okafor"/>
    <x v="1"/>
    <x v="143"/>
    <n v="817.23"/>
    <s v="High"/>
    <n v="1467.17"/>
    <n v="0.245"/>
    <n v="9"/>
    <x v="143"/>
    <n v="7355.07"/>
    <n v="-3699.0882000000001"/>
    <n v="-1.0117906495048745"/>
  </r>
  <r>
    <s v="ORD-2023-309373"/>
    <d v="2023-07-05T00:00:00"/>
    <d v="2023-07-14T00:00:00"/>
    <n v="9"/>
    <s v="Jul-2023"/>
    <s v="Q3-2023"/>
    <s v="Americas"/>
    <s v="Brazil"/>
    <s v="Brasília"/>
    <s v="Enterprise"/>
    <s v="Direct"/>
    <s v="B. Chen"/>
    <x v="2"/>
    <x v="144"/>
    <n v="578.85"/>
    <s v="High"/>
    <n v="998.76"/>
    <n v="8.2000000000000003E-2"/>
    <n v="28"/>
    <x v="144"/>
    <n v="16207.800000000001"/>
    <n v="15123.319680000002"/>
    <n v="0.4826932402819254"/>
  </r>
  <r>
    <s v="ORD-2023-825495"/>
    <d v="2023-11-30T00:00:00"/>
    <d v="2023-11-29T00:00:00"/>
    <n v="1"/>
    <s v="Nov-2023"/>
    <s v="Q4-2023"/>
    <s v="Africa"/>
    <s v="South Africa"/>
    <s v="Durban"/>
    <s v="Small Business"/>
    <s v="Marketplace"/>
    <s v="E. Garcia"/>
    <x v="4"/>
    <x v="145"/>
    <n v="275.56"/>
    <s v="High"/>
    <n v="630.72"/>
    <n v="0.107"/>
    <n v="23"/>
    <x v="145"/>
    <n v="6337.88"/>
    <n v="36016.002679999998"/>
    <n v="0.85035893762361436"/>
  </r>
  <r>
    <s v="ORD-2025-244832"/>
    <d v="2025-09-11T00:00:00"/>
    <d v="2025-09-28T00:00:00"/>
    <n v="17"/>
    <s v="Sept-2025"/>
    <s v="Q3-2025"/>
    <s v="Africa"/>
    <s v="Kenya"/>
    <s v="Nairobi"/>
    <s v="Non-Profit"/>
    <s v="Distributor"/>
    <s v="J. Njeri"/>
    <x v="4"/>
    <x v="146"/>
    <n v="891.46"/>
    <s v="High"/>
    <n v="728.61"/>
    <n v="0.185"/>
    <n v="6"/>
    <x v="146"/>
    <n v="5348.76"/>
    <n v="-5298.9798000000001"/>
    <n v="-106.44753938312824"/>
  </r>
  <r>
    <s v="ORD-2024-211453"/>
    <d v="2024-04-04T00:00:00"/>
    <d v="2024-04-24T00:00:00"/>
    <n v="20"/>
    <s v="Apr-2024"/>
    <s v="Q2-2024"/>
    <s v="Europe"/>
    <s v="Germany"/>
    <s v="Frankfurt"/>
    <s v="Non-Profit"/>
    <s v="Direct"/>
    <s v="O. Wang"/>
    <x v="6"/>
    <x v="147"/>
    <n v="683.42"/>
    <s v="High"/>
    <n v="951.51"/>
    <n v="0"/>
    <n v="14"/>
    <x v="147"/>
    <n v="9567.8799999999992"/>
    <n v="22376.199999999997"/>
    <n v="0.7004803393930894"/>
  </r>
  <r>
    <s v="ORD-2023-192324"/>
    <d v="2023-09-14T00:00:00"/>
    <d v="2023-09-16T00:00:00"/>
    <n v="2"/>
    <s v="Sept-2023"/>
    <s v="Q3-2023"/>
    <s v="Europe"/>
    <s v="France"/>
    <s v="Lyon"/>
    <s v="Non-Profit"/>
    <s v="Direct"/>
    <s v="B. Chen"/>
    <x v="1"/>
    <x v="148"/>
    <n v="376.83"/>
    <s v="High"/>
    <n v="732.88"/>
    <n v="0.188"/>
    <n v="25"/>
    <x v="148"/>
    <n v="9420.75"/>
    <n v="-4354.4789999999994"/>
    <n v="-0.85950376519534755"/>
  </r>
  <r>
    <s v="ORD-2024-438404"/>
    <d v="2024-09-23T00:00:00"/>
    <d v="2024-10-18T00:00:00"/>
    <n v="25"/>
    <s v="Sept-2024"/>
    <s v="Q3-2024"/>
    <s v="Americas"/>
    <s v="Canada"/>
    <s v="Vancouver"/>
    <s v="Small Business"/>
    <s v="Online"/>
    <s v="N. Brown"/>
    <x v="3"/>
    <x v="149"/>
    <n v="1297"/>
    <s v="High"/>
    <n v="2411.52"/>
    <n v="2.1000000000000001E-2"/>
    <n v="18"/>
    <x v="149"/>
    <n v="23346"/>
    <n v="34366.049999999996"/>
    <n v="0.59547442865051581"/>
  </r>
  <r>
    <s v="ORD-2025-246470"/>
    <d v="2025-04-16T00:00:00"/>
    <d v="2025-05-16T00:00:00"/>
    <n v="0"/>
    <s v="Apr-2025"/>
    <s v="Q2-2025"/>
    <s v="Americas"/>
    <s v="Canada"/>
    <s v="Montreal"/>
    <s v="Enterprise"/>
    <s v="Distributor"/>
    <s v="K. Singh"/>
    <x v="1"/>
    <x v="150"/>
    <n v="763.32"/>
    <s v="High"/>
    <n v="568.29"/>
    <n v="0.13100000000000001"/>
    <n v="16"/>
    <x v="150"/>
    <n v="12213.12"/>
    <n v="14395.79904"/>
    <n v="0.54101404940048248"/>
  </r>
  <r>
    <s v="ORD-2023-497686"/>
    <d v="2023-07-03T00:00:00"/>
    <d v="2023-07-23T00:00:00"/>
    <n v="20"/>
    <s v="Jul-2023"/>
    <s v="Q3-2023"/>
    <s v="Africa"/>
    <s v="South Africa"/>
    <s v="Johannesburg"/>
    <s v="Small Business"/>
    <s v="Distributor"/>
    <s v="F. Müller"/>
    <x v="4"/>
    <x v="151"/>
    <n v="1001.96"/>
    <s v="High"/>
    <n v="1254.95"/>
    <n v="4.4999999999999998E-2"/>
    <n v="18"/>
    <x v="151"/>
    <n v="18035.28"/>
    <n v="-17518.032899999998"/>
    <n v="-33.867822361884677"/>
  </r>
  <r>
    <s v="ORD-2023-596758"/>
    <d v="2023-12-07T00:00:00"/>
    <d v="2023-12-05T00:00:00"/>
    <n v="2"/>
    <s v="Dec-2023"/>
    <s v="Q4-2023"/>
    <s v="Asia"/>
    <s v="Japan"/>
    <s v="Tokyo"/>
    <s v="Non-Profit"/>
    <s v="Marketplace"/>
    <s v="H. Kim"/>
    <x v="1"/>
    <x v="152"/>
    <n v="1097.5899999999999"/>
    <s v="High"/>
    <n v="845.55"/>
    <n v="0.184"/>
    <n v="6"/>
    <x v="152"/>
    <n v="6585.5399999999991"/>
    <n v="-4131.1262399999987"/>
    <n v="-1.6831417372757875"/>
  </r>
  <r>
    <s v="ORD-2024-201376"/>
    <d v="2024-02-18T00:00:00"/>
    <d v="2024-03-04T00:00:00"/>
    <n v="15"/>
    <s v="Feb-2024"/>
    <s v="Q1-2024"/>
    <s v="Africa"/>
    <s v="Kenya"/>
    <s v="Kisumu"/>
    <s v="Education"/>
    <s v="Direct"/>
    <s v="K. Singh"/>
    <x v="1"/>
    <x v="153"/>
    <n v="928.68"/>
    <s v="High"/>
    <n v="2145.17"/>
    <n v="0.13600000000000001"/>
    <n v="16"/>
    <x v="153"/>
    <n v="14858.88"/>
    <n v="-9174.72768"/>
    <n v="-1.6140889904934848"/>
  </r>
  <r>
    <s v="ORD-2023-842488"/>
    <d v="2023-10-31T00:00:00"/>
    <d v="2023-11-02T00:00:00"/>
    <n v="2"/>
    <s v="Oct-2023"/>
    <s v="Q4-2023"/>
    <s v="Africa"/>
    <s v="Kenya"/>
    <s v="Kisumu"/>
    <s v="Education"/>
    <s v="Retail"/>
    <s v="O. Wang"/>
    <x v="6"/>
    <x v="154"/>
    <n v="867.89"/>
    <s v="High"/>
    <n v="1349.94"/>
    <n v="0.184"/>
    <n v="10"/>
    <x v="154"/>
    <n v="8678.9"/>
    <n v="-8630.5928000000004"/>
    <n v="-178.66058889772123"/>
  </r>
  <r>
    <s v="ORD-2024-136321"/>
    <d v="2024-08-07T00:00:00"/>
    <d v="2024-08-17T00:00:00"/>
    <n v="10"/>
    <s v="Aug-2024"/>
    <s v="Q3-2024"/>
    <s v="Asia"/>
    <s v="Japan"/>
    <s v="Osaka"/>
    <s v="Consumer"/>
    <s v="Online"/>
    <s v="K. Singh"/>
    <x v="2"/>
    <x v="155"/>
    <n v="436.58"/>
    <s v="High"/>
    <n v="527.48"/>
    <n v="0.111"/>
    <n v="19"/>
    <x v="155"/>
    <n v="8295.02"/>
    <n v="28977.16733"/>
    <n v="0.77744745897101064"/>
  </r>
  <r>
    <s v="ORD-2024-764468"/>
    <d v="2024-02-01T00:00:00"/>
    <d v="2024-02-21T00:00:00"/>
    <n v="20"/>
    <s v="Feb-2024"/>
    <s v="Q1-2024"/>
    <s v="Europe"/>
    <s v="France"/>
    <s v="Paris"/>
    <s v="Small Business"/>
    <s v="Marketplace"/>
    <s v="A. Patel"/>
    <x v="2"/>
    <x v="156"/>
    <n v="656.2"/>
    <s v="High"/>
    <n v="1467.17"/>
    <n v="1.7999999999999999E-2"/>
    <n v="5"/>
    <x v="156"/>
    <n v="3281"/>
    <n v="6110.848"/>
    <n v="0.65065448248310664"/>
  </r>
  <r>
    <s v="ORD-2024-553449"/>
    <d v="2024-08-27T00:00:00"/>
    <d v="2024-09-18T00:00:00"/>
    <n v="22"/>
    <s v="Aug-2024"/>
    <s v="Q3-2024"/>
    <s v="Asia"/>
    <s v="India"/>
    <s v="Delhi"/>
    <s v="Consumer"/>
    <s v="Direct"/>
    <s v="B. Chen"/>
    <x v="0"/>
    <x v="157"/>
    <n v="896.75"/>
    <s v="High"/>
    <n v="1651.14"/>
    <n v="2.5000000000000001E-2"/>
    <n v="15"/>
    <x v="157"/>
    <n v="13451.25"/>
    <n v="6765.0337499999987"/>
    <n v="0.3346329045267778"/>
  </r>
  <r>
    <s v="ORD-2025-766923"/>
    <d v="2025-02-15T00:00:00"/>
    <d v="2025-02-15T00:00:00"/>
    <n v="0"/>
    <s v="Feb-2025"/>
    <s v="Q1-2025"/>
    <s v="Europe"/>
    <s v="Germany"/>
    <s v="Frankfurt"/>
    <s v="Small Business"/>
    <s v="Marketplace"/>
    <s v="L. Okafor"/>
    <x v="6"/>
    <x v="158"/>
    <n v="815.83"/>
    <s v="High"/>
    <n v="1982.18"/>
    <n v="0.127"/>
    <n v="6"/>
    <x v="158"/>
    <n v="4894.9800000000005"/>
    <n v="2205.705179999999"/>
    <n v="0.31063272403804826"/>
  </r>
  <r>
    <s v="ORD-2025-418232"/>
    <d v="2025-08-01T00:00:00"/>
    <d v="2025-08-21T00:00:00"/>
    <n v="20"/>
    <s v="Aug-2025"/>
    <s v="Q3-2025"/>
    <s v="Asia"/>
    <s v="China"/>
    <s v="Shanghai"/>
    <s v="Corporate"/>
    <s v="Direct"/>
    <s v="I. Johnson"/>
    <x v="3"/>
    <x v="159"/>
    <n v="1220.4100000000001"/>
    <s v="High"/>
    <n v="2552.2199999999998"/>
    <n v="0.18099999999999999"/>
    <n v="14"/>
    <x v="159"/>
    <n v="17085.740000000002"/>
    <n v="-6905.0786000000026"/>
    <n v="-0.6782544206803699"/>
  </r>
  <r>
    <s v="ORD-2023-848013"/>
    <d v="2023-02-20T00:00:00"/>
    <d v="2023-03-04T00:00:00"/>
    <n v="12"/>
    <s v="Feb-2023"/>
    <s v="Q1-2023"/>
    <s v="Asia"/>
    <s v="India"/>
    <s v="Delhi"/>
    <s v="Consumer"/>
    <s v="Distributor"/>
    <s v="M. Rossi"/>
    <x v="5"/>
    <x v="160"/>
    <n v="299.75"/>
    <s v="High"/>
    <n v="523.01"/>
    <n v="0.157"/>
    <n v="50"/>
    <x v="160"/>
    <n v="14987.5"/>
    <n v="28034.583500000001"/>
    <n v="0.65163239943969709"/>
  </r>
  <r>
    <s v="ORD-2024-357368"/>
    <d v="2024-10-30T00:00:00"/>
    <d v="2024-11-24T00:00:00"/>
    <n v="25"/>
    <s v="Oct-2024"/>
    <s v="Q4-2024"/>
    <s v="Asia"/>
    <s v="China"/>
    <s v="Shenzhen"/>
    <s v="Small Business"/>
    <s v="Online"/>
    <s v="E. Garcia"/>
    <x v="0"/>
    <x v="161"/>
    <n v="811.05"/>
    <s v="High"/>
    <n v="1217.71"/>
    <n v="7.1999999999999995E-2"/>
    <n v="5"/>
    <x v="161"/>
    <n v="4055.25"/>
    <n v="2420.0092000000004"/>
    <n v="0.37373163378540897"/>
  </r>
  <r>
    <s v="ORD-2024-219735"/>
    <d v="2024-04-03T00:00:00"/>
    <d v="2024-04-07T00:00:00"/>
    <n v="4"/>
    <s v="Apr-2024"/>
    <s v="Q2-2024"/>
    <s v="Americas"/>
    <s v="Brazil"/>
    <s v="Brasília"/>
    <s v="Non-Profit"/>
    <s v="Direct"/>
    <s v="N. Brown"/>
    <x v="3"/>
    <x v="162"/>
    <n v="1023.27"/>
    <s v="High"/>
    <n v="1343.64"/>
    <n v="0.13300000000000001"/>
    <n v="7"/>
    <x v="162"/>
    <n v="7162.8899999999994"/>
    <n v="6634.4959800000015"/>
    <n v="0.48085166201895302"/>
  </r>
  <r>
    <s v="ORD-2023-240507"/>
    <d v="2023-03-25T00:00:00"/>
    <d v="2023-03-26T00:00:00"/>
    <n v="1"/>
    <s v="Mar-2023"/>
    <s v="Q1-2023"/>
    <s v="Asia"/>
    <s v="Japan"/>
    <s v="Osaka"/>
    <s v="Small Business"/>
    <s v="Distributor"/>
    <s v="I. Johnson"/>
    <x v="5"/>
    <x v="163"/>
    <n v="135.12"/>
    <s v="High"/>
    <n v="301.7"/>
    <n v="0.14000000000000001"/>
    <n v="47"/>
    <x v="163"/>
    <n v="6350.64"/>
    <n v="43857.063000000002"/>
    <n v="0.87351263609888707"/>
  </r>
  <r>
    <s v="ORD-2024-134084"/>
    <d v="2024-06-04T00:00:00"/>
    <d v="2024-06-16T00:00:00"/>
    <n v="12"/>
    <s v="Jun-2024"/>
    <s v="Q2-2024"/>
    <s v="Asia"/>
    <s v="China"/>
    <s v="Shanghai"/>
    <s v="Corporate"/>
    <s v="Retail"/>
    <s v="J. Njeri"/>
    <x v="1"/>
    <x v="164"/>
    <n v="918.42"/>
    <s v="High"/>
    <n v="1511.71"/>
    <n v="0.02"/>
    <n v="8"/>
    <x v="164"/>
    <n v="7347.36"/>
    <n v="2925.3136000000004"/>
    <n v="0.28476652855007489"/>
  </r>
  <r>
    <s v="ORD-2023-884625"/>
    <d v="2023-02-19T00:00:00"/>
    <d v="2023-03-12T00:00:00"/>
    <n v="21"/>
    <s v="Feb-2023"/>
    <s v="Q1-2023"/>
    <s v="Europe"/>
    <s v="Germany"/>
    <s v="Berlin"/>
    <s v="Small Business"/>
    <s v="Direct"/>
    <s v="L. Okafor"/>
    <x v="5"/>
    <x v="165"/>
    <n v="1234.81"/>
    <s v="High"/>
    <n v="2055.2399999999998"/>
    <n v="5.2999999999999999E-2"/>
    <n v="44"/>
    <x v="165"/>
    <n v="54331.64"/>
    <n v="-14028.267"/>
    <n v="-0.34806682309195314"/>
  </r>
  <r>
    <s v="ORD-2023-157993"/>
    <d v="2023-04-18T00:00:00"/>
    <d v="2023-05-18T00:00:00"/>
    <n v="0"/>
    <s v="Apr-2023"/>
    <s v="Q2-2023"/>
    <s v="Asia"/>
    <s v="China"/>
    <s v="Shenzhen"/>
    <s v="Non-Profit"/>
    <s v="Retail"/>
    <s v="H. Kim"/>
    <x v="4"/>
    <x v="166"/>
    <n v="329.03"/>
    <s v="High"/>
    <n v="391.15"/>
    <n v="0.19700000000000001"/>
    <n v="46"/>
    <x v="166"/>
    <n v="15135.38"/>
    <n v="17599.814359999997"/>
    <n v="0.53764196926552166"/>
  </r>
  <r>
    <s v="ORD-2024-329104"/>
    <d v="2024-05-23T00:00:00"/>
    <d v="2024-06-14T00:00:00"/>
    <n v="22"/>
    <s v="May-2024"/>
    <s v="Q2-2024"/>
    <s v="Europe"/>
    <s v="France"/>
    <s v="Marseille"/>
    <s v="Small Business"/>
    <s v="Online"/>
    <s v="N. Brown"/>
    <x v="5"/>
    <x v="167"/>
    <n v="1481.74"/>
    <s v="High"/>
    <n v="1848.97"/>
    <n v="0.254"/>
    <n v="9"/>
    <x v="167"/>
    <n v="13335.66"/>
    <n v="-8027.5044600000001"/>
    <n v="-1.5122963898680333"/>
  </r>
  <r>
    <s v="ORD-2023-304451"/>
    <d v="2023-10-07T00:00:00"/>
    <d v="2023-10-23T00:00:00"/>
    <n v="16"/>
    <s v="Oct-2023"/>
    <s v="Q4-2023"/>
    <s v="Asia"/>
    <s v="India"/>
    <s v="Hyderabad"/>
    <s v="Consumer"/>
    <s v="Retail"/>
    <s v="G. Dubois"/>
    <x v="5"/>
    <x v="168"/>
    <n v="906.81"/>
    <s v="High"/>
    <n v="1395.56"/>
    <n v="0.185"/>
    <n v="6"/>
    <x v="168"/>
    <n v="5440.86"/>
    <n v="-3673.9562999999998"/>
    <n v="-2.079318923832691"/>
  </r>
  <r>
    <s v="ORD-2024-942981"/>
    <d v="2024-10-09T00:00:00"/>
    <d v="2024-11-08T00:00:00"/>
    <n v="30"/>
    <s v="Oct-2024"/>
    <s v="Q4-2024"/>
    <s v="Europe"/>
    <s v="United Kingdom"/>
    <s v="Manchester"/>
    <s v="Small Business"/>
    <s v="Distributor"/>
    <s v="J. Njeri"/>
    <x v="0"/>
    <x v="169"/>
    <n v="343.85"/>
    <s v="High"/>
    <n v="538.04"/>
    <n v="0.13900000000000001"/>
    <n v="5"/>
    <x v="169"/>
    <n v="1719.25"/>
    <n v="6684.2821999999996"/>
    <n v="0.79541340961363838"/>
  </r>
  <r>
    <s v="ORD-2024-605629"/>
    <d v="2024-07-15T00:00:00"/>
    <d v="2024-07-15T00:00:00"/>
    <n v="0"/>
    <s v="Jul-2024"/>
    <s v="Q3-2024"/>
    <s v="Asia"/>
    <s v="Japan"/>
    <s v="Tokyo"/>
    <s v="Small Business"/>
    <s v="Marketplace"/>
    <s v="G. Dubois"/>
    <x v="6"/>
    <x v="170"/>
    <n v="801.77"/>
    <s v="High"/>
    <n v="1218.92"/>
    <n v="0.254"/>
    <n v="16"/>
    <x v="170"/>
    <n v="12828.32"/>
    <n v="5848.6553600000007"/>
    <n v="0.31314788648947495"/>
  </r>
  <r>
    <s v="ORD-2023-450877"/>
    <d v="2023-09-21T00:00:00"/>
    <d v="2023-10-10T00:00:00"/>
    <n v="19"/>
    <s v="Sept-2023"/>
    <s v="Q3-2023"/>
    <s v="Asia"/>
    <s v="Japan"/>
    <s v="Tokyo"/>
    <s v="Education"/>
    <s v="Online"/>
    <s v="D. Smith"/>
    <x v="0"/>
    <x v="171"/>
    <n v="845.63"/>
    <s v="High"/>
    <n v="2062.12"/>
    <n v="0.13400000000000001"/>
    <n v="5"/>
    <x v="171"/>
    <n v="4228.1499999999996"/>
    <n v="-536.65179999999964"/>
    <n v="-0.1453750674996942"/>
  </r>
  <r>
    <s v="ORD-2023-286994"/>
    <d v="2023-02-24T00:00:00"/>
    <d v="2023-03-09T00:00:00"/>
    <n v="13"/>
    <s v="Feb-2023"/>
    <s v="Q1-2023"/>
    <s v="Americas"/>
    <s v="USA"/>
    <s v="New York"/>
    <s v="Enterprise"/>
    <s v="Online"/>
    <s v="M. Rossi"/>
    <x v="0"/>
    <x v="172"/>
    <n v="6.85"/>
    <s v="Low"/>
    <n v="10.18"/>
    <n v="4.7E-2"/>
    <n v="10"/>
    <x v="172"/>
    <n v="68.5"/>
    <n v="13895.713699999998"/>
    <n v="0.99509460385871928"/>
  </r>
  <r>
    <s v="ORD-2025-700847"/>
    <d v="2025-05-21T00:00:00"/>
    <d v="2025-05-19T00:00:00"/>
    <n v="2"/>
    <s v="May-2025"/>
    <s v="Q2-2025"/>
    <s v="Africa"/>
    <s v="South Africa"/>
    <s v="Johannesburg"/>
    <s v="Non-Profit"/>
    <s v="Distributor"/>
    <s v="O. Wang"/>
    <x v="4"/>
    <x v="173"/>
    <n v="1263.8399999999999"/>
    <s v="High"/>
    <n v="2281.7199999999998"/>
    <n v="7.8E-2"/>
    <n v="15"/>
    <x v="173"/>
    <n v="18957.599999999999"/>
    <n v="17625.930899999999"/>
    <n v="0.48179960945213191"/>
  </r>
  <r>
    <s v="ORD-2024-970848"/>
    <d v="2024-05-23T00:00:00"/>
    <d v="2024-06-03T00:00:00"/>
    <n v="11"/>
    <s v="May-2024"/>
    <s v="Q2-2024"/>
    <s v="Africa"/>
    <s v="South Africa"/>
    <s v="Johannesburg"/>
    <s v="Small Business"/>
    <s v="Distributor"/>
    <s v="F. Müller"/>
    <x v="1"/>
    <x v="174"/>
    <n v="180.89"/>
    <s v="High"/>
    <n v="249.57"/>
    <n v="2.1999999999999999E-2"/>
    <n v="8"/>
    <x v="174"/>
    <n v="1447.12"/>
    <n v="5450.2836800000005"/>
    <n v="0.79019351815000627"/>
  </r>
  <r>
    <s v="ORD-2025-845715"/>
    <d v="2025-04-14T00:00:00"/>
    <d v="2025-05-04T00:00:00"/>
    <n v="20"/>
    <s v="Apr-2025"/>
    <s v="Q2-2025"/>
    <s v="Europe"/>
    <s v="United Kingdom"/>
    <s v="Birmingham"/>
    <s v="Enterprise"/>
    <s v="Marketplace"/>
    <s v="K. Singh"/>
    <x v="5"/>
    <x v="175"/>
    <n v="1413.87"/>
    <s v="High"/>
    <n v="3275"/>
    <n v="0.255"/>
    <n v="38"/>
    <x v="175"/>
    <n v="53727.06"/>
    <n v="-36032.177599999995"/>
    <n v="-2.0363050053387188"/>
  </r>
  <r>
    <s v="ORD-2023-664749"/>
    <d v="2023-08-27T00:00:00"/>
    <d v="2023-09-11T00:00:00"/>
    <n v="15"/>
    <s v="Aug-2023"/>
    <s v="Q3-2023"/>
    <s v="Europe"/>
    <s v="United Kingdom"/>
    <s v="London"/>
    <s v="Consumer"/>
    <s v="Marketplace"/>
    <s v="N. Brown"/>
    <x v="1"/>
    <x v="176"/>
    <n v="943.79"/>
    <s v="High"/>
    <n v="1913.76"/>
    <n v="9.0999999999999998E-2"/>
    <n v="9"/>
    <x v="176"/>
    <n v="8494.11"/>
    <n v="-533.66975999999977"/>
    <n v="-6.7040231935715122E-2"/>
  </r>
  <r>
    <s v="ORD-2024-960952"/>
    <d v="2024-02-03T00:00:00"/>
    <d v="2024-02-21T00:00:00"/>
    <n v="18"/>
    <s v="Feb-2024"/>
    <s v="Q1-2024"/>
    <s v="Europe"/>
    <s v="Germany"/>
    <s v="Frankfurt"/>
    <s v="Corporate"/>
    <s v="Retail"/>
    <s v="H. Kim"/>
    <x v="0"/>
    <x v="177"/>
    <n v="39.229999999999997"/>
    <s v="Low"/>
    <n v="30.09"/>
    <n v="0.17699999999999999"/>
    <n v="13"/>
    <x v="177"/>
    <n v="509.98999999999995"/>
    <n v="16023.602659999999"/>
    <n v="0.96915431446222655"/>
  </r>
  <r>
    <s v="ORD-2023-987700"/>
    <d v="2023-04-05T00:00:00"/>
    <d v="2023-04-16T00:00:00"/>
    <n v="11"/>
    <s v="Apr-2023"/>
    <s v="Q2-2023"/>
    <s v="Americas"/>
    <s v="Canada"/>
    <s v="Vancouver"/>
    <s v="Non-Profit"/>
    <s v="Online"/>
    <s v="O. Wang"/>
    <x v="5"/>
    <x v="178"/>
    <n v="213.1"/>
    <s v="High"/>
    <n v="501.31"/>
    <n v="5.6000000000000001E-2"/>
    <n v="15"/>
    <x v="178"/>
    <n v="3196.5"/>
    <n v="28711.927200000002"/>
    <n v="0.89982270263700115"/>
  </r>
  <r>
    <s v="ORD-2025-652467"/>
    <d v="2025-08-21T00:00:00"/>
    <d v="2025-09-12T00:00:00"/>
    <n v="22"/>
    <s v="Aug-2025"/>
    <s v="Q3-2025"/>
    <s v="Asia"/>
    <s v="China"/>
    <s v="Shenzhen"/>
    <s v="Education"/>
    <s v="Retail"/>
    <s v="B. Chen"/>
    <x v="1"/>
    <x v="179"/>
    <n v="352.66"/>
    <s v="High"/>
    <n v="411.18"/>
    <n v="0.17299999999999999"/>
    <n v="13"/>
    <x v="179"/>
    <n v="4584.58"/>
    <n v="21718.386559999999"/>
    <n v="0.82570102921501043"/>
  </r>
  <r>
    <s v="ORD-2025-667201"/>
    <d v="2025-09-15T00:00:00"/>
    <d v="2025-09-18T00:00:00"/>
    <n v="3"/>
    <s v="Sept-2025"/>
    <s v="Q3-2025"/>
    <s v="Americas"/>
    <s v="Brazil"/>
    <s v="Rio de Janeiro"/>
    <s v="Non-Profit"/>
    <s v="Direct"/>
    <s v="L. Okafor"/>
    <x v="6"/>
    <x v="180"/>
    <n v="5.5"/>
    <s v="Low"/>
    <n v="5.92"/>
    <n v="0.21199999999999999"/>
    <n v="4"/>
    <x v="180"/>
    <n v="22"/>
    <n v="571.52160000000003"/>
    <n v="0.96293310976382329"/>
  </r>
  <r>
    <s v="ORD-2024-237478"/>
    <d v="2024-10-03T00:00:00"/>
    <d v="2024-10-11T00:00:00"/>
    <n v="8"/>
    <s v="Oct-2024"/>
    <s v="Q4-2024"/>
    <s v="Asia"/>
    <s v="China"/>
    <s v="Beijing"/>
    <s v="Enterprise"/>
    <s v="Direct"/>
    <s v="B. Chen"/>
    <x v="3"/>
    <x v="181"/>
    <n v="1132.6099999999999"/>
    <s v="High"/>
    <n v="2206.63"/>
    <n v="6.3E-2"/>
    <n v="20"/>
    <x v="181"/>
    <n v="22652.199999999997"/>
    <n v="25375.421600000009"/>
    <n v="0.52835057732694402"/>
  </r>
  <r>
    <s v="ORD-2025-898843"/>
    <d v="2025-02-02T00:00:00"/>
    <d v="2025-03-04T00:00:00"/>
    <n v="2"/>
    <s v="Feb-2025"/>
    <s v="Q1-2025"/>
    <s v="Asia"/>
    <s v="Japan"/>
    <s v="Osaka"/>
    <s v="Education"/>
    <s v="Distributor"/>
    <s v="L. Okafor"/>
    <x v="6"/>
    <x v="182"/>
    <n v="766.59"/>
    <s v="High"/>
    <n v="1912.8"/>
    <n v="0.19600000000000001"/>
    <n v="5"/>
    <x v="182"/>
    <n v="3832.9500000000003"/>
    <n v="3423.5921999999996"/>
    <n v="0.47179388001078526"/>
  </r>
  <r>
    <s v="ORD-2023-334213"/>
    <d v="2023-08-19T00:00:00"/>
    <d v="2023-08-23T00:00:00"/>
    <n v="4"/>
    <s v="Aug-2023"/>
    <s v="Q3-2023"/>
    <s v="Africa"/>
    <s v="Nigeria"/>
    <s v="Abuja"/>
    <s v="Small Business"/>
    <s v="Online"/>
    <s v="J. Njeri"/>
    <x v="5"/>
    <x v="183"/>
    <n v="790.63"/>
    <s v="High"/>
    <n v="1382.31"/>
    <n v="0.10100000000000001"/>
    <n v="7"/>
    <x v="183"/>
    <n v="5534.41"/>
    <n v="7465.2288900000003"/>
    <n v="0.57426432789164961"/>
  </r>
  <r>
    <s v="ORD-2024-640340"/>
    <d v="2024-10-22T00:00:00"/>
    <d v="2024-10-29T00:00:00"/>
    <n v="7"/>
    <s v="Oct-2024"/>
    <s v="Q4-2024"/>
    <s v="Africa"/>
    <s v="Nigeria"/>
    <s v="Port Harcourt"/>
    <s v="Enterprise"/>
    <s v="Distributor"/>
    <s v="M. Rossi"/>
    <x v="5"/>
    <x v="184"/>
    <n v="1023.06"/>
    <s v="High"/>
    <n v="1355.61"/>
    <n v="0.153"/>
    <n v="23"/>
    <x v="184"/>
    <n v="23530.379999999997"/>
    <n v="22571.601310000005"/>
    <n v="0.4896015457171683"/>
  </r>
  <r>
    <s v="ORD-2023-399631"/>
    <d v="2023-06-22T00:00:00"/>
    <d v="2023-07-21T00:00:00"/>
    <n v="29"/>
    <s v="Jun-2023"/>
    <s v="Q2-2023"/>
    <s v="Europe"/>
    <s v="France"/>
    <s v="Lyon"/>
    <s v="Corporate"/>
    <s v="Retail"/>
    <s v="J. Njeri"/>
    <x v="6"/>
    <x v="185"/>
    <n v="734.34"/>
    <s v="High"/>
    <n v="887.9"/>
    <n v="2.5000000000000001E-2"/>
    <n v="12"/>
    <x v="185"/>
    <n v="8812.08"/>
    <n v="-7270.4880000000003"/>
    <n v="-4.7162206342534221"/>
  </r>
  <r>
    <s v="ORD-2025-542939"/>
    <d v="2025-01-13T00:00:00"/>
    <d v="2025-02-08T00:00:00"/>
    <n v="26"/>
    <s v="Jan-2025"/>
    <s v="Q1-2025"/>
    <s v="Europe"/>
    <s v="France"/>
    <s v="Paris"/>
    <s v="Non-Profit"/>
    <s v="Not Provided"/>
    <s v="E. Garcia"/>
    <x v="5"/>
    <x v="186"/>
    <n v="594.74"/>
    <s v="High"/>
    <n v="1020.69"/>
    <n v="0.21099999999999999"/>
    <n v="6"/>
    <x v="186"/>
    <n v="3568.44"/>
    <n v="2751.5446800000004"/>
    <n v="0.43537204903477711"/>
  </r>
  <r>
    <s v="ORD-2023-521818"/>
    <d v="2023-01-29T00:00:00"/>
    <d v="2023-02-28T00:00:00"/>
    <n v="30"/>
    <s v="Jan-2023"/>
    <s v="Q1-2023"/>
    <s v="Asia"/>
    <s v="India"/>
    <s v="Bengaluru"/>
    <s v="Non-Profit"/>
    <s v="Retail"/>
    <s v="B. Chen"/>
    <x v="6"/>
    <x v="187"/>
    <n v="1262.0999999999999"/>
    <s v="High"/>
    <n v="1395.53"/>
    <n v="0.23300000000000001"/>
    <n v="25"/>
    <x v="187"/>
    <n v="31552.499999999996"/>
    <n v="20056.053750000003"/>
    <n v="0.38861879073679723"/>
  </r>
  <r>
    <s v="ORD-2023-825836"/>
    <d v="2023-07-19T00:00:00"/>
    <d v="2023-07-31T00:00:00"/>
    <n v="12"/>
    <s v="Jul-2023"/>
    <s v="Q3-2023"/>
    <s v="Americas"/>
    <s v="Brazil"/>
    <s v="Rio de Janeiro"/>
    <s v="Corporate"/>
    <s v="Retail"/>
    <s v="C. Otieno"/>
    <x v="5"/>
    <x v="188"/>
    <n v="1334.64"/>
    <s v="High"/>
    <n v="2273.42"/>
    <n v="0.11799999999999999"/>
    <n v="14"/>
    <x v="188"/>
    <n v="18684.960000000003"/>
    <n v="-9097.231920000002"/>
    <n v="-0.94884125249409468"/>
  </r>
  <r>
    <s v="ORD-2024-503082"/>
    <d v="2024-05-19T00:00:00"/>
    <d v="2024-06-08T00:00:00"/>
    <n v="20"/>
    <s v="May-2024"/>
    <s v="Q2-2024"/>
    <s v="Americas"/>
    <s v="Brazil"/>
    <s v="Brasília"/>
    <s v="Small Business"/>
    <s v="Retail"/>
    <s v="E. Garcia"/>
    <x v="5"/>
    <x v="189"/>
    <n v="1075.9000000000001"/>
    <s v="High"/>
    <n v="1242.1500000000001"/>
    <n v="1.2E-2"/>
    <n v="7"/>
    <x v="189"/>
    <n v="7531.3000000000011"/>
    <n v="-5330.8362800000014"/>
    <n v="-2.4225967606500691"/>
  </r>
  <r>
    <s v="ORD-2024-760799"/>
    <d v="2024-02-03T00:00:00"/>
    <d v="2024-02-19T00:00:00"/>
    <n v="16"/>
    <s v="Feb-2024"/>
    <s v="Q1-2024"/>
    <s v="Asia"/>
    <s v="China"/>
    <s v="Shenzhen"/>
    <s v="Small Business"/>
    <s v="Online"/>
    <s v="H. Kim"/>
    <x v="4"/>
    <x v="190"/>
    <n v="993.75"/>
    <s v="High"/>
    <n v="1310.29"/>
    <n v="0.215"/>
    <n v="19"/>
    <x v="190"/>
    <n v="18881.25"/>
    <n v="-291.04484999999841"/>
    <n v="-1.5655817009636301E-2"/>
  </r>
  <r>
    <s v="ORD-2023-197661"/>
    <d v="2023-08-08T00:00:00"/>
    <d v="2023-08-22T00:00:00"/>
    <n v="14"/>
    <s v="Aug-2023"/>
    <s v="Q3-2023"/>
    <s v="Europe"/>
    <s v="United Kingdom"/>
    <s v="Birmingham"/>
    <s v="Non-Profit"/>
    <s v="Direct"/>
    <s v="N. Brown"/>
    <x v="5"/>
    <x v="191"/>
    <n v="446.69"/>
    <s v="High"/>
    <n v="967.25"/>
    <n v="9.4E-2"/>
    <n v="10"/>
    <x v="191"/>
    <n v="4466.8999999999996"/>
    <n v="-1323.4423999999995"/>
    <n v="-0.42101487228585471"/>
  </r>
  <r>
    <s v="ORD-2024-212990"/>
    <d v="2024-08-12T00:00:00"/>
    <d v="2024-09-03T00:00:00"/>
    <n v="22"/>
    <s v="Aug-2024"/>
    <s v="Q3-2024"/>
    <s v="Americas"/>
    <s v="USA"/>
    <s v="Austin"/>
    <s v="Consumer"/>
    <s v="Distributor"/>
    <s v="I. Johnson"/>
    <x v="4"/>
    <x v="192"/>
    <n v="797.8"/>
    <s v="High"/>
    <n v="886.22"/>
    <n v="0.23599999999999999"/>
    <n v="36"/>
    <x v="192"/>
    <n v="28720.799999999999"/>
    <n v="-14837.880959999999"/>
    <n v="-1.06878682482038"/>
  </r>
  <r>
    <s v="ORD-2023-925146"/>
    <d v="2023-10-15T00:00:00"/>
    <d v="2023-11-13T00:00:00"/>
    <n v="29"/>
    <s v="Oct-2023"/>
    <s v="Q4-2023"/>
    <s v="Asia"/>
    <s v="China"/>
    <s v="Shenzhen"/>
    <s v="Non-Profit"/>
    <s v="Distributor"/>
    <s v="J. Njeri"/>
    <x v="1"/>
    <x v="193"/>
    <n v="986.44"/>
    <s v="High"/>
    <n v="790.61"/>
    <n v="7.1999999999999995E-2"/>
    <n v="6"/>
    <x v="193"/>
    <n v="5918.64"/>
    <n v="-698.86272000000008"/>
    <n v="-0.13388745965804888"/>
  </r>
  <r>
    <s v="ORD-2023-177794"/>
    <d v="2023-05-04T00:00:00"/>
    <d v="2023-05-26T00:00:00"/>
    <n v="22"/>
    <s v="May-2023"/>
    <s v="Q2-2023"/>
    <s v="Americas"/>
    <s v="USA"/>
    <s v="San Francisco"/>
    <s v="Enterprise"/>
    <s v="Online"/>
    <s v="J. Njeri"/>
    <x v="2"/>
    <x v="194"/>
    <n v="249.71"/>
    <s v="High"/>
    <n v="361.33"/>
    <n v="9.4E-2"/>
    <n v="12"/>
    <x v="194"/>
    <n v="2996.52"/>
    <n v="11143.385759999999"/>
    <n v="0.7880806243789279"/>
  </r>
  <r>
    <s v="ORD-2024-444710"/>
    <d v="2024-09-22T00:00:00"/>
    <d v="2024-10-01T00:00:00"/>
    <n v="9"/>
    <s v="Sept-2024"/>
    <s v="Q3-2024"/>
    <s v="Americas"/>
    <s v="Brazil"/>
    <s v="São Paulo"/>
    <s v="Non-Profit"/>
    <s v="Online"/>
    <s v="K. Singh"/>
    <x v="5"/>
    <x v="195"/>
    <n v="1378.8"/>
    <s v="High"/>
    <n v="1952.04"/>
    <n v="0.159"/>
    <n v="19"/>
    <x v="195"/>
    <n v="26197.200000000001"/>
    <n v="-22551.59115"/>
    <n v="-6.1859601723317077"/>
  </r>
  <r>
    <s v="ORD-2024-668926"/>
    <d v="2024-10-23T00:00:00"/>
    <d v="2024-11-14T00:00:00"/>
    <n v="22"/>
    <s v="Oct-2024"/>
    <s v="Q4-2024"/>
    <s v="Asia"/>
    <s v="Japan"/>
    <s v="Osaka"/>
    <s v="Non-Profit"/>
    <s v="Direct"/>
    <s v="B. Chen"/>
    <x v="3"/>
    <x v="196"/>
    <n v="1406.4"/>
    <s v="High"/>
    <n v="1564.76"/>
    <n v="0.185"/>
    <n v="17"/>
    <x v="196"/>
    <n v="23908.800000000003"/>
    <n v="-17029.515400000004"/>
    <n v="-2.4754776681284567"/>
  </r>
  <r>
    <s v="ORD-2024-968374"/>
    <d v="2024-02-11T00:00:00"/>
    <d v="2024-03-03T00:00:00"/>
    <n v="21"/>
    <s v="Feb-2024"/>
    <s v="Q1-2024"/>
    <s v="Africa"/>
    <s v="Kenya"/>
    <s v="Kisumu"/>
    <s v="Enterprise"/>
    <s v="Online"/>
    <s v="B. Chen"/>
    <x v="3"/>
    <x v="197"/>
    <n v="516.86"/>
    <s v="High"/>
    <n v="852.54"/>
    <n v="5.0999999999999997E-2"/>
    <n v="14"/>
    <x v="197"/>
    <n v="7236.04"/>
    <n v="31840.74319999999"/>
    <n v="0.81482508519278518"/>
  </r>
  <r>
    <s v="ORD-2023-575584"/>
    <d v="2023-01-30T00:00:00"/>
    <d v="2023-02-21T00:00:00"/>
    <n v="22"/>
    <s v="Jan-2023"/>
    <s v="Q1-2023"/>
    <s v="Europe"/>
    <s v="Germany"/>
    <s v="Munich"/>
    <s v="Small Business"/>
    <s v="Marketplace"/>
    <s v="G. Dubois"/>
    <x v="2"/>
    <x v="198"/>
    <n v="1142.8800000000001"/>
    <s v="High"/>
    <n v="1465.29"/>
    <n v="0.186"/>
    <n v="7"/>
    <x v="198"/>
    <n v="8000.1600000000008"/>
    <n v="-1799.5963999999994"/>
    <n v="-0.29023110092766391"/>
  </r>
  <r>
    <s v="ORD-2023-701153"/>
    <d v="2023-04-14T00:00:00"/>
    <d v="2023-05-13T00:00:00"/>
    <n v="29"/>
    <s v="Apr-2023"/>
    <s v="Q2-2023"/>
    <s v="Europe"/>
    <s v="Germany"/>
    <s v="Frankfurt"/>
    <s v="Consumer"/>
    <s v="Direct"/>
    <s v="J. Njeri"/>
    <x v="1"/>
    <x v="199"/>
    <n v="1320.33"/>
    <s v="High"/>
    <n v="2645.23"/>
    <n v="0.155"/>
    <n v="25"/>
    <x v="199"/>
    <n v="33008.25"/>
    <n v="20420.043749999997"/>
    <n v="0.38219531856189959"/>
  </r>
  <r>
    <s v="ORD-2023-382017"/>
    <d v="2023-01-13T00:00:00"/>
    <d v="2023-01-19T00:00:00"/>
    <n v="6"/>
    <s v="Jan-2023"/>
    <s v="Q1-2023"/>
    <s v="Americas"/>
    <s v="USA"/>
    <s v="Chicago"/>
    <s v="Corporate"/>
    <s v="Direct"/>
    <s v="H. Kim"/>
    <x v="3"/>
    <x v="200"/>
    <n v="833.57"/>
    <s v="High"/>
    <n v="881.57"/>
    <n v="5.7000000000000002E-2"/>
    <n v="18"/>
    <x v="200"/>
    <n v="15004.26"/>
    <n v="30791.761740000002"/>
    <n v="0.67236761120464961"/>
  </r>
  <r>
    <s v="ORD-2024-999607"/>
    <d v="2024-01-12T00:00:00"/>
    <d v="2024-01-29T00:00:00"/>
    <n v="17"/>
    <s v="Jan-2024"/>
    <s v="Q1-2024"/>
    <s v="Americas"/>
    <s v="USA"/>
    <s v="Chicago"/>
    <s v="Education"/>
    <s v="Distributor"/>
    <s v="A. Patel"/>
    <x v="1"/>
    <x v="201"/>
    <n v="493.76"/>
    <s v="High"/>
    <n v="625.04"/>
    <n v="0.25800000000000001"/>
    <n v="10"/>
    <x v="201"/>
    <n v="4937.6000000000004"/>
    <n v="6064.4049999999988"/>
    <n v="0.55120907507313432"/>
  </r>
  <r>
    <s v="ORD-2023-133848"/>
    <d v="2023-08-15T00:00:00"/>
    <d v="2023-09-07T00:00:00"/>
    <n v="23"/>
    <s v="Aug-2023"/>
    <s v="Q3-2023"/>
    <s v="Americas"/>
    <s v="USA"/>
    <s v="New York"/>
    <s v="Enterprise"/>
    <s v="Online"/>
    <s v="K. Singh"/>
    <x v="3"/>
    <x v="202"/>
    <n v="590.33000000000004"/>
    <s v="High"/>
    <n v="973.04"/>
    <n v="0"/>
    <n v="26"/>
    <x v="202"/>
    <n v="15348.580000000002"/>
    <n v="22528.479999999996"/>
    <n v="0.59477900343902079"/>
  </r>
  <r>
    <s v="ORD-2023-586275"/>
    <d v="2023-01-20T00:00:00"/>
    <d v="2023-02-03T00:00:00"/>
    <n v="14"/>
    <s v="Jan-2023"/>
    <s v="Q1-2023"/>
    <s v="Africa"/>
    <s v="Kenya"/>
    <s v="Kisumu"/>
    <s v="Corporate"/>
    <s v="Retail"/>
    <s v="M. Rossi"/>
    <x v="2"/>
    <x v="203"/>
    <n v="884.36"/>
    <s v="High"/>
    <n v="1545.34"/>
    <n v="0.24299999999999999"/>
    <n v="41"/>
    <x v="203"/>
    <n v="36258.76"/>
    <n v="-7760.8969700000016"/>
    <n v="-0.27233259426610423"/>
  </r>
  <r>
    <s v="ORD-2025-964661"/>
    <d v="2025-02-04T00:00:00"/>
    <d v="2025-02-25T00:00:00"/>
    <n v="21"/>
    <s v="Feb-2025"/>
    <s v="Q1-2025"/>
    <s v="Europe"/>
    <s v="United Kingdom"/>
    <s v="Birmingham"/>
    <s v="Corporate"/>
    <s v="Marketplace"/>
    <s v="D. Smith"/>
    <x v="5"/>
    <x v="204"/>
    <n v="1016.32"/>
    <s v="High"/>
    <n v="2253.42"/>
    <n v="5.5E-2"/>
    <n v="12"/>
    <x v="204"/>
    <n v="12195.84"/>
    <n v="-11640.8604"/>
    <n v="-20.97529422703105"/>
  </r>
  <r>
    <s v="ORD-2023-390998"/>
    <d v="2023-04-19T00:00:00"/>
    <d v="2023-04-28T00:00:00"/>
    <n v="9"/>
    <s v="Apr-2023"/>
    <s v="Q2-2023"/>
    <s v="Europe"/>
    <s v="Germany"/>
    <s v="Berlin"/>
    <s v="Education"/>
    <s v="Online"/>
    <s v="E. Garcia"/>
    <x v="5"/>
    <x v="205"/>
    <n v="1178.42"/>
    <s v="High"/>
    <n v="2446.56"/>
    <n v="2.9000000000000001E-2"/>
    <n v="11"/>
    <x v="205"/>
    <n v="12962.62"/>
    <n v="-3004.8305100000016"/>
    <n v="-0.30175678176542792"/>
  </r>
  <r>
    <s v="ORD-2023-920483"/>
    <d v="2023-07-02T00:00:00"/>
    <d v="2023-08-01T00:00:00"/>
    <n v="30"/>
    <s v="Jul-2023"/>
    <s v="Q3-2023"/>
    <s v="Europe"/>
    <s v="United Kingdom"/>
    <s v="Birmingham"/>
    <s v="Small Business"/>
    <s v="Retail"/>
    <s v="B. Chen"/>
    <x v="0"/>
    <x v="206"/>
    <n v="137.46"/>
    <s v="Medium"/>
    <n v="188.3"/>
    <n v="3.7999999999999999E-2"/>
    <n v="37"/>
    <x v="206"/>
    <n v="5086.0200000000004"/>
    <n v="6510.1492600000001"/>
    <n v="0.56140516010370822"/>
  </r>
  <r>
    <s v="ORD-2025-146850"/>
    <d v="2025-01-21T00:00:00"/>
    <d v="2025-02-14T00:00:00"/>
    <n v="24"/>
    <s v="Jan-2025"/>
    <s v="Q1-2025"/>
    <s v="Africa"/>
    <s v="Kenya"/>
    <s v="Nairobi"/>
    <s v="Small Business"/>
    <s v="Retail"/>
    <s v="J. Njeri"/>
    <x v="6"/>
    <x v="207"/>
    <n v="1030.44"/>
    <s v="High"/>
    <n v="2562.84"/>
    <n v="0.14799999999999999"/>
    <n v="13"/>
    <x v="207"/>
    <n v="13395.720000000001"/>
    <n v="-8899.1962800000001"/>
    <n v="-1.9791280629561541"/>
  </r>
  <r>
    <s v="ORD-2024-687100"/>
    <d v="2024-09-10T00:00:00"/>
    <d v="2024-10-07T00:00:00"/>
    <n v="27"/>
    <s v="Sept-2024"/>
    <s v="Q3-2024"/>
    <s v="Africa"/>
    <s v="Kenya"/>
    <s v="Kisumu"/>
    <s v="Consumer"/>
    <s v="Retail"/>
    <s v="L. Okafor"/>
    <x v="1"/>
    <x v="208"/>
    <n v="1248.3900000000001"/>
    <s v="High"/>
    <n v="1805.11"/>
    <n v="0.20300000000000001"/>
    <n v="11"/>
    <x v="208"/>
    <n v="13732.29"/>
    <n v="199.08668999999827"/>
    <n v="1.4290525224467122E-2"/>
  </r>
  <r>
    <s v="ORD-2025-629393"/>
    <d v="2025-07-21T00:00:00"/>
    <d v="2025-08-07T00:00:00"/>
    <n v="17"/>
    <s v="Jul-2025"/>
    <s v="Q3-2025"/>
    <s v="Africa"/>
    <s v="Nigeria"/>
    <s v="Lagos"/>
    <s v="Enterprise"/>
    <s v="Direct"/>
    <s v="M. Rossi"/>
    <x v="6"/>
    <x v="209"/>
    <n v="1204.95"/>
    <s v="High"/>
    <n v="2065.73"/>
    <n v="0.13600000000000001"/>
    <n v="10"/>
    <x v="209"/>
    <n v="12049.5"/>
    <n v="329.89199999999983"/>
    <n v="2.6648481605558643E-2"/>
  </r>
  <r>
    <s v="ORD-2024-686712"/>
    <d v="2024-10-02T00:00:00"/>
    <d v="2024-10-23T00:00:00"/>
    <n v="21"/>
    <s v="Oct-2024"/>
    <s v="Q4-2024"/>
    <s v="Africa"/>
    <s v="South Africa"/>
    <s v="Durban"/>
    <s v="Corporate"/>
    <s v="Marketplace"/>
    <s v="A. Patel"/>
    <x v="0"/>
    <x v="210"/>
    <n v="1095.6099999999999"/>
    <s v="High"/>
    <n v="2366.5100000000002"/>
    <n v="0.152"/>
    <n v="9"/>
    <x v="210"/>
    <n v="9860.49"/>
    <n v="3615.7903200000001"/>
    <n v="0.26830774027710341"/>
  </r>
  <r>
    <s v="ORD-2025-586799"/>
    <d v="2025-07-14T00:00:00"/>
    <d v="2025-08-04T00:00:00"/>
    <n v="21"/>
    <s v="Jul-2025"/>
    <s v="Q3-2025"/>
    <s v="Americas"/>
    <s v="Canada"/>
    <s v="Montreal"/>
    <s v="Consumer"/>
    <s v="Online"/>
    <s v="H. Kim"/>
    <x v="5"/>
    <x v="211"/>
    <n v="90.3"/>
    <s v="Medium"/>
    <n v="131.76"/>
    <n v="0.10199999999999999"/>
    <n v="15"/>
    <x v="211"/>
    <n v="1354.5"/>
    <n v="35789.563799999996"/>
    <n v="0.96353387697982573"/>
  </r>
  <r>
    <s v="ORD-2024-988736"/>
    <d v="2024-09-09T00:00:00"/>
    <d v="2024-10-01T00:00:00"/>
    <n v="22"/>
    <s v="Sept-2024"/>
    <s v="Q3-2024"/>
    <s v="Asia"/>
    <s v="China"/>
    <s v="Shenzhen"/>
    <s v="Consumer"/>
    <s v="Direct"/>
    <s v="L. Okafor"/>
    <x v="1"/>
    <x v="212"/>
    <n v="1166.18"/>
    <s v="High"/>
    <n v="1335.02"/>
    <n v="0.128"/>
    <n v="6"/>
    <x v="212"/>
    <n v="6997.08"/>
    <n v="-2425.62"/>
    <n v="-0.53060072712000106"/>
  </r>
  <r>
    <s v="ORD-2025-564184"/>
    <d v="2025-01-29T00:00:00"/>
    <d v="2025-02-06T00:00:00"/>
    <n v="8"/>
    <s v="Jan-2025"/>
    <s v="Q1-2025"/>
    <s v="Africa"/>
    <s v="Kenya"/>
    <s v="Kisumu"/>
    <s v="Education"/>
    <s v="Retail"/>
    <s v="B. Chen"/>
    <x v="3"/>
    <x v="213"/>
    <n v="1445.27"/>
    <s v="High"/>
    <n v="2691.45"/>
    <n v="0"/>
    <n v="9"/>
    <x v="213"/>
    <n v="13007.43"/>
    <n v="-10680.75"/>
    <n v="-4.5905539223270928"/>
  </r>
  <r>
    <s v="ORD-2023-653343"/>
    <d v="2023-11-10T00:00:00"/>
    <d v="2023-11-28T00:00:00"/>
    <n v="18"/>
    <s v="Nov-2023"/>
    <s v="Q4-2023"/>
    <s v="Americas"/>
    <s v="Brazil"/>
    <s v="Brasília"/>
    <s v="Education"/>
    <s v="Marketplace"/>
    <s v="L. Okafor"/>
    <x v="6"/>
    <x v="214"/>
    <n v="388.51"/>
    <s v="High"/>
    <n v="776.46"/>
    <n v="0.157"/>
    <n v="12"/>
    <x v="214"/>
    <n v="4662.12"/>
    <n v="1475.8641600000001"/>
    <n v="0.24044769773403912"/>
  </r>
  <r>
    <s v="ORD-2024-197852"/>
    <d v="2024-02-29T00:00:00"/>
    <d v="2024-03-30T00:00:00"/>
    <n v="1"/>
    <s v="Feb-2024"/>
    <s v="Q1-2024"/>
    <s v="Asia"/>
    <s v="Japan"/>
    <s v="Nagoya"/>
    <s v="Small Business"/>
    <s v="Direct"/>
    <s v="I. Johnson"/>
    <x v="2"/>
    <x v="215"/>
    <n v="231.11"/>
    <s v="High"/>
    <n v="318.17"/>
    <n v="0.20100000000000001"/>
    <n v="60"/>
    <x v="215"/>
    <n v="13866.6"/>
    <n v="50262.258600000001"/>
    <n v="0.7837697363913475"/>
  </r>
  <r>
    <s v="ORD-2023-431328"/>
    <d v="2023-12-20T00:00:00"/>
    <d v="2024-01-14T00:00:00"/>
    <n v="25"/>
    <s v="Dec-2023"/>
    <s v="Q4-2023"/>
    <s v="Asia"/>
    <s v="India"/>
    <s v="Mumbai"/>
    <s v="Non-Profit"/>
    <s v="Marketplace"/>
    <s v="L. Okafor"/>
    <x v="5"/>
    <x v="216"/>
    <n v="1085.6099999999999"/>
    <s v="High"/>
    <n v="1246.4100000000001"/>
    <n v="0.113"/>
    <n v="7"/>
    <x v="216"/>
    <n v="7599.2699999999995"/>
    <n v="3533.9637200000006"/>
    <n v="0.31742473111397151"/>
  </r>
  <r>
    <s v="ORD-2023-613317"/>
    <d v="2023-01-22T00:00:00"/>
    <d v="2023-01-21T00:00:00"/>
    <n v="1"/>
    <s v="Jan-2023"/>
    <s v="Q1-2023"/>
    <s v="Europe"/>
    <s v="Germany"/>
    <s v="Munich"/>
    <s v="Corporate"/>
    <s v="Direct"/>
    <s v="F. Müller"/>
    <x v="5"/>
    <x v="217"/>
    <n v="150.86000000000001"/>
    <s v="High"/>
    <n v="346.96"/>
    <n v="0.19600000000000001"/>
    <n v="8"/>
    <x v="217"/>
    <n v="1206.8800000000001"/>
    <n v="-417.41632000000004"/>
    <n v="-0.52873403878440617"/>
  </r>
  <r>
    <s v="ORD-2024-720756"/>
    <d v="2024-10-11T00:00:00"/>
    <d v="2024-11-09T00:00:00"/>
    <n v="29"/>
    <s v="Oct-2024"/>
    <s v="Q4-2024"/>
    <s v="Asia"/>
    <s v="China"/>
    <s v="Shanghai"/>
    <s v="Non-Profit"/>
    <s v="Online"/>
    <s v="F. Müller"/>
    <x v="1"/>
    <x v="218"/>
    <n v="391.64"/>
    <s v="High"/>
    <n v="504.76"/>
    <n v="4.0000000000000001E-3"/>
    <n v="13"/>
    <x v="218"/>
    <n v="5091.32"/>
    <n v="6923.51764"/>
    <n v="0.57624729084562143"/>
  </r>
  <r>
    <s v="ORD-2024-777623"/>
    <d v="2024-09-19T00:00:00"/>
    <d v="2024-10-14T00:00:00"/>
    <n v="25"/>
    <s v="Sept-2024"/>
    <s v="Q3-2024"/>
    <s v="Americas"/>
    <s v="Brazil"/>
    <s v="Rio de Janeiro"/>
    <s v="Small Business"/>
    <s v="Retail"/>
    <s v="K. Singh"/>
    <x v="1"/>
    <x v="219"/>
    <n v="386.96"/>
    <s v="High"/>
    <n v="937.46"/>
    <n v="0.26600000000000001"/>
    <n v="41"/>
    <x v="219"/>
    <n v="15865.359999999999"/>
    <n v="-11294.683279999999"/>
    <n v="-2.4711183861631763"/>
  </r>
  <r>
    <s v="ORD-2025-762212"/>
    <d v="2025-08-25T00:00:00"/>
    <d v="2025-09-24T00:00:00"/>
    <n v="30"/>
    <s v="Aug-2025"/>
    <s v="Q3-2025"/>
    <s v="Africa"/>
    <s v="Kenya"/>
    <s v="Nairobi"/>
    <s v="Consumer"/>
    <s v="Direct"/>
    <s v="B. Chen"/>
    <x v="0"/>
    <x v="220"/>
    <n v="589.14"/>
    <s v="High"/>
    <n v="1300.58"/>
    <n v="5.5E-2"/>
    <n v="11"/>
    <x v="220"/>
    <n v="6480.54"/>
    <n v="16496.567999999999"/>
    <n v="0.71795667235406646"/>
  </r>
  <r>
    <s v="ORD-2023-271918"/>
    <d v="2023-09-25T00:00:00"/>
    <d v="2023-10-02T00:00:00"/>
    <n v="7"/>
    <s v="Sept-2023"/>
    <s v="Q3-2023"/>
    <s v="Americas"/>
    <s v="USA"/>
    <s v="New York"/>
    <s v="Education"/>
    <s v="Marketplace"/>
    <s v="I. Johnson"/>
    <x v="6"/>
    <x v="221"/>
    <n v="145.58000000000001"/>
    <s v="High"/>
    <n v="228.15"/>
    <n v="0.20399999999999999"/>
    <n v="5"/>
    <x v="221"/>
    <n v="727.90000000000009"/>
    <n v="-569.73480000000006"/>
    <n v="-3.602150156924532"/>
  </r>
  <r>
    <s v="ORD-2023-713375"/>
    <d v="2023-08-26T00:00:00"/>
    <d v="2023-09-10T00:00:00"/>
    <n v="15"/>
    <s v="Aug-2023"/>
    <s v="Q3-2023"/>
    <s v="Africa"/>
    <s v="South Africa"/>
    <s v="Cape Town"/>
    <s v="Non-Profit"/>
    <s v="Direct"/>
    <s v="N. Brown"/>
    <x v="0"/>
    <x v="222"/>
    <n v="241.14"/>
    <s v="High"/>
    <n v="496.52"/>
    <n v="9.2999999999999999E-2"/>
    <n v="10"/>
    <x v="222"/>
    <n v="2411.3999999999996"/>
    <n v="6740.2300000000014"/>
    <n v="0.73650595576962796"/>
  </r>
  <r>
    <s v="ORD-2025-678688"/>
    <d v="2025-07-16T00:00:00"/>
    <d v="2025-07-17T00:00:00"/>
    <n v="1"/>
    <s v="Jul-2025"/>
    <s v="Q3-2025"/>
    <s v="Africa"/>
    <s v="South Africa"/>
    <s v="Durban"/>
    <s v="Small Business"/>
    <s v="Distributor"/>
    <s v="B. Chen"/>
    <x v="2"/>
    <x v="223"/>
    <n v="1198.9000000000001"/>
    <s v="High"/>
    <n v="2941.2"/>
    <n v="5.0999999999999997E-2"/>
    <n v="24"/>
    <x v="223"/>
    <n v="28773.600000000002"/>
    <n v="8889.7046399999999"/>
    <n v="0.23603092519286697"/>
  </r>
  <r>
    <s v="ORD-2023-501220"/>
    <d v="2023-04-19T00:00:00"/>
    <d v="2023-05-07T00:00:00"/>
    <n v="18"/>
    <s v="Apr-2023"/>
    <s v="Q2-2023"/>
    <s v="Europe"/>
    <s v="United Kingdom"/>
    <s v="Birmingham"/>
    <s v="Enterprise"/>
    <s v="Retail"/>
    <s v="N. Brown"/>
    <x v="4"/>
    <x v="224"/>
    <n v="1089.1500000000001"/>
    <s v="High"/>
    <n v="1088.2"/>
    <n v="5.0999999999999997E-2"/>
    <n v="15"/>
    <x v="224"/>
    <n v="16337.250000000002"/>
    <n v="-1878.7605000000021"/>
    <n v="-0.12994168581718044"/>
  </r>
  <r>
    <s v="ORD-2023-195665"/>
    <d v="2023-12-19T00:00:00"/>
    <d v="2023-12-20T00:00:00"/>
    <n v="1"/>
    <s v="Dec-2023"/>
    <s v="Q4-2023"/>
    <s v="Americas"/>
    <s v="Brazil"/>
    <s v="Rio de Janeiro"/>
    <s v="Consumer"/>
    <s v="Distributor"/>
    <s v="J. Njeri"/>
    <x v="3"/>
    <x v="225"/>
    <n v="1080.43"/>
    <s v="High"/>
    <n v="2529.15"/>
    <n v="0.14699999999999999"/>
    <n v="10"/>
    <x v="225"/>
    <n v="10804.300000000001"/>
    <n v="-3021.1015000000016"/>
    <n v="-0.38815680982567796"/>
  </r>
  <r>
    <s v="ORD-2023-290237"/>
    <d v="2023-07-30T00:00:00"/>
    <d v="2023-08-07T00:00:00"/>
    <n v="8"/>
    <s v="Jul-2023"/>
    <s v="Q3-2023"/>
    <s v="Asia"/>
    <s v="Japan"/>
    <s v="Nagoya"/>
    <s v="Education"/>
    <s v="Marketplace"/>
    <s v="A. Patel"/>
    <x v="2"/>
    <x v="226"/>
    <n v="1352.44"/>
    <s v="High"/>
    <n v="2698.01"/>
    <n v="0.13100000000000001"/>
    <n v="13"/>
    <x v="226"/>
    <n v="17581.72"/>
    <n v="-8372.5185700000002"/>
    <n v="-0.90914707791335603"/>
  </r>
  <r>
    <s v="ORD-2023-302041"/>
    <d v="2023-10-04T00:00:00"/>
    <d v="2023-10-29T00:00:00"/>
    <n v="25"/>
    <s v="Oct-2023"/>
    <s v="Q4-2023"/>
    <s v="Americas"/>
    <s v="USA"/>
    <s v="San Francisco"/>
    <s v="Small Business"/>
    <s v="Distributor"/>
    <s v="O. Wang"/>
    <x v="6"/>
    <x v="227"/>
    <n v="1239.8399999999999"/>
    <s v="High"/>
    <n v="1482.75"/>
    <n v="6.7000000000000004E-2"/>
    <n v="4"/>
    <x v="227"/>
    <n v="4959.3599999999997"/>
    <n v="1810.7119200000006"/>
    <n v="0.26745829902498297"/>
  </r>
  <r>
    <s v="ORD-2025-289139"/>
    <d v="2025-08-10T00:00:00"/>
    <d v="2025-08-30T00:00:00"/>
    <n v="20"/>
    <s v="Aug-2025"/>
    <s v="Q3-2025"/>
    <s v="Americas"/>
    <s v="USA"/>
    <s v="San Francisco"/>
    <s v="Corporate"/>
    <s v="Marketplace"/>
    <s v="K. Singh"/>
    <x v="1"/>
    <x v="228"/>
    <n v="933.29"/>
    <s v="High"/>
    <n v="1456.81"/>
    <n v="0.123"/>
    <n v="13"/>
    <x v="228"/>
    <n v="12132.77"/>
    <n v="-3480.3230800000019"/>
    <n v="-0.4022357042093247"/>
  </r>
  <r>
    <s v="ORD-2023-949710"/>
    <d v="2023-03-07T00:00:00"/>
    <d v="2023-04-01T00:00:00"/>
    <n v="25"/>
    <s v="Mar-2023"/>
    <s v="Q1-2023"/>
    <s v="Africa"/>
    <s v="Kenya"/>
    <s v="Nairobi"/>
    <s v="Consumer"/>
    <s v="Marketplace"/>
    <s v="D. Smith"/>
    <x v="1"/>
    <x v="229"/>
    <n v="1024.0999999999999"/>
    <s v="High"/>
    <n v="918.19"/>
    <n v="0.189"/>
    <n v="10"/>
    <x v="229"/>
    <n v="10241"/>
    <n v="3281.9384000000009"/>
    <n v="0.24269417658517181"/>
  </r>
  <r>
    <s v="ORD-2023-603650"/>
    <d v="2023-05-23T00:00:00"/>
    <d v="2023-06-10T00:00:00"/>
    <n v="18"/>
    <s v="May-2023"/>
    <s v="Q2-2023"/>
    <s v="Asia"/>
    <s v="China"/>
    <s v="Shanghai"/>
    <s v="Corporate"/>
    <s v="Distributor"/>
    <s v="E. Garcia"/>
    <x v="0"/>
    <x v="230"/>
    <n v="54.62"/>
    <s v="Low"/>
    <n v="48.94"/>
    <n v="0.14799999999999999"/>
    <n v="16"/>
    <x v="230"/>
    <n v="873.92"/>
    <n v="34058.761600000005"/>
    <n v="0.9749827393726338"/>
  </r>
  <r>
    <s v="ORD-2025-757957"/>
    <d v="2025-04-24T00:00:00"/>
    <d v="2025-05-06T00:00:00"/>
    <n v="12"/>
    <s v="Apr-2025"/>
    <s v="Q2-2025"/>
    <s v="Americas"/>
    <s v="Brazil"/>
    <s v="Brasília"/>
    <s v="Consumer"/>
    <s v="Online"/>
    <s v="C. Otieno"/>
    <x v="3"/>
    <x v="231"/>
    <n v="394.13"/>
    <s v="High"/>
    <n v="932.29"/>
    <n v="0.109"/>
    <n v="7"/>
    <x v="231"/>
    <n v="2758.91"/>
    <n v="1890.0250599999999"/>
    <n v="0.40655010999443819"/>
  </r>
  <r>
    <s v="ORD-2024-423853"/>
    <d v="2024-09-03T00:00:00"/>
    <d v="2024-09-08T00:00:00"/>
    <n v="5"/>
    <s v="Sept-2024"/>
    <s v="Q3-2024"/>
    <s v="Africa"/>
    <s v="Nigeria"/>
    <s v="Lagos"/>
    <s v="Small Business"/>
    <s v="Direct"/>
    <s v="K. Singh"/>
    <x v="1"/>
    <x v="232"/>
    <n v="197.63"/>
    <s v="High"/>
    <n v="325.79000000000002"/>
    <n v="0.11600000000000001"/>
    <n v="10"/>
    <x v="232"/>
    <n v="1976.3"/>
    <n v="4105.1779999999999"/>
    <n v="0.67502965561990025"/>
  </r>
  <r>
    <s v="ORD-2024-569164"/>
    <d v="2024-09-05T00:00:00"/>
    <d v="2024-09-25T00:00:00"/>
    <n v="20"/>
    <s v="Sept-2024"/>
    <s v="Q3-2024"/>
    <s v="Asia"/>
    <s v="Japan"/>
    <s v="Osaka"/>
    <s v="Enterprise"/>
    <s v="Distributor"/>
    <s v="D. Smith"/>
    <x v="5"/>
    <x v="233"/>
    <n v="195.54"/>
    <s v="High"/>
    <n v="405.97"/>
    <n v="0.187"/>
    <n v="16"/>
    <x v="233"/>
    <n v="3128.64"/>
    <n v="4026.67056"/>
    <n v="0.56275273116866642"/>
  </r>
  <r>
    <s v="ORD-2023-946143"/>
    <d v="2023-03-14T00:00:00"/>
    <d v="2023-03-30T00:00:00"/>
    <n v="16"/>
    <s v="Mar-2023"/>
    <s v="Q1-2023"/>
    <s v="Africa"/>
    <s v="South Africa"/>
    <s v="Cape Town"/>
    <s v="Consumer"/>
    <s v="Distributor"/>
    <s v="K. Singh"/>
    <x v="0"/>
    <x v="234"/>
    <n v="1309.77"/>
    <s v="High"/>
    <n v="1589.07"/>
    <n v="0.10199999999999999"/>
    <n v="10"/>
    <x v="234"/>
    <n v="13097.7"/>
    <n v="5474.8257999999987"/>
    <n v="0.29478089619883574"/>
  </r>
  <r>
    <s v="ORD-2024-281211"/>
    <d v="2024-01-11T00:00:00"/>
    <d v="2024-02-02T00:00:00"/>
    <n v="22"/>
    <s v="Jan-2024"/>
    <s v="Q1-2024"/>
    <s v="Asia"/>
    <s v="Japan"/>
    <s v="Nagoya"/>
    <s v="Small Business"/>
    <s v="Online"/>
    <s v="Not Provided"/>
    <x v="1"/>
    <x v="235"/>
    <n v="1237.68"/>
    <s v="High"/>
    <n v="1432.8"/>
    <n v="6.8000000000000005E-2"/>
    <n v="13"/>
    <x v="235"/>
    <n v="16089.84"/>
    <n v="15128.851400000003"/>
    <n v="0.48460876230065175"/>
  </r>
  <r>
    <s v="ORD-2024-805860"/>
    <d v="2024-09-13T00:00:00"/>
    <d v="2024-10-02T00:00:00"/>
    <n v="19"/>
    <s v="Sept-2024"/>
    <s v="Q3-2024"/>
    <s v="Africa"/>
    <s v="Kenya"/>
    <s v="Mombasa"/>
    <s v="Small Business"/>
    <s v="Retail"/>
    <s v="M. Rossi"/>
    <x v="3"/>
    <x v="236"/>
    <n v="1338.99"/>
    <s v="High"/>
    <n v="1765.76"/>
    <n v="0.126"/>
    <n v="24"/>
    <x v="236"/>
    <n v="32135.760000000002"/>
    <n v="-10233.879360000003"/>
    <n v="-0.46726030189889678"/>
  </r>
  <r>
    <s v="ORD-2025-132174"/>
    <d v="2025-07-17T00:00:00"/>
    <d v="2025-07-23T00:00:00"/>
    <n v="6"/>
    <s v="Jul-2025"/>
    <s v="Q3-2025"/>
    <s v="Americas"/>
    <s v="Canada"/>
    <s v="Vancouver"/>
    <s v="Consumer"/>
    <s v="Online"/>
    <s v="H. Kim"/>
    <x v="0"/>
    <x v="237"/>
    <n v="1364.89"/>
    <s v="High"/>
    <n v="2757.54"/>
    <n v="0.17199999999999999"/>
    <n v="61"/>
    <x v="237"/>
    <n v="83258.290000000008"/>
    <n v="-78255.977680000011"/>
    <n v="-15.643960767327698"/>
  </r>
  <r>
    <s v="ORD-2023-964434"/>
    <d v="2023-11-28T00:00:00"/>
    <d v="2023-12-07T00:00:00"/>
    <n v="9"/>
    <s v="Nov-2023"/>
    <s v="Q4-2023"/>
    <s v="Asia"/>
    <s v="India"/>
    <s v="Delhi"/>
    <s v="Enterprise"/>
    <s v="Marketplace"/>
    <s v="L. Okafor"/>
    <x v="3"/>
    <x v="238"/>
    <n v="699.33"/>
    <s v="High"/>
    <n v="873.75"/>
    <n v="0.23499999999999999"/>
    <n v="10"/>
    <x v="238"/>
    <n v="6993.3"/>
    <n v="8282.2965000000004"/>
    <n v="0.5421913638527962"/>
  </r>
  <r>
    <s v="ORD-2024-897622"/>
    <d v="2024-03-30T00:00:00"/>
    <d v="2024-04-24T00:00:00"/>
    <n v="25"/>
    <s v="Mar-2024"/>
    <s v="Q1-2024"/>
    <s v="Americas"/>
    <s v="USA"/>
    <s v="Austin"/>
    <s v="Non-Profit"/>
    <s v="Online"/>
    <s v="G. Dubois"/>
    <x v="4"/>
    <x v="239"/>
    <n v="160.82"/>
    <s v="High"/>
    <n v="258.52"/>
    <n v="0.13"/>
    <n v="17"/>
    <x v="239"/>
    <n v="2733.94"/>
    <n v="10897.707199999999"/>
    <n v="0.79944169916604058"/>
  </r>
  <r>
    <s v="ORD-2023-517216"/>
    <d v="2023-09-19T00:00:00"/>
    <d v="2023-10-08T00:00:00"/>
    <n v="19"/>
    <s v="Sept-2023"/>
    <s v="Q3-2023"/>
    <s v="Asia"/>
    <s v="India"/>
    <s v="Bengaluru"/>
    <s v="Education"/>
    <s v="Direct"/>
    <s v="J. Njeri"/>
    <x v="1"/>
    <x v="240"/>
    <n v="385.32"/>
    <s v="High"/>
    <n v="606.76"/>
    <n v="8.5999999999999993E-2"/>
    <n v="8"/>
    <x v="240"/>
    <n v="3082.56"/>
    <n v="15225.152480000002"/>
    <n v="0.8316250594732959"/>
  </r>
  <r>
    <s v="ORD-2025-509940"/>
    <d v="2025-05-16T00:00:00"/>
    <d v="2025-05-27T00:00:00"/>
    <n v="11"/>
    <s v="May-2025"/>
    <s v="Q2-2025"/>
    <s v="Asia"/>
    <s v="China"/>
    <s v="Beijing"/>
    <s v="Enterprise"/>
    <s v="Online"/>
    <s v="F. Müller"/>
    <x v="3"/>
    <x v="241"/>
    <n v="918.12"/>
    <s v="High"/>
    <n v="1337.69"/>
    <n v="9.5000000000000001E-2"/>
    <n v="8"/>
    <x v="241"/>
    <n v="7344.96"/>
    <n v="10485.4948"/>
    <n v="0.58806659267042372"/>
  </r>
  <r>
    <s v="ORD-2025-646342"/>
    <d v="2025-08-02T00:00:00"/>
    <d v="2025-08-08T00:00:00"/>
    <n v="6"/>
    <s v="Aug-2025"/>
    <s v="Q3-2025"/>
    <s v="Asia"/>
    <s v="Japan"/>
    <s v="Osaka"/>
    <s v="Consumer"/>
    <s v="Direct"/>
    <s v="N. Brown"/>
    <x v="4"/>
    <x v="242"/>
    <n v="1225.94"/>
    <s v="High"/>
    <n v="1793.08"/>
    <n v="0.13600000000000001"/>
    <n v="22"/>
    <x v="242"/>
    <n v="26970.68"/>
    <n v="-17538.910400000001"/>
    <n v="-1.8595567050323198"/>
  </r>
  <r>
    <s v="ORD-2024-866535"/>
    <d v="2024-12-04T00:00:00"/>
    <d v="2024-12-12T00:00:00"/>
    <n v="8"/>
    <s v="Dec-2024"/>
    <s v="Q4-2024"/>
    <s v="Europe"/>
    <s v="Germany"/>
    <s v="Frankfurt"/>
    <s v="Enterprise"/>
    <s v="Marketplace"/>
    <s v="B. Chen"/>
    <x v="1"/>
    <x v="243"/>
    <n v="72.06"/>
    <s v="Medium"/>
    <n v="122.74"/>
    <n v="0.23799999999999999"/>
    <n v="8"/>
    <x v="243"/>
    <n v="576.48"/>
    <n v="4956.1886400000003"/>
    <n v="0.89580435093615152"/>
  </r>
  <r>
    <s v="ORD-2023-747341"/>
    <d v="2023-04-19T00:00:00"/>
    <d v="2023-04-28T00:00:00"/>
    <n v="9"/>
    <s v="Apr-2023"/>
    <s v="Q2-2023"/>
    <s v="Americas"/>
    <s v="Brazil"/>
    <s v="Rio de Janeiro"/>
    <s v="Corporate"/>
    <s v="Distributor"/>
    <s v="M. Rossi"/>
    <x v="3"/>
    <x v="244"/>
    <n v="1013.54"/>
    <s v="High"/>
    <n v="927.93"/>
    <n v="0.17499999999999999"/>
    <n v="16"/>
    <x v="244"/>
    <n v="16216.64"/>
    <n v="-11805.331999999999"/>
    <n v="-2.6761522886182507"/>
  </r>
  <r>
    <s v="ORD-2024-853298"/>
    <d v="2024-03-06T00:00:00"/>
    <d v="2024-03-26T00:00:00"/>
    <n v="20"/>
    <s v="Mar-2024"/>
    <s v="Q1-2024"/>
    <s v="Africa"/>
    <s v="Nigeria"/>
    <s v="Port Harcourt"/>
    <s v="Consumer"/>
    <s v="Marketplace"/>
    <s v="I. Johnson"/>
    <x v="3"/>
    <x v="245"/>
    <n v="65.64"/>
    <s v="Medium"/>
    <n v="151.88"/>
    <n v="0.16700000000000001"/>
    <n v="23"/>
    <x v="245"/>
    <n v="1509.72"/>
    <n v="8812.9576099999995"/>
    <n v="0.8537472488206479"/>
  </r>
  <r>
    <s v="ORD-2024-544865"/>
    <d v="2024-02-16T00:00:00"/>
    <d v="2024-03-04T00:00:00"/>
    <n v="17"/>
    <s v="Feb-2024"/>
    <s v="Q1-2024"/>
    <s v="Americas"/>
    <s v="Canada"/>
    <s v="Montreal"/>
    <s v="Non-Profit"/>
    <s v="Retail"/>
    <s v="D. Smith"/>
    <x v="4"/>
    <x v="246"/>
    <n v="1350.98"/>
    <s v="High"/>
    <n v="2210.4"/>
    <n v="0.26300000000000001"/>
    <n v="6"/>
    <x v="246"/>
    <n v="8105.88"/>
    <n v="-1753.5001200000006"/>
    <n v="-0.27603829637468102"/>
  </r>
  <r>
    <s v="ORD-2025-946490"/>
    <d v="2025-04-22T00:00:00"/>
    <d v="2025-05-02T00:00:00"/>
    <n v="10"/>
    <s v="Apr-2025"/>
    <s v="Q2-2025"/>
    <s v="Europe"/>
    <s v="Germany"/>
    <s v="Berlin"/>
    <s v="Corporate"/>
    <s v="Marketplace"/>
    <s v="C. Otieno"/>
    <x v="5"/>
    <x v="247"/>
    <n v="20.149999999999999"/>
    <s v="Low"/>
    <n v="39.74"/>
    <n v="0.151"/>
    <n v="18"/>
    <x v="247"/>
    <n v="362.7"/>
    <n v="26633.717099999998"/>
    <n v="0.98656488382675045"/>
  </r>
  <r>
    <s v="ORD-2024-320972"/>
    <d v="2024-11-08T00:00:00"/>
    <d v="2024-11-08T00:00:00"/>
    <n v="0"/>
    <s v="Nov-2024"/>
    <s v="Q4-2024"/>
    <s v="Africa"/>
    <s v="Kenya"/>
    <s v="Nakuru"/>
    <s v="Enterprise"/>
    <s v="Marketplace"/>
    <s v="M. Rossi"/>
    <x v="2"/>
    <x v="248"/>
    <n v="803.28"/>
    <s v="High"/>
    <n v="1009"/>
    <n v="0.11"/>
    <n v="4"/>
    <x v="248"/>
    <n v="3213.12"/>
    <n v="-975.51760000000013"/>
    <n v="-0.43596556743056775"/>
  </r>
  <r>
    <s v="ORD-2025-248586"/>
    <d v="2025-09-12T00:00:00"/>
    <d v="2025-09-30T00:00:00"/>
    <n v="18"/>
    <s v="Sept-2025"/>
    <s v="Q3-2025"/>
    <s v="Asia"/>
    <s v="Japan"/>
    <s v="Nagoya"/>
    <s v="Non-Profit"/>
    <s v="Marketplace"/>
    <s v="F. Müller"/>
    <x v="5"/>
    <x v="249"/>
    <n v="1212.99"/>
    <s v="High"/>
    <n v="1653.64"/>
    <n v="0.107"/>
    <n v="8"/>
    <x v="249"/>
    <n v="9703.92"/>
    <n v="2089.0380000000005"/>
    <n v="0.17714283388442495"/>
  </r>
  <r>
    <s v="ORD-2024-664046"/>
    <d v="2024-09-02T00:00:00"/>
    <d v="2024-09-08T00:00:00"/>
    <n v="6"/>
    <s v="Sept-2024"/>
    <s v="Q3-2024"/>
    <s v="Americas"/>
    <s v="USA"/>
    <s v="Austin"/>
    <s v="Consumer"/>
    <s v="Direct"/>
    <s v="H. Kim"/>
    <x v="0"/>
    <x v="250"/>
    <n v="462.94"/>
    <s v="High"/>
    <n v="1015.7"/>
    <n v="0.14299999999999999"/>
    <n v="14"/>
    <x v="250"/>
    <n v="6481.16"/>
    <n v="20480.025719999998"/>
    <n v="0.75961146266678359"/>
  </r>
  <r>
    <s v="ORD-2023-276806"/>
    <d v="2023-03-04T00:00:00"/>
    <d v="2023-03-24T00:00:00"/>
    <n v="20"/>
    <s v="Mar-2023"/>
    <s v="Q1-2023"/>
    <s v="Americas"/>
    <s v="Canada"/>
    <s v="Montreal"/>
    <s v="Consumer"/>
    <s v="Distributor"/>
    <s v="I. Johnson"/>
    <x v="4"/>
    <x v="251"/>
    <n v="481.71"/>
    <s v="High"/>
    <n v="912.45"/>
    <n v="0.20300000000000001"/>
    <n v="24"/>
    <x v="251"/>
    <n v="11561.039999999999"/>
    <n v="5523.8983200000021"/>
    <n v="0.3233197695266834"/>
  </r>
  <r>
    <s v="ORD-2024-220234"/>
    <d v="2024-03-15T00:00:00"/>
    <d v="2024-04-09T00:00:00"/>
    <n v="25"/>
    <s v="Mar-2024"/>
    <s v="Q1-2024"/>
    <s v="Americas"/>
    <s v="Canada"/>
    <s v="Vancouver"/>
    <s v="Consumer"/>
    <s v="Online"/>
    <s v="F. Müller"/>
    <x v="5"/>
    <x v="252"/>
    <n v="648.64"/>
    <s v="High"/>
    <n v="815.19"/>
    <n v="0.22500000000000001"/>
    <n v="28"/>
    <x v="252"/>
    <n v="18161.919999999998"/>
    <n v="32375.210000000006"/>
    <n v="0.64062225140208795"/>
  </r>
  <r>
    <s v="ORD-2024-301260"/>
    <d v="2024-07-29T00:00:00"/>
    <d v="2024-07-31T00:00:00"/>
    <n v="2"/>
    <s v="Jul-2024"/>
    <s v="Q3-2024"/>
    <s v="Americas"/>
    <s v="USA"/>
    <s v="New York"/>
    <s v="Education"/>
    <s v="Marketplace"/>
    <s v="I. Johnson"/>
    <x v="1"/>
    <x v="253"/>
    <n v="798.97"/>
    <s v="High"/>
    <n v="1814.06"/>
    <n v="0.122"/>
    <n v="16"/>
    <x v="253"/>
    <n v="12783.52"/>
    <n v="16250.184000000001"/>
    <n v="0.55970068441835741"/>
  </r>
  <r>
    <s v="ORD-2024-350100"/>
    <d v="2024-10-27T00:00:00"/>
    <d v="2024-11-20T00:00:00"/>
    <n v="24"/>
    <s v="Oct-2024"/>
    <s v="Q4-2024"/>
    <s v="Asia"/>
    <s v="Japan"/>
    <s v="Nagoya"/>
    <s v="Non-Profit"/>
    <s v="Online"/>
    <s v="H. Kim"/>
    <x v="5"/>
    <x v="254"/>
    <n v="317.25"/>
    <s v="High"/>
    <n v="758.92"/>
    <n v="5.2999999999999999E-2"/>
    <n v="9"/>
    <x v="254"/>
    <n v="2855.25"/>
    <n v="15744.578130000002"/>
    <n v="0.84649051700672895"/>
  </r>
  <r>
    <s v="ORD-2024-855600"/>
    <d v="2024-04-29T00:00:00"/>
    <d v="2024-05-19T00:00:00"/>
    <n v="20"/>
    <s v="Apr-2024"/>
    <s v="Q2-2024"/>
    <s v="Europe"/>
    <s v="Germany"/>
    <s v="Frankfurt"/>
    <s v="Enterprise"/>
    <s v="Marketplace"/>
    <s v="C. Otieno"/>
    <x v="4"/>
    <x v="255"/>
    <n v="668.97"/>
    <s v="High"/>
    <n v="1667.44"/>
    <n v="3.4000000000000002E-2"/>
    <n v="15"/>
    <x v="255"/>
    <n v="10034.550000000001"/>
    <n v="29474.17379999999"/>
    <n v="0.74601685311839905"/>
  </r>
  <r>
    <s v="ORD-2023-474313"/>
    <d v="2023-10-05T00:00:00"/>
    <d v="2023-10-06T00:00:00"/>
    <n v="1"/>
    <s v="Oct-2023"/>
    <s v="Q4-2023"/>
    <s v="Asia"/>
    <s v="India"/>
    <s v="Bengaluru"/>
    <s v="Non-Profit"/>
    <s v="Online"/>
    <s v="I. Johnson"/>
    <x v="0"/>
    <x v="256"/>
    <n v="1470.26"/>
    <s v="High"/>
    <n v="2562.5500000000002"/>
    <n v="0.17299999999999999"/>
    <n v="9"/>
    <x v="256"/>
    <n v="13232.34"/>
    <n v="-12404.008530000001"/>
    <n v="-14.974691870634834"/>
  </r>
  <r>
    <s v="ORD-2023-256951"/>
    <d v="2023-04-19T00:00:00"/>
    <d v="2023-05-07T00:00:00"/>
    <n v="18"/>
    <s v="Apr-2023"/>
    <s v="Q2-2023"/>
    <s v="Europe"/>
    <s v="United Kingdom"/>
    <s v="London"/>
    <s v="Non-Profit"/>
    <s v="Direct"/>
    <s v="H. Kim"/>
    <x v="2"/>
    <x v="257"/>
    <n v="516.96"/>
    <s v="High"/>
    <n v="745.38"/>
    <n v="0.19700000000000001"/>
    <n v="4"/>
    <x v="257"/>
    <n v="2067.84"/>
    <n v="1465.6490799999992"/>
    <n v="0.41478805985159561"/>
  </r>
  <r>
    <s v="ORD-2025-184754"/>
    <d v="2025-06-27T00:00:00"/>
    <d v="2025-07-05T00:00:00"/>
    <n v="8"/>
    <s v="Jun-2025"/>
    <s v="Q2-2025"/>
    <s v="Europe"/>
    <s v="Germany"/>
    <s v="Munich"/>
    <s v="Small Business"/>
    <s v="Direct"/>
    <s v="G. Dubois"/>
    <x v="5"/>
    <x v="258"/>
    <n v="314.93"/>
    <s v="High"/>
    <n v="687.95"/>
    <n v="0.20499999999999999"/>
    <n v="8"/>
    <x v="258"/>
    <n v="2519.44"/>
    <n v="7205.8904000000002"/>
    <n v="0.74094042090333501"/>
  </r>
  <r>
    <s v="ORD-2023-888140"/>
    <d v="2023-10-11T00:00:00"/>
    <d v="2023-10-13T00:00:00"/>
    <n v="2"/>
    <s v="Oct-2023"/>
    <s v="Q4-2023"/>
    <s v="Americas"/>
    <s v="Brazil"/>
    <s v="Brasília"/>
    <s v="Consumer"/>
    <s v="Distributor"/>
    <s v="Not Provided"/>
    <x v="6"/>
    <x v="259"/>
    <n v="715.94"/>
    <s v="High"/>
    <n v="550.07000000000005"/>
    <n v="0.14000000000000001"/>
    <n v="16"/>
    <x v="259"/>
    <n v="11455.04"/>
    <n v="-1428.2656000000006"/>
    <n v="-0.14244517159975201"/>
  </r>
  <r>
    <s v="ORD-2023-638181"/>
    <d v="2023-05-20T00:00:00"/>
    <d v="2023-06-07T00:00:00"/>
    <n v="18"/>
    <s v="May-2023"/>
    <s v="Q2-2023"/>
    <s v="Africa"/>
    <s v="Nigeria"/>
    <s v="Port Harcourt"/>
    <s v="Enterprise"/>
    <s v="Distributor"/>
    <s v="E. Garcia"/>
    <x v="0"/>
    <x v="260"/>
    <n v="1120.06"/>
    <s v="High"/>
    <n v="2068.21"/>
    <n v="7.8E-2"/>
    <n v="12"/>
    <x v="260"/>
    <n v="13440.72"/>
    <n v="-13371.238079999999"/>
    <n v="-192.44197742376721"/>
  </r>
  <r>
    <s v="ORD-2023-521280"/>
    <d v="2023-05-27T00:00:00"/>
    <d v="2023-06-19T00:00:00"/>
    <n v="23"/>
    <s v="May-2023"/>
    <s v="Q2-2023"/>
    <s v="Europe"/>
    <s v="Germany"/>
    <s v="Berlin"/>
    <s v="Education"/>
    <s v="Retail"/>
    <s v="O. Wang"/>
    <x v="6"/>
    <x v="261"/>
    <n v="1471.58"/>
    <s v="High"/>
    <n v="2576.65"/>
    <n v="4.0000000000000001E-3"/>
    <n v="7"/>
    <x v="261"/>
    <n v="10301.06"/>
    <n v="7615.3764399999982"/>
    <n v="0.42504972824830334"/>
  </r>
  <r>
    <s v="ORD-2023-630430"/>
    <d v="2023-08-04T00:00:00"/>
    <d v="2023-08-24T00:00:00"/>
    <n v="20"/>
    <s v="Aug-2023"/>
    <s v="Q3-2023"/>
    <s v="Americas"/>
    <s v="Brazil"/>
    <s v="Brasília"/>
    <s v="Non-Profit"/>
    <s v="Direct"/>
    <s v="Not Provided"/>
    <x v="2"/>
    <x v="262"/>
    <n v="582.88"/>
    <s v="High"/>
    <n v="1044.1400000000001"/>
    <n v="0.216"/>
    <n v="10"/>
    <x v="262"/>
    <n v="5828.8"/>
    <n v="6652.6368000000011"/>
    <n v="0.53300248253470306"/>
  </r>
  <r>
    <s v="ORD-2025-908258"/>
    <d v="2025-06-21T00:00:00"/>
    <d v="2025-06-27T00:00:00"/>
    <n v="6"/>
    <s v="Jun-2025"/>
    <s v="Q2-2025"/>
    <s v="Africa"/>
    <s v="South Africa"/>
    <s v="Durban"/>
    <s v="Enterprise"/>
    <s v="Distributor"/>
    <s v="N. Brown"/>
    <x v="3"/>
    <x v="263"/>
    <n v="93.91"/>
    <s v="Medium"/>
    <n v="99.04"/>
    <n v="5.7000000000000002E-2"/>
    <n v="6"/>
    <x v="263"/>
    <n v="563.46"/>
    <n v="5068.9092599999994"/>
    <n v="0.89996039428707486"/>
  </r>
  <r>
    <s v="ORD-2025-440093"/>
    <d v="2025-04-16T00:00:00"/>
    <d v="2025-04-26T00:00:00"/>
    <n v="10"/>
    <s v="Apr-2025"/>
    <s v="Q2-2025"/>
    <s v="Africa"/>
    <s v="Nigeria"/>
    <s v="Port Harcourt"/>
    <s v="Enterprise"/>
    <s v="Marketplace"/>
    <s v="F. Müller"/>
    <x v="4"/>
    <x v="264"/>
    <n v="1457.44"/>
    <s v="High"/>
    <n v="1996.81"/>
    <n v="0.126"/>
    <n v="23"/>
    <x v="264"/>
    <n v="33521.120000000003"/>
    <n v="-8588.4083800000044"/>
    <n v="-0.3444634707566559"/>
  </r>
  <r>
    <s v="ORD-2025-898022"/>
    <d v="2025-09-02T00:00:00"/>
    <d v="2025-09-11T00:00:00"/>
    <n v="9"/>
    <s v="Sept-2025"/>
    <s v="Q3-2025"/>
    <s v="Americas"/>
    <s v="Canada"/>
    <s v="Toronto"/>
    <s v="Corporate"/>
    <s v="Distributor"/>
    <s v="M. Rossi"/>
    <x v="1"/>
    <x v="265"/>
    <n v="1207.6300000000001"/>
    <s v="High"/>
    <n v="921.68"/>
    <n v="0.19600000000000001"/>
    <n v="17"/>
    <x v="265"/>
    <n v="20529.710000000003"/>
    <n v="-18911.828840000002"/>
    <n v="-11.689257102171831"/>
  </r>
  <r>
    <s v="ORD-2024-500511"/>
    <d v="2024-10-08T00:00:00"/>
    <d v="2024-10-08T00:00:00"/>
    <n v="0"/>
    <s v="Oct-2024"/>
    <s v="Q4-2024"/>
    <s v="Europe"/>
    <s v="United Kingdom"/>
    <s v="London"/>
    <s v="Corporate"/>
    <s v="Online"/>
    <s v="E. Garcia"/>
    <x v="5"/>
    <x v="266"/>
    <n v="1108.1099999999999"/>
    <s v="High"/>
    <n v="2503.79"/>
    <n v="0.184"/>
    <n v="19"/>
    <x v="266"/>
    <n v="21054.089999999997"/>
    <n v="11590.04712000001"/>
    <n v="0.35504222633898824"/>
  </r>
  <r>
    <s v="ORD-2023-632893"/>
    <d v="2023-05-07T00:00:00"/>
    <d v="2023-05-05T00:00:00"/>
    <n v="2"/>
    <s v="May-2023"/>
    <s v="Q2-2023"/>
    <s v="Africa"/>
    <s v="Nigeria"/>
    <s v="Port Harcourt"/>
    <s v="Non-Profit"/>
    <s v="Marketplace"/>
    <s v="A. Patel"/>
    <x v="0"/>
    <x v="267"/>
    <n v="1269.6500000000001"/>
    <s v="High"/>
    <n v="2462.77"/>
    <n v="0.107"/>
    <n v="8"/>
    <x v="267"/>
    <n v="10157.200000000001"/>
    <n v="-6420.8880000000008"/>
    <n v="-1.7185095891349547"/>
  </r>
  <r>
    <s v="ORD-2023-967239"/>
    <d v="2023-12-24T00:00:00"/>
    <d v="2024-01-01T00:00:00"/>
    <n v="8"/>
    <s v="Dec-2023"/>
    <s v="Q4-2023"/>
    <s v="Americas"/>
    <s v="Brazil"/>
    <s v="São Paulo"/>
    <s v="Education"/>
    <s v="Direct"/>
    <s v="C. Otieno"/>
    <x v="3"/>
    <x v="268"/>
    <n v="526.49"/>
    <s v="High"/>
    <n v="496.2"/>
    <n v="0"/>
    <n v="14"/>
    <x v="268"/>
    <n v="7370.8600000000006"/>
    <n v="7683.3399999999983"/>
    <n v="0.51037849902352828"/>
  </r>
  <r>
    <s v="ORD-2024-885858"/>
    <d v="2024-01-10T00:00:00"/>
    <d v="2024-01-23T00:00:00"/>
    <n v="13"/>
    <s v="Jan-2024"/>
    <s v="Q1-2024"/>
    <s v="Europe"/>
    <s v="France"/>
    <s v="Marseille"/>
    <s v="Corporate"/>
    <s v="Direct"/>
    <s v="A. Patel"/>
    <x v="1"/>
    <x v="269"/>
    <n v="720"/>
    <s v="High"/>
    <n v="907.59"/>
    <n v="0.154"/>
    <n v="10"/>
    <x v="269"/>
    <n v="7200"/>
    <n v="20672.062200000004"/>
    <n v="0.7416768106954067"/>
  </r>
  <r>
    <s v="ORD-2023-253245"/>
    <d v="2023-08-03T00:00:00"/>
    <d v="2023-08-14T00:00:00"/>
    <n v="11"/>
    <s v="Aug-2023"/>
    <s v="Q3-2023"/>
    <s v="Americas"/>
    <s v="Brazil"/>
    <s v="Brasília"/>
    <s v="Corporate"/>
    <s v="Direct"/>
    <s v="J. Njeri"/>
    <x v="6"/>
    <x v="270"/>
    <n v="232.73"/>
    <s v="High"/>
    <n v="334.19"/>
    <n v="0.13400000000000001"/>
    <n v="25"/>
    <x v="270"/>
    <n v="5818.25"/>
    <n v="4228.4325000000008"/>
    <n v="0.42087848401698774"/>
  </r>
  <r>
    <s v="ORD-2025-484073"/>
    <d v="2025-02-19T00:00:00"/>
    <d v="2025-03-09T00:00:00"/>
    <n v="18"/>
    <s v="Feb-2025"/>
    <s v="Q1-2025"/>
    <s v="Asia"/>
    <s v="India"/>
    <s v="Delhi"/>
    <s v="Small Business"/>
    <s v="Direct"/>
    <s v="O. Wang"/>
    <x v="5"/>
    <x v="271"/>
    <n v="325.87"/>
    <s v="High"/>
    <n v="538.79"/>
    <n v="0.17399999999999999"/>
    <n v="16"/>
    <x v="271"/>
    <n v="5213.92"/>
    <n v="1539.8524800000005"/>
    <n v="0.22799886797489516"/>
  </r>
  <r>
    <s v="ORD-2024-745822"/>
    <d v="2024-03-31T00:00:00"/>
    <d v="2024-04-17T00:00:00"/>
    <n v="17"/>
    <s v="Mar-2024"/>
    <s v="Q1-2024"/>
    <s v="Europe"/>
    <s v="Germany"/>
    <s v="Frankfurt"/>
    <s v="Education"/>
    <s v="Direct"/>
    <s v="H. Kim"/>
    <x v="5"/>
    <x v="272"/>
    <n v="1025.51"/>
    <s v="High"/>
    <n v="1436.54"/>
    <n v="0.13900000000000001"/>
    <n v="28"/>
    <x v="272"/>
    <n v="28714.28"/>
    <n v="-28612.544239999999"/>
    <n v="-281.24372629643699"/>
  </r>
  <r>
    <s v="ORD-2023-369160"/>
    <d v="2023-07-24T00:00:00"/>
    <d v="2023-08-13T00:00:00"/>
    <n v="20"/>
    <s v="Jul-2023"/>
    <s v="Q3-2023"/>
    <s v="Americas"/>
    <s v="Canada"/>
    <s v="Montreal"/>
    <s v="Education"/>
    <s v="Direct"/>
    <s v="C. Otieno"/>
    <x v="5"/>
    <x v="273"/>
    <n v="1082.3800000000001"/>
    <s v="High"/>
    <n v="1766.55"/>
    <n v="0.16400000000000001"/>
    <n v="20"/>
    <x v="273"/>
    <n v="21647.600000000002"/>
    <n v="-11996.147200000003"/>
    <n v="-1.242936938986015"/>
  </r>
  <r>
    <s v="ORD-2024-834983"/>
    <d v="2024-03-16T00:00:00"/>
    <d v="2024-04-13T00:00:00"/>
    <n v="28"/>
    <s v="Mar-2024"/>
    <s v="Q1-2024"/>
    <s v="Europe"/>
    <s v="France"/>
    <s v="Paris"/>
    <s v="Small Business"/>
    <s v="Online"/>
    <s v="K. Singh"/>
    <x v="1"/>
    <x v="274"/>
    <n v="287.61"/>
    <s v="High"/>
    <n v="628.54"/>
    <n v="0.13500000000000001"/>
    <n v="21"/>
    <x v="274"/>
    <n v="6039.81"/>
    <n v="19864.024949999999"/>
    <n v="0.76683722654741504"/>
  </r>
  <r>
    <s v="ORD-2024-499009"/>
    <d v="2024-01-25T00:00:00"/>
    <d v="2024-01-27T00:00:00"/>
    <n v="2"/>
    <s v="Jan-2024"/>
    <s v="Q1-2024"/>
    <s v="Americas"/>
    <s v="Brazil"/>
    <s v="São Paulo"/>
    <s v="Non-Profit"/>
    <s v="Marketplace"/>
    <s v="N. Brown"/>
    <x v="4"/>
    <x v="275"/>
    <n v="1410.97"/>
    <s v="High"/>
    <n v="1650.75"/>
    <n v="0.13500000000000001"/>
    <n v="6"/>
    <x v="275"/>
    <n v="8465.82"/>
    <n v="-1406.7972"/>
    <n v="-0.19929064402511917"/>
  </r>
  <r>
    <s v="ORD-2024-948800"/>
    <d v="2024-03-27T00:00:00"/>
    <d v="2024-04-11T00:00:00"/>
    <n v="15"/>
    <s v="Mar-2024"/>
    <s v="Q1-2024"/>
    <s v="Americas"/>
    <s v="USA"/>
    <s v="San Francisco"/>
    <s v="Small Business"/>
    <s v="Direct"/>
    <s v="O. Wang"/>
    <x v="2"/>
    <x v="276"/>
    <n v="1338.35"/>
    <s v="High"/>
    <n v="2247.14"/>
    <n v="0.115"/>
    <n v="40"/>
    <x v="276"/>
    <n v="53534"/>
    <n v="19782.940000000002"/>
    <n v="0.26982768238827209"/>
  </r>
  <r>
    <s v="ORD-2025-678328"/>
    <d v="2025-06-24T00:00:00"/>
    <d v="2025-07-14T00:00:00"/>
    <n v="20"/>
    <s v="Jun-2025"/>
    <s v="Q2-2025"/>
    <s v="Europe"/>
    <s v="Germany"/>
    <s v="Berlin"/>
    <s v="Corporate"/>
    <s v="Direct"/>
    <s v="O. Wang"/>
    <x v="6"/>
    <x v="277"/>
    <n v="385.08"/>
    <s v="High"/>
    <n v="893.19"/>
    <n v="0.151"/>
    <n v="8"/>
    <x v="277"/>
    <n v="3080.64"/>
    <n v="3574.4332799999997"/>
    <n v="0.53709901147775185"/>
  </r>
  <r>
    <s v="ORD-2024-580808"/>
    <d v="2024-06-16T00:00:00"/>
    <d v="2024-07-03T00:00:00"/>
    <n v="17"/>
    <s v="Jun-2024"/>
    <s v="Q2-2024"/>
    <s v="Africa"/>
    <s v="South Africa"/>
    <s v="Johannesburg"/>
    <s v="Enterprise"/>
    <s v="Marketplace"/>
    <s v="F. Müller"/>
    <x v="3"/>
    <x v="278"/>
    <n v="1173.83"/>
    <s v="High"/>
    <n v="2328.9"/>
    <n v="0.12"/>
    <n v="17"/>
    <x v="278"/>
    <n v="19955.11"/>
    <n v="-11915.7556"/>
    <n v="-1.4821781709237749"/>
  </r>
  <r>
    <s v="ORD-2023-211715"/>
    <d v="2023-10-30T00:00:00"/>
    <d v="2023-11-14T00:00:00"/>
    <n v="15"/>
    <s v="Oct-2023"/>
    <s v="Q4-2023"/>
    <s v="Asia"/>
    <s v="India"/>
    <s v="Bengaluru"/>
    <s v="Corporate"/>
    <s v="Online"/>
    <s v="F. Müller"/>
    <x v="4"/>
    <x v="279"/>
    <n v="953.46"/>
    <s v="High"/>
    <n v="2066.75"/>
    <n v="0.13800000000000001"/>
    <n v="5"/>
    <x v="279"/>
    <n v="4767.3"/>
    <n v="-3847.8908000000001"/>
    <n v="-4.1851776118838062"/>
  </r>
  <r>
    <s v="ORD-2023-715175"/>
    <d v="2023-06-15T00:00:00"/>
    <d v="2023-06-23T00:00:00"/>
    <n v="8"/>
    <s v="Jun-2023"/>
    <s v="Q2-2023"/>
    <s v="Americas"/>
    <s v="USA"/>
    <s v="San Francisco"/>
    <s v="Consumer"/>
    <s v="Distributor"/>
    <s v="O. Wang"/>
    <x v="5"/>
    <x v="280"/>
    <n v="1097.0899999999999"/>
    <s v="High"/>
    <n v="2182.31"/>
    <n v="0.112"/>
    <n v="9"/>
    <x v="280"/>
    <n v="9873.81"/>
    <n v="6067.5926399999989"/>
    <n v="0.38061849242646062"/>
  </r>
  <r>
    <s v="ORD-2025-685236"/>
    <d v="2025-03-14T00:00:00"/>
    <d v="2025-03-29T00:00:00"/>
    <n v="15"/>
    <s v="Mar-2025"/>
    <s v="Q1-2025"/>
    <s v="Asia"/>
    <s v="Japan"/>
    <s v="Tokyo"/>
    <s v="Non-Profit"/>
    <s v="Direct"/>
    <s v="H. Kim"/>
    <x v="2"/>
    <x v="281"/>
    <n v="1106.96"/>
    <s v="High"/>
    <n v="2726.62"/>
    <n v="0.317"/>
    <n v="7"/>
    <x v="281"/>
    <n v="7748.72"/>
    <n v="-5105.5919599999997"/>
    <n v="-1.9316476094741137"/>
  </r>
  <r>
    <s v="ORD-2023-274037"/>
    <d v="2023-08-15T00:00:00"/>
    <d v="2023-08-25T00:00:00"/>
    <n v="10"/>
    <s v="Aug-2023"/>
    <s v="Q3-2023"/>
    <s v="Africa"/>
    <s v="Kenya"/>
    <s v="Nairobi"/>
    <s v="Small Business"/>
    <s v="Retail"/>
    <s v="N. Brown"/>
    <x v="3"/>
    <x v="282"/>
    <n v="91.85"/>
    <s v="Medium"/>
    <n v="111.29"/>
    <n v="0"/>
    <n v="6"/>
    <x v="282"/>
    <n v="551.09999999999991"/>
    <n v="798.59999999999991"/>
    <n v="0.59168704156479224"/>
  </r>
  <r>
    <s v="ORD-2025-983096"/>
    <d v="2025-05-17T00:00:00"/>
    <d v="2025-05-28T00:00:00"/>
    <n v="11"/>
    <s v="May-2025"/>
    <s v="Q2-2025"/>
    <s v="Asia"/>
    <s v="India"/>
    <s v="Bengaluru"/>
    <s v="Corporate"/>
    <s v="Distributor"/>
    <s v="B. Chen"/>
    <x v="4"/>
    <x v="283"/>
    <n v="623.4"/>
    <s v="High"/>
    <n v="1100.0899999999999"/>
    <n v="0.114"/>
    <n v="12"/>
    <x v="283"/>
    <n v="7480.7999999999993"/>
    <n v="728.06088000000091"/>
    <n v="8.8692071974790357E-2"/>
  </r>
  <r>
    <s v="ORD-2024-366010"/>
    <d v="2024-01-13T00:00:00"/>
    <d v="2024-02-05T00:00:00"/>
    <n v="23"/>
    <s v="Jan-2024"/>
    <s v="Q1-2024"/>
    <s v="Europe"/>
    <s v="Germany"/>
    <s v="Frankfurt"/>
    <s v="Education"/>
    <s v="Direct"/>
    <s v="B. Chen"/>
    <x v="4"/>
    <x v="284"/>
    <n v="1017.93"/>
    <s v="High"/>
    <n v="1529.14"/>
    <n v="0.155"/>
    <n v="12"/>
    <x v="284"/>
    <n v="12215.16"/>
    <n v="19717.829400000002"/>
    <n v="0.61747521201381794"/>
  </r>
  <r>
    <s v="ORD-2023-610470"/>
    <d v="2023-06-24T00:00:00"/>
    <d v="2023-07-21T00:00:00"/>
    <n v="27"/>
    <s v="Jun-2023"/>
    <s v="Q2-2023"/>
    <s v="Asia"/>
    <s v="Japan"/>
    <s v="Nagoya"/>
    <s v="Consumer"/>
    <s v="Marketplace"/>
    <s v="J. Njeri"/>
    <x v="3"/>
    <x v="285"/>
    <n v="554.76"/>
    <s v="High"/>
    <n v="728.69"/>
    <n v="0.22"/>
    <n v="7"/>
    <x v="285"/>
    <n v="3883.3199999999997"/>
    <n v="-3569.2061999999996"/>
    <n v="-11.362780622818862"/>
  </r>
  <r>
    <s v="ORD-2025-541048"/>
    <d v="2025-04-04T00:00:00"/>
    <d v="2025-04-13T00:00:00"/>
    <n v="9"/>
    <s v="Apr-2025"/>
    <s v="Q2-2025"/>
    <s v="Europe"/>
    <s v="Germany"/>
    <s v="Munich"/>
    <s v="Consumer"/>
    <s v="Marketplace"/>
    <s v="F. Müller"/>
    <x v="3"/>
    <x v="286"/>
    <n v="7.02"/>
    <s v="Low"/>
    <n v="6.28"/>
    <n v="0.13400000000000001"/>
    <n v="14"/>
    <x v="286"/>
    <n v="98.28"/>
    <n v="9901.7164400000001"/>
    <n v="0.99017199650123067"/>
  </r>
  <r>
    <s v="ORD-2024-862371"/>
    <d v="2024-09-07T00:00:00"/>
    <d v="2024-09-07T00:00:00"/>
    <n v="0"/>
    <s v="Sept-2024"/>
    <s v="Q3-2024"/>
    <s v="Asia"/>
    <s v="India"/>
    <s v="Mumbai"/>
    <s v="Education"/>
    <s v="Distributor"/>
    <s v="B. Chen"/>
    <x v="2"/>
    <x v="287"/>
    <n v="1066.6500000000001"/>
    <s v="High"/>
    <n v="2569.77"/>
    <n v="0.13400000000000001"/>
    <n v="9"/>
    <x v="287"/>
    <n v="9599.85"/>
    <n v="2040.722819999999"/>
    <n v="0.17531120259767416"/>
  </r>
  <r>
    <s v="ORD-2024-277241"/>
    <d v="2024-01-28T00:00:00"/>
    <d v="2024-01-30T00:00:00"/>
    <n v="2"/>
    <s v="Jan-2024"/>
    <s v="Q1-2024"/>
    <s v="Africa"/>
    <s v="South Africa"/>
    <s v="Cape Town"/>
    <s v="Consumer"/>
    <s v="Direct"/>
    <s v="F. Müller"/>
    <x v="6"/>
    <x v="288"/>
    <n v="798.45"/>
    <s v="High"/>
    <n v="1592.02"/>
    <n v="6.6000000000000003E-2"/>
    <n v="18"/>
    <x v="288"/>
    <n v="14372.1"/>
    <n v="-1898.9409600000017"/>
    <n v="-0.15224218290733843"/>
  </r>
  <r>
    <s v="ORD-2023-369150"/>
    <d v="2023-07-18T00:00:00"/>
    <d v="2023-08-10T00:00:00"/>
    <n v="23"/>
    <s v="Jul-2023"/>
    <s v="Q3-2023"/>
    <s v="Africa"/>
    <s v="South Africa"/>
    <s v="Johannesburg"/>
    <s v="Small Business"/>
    <s v="Retail"/>
    <s v="L. Okafor"/>
    <x v="0"/>
    <x v="289"/>
    <n v="1271.56"/>
    <s v="High"/>
    <n v="995.47"/>
    <n v="0.192"/>
    <n v="13"/>
    <x v="289"/>
    <n v="16530.28"/>
    <n v="-8733.8960799999986"/>
    <n v="-1.1202496143878966"/>
  </r>
  <r>
    <s v="ORD-2025-922513"/>
    <d v="2025-08-28T00:00:00"/>
    <d v="2025-08-26T00:00:00"/>
    <n v="2"/>
    <s v="Aug-2025"/>
    <s v="Q3-2025"/>
    <s v="Africa"/>
    <s v="Nigeria"/>
    <s v="Port Harcourt"/>
    <s v="Small Business"/>
    <s v="Retail"/>
    <s v="A. Patel"/>
    <x v="6"/>
    <x v="290"/>
    <n v="521.05999999999995"/>
    <s v="High"/>
    <n v="1240.31"/>
    <n v="0.14599999999999999"/>
    <n v="18"/>
    <x v="290"/>
    <n v="9379.0799999999981"/>
    <n v="-2007.5911199999973"/>
    <n v="-0.27234540439271437"/>
  </r>
  <r>
    <s v="ORD-2025-752845"/>
    <d v="2025-03-30T00:00:00"/>
    <d v="2025-04-07T00:00:00"/>
    <n v="8"/>
    <s v="Mar-2025"/>
    <s v="Q1-2025"/>
    <s v="Americas"/>
    <s v="Brazil"/>
    <s v="São Paulo"/>
    <s v="Non-Profit"/>
    <s v="Direct"/>
    <s v="L. Okafor"/>
    <x v="1"/>
    <x v="291"/>
    <n v="71.62"/>
    <s v="Medium"/>
    <n v="118.37"/>
    <n v="0.156"/>
    <n v="11"/>
    <x v="291"/>
    <n v="787.82"/>
    <n v="10123.200999999999"/>
    <n v="0.92779594136973986"/>
  </r>
  <r>
    <s v="ORD-2023-667815"/>
    <d v="2023-10-21T00:00:00"/>
    <d v="2023-11-09T00:00:00"/>
    <n v="19"/>
    <s v="Oct-2023"/>
    <s v="Q4-2023"/>
    <s v="Europe"/>
    <s v="United Kingdom"/>
    <s v="London"/>
    <s v="Non-Profit"/>
    <s v="Direct"/>
    <s v="A. Patel"/>
    <x v="6"/>
    <x v="292"/>
    <n v="1142.48"/>
    <s v="High"/>
    <n v="2105.5300000000002"/>
    <n v="0.20699999999999999"/>
    <n v="14"/>
    <x v="292"/>
    <n v="15994.720000000001"/>
    <n v="-13469.570100000001"/>
    <n v="-5.3341665379944381"/>
  </r>
  <r>
    <s v="ORD-2023-375011"/>
    <d v="2023-08-23T00:00:00"/>
    <d v="2023-09-22T00:00:00"/>
    <n v="30"/>
    <s v="Aug-2023"/>
    <s v="Q3-2023"/>
    <s v="Europe"/>
    <s v="United Kingdom"/>
    <s v="London"/>
    <s v="Consumer"/>
    <s v="Distributor"/>
    <s v="O. Wang"/>
    <x v="6"/>
    <x v="293"/>
    <n v="209.81"/>
    <s v="High"/>
    <n v="523"/>
    <n v="5.8999999999999997E-2"/>
    <n v="15"/>
    <x v="293"/>
    <n v="3147.15"/>
    <n v="13489.071300000001"/>
    <n v="0.81082543065233215"/>
  </r>
  <r>
    <s v="ORD-2025-487025"/>
    <d v="2025-04-11T00:00:00"/>
    <d v="2025-05-04T00:00:00"/>
    <n v="23"/>
    <s v="Apr-2025"/>
    <s v="Q2-2025"/>
    <s v="Asia"/>
    <s v="Japan"/>
    <s v="Osaka"/>
    <s v="Small Business"/>
    <s v="Online"/>
    <s v="M. Rossi"/>
    <x v="0"/>
    <x v="294"/>
    <n v="786.2"/>
    <s v="High"/>
    <n v="1075.3"/>
    <n v="0.08"/>
    <n v="9"/>
    <x v="294"/>
    <n v="7075.8"/>
    <n v="12979.187999999998"/>
    <n v="0.64718004318925548"/>
  </r>
  <r>
    <s v="ORD-2025-398335"/>
    <d v="2025-06-01T00:00:00"/>
    <d v="2025-06-27T00:00:00"/>
    <n v="26"/>
    <s v="Jun-2025"/>
    <s v="Q2-2025"/>
    <s v="Europe"/>
    <s v="Germany"/>
    <s v="Munich"/>
    <s v="Consumer"/>
    <s v="Distributor"/>
    <s v="E. Garcia"/>
    <x v="4"/>
    <x v="295"/>
    <n v="1362.31"/>
    <s v="High"/>
    <n v="3294.57"/>
    <n v="0.113"/>
    <n v="7"/>
    <x v="295"/>
    <n v="9536.17"/>
    <n v="-6842.2090800000005"/>
    <n v="-2.5398323447097373"/>
  </r>
  <r>
    <s v="ORD-2024-792137"/>
    <d v="2024-03-02T00:00:00"/>
    <d v="2024-03-16T00:00:00"/>
    <n v="14"/>
    <s v="Mar-2024"/>
    <s v="Q1-2024"/>
    <s v="Americas"/>
    <s v="Canada"/>
    <s v="Vancouver"/>
    <s v="Non-Profit"/>
    <s v="Direct"/>
    <s v="O. Wang"/>
    <x v="1"/>
    <x v="296"/>
    <n v="248.24"/>
    <s v="High"/>
    <n v="464.05"/>
    <n v="0.16900000000000001"/>
    <n v="11"/>
    <x v="296"/>
    <n v="2730.6400000000003"/>
    <n v="26055.55733"/>
    <n v="0.90514064887777934"/>
  </r>
  <r>
    <s v="ORD-2023-602648"/>
    <d v="2023-06-20T00:00:00"/>
    <d v="2023-07-08T00:00:00"/>
    <n v="18"/>
    <s v="Jun-2023"/>
    <s v="Q2-2023"/>
    <s v="Americas"/>
    <s v="USA"/>
    <s v="Austin"/>
    <s v="Non-Profit"/>
    <s v="Direct"/>
    <s v="F. Müller"/>
    <x v="5"/>
    <x v="297"/>
    <n v="337"/>
    <s v="High"/>
    <n v="511.03"/>
    <n v="0.108"/>
    <n v="7"/>
    <x v="297"/>
    <n v="2359"/>
    <n v="-1949.0814"/>
    <n v="-4.7548010751402829"/>
  </r>
  <r>
    <s v="ORD-2024-207096"/>
    <d v="2024-03-26T00:00:00"/>
    <d v="2024-04-05T00:00:00"/>
    <n v="10"/>
    <s v="Mar-2024"/>
    <s v="Q1-2024"/>
    <s v="Americas"/>
    <s v="USA"/>
    <s v="Austin"/>
    <s v="Consumer"/>
    <s v="Direct"/>
    <s v="J. Njeri"/>
    <x v="5"/>
    <x v="298"/>
    <n v="5.66"/>
    <s v="Low"/>
    <n v="4.22"/>
    <n v="0.11899999999999999"/>
    <n v="18"/>
    <x v="298"/>
    <n v="101.88"/>
    <n v="39418.476119999999"/>
    <n v="0.99742208800723742"/>
  </r>
  <r>
    <s v="ORD-2025-939953"/>
    <d v="2025-01-22T00:00:00"/>
    <d v="2025-01-22T00:00:00"/>
    <n v="0"/>
    <s v="Jan-2025"/>
    <s v="Q1-2025"/>
    <s v="Europe"/>
    <s v="France"/>
    <s v="Lyon"/>
    <s v="Small Business"/>
    <s v="Online"/>
    <s v="B. Chen"/>
    <x v="6"/>
    <x v="299"/>
    <n v="591.72"/>
    <s v="High"/>
    <n v="577.24"/>
    <n v="0"/>
    <n v="22"/>
    <x v="299"/>
    <n v="13017.84"/>
    <n v="7482.6399999999994"/>
    <n v="0.36499828296703296"/>
  </r>
  <r>
    <s v="ORD-2025-191328"/>
    <d v="2025-05-10T00:00:00"/>
    <d v="2025-05-27T00:00:00"/>
    <n v="17"/>
    <s v="May-2025"/>
    <s v="Q2-2025"/>
    <s v="Americas"/>
    <s v="Canada"/>
    <s v="Vancouver"/>
    <s v="Education"/>
    <s v="Direct"/>
    <s v="C. Otieno"/>
    <x v="0"/>
    <x v="300"/>
    <n v="862.89"/>
    <s v="High"/>
    <n v="1426.03"/>
    <n v="5.6000000000000001E-2"/>
    <n v="19"/>
    <x v="300"/>
    <n v="16394.91"/>
    <n v="-5283.3786400000008"/>
    <n v="-0.4754860935747745"/>
  </r>
  <r>
    <s v="ORD-2023-166668"/>
    <d v="2023-10-05T00:00:00"/>
    <d v="2023-10-31T00:00:00"/>
    <n v="26"/>
    <s v="Oct-2023"/>
    <s v="Q4-2023"/>
    <s v="Asia"/>
    <s v="China"/>
    <s v="Shanghai"/>
    <s v="Consumer"/>
    <s v="Not Provided"/>
    <s v="J. Njeri"/>
    <x v="1"/>
    <x v="301"/>
    <n v="649.91"/>
    <s v="High"/>
    <n v="1360.12"/>
    <n v="0.19400000000000001"/>
    <n v="9"/>
    <x v="301"/>
    <n v="5849.19"/>
    <n v="4462.7336999999998"/>
    <n v="0.43277411953697836"/>
  </r>
  <r>
    <s v="ORD-2023-594700"/>
    <d v="2023-07-18T00:00:00"/>
    <d v="2023-07-22T00:00:00"/>
    <n v="4"/>
    <s v="Jul-2023"/>
    <s v="Q3-2023"/>
    <s v="Americas"/>
    <s v="Brazil"/>
    <s v="São Paulo"/>
    <s v="Consumer"/>
    <s v="Direct"/>
    <s v="F. Müller"/>
    <x v="2"/>
    <x v="302"/>
    <n v="1269.55"/>
    <s v="High"/>
    <n v="2071.1"/>
    <n v="0.129"/>
    <n v="22"/>
    <x v="302"/>
    <n v="27930.1"/>
    <n v="-9677.1452800000006"/>
    <n v="-0.53016870027057195"/>
  </r>
  <r>
    <s v="ORD-2025-278048"/>
    <d v="2025-06-22T00:00:00"/>
    <d v="2025-07-08T00:00:00"/>
    <n v="16"/>
    <s v="Jun-2025"/>
    <s v="Q2-2025"/>
    <s v="Europe"/>
    <s v="United Kingdom"/>
    <s v="London"/>
    <s v="Education"/>
    <s v="Direct"/>
    <s v="A. Patel"/>
    <x v="3"/>
    <x v="303"/>
    <n v="892.73"/>
    <s v="High"/>
    <n v="979.84"/>
    <n v="0.17399999999999999"/>
    <n v="10"/>
    <x v="303"/>
    <n v="8927.2999999999993"/>
    <n v="17125.896400000001"/>
    <n v="0.65734338839129935"/>
  </r>
  <r>
    <s v="ORD-2024-878493"/>
    <d v="2024-06-19T00:00:00"/>
    <d v="2024-06-20T00:00:00"/>
    <n v="1"/>
    <s v="Jun-2024"/>
    <s v="Q2-2024"/>
    <s v="Africa"/>
    <s v="Kenya"/>
    <s v="Kisumu"/>
    <s v="Small Business"/>
    <s v="Direct"/>
    <s v="J. Njeri"/>
    <x v="4"/>
    <x v="304"/>
    <n v="231.63"/>
    <s v="High"/>
    <n v="537.39"/>
    <n v="0.08"/>
    <n v="12"/>
    <x v="304"/>
    <n v="2779.56"/>
    <n v="-282.97440000000006"/>
    <n v="-0.11334456146827093"/>
  </r>
  <r>
    <s v="ORD-2025-138578"/>
    <d v="2025-04-09T00:00:00"/>
    <d v="2025-04-12T00:00:00"/>
    <n v="3"/>
    <s v="Apr-2025"/>
    <s v="Q2-2025"/>
    <s v="Europe"/>
    <s v="France"/>
    <s v="Lyon"/>
    <s v="Small Business"/>
    <s v="Distributor"/>
    <s v="H. Kim"/>
    <x v="5"/>
    <x v="305"/>
    <n v="86.68"/>
    <s v="High"/>
    <n v="213.32"/>
    <n v="3.7999999999999999E-2"/>
    <n v="8"/>
    <x v="305"/>
    <n v="693.44"/>
    <n v="6124.6003199999996"/>
    <n v="0.89829335594190218"/>
  </r>
  <r>
    <s v="ORD-2025-944081"/>
    <d v="2025-03-25T00:00:00"/>
    <d v="2025-03-26T00:00:00"/>
    <n v="1"/>
    <s v="Mar-2025"/>
    <s v="Q1-2025"/>
    <s v="Africa"/>
    <s v="Nigeria"/>
    <s v="Lagos"/>
    <s v="Education"/>
    <s v="Distributor"/>
    <s v="G. Dubois"/>
    <x v="6"/>
    <x v="306"/>
    <n v="1450.43"/>
    <s v="High"/>
    <n v="1994.67"/>
    <n v="0.1"/>
    <n v="24"/>
    <x v="306"/>
    <n v="34810.32"/>
    <n v="17749.824000000008"/>
    <n v="0.33770501085385163"/>
  </r>
  <r>
    <s v="ORD-2025-364852"/>
    <d v="2025-05-18T00:00:00"/>
    <d v="2025-06-09T00:00:00"/>
    <n v="22"/>
    <s v="May-2025"/>
    <s v="Q2-2025"/>
    <s v="Americas"/>
    <s v="USA"/>
    <s v="New York"/>
    <s v="Consumer"/>
    <s v="Retail"/>
    <s v="H. Kim"/>
    <x v="2"/>
    <x v="307"/>
    <n v="382.96"/>
    <s v="High"/>
    <n v="552.84"/>
    <n v="0.17599999999999999"/>
    <n v="8"/>
    <x v="307"/>
    <n v="3063.68"/>
    <n v="4545.7292799999996"/>
    <n v="0.59738267620164065"/>
  </r>
  <r>
    <s v="ORD-2025-415018"/>
    <d v="2025-01-22T00:00:00"/>
    <d v="2025-02-04T00:00:00"/>
    <n v="13"/>
    <s v="Jan-2025"/>
    <s v="Q1-2025"/>
    <s v="Asia"/>
    <s v="Japan"/>
    <s v="Tokyo"/>
    <s v="Small Business"/>
    <s v="Distributor"/>
    <s v="L. Okafor"/>
    <x v="1"/>
    <x v="308"/>
    <n v="122.29"/>
    <s v="High"/>
    <n v="224.95"/>
    <n v="0.153"/>
    <n v="28"/>
    <x v="308"/>
    <n v="3424.1200000000003"/>
    <n v="23517.018840000001"/>
    <n v="0.8729036652705956"/>
  </r>
  <r>
    <s v="ORD-2023-884192"/>
    <d v="2023-01-10T00:00:00"/>
    <d v="2023-01-29T00:00:00"/>
    <n v="19"/>
    <s v="Jan-2023"/>
    <s v="Q1-2023"/>
    <s v="Europe"/>
    <s v="France"/>
    <s v="Lyon"/>
    <s v="Non-Profit"/>
    <s v="Direct"/>
    <s v="D. Smith"/>
    <x v="4"/>
    <x v="309"/>
    <n v="401.66"/>
    <s v="High"/>
    <n v="772.09"/>
    <n v="8.8999999999999996E-2"/>
    <n v="14"/>
    <x v="309"/>
    <n v="5623.2400000000007"/>
    <n v="29473.727360000001"/>
    <n v="0.83977988917615698"/>
  </r>
  <r>
    <s v="ORD-2024-165942"/>
    <d v="2024-12-29T00:00:00"/>
    <d v="2025-01-12T00:00:00"/>
    <n v="14"/>
    <s v="Dec-2024"/>
    <s v="Q4-2024"/>
    <s v="Europe"/>
    <s v="United Kingdom"/>
    <s v="Manchester"/>
    <s v="Corporate"/>
    <s v="Direct"/>
    <s v="B. Chen"/>
    <x v="5"/>
    <x v="310"/>
    <n v="1399.72"/>
    <s v="High"/>
    <n v="3149.21"/>
    <n v="0.185"/>
    <n v="12"/>
    <x v="310"/>
    <n v="16796.64"/>
    <n v="-3351.8784000000014"/>
    <n v="-0.24930738823959525"/>
  </r>
  <r>
    <s v="ORD-2024-403664"/>
    <d v="2024-05-23T00:00:00"/>
    <d v="2024-06-06T00:00:00"/>
    <n v="14"/>
    <s v="May-2024"/>
    <s v="Q2-2024"/>
    <s v="Americas"/>
    <s v="Brazil"/>
    <s v="Rio de Janeiro"/>
    <s v="Non-Profit"/>
    <s v="Online"/>
    <s v="I. Johnson"/>
    <x v="2"/>
    <x v="311"/>
    <n v="51.13"/>
    <s v="Medium"/>
    <n v="57.53"/>
    <n v="4.4999999999999998E-2"/>
    <n v="16"/>
    <x v="311"/>
    <n v="818.08"/>
    <n v="19326.613599999997"/>
    <n v="0.95938980178879452"/>
  </r>
  <r>
    <s v="ORD-2023-890605"/>
    <d v="2023-06-24T00:00:00"/>
    <d v="2023-06-22T00:00:00"/>
    <n v="2"/>
    <s v="Jun-2023"/>
    <s v="Q2-2023"/>
    <s v="Americas"/>
    <s v="Canada"/>
    <s v="Toronto"/>
    <s v="Non-Profit"/>
    <s v="Retail"/>
    <s v="M. Rossi"/>
    <x v="6"/>
    <x v="312"/>
    <n v="471.42"/>
    <s v="High"/>
    <n v="824.81"/>
    <n v="8.7999999999999995E-2"/>
    <n v="15"/>
    <x v="312"/>
    <n v="7071.3"/>
    <n v="-1028.2968000000001"/>
    <n v="-0.17016320626803574"/>
  </r>
  <r>
    <s v="ORD-2024-925626"/>
    <d v="2024-11-04T00:00:00"/>
    <d v="2024-11-05T00:00:00"/>
    <n v="1"/>
    <s v="Nov-2024"/>
    <s v="Q4-2024"/>
    <s v="Europe"/>
    <s v="United Kingdom"/>
    <s v="London"/>
    <s v="Corporate"/>
    <s v="Retail"/>
    <s v="M. Rossi"/>
    <x v="1"/>
    <x v="313"/>
    <n v="840.68"/>
    <s v="High"/>
    <n v="1493.53"/>
    <n v="0"/>
    <n v="27"/>
    <x v="313"/>
    <n v="22698.359999999997"/>
    <n v="13213.530000000002"/>
    <n v="0.36794304059184862"/>
  </r>
  <r>
    <s v="ORD-2024-427031"/>
    <d v="2024-06-08T00:00:00"/>
    <d v="2024-06-24T00:00:00"/>
    <n v="16"/>
    <s v="Jun-2024"/>
    <s v="Q2-2024"/>
    <s v="Africa"/>
    <s v="South Africa"/>
    <s v="Durban"/>
    <s v="Education"/>
    <s v="Distributor"/>
    <s v="H. Kim"/>
    <x v="5"/>
    <x v="314"/>
    <n v="597.85"/>
    <s v="High"/>
    <n v="741.92"/>
    <n v="3.1E-2"/>
    <n v="7"/>
    <x v="314"/>
    <n v="4184.95"/>
    <n v="6904.3053799999989"/>
    <n v="0.62261217217995024"/>
  </r>
  <r>
    <s v="ORD-2025-231184"/>
    <d v="2025-06-01T00:00:00"/>
    <d v="2025-06-06T00:00:00"/>
    <n v="5"/>
    <s v="Jun-2025"/>
    <s v="Q2-2025"/>
    <s v="Europe"/>
    <s v="France"/>
    <s v="Paris"/>
    <s v="Consumer"/>
    <s v="Distributor"/>
    <s v="G. Dubois"/>
    <x v="0"/>
    <x v="315"/>
    <n v="379.45"/>
    <s v="High"/>
    <n v="742.23"/>
    <n v="0.09"/>
    <n v="13"/>
    <x v="315"/>
    <n v="4932.8499999999995"/>
    <n v="-4097.6519999999991"/>
    <n v="-4.9062042773090919"/>
  </r>
  <r>
    <s v="ORD-2023-363031"/>
    <d v="2023-05-06T00:00:00"/>
    <d v="2023-05-14T00:00:00"/>
    <n v="8"/>
    <s v="May-2023"/>
    <s v="Q2-2023"/>
    <s v="Asia"/>
    <s v="Japan"/>
    <s v="Osaka"/>
    <s v="Enterprise"/>
    <s v="Marketplace"/>
    <s v="B. Chen"/>
    <x v="3"/>
    <x v="316"/>
    <n v="291.18"/>
    <s v="High"/>
    <n v="479.54"/>
    <n v="0.14099999999999999"/>
    <n v="22"/>
    <x v="316"/>
    <n v="6405.96"/>
    <n v="28045.849920000001"/>
    <n v="0.81406027680765747"/>
  </r>
  <r>
    <s v="ORD-2023-619570"/>
    <d v="2023-11-14T00:00:00"/>
    <d v="2023-11-30T00:00:00"/>
    <n v="16"/>
    <s v="Nov-2023"/>
    <s v="Q4-2023"/>
    <s v="Americas"/>
    <s v="Brazil"/>
    <s v="São Paulo"/>
    <s v="Enterprise"/>
    <s v="Direct"/>
    <s v="K. Singh"/>
    <x v="2"/>
    <x v="317"/>
    <n v="1017.92"/>
    <s v="High"/>
    <n v="1175.25"/>
    <n v="7.4999999999999997E-2"/>
    <n v="15"/>
    <x v="317"/>
    <n v="15268.8"/>
    <n v="12703.061250000002"/>
    <n v="0.45413714648681097"/>
  </r>
  <r>
    <s v="ORD-2025-861401"/>
    <d v="2025-04-01T00:00:00"/>
    <d v="2025-04-27T00:00:00"/>
    <n v="26"/>
    <s v="Apr-2025"/>
    <s v="Q2-2025"/>
    <s v="Americas"/>
    <s v="USA"/>
    <s v="San Francisco"/>
    <s v="Corporate"/>
    <s v="Direct"/>
    <s v="I. Johnson"/>
    <x v="5"/>
    <x v="318"/>
    <n v="156.55000000000001"/>
    <s v="High"/>
    <n v="227.45"/>
    <n v="1.4E-2"/>
    <n v="13"/>
    <x v="318"/>
    <n v="2035.15"/>
    <n v="1094.1083399999998"/>
    <n v="0.34963822769583153"/>
  </r>
  <r>
    <s v="ORD-2023-835010"/>
    <d v="2023-03-23T00:00:00"/>
    <d v="2023-04-15T00:00:00"/>
    <n v="23"/>
    <s v="Mar-2023"/>
    <s v="Q1-2023"/>
    <s v="Africa"/>
    <s v="Kenya"/>
    <s v="Mombasa"/>
    <s v="Small Business"/>
    <s v="Retail"/>
    <s v="C. Otieno"/>
    <x v="6"/>
    <x v="319"/>
    <n v="875.36"/>
    <s v="High"/>
    <n v="1178.6199999999999"/>
    <n v="0.151"/>
    <n v="53"/>
    <x v="319"/>
    <n v="46394.080000000002"/>
    <n v="78837.970639999985"/>
    <n v="0.62953509295022747"/>
  </r>
  <r>
    <s v="ORD-2024-819979"/>
    <d v="2024-05-28T00:00:00"/>
    <d v="2024-06-18T00:00:00"/>
    <n v="21"/>
    <s v="May-2024"/>
    <s v="Q2-2024"/>
    <s v="Europe"/>
    <s v="Germany"/>
    <s v="Frankfurt"/>
    <s v="Small Business"/>
    <s v="Online"/>
    <s v="E. Garcia"/>
    <x v="3"/>
    <x v="320"/>
    <n v="986.85"/>
    <s v="High"/>
    <n v="2422.1"/>
    <n v="7.5999999999999998E-2"/>
    <n v="10"/>
    <x v="320"/>
    <n v="9868.5"/>
    <n v="9076.3643999999986"/>
    <n v="0.47909365875429538"/>
  </r>
  <r>
    <s v="ORD-2024-719055"/>
    <d v="2024-01-02T00:00:00"/>
    <d v="2024-01-01T00:00:00"/>
    <n v="1"/>
    <s v="Jan-2024"/>
    <s v="Q1-2024"/>
    <s v="Americas"/>
    <s v="USA"/>
    <s v="Chicago"/>
    <s v="Education"/>
    <s v="Marketplace"/>
    <s v="B. Chen"/>
    <x v="2"/>
    <x v="321"/>
    <n v="404.77"/>
    <s v="High"/>
    <n v="433.88"/>
    <n v="0.215"/>
    <n v="22"/>
    <x v="321"/>
    <n v="8904.9399999999987"/>
    <n v="-6364.1775999999982"/>
    <n v="-2.504829888855407"/>
  </r>
  <r>
    <s v="ORD-2023-888245"/>
    <d v="2023-02-28T00:00:00"/>
    <d v="2023-02-27T00:00:00"/>
    <n v="1"/>
    <s v="Feb-2023"/>
    <s v="Q1-2023"/>
    <s v="Europe"/>
    <s v="France"/>
    <s v="Marseille"/>
    <s v="Corporate"/>
    <s v="Retail"/>
    <s v="K. Singh"/>
    <x v="2"/>
    <x v="322"/>
    <n v="1299.81"/>
    <s v="High"/>
    <n v="3149.13"/>
    <n v="0.10299999999999999"/>
    <n v="14"/>
    <x v="322"/>
    <n v="18197.34"/>
    <n v="6704.9228400000029"/>
    <n v="0.26924954101881943"/>
  </r>
  <r>
    <s v="ORD-2024-206121"/>
    <d v="2024-02-18T00:00:00"/>
    <d v="2024-03-11T00:00:00"/>
    <n v="22"/>
    <s v="Feb-2024"/>
    <s v="Q1-2024"/>
    <s v="Americas"/>
    <s v="Brazil"/>
    <s v="São Paulo"/>
    <s v="Consumer"/>
    <s v="Online"/>
    <s v="A. Patel"/>
    <x v="0"/>
    <x v="323"/>
    <n v="80.48"/>
    <s v="Medium"/>
    <n v="65.650000000000006"/>
    <n v="0.17599999999999999"/>
    <n v="13"/>
    <x v="323"/>
    <n v="1046.24"/>
    <n v="23583.8616"/>
    <n v="0.95752189670220433"/>
  </r>
  <r>
    <s v="ORD-2024-500890"/>
    <d v="2024-09-09T00:00:00"/>
    <d v="2024-10-08T00:00:00"/>
    <n v="29"/>
    <s v="Sept-2024"/>
    <s v="Q3-2024"/>
    <s v="Americas"/>
    <s v="Brazil"/>
    <s v="São Paulo"/>
    <s v="Education"/>
    <s v="Direct"/>
    <s v="J. Njeri"/>
    <x v="0"/>
    <x v="324"/>
    <n v="1010.33"/>
    <s v="High"/>
    <n v="2492.14"/>
    <n v="5.0999999999999997E-2"/>
    <n v="11"/>
    <x v="324"/>
    <n v="11113.630000000001"/>
    <n v="-6284.4442100000015"/>
    <n v="-1.3013465381707756"/>
  </r>
  <r>
    <s v="ORD-2023-144816"/>
    <d v="2023-05-07T00:00:00"/>
    <d v="2023-05-29T00:00:00"/>
    <n v="22"/>
    <s v="May-2023"/>
    <s v="Q2-2023"/>
    <s v="Africa"/>
    <s v="South Africa"/>
    <s v="Durban"/>
    <s v="Education"/>
    <s v="Distributor"/>
    <s v="K. Singh"/>
    <x v="6"/>
    <x v="325"/>
    <n v="653.86"/>
    <s v="High"/>
    <n v="931.84"/>
    <n v="0.121"/>
    <n v="12"/>
    <x v="325"/>
    <n v="7846.32"/>
    <n v="3686.7577200000014"/>
    <n v="0.3196681587956906"/>
  </r>
  <r>
    <s v="ORD-2024-153053"/>
    <d v="2024-01-12T00:00:00"/>
    <d v="2024-01-29T00:00:00"/>
    <n v="17"/>
    <s v="Jan-2024"/>
    <s v="Q1-2024"/>
    <s v="Asia"/>
    <s v="India"/>
    <s v="Hyderabad"/>
    <s v="Small Business"/>
    <s v="Direct"/>
    <s v="B. Chen"/>
    <x v="0"/>
    <x v="326"/>
    <n v="310.02"/>
    <s v="High"/>
    <n v="619.51"/>
    <n v="4.2000000000000003E-2"/>
    <n v="4"/>
    <x v="326"/>
    <n v="1240.08"/>
    <n v="4332.4910399999999"/>
    <n v="0.77746717070115634"/>
  </r>
  <r>
    <s v="ORD-2023-536542"/>
    <d v="2023-06-10T00:00:00"/>
    <d v="2023-06-18T00:00:00"/>
    <n v="8"/>
    <s v="Jun-2023"/>
    <s v="Q2-2023"/>
    <s v="Africa"/>
    <s v="Kenya"/>
    <s v="Nakuru"/>
    <s v="Enterprise"/>
    <s v="Direct"/>
    <s v="H. Kim"/>
    <x v="3"/>
    <x v="327"/>
    <n v="894.23"/>
    <s v="High"/>
    <n v="1421.55"/>
    <n v="0.109"/>
    <n v="3"/>
    <x v="327"/>
    <n v="2682.69"/>
    <n v="2985.139200000001"/>
    <n v="0.52668122038681064"/>
  </r>
  <r>
    <s v="ORD-2025-779530"/>
    <d v="2025-05-19T00:00:00"/>
    <d v="2025-05-17T00:00:00"/>
    <n v="2"/>
    <s v="May-2025"/>
    <s v="Q2-2025"/>
    <s v="Americas"/>
    <s v="Brazil"/>
    <s v="São Paulo"/>
    <s v="Small Business"/>
    <s v="Distributor"/>
    <s v="L. Okafor"/>
    <x v="5"/>
    <x v="328"/>
    <n v="383.77"/>
    <s v="High"/>
    <n v="952.56"/>
    <n v="0.34599999999999997"/>
    <n v="10"/>
    <x v="328"/>
    <n v="3837.7"/>
    <n v="-2996.1327999999994"/>
    <n v="-3.5601824785946965"/>
  </r>
  <r>
    <s v="ORD-2023-163610"/>
    <d v="2023-10-22T00:00:00"/>
    <d v="2023-11-16T00:00:00"/>
    <n v="25"/>
    <s v="Oct-2023"/>
    <s v="Q4-2023"/>
    <s v="Americas"/>
    <s v="Canada"/>
    <s v="Toronto"/>
    <s v="Small Business"/>
    <s v="Marketplace"/>
    <s v="I. Johnson"/>
    <x v="4"/>
    <x v="329"/>
    <n v="1373.31"/>
    <s v="High"/>
    <n v="3154.14"/>
    <n v="0.2"/>
    <n v="11"/>
    <x v="329"/>
    <n v="15106.41"/>
    <n v="-3437.9619999999977"/>
    <n v="-0.29463747021026249"/>
  </r>
  <r>
    <s v="ORD-2025-653781"/>
    <d v="2025-01-11T00:00:00"/>
    <d v="2025-01-23T00:00:00"/>
    <n v="12"/>
    <s v="Jan-2025"/>
    <s v="Q1-2025"/>
    <s v="Americas"/>
    <s v="USA"/>
    <s v="Austin"/>
    <s v="Consumer"/>
    <s v="Distributor"/>
    <s v="H. Kim"/>
    <x v="3"/>
    <x v="330"/>
    <n v="100.69"/>
    <s v="High"/>
    <n v="226.14"/>
    <n v="6.5000000000000002E-2"/>
    <n v="12"/>
    <x v="330"/>
    <n v="1208.28"/>
    <n v="26161.002600000003"/>
    <n v="0.95585269743241286"/>
  </r>
  <r>
    <s v="ORD-2025-737787"/>
    <d v="2025-09-14T00:00:00"/>
    <d v="2025-09-26T00:00:00"/>
    <n v="12"/>
    <s v="Sept-2025"/>
    <s v="Q3-2025"/>
    <s v="Europe"/>
    <s v="United Kingdom"/>
    <s v="London"/>
    <s v="Small Business"/>
    <s v="Direct"/>
    <s v="N. Brown"/>
    <x v="2"/>
    <x v="331"/>
    <n v="425.15"/>
    <s v="High"/>
    <n v="885.92"/>
    <n v="0.23899999999999999"/>
    <n v="13"/>
    <x v="331"/>
    <n v="5526.95"/>
    <n v="16252.88522"/>
    <n v="0.74623545384196899"/>
  </r>
  <r>
    <s v="ORD-2023-944052"/>
    <d v="2023-08-30T00:00:00"/>
    <d v="2023-09-03T00:00:00"/>
    <n v="4"/>
    <s v="Aug-2023"/>
    <s v="Q3-2023"/>
    <s v="Asia"/>
    <s v="India"/>
    <s v="Delhi"/>
    <s v="Small Business"/>
    <s v="Marketplace"/>
    <s v="L. Okafor"/>
    <x v="6"/>
    <x v="332"/>
    <n v="1082.25"/>
    <s v="High"/>
    <n v="2433.34"/>
    <n v="0.27"/>
    <n v="4"/>
    <x v="332"/>
    <n v="4329"/>
    <n v="-1951.0688"/>
    <n v="-0.82049001249489473"/>
  </r>
  <r>
    <s v="ORD-2023-181257"/>
    <d v="2023-11-15T00:00:00"/>
    <d v="2023-12-06T00:00:00"/>
    <n v="21"/>
    <s v="Nov-2023"/>
    <s v="Q4-2023"/>
    <s v="Europe"/>
    <s v="United Kingdom"/>
    <s v="Manchester"/>
    <s v="Education"/>
    <s v="Direct"/>
    <s v="H. Kim"/>
    <x v="6"/>
    <x v="333"/>
    <n v="1184.99"/>
    <s v="High"/>
    <n v="1154.3399999999999"/>
    <n v="2.8000000000000001E-2"/>
    <n v="5"/>
    <x v="333"/>
    <n v="5924.95"/>
    <n v="795.99260000000049"/>
    <n v="0.11843466718492737"/>
  </r>
  <r>
    <s v="ORD-2025-323492"/>
    <d v="2025-04-27T00:00:00"/>
    <d v="2025-05-27T00:00:00"/>
    <n v="0"/>
    <s v="Apr-2025"/>
    <s v="Q2-2025"/>
    <s v="Asia"/>
    <s v="India"/>
    <s v="Not Provided"/>
    <s v="Enterprise"/>
    <s v="Marketplace"/>
    <s v="H. Kim"/>
    <x v="3"/>
    <x v="334"/>
    <n v="481.32"/>
    <s v="High"/>
    <n v="1135.99"/>
    <n v="0.14499999999999999"/>
    <n v="5"/>
    <x v="334"/>
    <n v="2406.6"/>
    <n v="4631.88825"/>
    <n v="0.65807998613906904"/>
  </r>
  <r>
    <s v="ORD-2024-332076"/>
    <d v="2024-04-09T00:00:00"/>
    <d v="2024-04-18T00:00:00"/>
    <n v="9"/>
    <s v="Apr-2024"/>
    <s v="Q2-2024"/>
    <s v="Europe"/>
    <s v="France"/>
    <s v="Lyon"/>
    <s v="Consumer"/>
    <s v="Online"/>
    <s v="E. Garcia"/>
    <x v="1"/>
    <x v="335"/>
    <n v="1288.8499999999999"/>
    <s v="High"/>
    <n v="2751.84"/>
    <n v="0.158"/>
    <n v="7"/>
    <x v="335"/>
    <n v="9021.9499999999989"/>
    <n v="-6659.3990399999993"/>
    <n v="-2.8187324433416667"/>
  </r>
  <r>
    <s v="ORD-2024-571797"/>
    <d v="2024-07-11T00:00:00"/>
    <d v="2024-07-31T00:00:00"/>
    <n v="20"/>
    <s v="Jul-2024"/>
    <s v="Q3-2024"/>
    <s v="Asia"/>
    <s v="China"/>
    <s v="Shenzhen"/>
    <s v="Consumer"/>
    <s v="Online"/>
    <s v="G. Dubois"/>
    <x v="3"/>
    <x v="336"/>
    <n v="647.26"/>
    <s v="High"/>
    <n v="1374.72"/>
    <n v="6.6000000000000003E-2"/>
    <n v="22"/>
    <x v="336"/>
    <n v="14239.72"/>
    <n v="22347.226879999995"/>
    <n v="0.6107978059305067"/>
  </r>
  <r>
    <s v="ORD-2024-129345"/>
    <d v="2024-02-18T00:00:00"/>
    <d v="2024-03-03T00:00:00"/>
    <n v="14"/>
    <s v="Feb-2024"/>
    <s v="Q1-2024"/>
    <s v="Americas"/>
    <s v="Brazil"/>
    <s v="Not Provided"/>
    <s v="Enterprise"/>
    <s v="Distributor"/>
    <s v="A. Patel"/>
    <x v="1"/>
    <x v="337"/>
    <n v="624.23"/>
    <s v="High"/>
    <n v="1318.37"/>
    <n v="0.21"/>
    <n v="37"/>
    <x v="337"/>
    <n v="23096.510000000002"/>
    <n v="9595.1989000000031"/>
    <n v="0.29350557749521627"/>
  </r>
  <r>
    <s v="ORD-2023-660608"/>
    <d v="2023-07-25T00:00:00"/>
    <d v="2023-08-10T00:00:00"/>
    <n v="16"/>
    <s v="Jul-2023"/>
    <s v="Q3-2023"/>
    <s v="Africa"/>
    <s v="Nigeria"/>
    <s v="Port Harcourt"/>
    <s v="Corporate"/>
    <s v="Distributor"/>
    <s v="I. Johnson"/>
    <x v="6"/>
    <x v="338"/>
    <n v="506.83"/>
    <s v="High"/>
    <n v="441.74"/>
    <n v="0.24"/>
    <n v="9"/>
    <x v="338"/>
    <n v="4561.47"/>
    <n v="712.99079999999958"/>
    <n v="0.1351779503224291"/>
  </r>
  <r>
    <s v="ORD-2023-825084"/>
    <d v="2023-07-14T00:00:00"/>
    <d v="2023-07-21T00:00:00"/>
    <n v="7"/>
    <s v="Jul-2023"/>
    <s v="Q3-2023"/>
    <s v="Africa"/>
    <s v="South Africa"/>
    <s v="Durban"/>
    <s v="Enterprise"/>
    <s v="Marketplace"/>
    <s v="Not Provided"/>
    <x v="5"/>
    <x v="339"/>
    <n v="620.74"/>
    <s v="High"/>
    <n v="1330.07"/>
    <n v="0.29899999999999999"/>
    <n v="28"/>
    <x v="339"/>
    <n v="17380.72"/>
    <n v="6369.9451199999967"/>
    <n v="0.26820070460409901"/>
  </r>
  <r>
    <s v="ORD-2023-261081"/>
    <d v="2023-07-24T00:00:00"/>
    <d v="2023-08-19T00:00:00"/>
    <n v="26"/>
    <s v="Jul-2023"/>
    <s v="Q3-2023"/>
    <s v="Africa"/>
    <s v="Kenya"/>
    <s v="Nairobi"/>
    <s v="Enterprise"/>
    <s v="Distributor"/>
    <s v="M. Rossi"/>
    <x v="6"/>
    <x v="340"/>
    <n v="661.45"/>
    <s v="High"/>
    <n v="1634.86"/>
    <n v="0.56499999999999995"/>
    <n v="24"/>
    <x v="340"/>
    <n v="15874.800000000001"/>
    <n v="15696.073200000004"/>
    <n v="0.49716943527555019"/>
  </r>
  <r>
    <s v="ORD-2023-766015"/>
    <d v="2023-04-13T00:00:00"/>
    <d v="2023-04-11T00:00:00"/>
    <n v="2"/>
    <s v="Apr-2023"/>
    <s v="Q2-2023"/>
    <s v="Americas"/>
    <s v="USA"/>
    <s v="San Francisco"/>
    <s v="Education"/>
    <s v="Marketplace"/>
    <s v="G. Dubois"/>
    <x v="2"/>
    <x v="341"/>
    <n v="32.1"/>
    <s v="Medium"/>
    <n v="70.599999999999994"/>
    <n v="0.28199999999999997"/>
    <n v="22"/>
    <x v="341"/>
    <n v="706.2"/>
    <n v="35679.254160000004"/>
    <n v="0.98059114510720191"/>
  </r>
  <r>
    <s v="ORD-2024-333192"/>
    <d v="2024-10-29T00:00:00"/>
    <d v="2024-11-04T00:00:00"/>
    <n v="6"/>
    <s v="Oct-2024"/>
    <s v="Q4-2024"/>
    <s v="Africa"/>
    <s v="Kenya"/>
    <s v="Nairobi"/>
    <s v="Corporate"/>
    <s v="Distributor"/>
    <s v="M. Rossi"/>
    <x v="1"/>
    <x v="342"/>
    <n v="805.81"/>
    <s v="High"/>
    <n v="1823.04"/>
    <n v="0"/>
    <n v="11"/>
    <x v="342"/>
    <n v="8863.91"/>
    <n v="25057.890000000003"/>
    <n v="0.73869576496530254"/>
  </r>
  <r>
    <s v="ORD-2024-647473"/>
    <d v="2024-02-17T00:00:00"/>
    <d v="2024-03-04T00:00:00"/>
    <n v="16"/>
    <s v="Feb-2024"/>
    <s v="Q1-2024"/>
    <s v="Asia"/>
    <s v="India"/>
    <s v="Delhi"/>
    <s v="Small Business"/>
    <s v="Marketplace"/>
    <s v="F. Müller"/>
    <x v="3"/>
    <x v="343"/>
    <n v="1231.8"/>
    <s v="High"/>
    <n v="2015.99"/>
    <n v="0.26100000000000001"/>
    <n v="6"/>
    <x v="343"/>
    <n v="7390.7999999999993"/>
    <n v="-5959.9038599999994"/>
    <n v="-4.1651547539991265"/>
  </r>
  <r>
    <s v="ORD-2024-892908"/>
    <d v="2024-07-13T00:00:00"/>
    <d v="2024-07-12T00:00:00"/>
    <n v="1"/>
    <s v="Jul-2024"/>
    <s v="Q3-2024"/>
    <s v="Asia"/>
    <s v="Japan"/>
    <s v="Nagoya"/>
    <s v="Small Business"/>
    <s v="Marketplace"/>
    <s v="F. Müller"/>
    <x v="2"/>
    <x v="344"/>
    <n v="105.13"/>
    <s v="High"/>
    <n v="244.13"/>
    <n v="7.0999999999999994E-2"/>
    <n v="14"/>
    <x v="344"/>
    <n v="1471.82"/>
    <n v="8039.3377400000008"/>
    <n v="0.84525332874986048"/>
  </r>
  <r>
    <s v="ORD-2023-573146"/>
    <d v="2023-12-01T00:00:00"/>
    <d v="2023-12-18T00:00:00"/>
    <n v="17"/>
    <s v="Dec-2023"/>
    <s v="Q4-2023"/>
    <s v="Asia"/>
    <s v="Japan"/>
    <s v="Nagoya"/>
    <s v="Small Business"/>
    <s v="Direct"/>
    <s v="N. Brown"/>
    <x v="4"/>
    <x v="345"/>
    <n v="1495.79"/>
    <s v="High"/>
    <n v="2783.12"/>
    <n v="0.02"/>
    <n v="5"/>
    <x v="345"/>
    <n v="7478.95"/>
    <n v="37.404999999999745"/>
    <n v="4.9764812864745937E-3"/>
  </r>
  <r>
    <s v="ORD-2024-901115"/>
    <d v="2024-07-25T00:00:00"/>
    <d v="2024-08-02T00:00:00"/>
    <n v="8"/>
    <s v="Jul-2024"/>
    <s v="Q3-2024"/>
    <s v="Americas"/>
    <s v="Canada"/>
    <s v="Montreal"/>
    <s v="Consumer"/>
    <s v="Direct"/>
    <s v="J. Njeri"/>
    <x v="6"/>
    <x v="346"/>
    <n v="986.81"/>
    <s v="High"/>
    <n v="2050.31"/>
    <n v="0.10299999999999999"/>
    <n v="43"/>
    <x v="346"/>
    <n v="42432.829999999994"/>
    <n v="18187.667860000009"/>
    <n v="0.30002504931588508"/>
  </r>
  <r>
    <s v="ORD-2023-898009"/>
    <d v="2023-05-04T00:00:00"/>
    <d v="2023-05-16T00:00:00"/>
    <n v="12"/>
    <s v="May-2023"/>
    <s v="Q2-2023"/>
    <s v="Africa"/>
    <s v="Nigeria"/>
    <s v="Abuja"/>
    <s v="Small Business"/>
    <s v="Marketplace"/>
    <s v="J. Njeri"/>
    <x v="3"/>
    <x v="347"/>
    <n v="77.739999999999995"/>
    <s v="Medium"/>
    <n v="147.12"/>
    <n v="0"/>
    <n v="15"/>
    <x v="347"/>
    <n v="1166.0999999999999"/>
    <n v="2594.85"/>
    <n v="0.68994535955011371"/>
  </r>
  <r>
    <s v="ORD-2023-208944"/>
    <d v="2023-12-21T00:00:00"/>
    <d v="2024-01-06T00:00:00"/>
    <n v="16"/>
    <s v="Dec-2023"/>
    <s v="Q4-2023"/>
    <s v="Africa"/>
    <s v="Nigeria"/>
    <s v="Not Provided"/>
    <s v="Corporate"/>
    <s v="Marketplace"/>
    <s v="K. Singh"/>
    <x v="0"/>
    <x v="348"/>
    <n v="932.61"/>
    <s v="High"/>
    <n v="1982.98"/>
    <n v="0.14399999999999999"/>
    <n v="16"/>
    <x v="348"/>
    <n v="14921.76"/>
    <n v="32641.845759999997"/>
    <n v="0.68627777979463256"/>
  </r>
  <r>
    <s v="ORD-2025-480172"/>
    <d v="2025-06-17T00:00:00"/>
    <d v="2025-07-05T00:00:00"/>
    <n v="18"/>
    <s v="Jun-2025"/>
    <s v="Q2-2025"/>
    <s v="Asia"/>
    <s v="India"/>
    <s v="Delhi"/>
    <s v="Consumer"/>
    <s v="Marketplace"/>
    <s v="L. Okafor"/>
    <x v="4"/>
    <x v="349"/>
    <n v="982.93"/>
    <s v="High"/>
    <n v="2299.3000000000002"/>
    <n v="0.113"/>
    <n v="6"/>
    <x v="349"/>
    <n v="5897.58"/>
    <n v="520.96487999999954"/>
    <n v="8.1165574088811171E-2"/>
  </r>
  <r>
    <s v="ORD-2023-735274"/>
    <d v="2023-02-23T00:00:00"/>
    <d v="2023-03-08T00:00:00"/>
    <n v="13"/>
    <s v="Feb-2023"/>
    <s v="Q1-2023"/>
    <s v="Europe"/>
    <s v="United Kingdom"/>
    <s v="Manchester"/>
    <s v="Small Business"/>
    <s v="Direct"/>
    <s v="C. Otieno"/>
    <x v="1"/>
    <x v="350"/>
    <n v="307.37"/>
    <s v="High"/>
    <n v="462.61"/>
    <n v="0.188"/>
    <n v="11"/>
    <x v="350"/>
    <n v="3381.07"/>
    <n v="16244.588360000002"/>
    <n v="0.82772195775652957"/>
  </r>
  <r>
    <s v="ORD-2023-212701"/>
    <d v="2023-12-02T00:00:00"/>
    <d v="2023-12-16T00:00:00"/>
    <n v="14"/>
    <s v="Dec-2023"/>
    <s v="Q4-2023"/>
    <s v="Europe"/>
    <s v="Germany"/>
    <s v="Frankfurt"/>
    <s v="Education"/>
    <s v="Direct"/>
    <s v="N. Brown"/>
    <x v="5"/>
    <x v="351"/>
    <n v="879.08"/>
    <s v="High"/>
    <n v="1093.3900000000001"/>
    <n v="0.113"/>
    <n v="17"/>
    <x v="351"/>
    <n v="14944.36"/>
    <n v="9492.6673999999985"/>
    <n v="0.38845426019369272"/>
  </r>
  <r>
    <s v="ORD-2023-479747"/>
    <d v="2023-07-14T00:00:00"/>
    <d v="2023-07-14T00:00:00"/>
    <n v="0"/>
    <s v="Jul-2023"/>
    <s v="Q3-2023"/>
    <s v="Africa"/>
    <s v="Nigeria"/>
    <s v="Lagos"/>
    <s v="Education"/>
    <s v="Retail"/>
    <s v="I. Johnson"/>
    <x v="6"/>
    <x v="352"/>
    <n v="956.38"/>
    <s v="High"/>
    <n v="1454.22"/>
    <n v="3.9E-2"/>
    <n v="19"/>
    <x v="352"/>
    <n v="18171.22"/>
    <n v="720.63694000000032"/>
    <n v="3.8145373548440616E-2"/>
  </r>
  <r>
    <s v="ORD-2024-915495"/>
    <d v="2024-08-08T00:00:00"/>
    <d v="2024-08-20T00:00:00"/>
    <n v="12"/>
    <s v="Aug-2024"/>
    <s v="Q3-2024"/>
    <s v="Asia"/>
    <s v="Japan"/>
    <s v="Osaka"/>
    <s v="Small Business"/>
    <s v="Retail"/>
    <s v="H. Kim"/>
    <x v="2"/>
    <x v="353"/>
    <n v="1233.3599999999999"/>
    <s v="High"/>
    <n v="2120.4"/>
    <n v="0.17899999999999999"/>
    <n v="20"/>
    <x v="353"/>
    <n v="24667.199999999997"/>
    <n v="6619.7964000000029"/>
    <n v="0.21158299490838958"/>
  </r>
  <r>
    <s v="ORD-2024-225829"/>
    <d v="2024-11-07T00:00:00"/>
    <d v="2024-11-26T00:00:00"/>
    <n v="19"/>
    <s v="Nov-2024"/>
    <s v="Q4-2024"/>
    <s v="Americas"/>
    <s v="Brazil"/>
    <s v="Rio de Janeiro"/>
    <s v="Non-Profit"/>
    <s v="Distributor"/>
    <s v="J. Njeri"/>
    <x v="1"/>
    <x v="354"/>
    <n v="55.35"/>
    <s v="Medium"/>
    <n v="128.68"/>
    <n v="0.128"/>
    <n v="10"/>
    <x v="354"/>
    <n v="553.5"/>
    <n v="4168.9031999999997"/>
    <n v="0.88279272722837387"/>
  </r>
  <r>
    <s v="ORD-2024-921935"/>
    <d v="2024-01-01T00:00:00"/>
    <d v="2024-01-27T00:00:00"/>
    <n v="26"/>
    <s v="Jan-2024"/>
    <s v="Q1-2024"/>
    <s v="Europe"/>
    <s v="United Kingdom"/>
    <s v="Manchester"/>
    <s v="Education"/>
    <s v="Distributor"/>
    <s v="D. Smith"/>
    <x v="6"/>
    <x v="355"/>
    <n v="657.45"/>
    <s v="High"/>
    <n v="1325.96"/>
    <n v="0.16700000000000001"/>
    <n v="21"/>
    <x v="355"/>
    <n v="13806.45"/>
    <n v="5726.2337999999982"/>
    <n v="0.29316164939914702"/>
  </r>
  <r>
    <s v="ORD-2025-949776"/>
    <d v="2025-08-14T00:00:00"/>
    <d v="2025-09-11T00:00:00"/>
    <n v="28"/>
    <s v="Aug-2025"/>
    <s v="Q3-2025"/>
    <s v="Americas"/>
    <s v="Brazil"/>
    <s v="São Paulo"/>
    <s v="Non-Profit"/>
    <s v="Direct"/>
    <s v="F. Müller"/>
    <x v="1"/>
    <x v="356"/>
    <n v="1203.02"/>
    <s v="High"/>
    <n v="2439.33"/>
    <n v="0"/>
    <n v="18"/>
    <x v="356"/>
    <n v="21654.36"/>
    <n v="4535.6399999999994"/>
    <n v="0.17318213058419241"/>
  </r>
  <r>
    <s v="ORD-2024-510591"/>
    <d v="2024-04-03T00:00:00"/>
    <d v="2024-04-21T00:00:00"/>
    <n v="18"/>
    <s v="Apr-2024"/>
    <s v="Q2-2024"/>
    <s v="Americas"/>
    <s v="Brazil"/>
    <s v="Brasília"/>
    <s v="Small Business"/>
    <s v="Distributor"/>
    <s v="B. Chen"/>
    <x v="2"/>
    <x v="357"/>
    <n v="1176.69"/>
    <s v="High"/>
    <n v="2201.54"/>
    <n v="0.17"/>
    <n v="27"/>
    <x v="357"/>
    <n v="31770.63"/>
    <n v="-3123.9270000000033"/>
    <n v="-0.1090501409533936"/>
  </r>
  <r>
    <s v="ORD-2024-961756"/>
    <d v="2024-11-25T00:00:00"/>
    <d v="2024-12-07T00:00:00"/>
    <n v="12"/>
    <s v="Nov-2024"/>
    <s v="Q4-2024"/>
    <s v="Asia"/>
    <s v="China"/>
    <s v="Shanghai"/>
    <s v="Corporate"/>
    <s v="Distributor"/>
    <s v="A. Patel"/>
    <x v="6"/>
    <x v="358"/>
    <n v="769.9"/>
    <s v="High"/>
    <n v="814.36"/>
    <n v="0"/>
    <n v="5"/>
    <x v="358"/>
    <n v="3849.5"/>
    <n v="649.65000000000055"/>
    <n v="0.14439394107775924"/>
  </r>
  <r>
    <s v="ORD-2024-892173"/>
    <d v="2024-01-18T00:00:00"/>
    <d v="2024-02-03T00:00:00"/>
    <n v="16"/>
    <s v="Jan-2024"/>
    <s v="Q1-2024"/>
    <s v="Africa"/>
    <s v="South Africa"/>
    <s v="Cape Town"/>
    <s v="Non-Profit"/>
    <s v="Distributor"/>
    <s v="L. Okafor"/>
    <x v="1"/>
    <x v="359"/>
    <n v="666.23"/>
    <s v="High"/>
    <n v="1382.91"/>
    <n v="0.17599999999999999"/>
    <n v="13"/>
    <x v="359"/>
    <n v="8660.99"/>
    <n v="751.96576000000096"/>
    <n v="7.9886252434697616E-2"/>
  </r>
  <r>
    <s v="ORD-2024-704056"/>
    <d v="2024-06-23T00:00:00"/>
    <d v="2024-06-25T00:00:00"/>
    <n v="2"/>
    <s v="Jun-2024"/>
    <s v="Q2-2024"/>
    <s v="Europe"/>
    <s v="United Kingdom"/>
    <s v="Birmingham"/>
    <s v="Small Business"/>
    <s v="Marketplace"/>
    <s v="L. Okafor"/>
    <x v="6"/>
    <x v="360"/>
    <n v="951.44"/>
    <s v="High"/>
    <n v="1646.43"/>
    <n v="0.11"/>
    <n v="24"/>
    <x v="360"/>
    <n v="22834.560000000001"/>
    <n v="-10137.748800000003"/>
    <n v="-0.79844841671741995"/>
  </r>
  <r>
    <s v="ORD-2025-591006"/>
    <d v="2025-06-25T00:00:00"/>
    <d v="2025-07-10T00:00:00"/>
    <n v="15"/>
    <s v="Jun-2025"/>
    <s v="Q2-2025"/>
    <s v="Europe"/>
    <s v="United Kingdom"/>
    <s v="Birmingham"/>
    <s v="Non-Profit"/>
    <s v="Marketplace"/>
    <s v="D. Smith"/>
    <x v="3"/>
    <x v="361"/>
    <n v="546.83000000000004"/>
    <s v="High"/>
    <n v="400.84"/>
    <n v="7.8E-2"/>
    <n v="13"/>
    <x v="361"/>
    <n v="7108.7900000000009"/>
    <n v="12282.7601"/>
    <n v="0.63340785221703344"/>
  </r>
  <r>
    <s v="ORD-2023-159821"/>
    <d v="2023-07-01T00:00:00"/>
    <d v="2023-07-08T00:00:00"/>
    <n v="7"/>
    <s v="Jul-2023"/>
    <s v="Q3-2023"/>
    <s v="Africa"/>
    <s v="Nigeria"/>
    <s v="Port Harcourt"/>
    <s v="Corporate"/>
    <s v="Retail"/>
    <s v="A. Patel"/>
    <x v="4"/>
    <x v="362"/>
    <n v="834.26"/>
    <s v="High"/>
    <n v="1780.56"/>
    <n v="1.4E-2"/>
    <n v="47"/>
    <x v="362"/>
    <n v="39210.22"/>
    <n v="5876.3752199999944"/>
    <n v="0.13033530678744376"/>
  </r>
  <r>
    <s v="ORD-2024-343877"/>
    <d v="2024-03-09T00:00:00"/>
    <d v="2024-03-26T00:00:00"/>
    <n v="17"/>
    <s v="Mar-2024"/>
    <s v="Q1-2024"/>
    <s v="Asia"/>
    <s v="China"/>
    <s v="Shenzhen"/>
    <s v="Enterprise"/>
    <s v="Online"/>
    <s v="K. Singh"/>
    <x v="5"/>
    <x v="363"/>
    <n v="1029.67"/>
    <s v="High"/>
    <n v="1118.43"/>
    <n v="0.27200000000000002"/>
    <n v="9"/>
    <x v="363"/>
    <n v="9267.0300000000007"/>
    <n v="-8988.1768800000009"/>
    <n v="-32.232656676030743"/>
  </r>
  <r>
    <s v="ORD-2023-386663"/>
    <d v="2023-06-05T00:00:00"/>
    <d v="2023-06-28T00:00:00"/>
    <n v="23"/>
    <s v="Jun-2023"/>
    <s v="Q2-2023"/>
    <s v="Europe"/>
    <s v="United Kingdom"/>
    <s v="Birmingham"/>
    <s v="Corporate"/>
    <s v="Direct"/>
    <s v="K. Singh"/>
    <x v="1"/>
    <x v="364"/>
    <n v="605.82000000000005"/>
    <s v="High"/>
    <n v="771.12"/>
    <n v="0.13200000000000001"/>
    <n v="19"/>
    <x v="364"/>
    <n v="11510.580000000002"/>
    <n v="12911.268359999995"/>
    <n v="0.52867695227962652"/>
  </r>
  <r>
    <s v="ORD-2025-125517"/>
    <d v="2025-03-21T00:00:00"/>
    <d v="2025-04-09T00:00:00"/>
    <n v="19"/>
    <s v="Mar-2025"/>
    <s v="Q1-2025"/>
    <s v="Asia"/>
    <s v="Japan"/>
    <s v="Tokyo"/>
    <s v="Small Business"/>
    <s v="Distributor"/>
    <s v="E. Garcia"/>
    <x v="0"/>
    <x v="365"/>
    <n v="1055.45"/>
    <s v="High"/>
    <n v="1210.04"/>
    <n v="8.9999999999999993E-3"/>
    <n v="18"/>
    <x v="365"/>
    <n v="18998.100000000002"/>
    <n v="-8932.8301200000024"/>
    <n v="-0.887490372985409"/>
  </r>
  <r>
    <s v="ORD-2024-819778"/>
    <d v="2024-06-02T00:00:00"/>
    <d v="2024-06-15T00:00:00"/>
    <n v="13"/>
    <s v="Jun-2024"/>
    <s v="Q2-2024"/>
    <s v="Africa"/>
    <s v="Kenya"/>
    <s v="Mombasa"/>
    <s v="Education"/>
    <s v="Online"/>
    <s v="O. Wang"/>
    <x v="3"/>
    <x v="366"/>
    <n v="1295.18"/>
    <s v="High"/>
    <n v="3024.03"/>
    <n v="0.192"/>
    <n v="8"/>
    <x v="366"/>
    <n v="10361.44"/>
    <n v="3453.4854400000004"/>
    <n v="0.24998219896292109"/>
  </r>
  <r>
    <s v="ORD-2025-624006"/>
    <d v="2025-03-15T00:00:00"/>
    <d v="2025-03-29T00:00:00"/>
    <n v="14"/>
    <s v="Mar-2025"/>
    <s v="Q1-2025"/>
    <s v="Asia"/>
    <s v="India"/>
    <s v="Mumbai"/>
    <s v="Enterprise"/>
    <s v="Direct"/>
    <s v="C. Otieno"/>
    <x v="0"/>
    <x v="367"/>
    <n v="935.83"/>
    <s v="High"/>
    <n v="2303.46"/>
    <n v="0.105"/>
    <n v="9"/>
    <x v="367"/>
    <n v="8422.4700000000012"/>
    <n v="5117.4211500000001"/>
    <n v="0.37795142466858012"/>
  </r>
  <r>
    <s v="ORD-2023-132101"/>
    <d v="2023-09-25T00:00:00"/>
    <d v="2023-10-09T00:00:00"/>
    <n v="14"/>
    <s v="Sept-2023"/>
    <s v="Q3-2023"/>
    <s v="Americas"/>
    <s v="USA"/>
    <s v="New York"/>
    <s v="Small Business"/>
    <s v="Marketplace"/>
    <s v="J. Njeri"/>
    <x v="4"/>
    <x v="368"/>
    <n v="1279.56"/>
    <s v="High"/>
    <n v="3083.8"/>
    <n v="0.106"/>
    <n v="5"/>
    <x v="368"/>
    <n v="6397.7999999999993"/>
    <n v="6587.8181999999997"/>
    <n v="0.50731648648040495"/>
  </r>
  <r>
    <s v="ORD-2025-306903"/>
    <d v="2025-06-24T00:00:00"/>
    <d v="2025-07-23T00:00:00"/>
    <n v="29"/>
    <s v="Jun-2025"/>
    <s v="Q2-2025"/>
    <s v="Americas"/>
    <s v="Canada"/>
    <s v="Vancouver"/>
    <s v="Non-Profit"/>
    <s v="Marketplace"/>
    <s v="I. Johnson"/>
    <x v="1"/>
    <x v="369"/>
    <n v="255.4"/>
    <s v="High"/>
    <n v="322.70999999999998"/>
    <n v="0.115"/>
    <n v="16"/>
    <x v="369"/>
    <n v="4086.4"/>
    <n v="7837.5944000000018"/>
    <n v="0.65729604837788258"/>
  </r>
  <r>
    <s v="ORD-2023-813340"/>
    <d v="2023-12-26T00:00:00"/>
    <d v="2024-01-03T00:00:00"/>
    <n v="8"/>
    <s v="Dec-2023"/>
    <s v="Q4-2023"/>
    <s v="Europe"/>
    <s v="France"/>
    <s v="Lyon"/>
    <s v="Small Business"/>
    <s v="Retail"/>
    <s v="M. Rossi"/>
    <x v="4"/>
    <x v="370"/>
    <n v="492.75"/>
    <s v="High"/>
    <n v="731.29"/>
    <n v="5.8000000000000003E-2"/>
    <n v="6"/>
    <x v="370"/>
    <n v="2956.5"/>
    <n v="14742.003240000002"/>
    <n v="0.83295197566096557"/>
  </r>
  <r>
    <s v="ORD-2023-855675"/>
    <d v="2023-02-05T00:00:00"/>
    <d v="2023-02-28T00:00:00"/>
    <n v="23"/>
    <s v="Feb-2023"/>
    <s v="Q1-2023"/>
    <s v="Americas"/>
    <s v="USA"/>
    <s v="Austin"/>
    <s v="Non-Profit"/>
    <s v="Distributor"/>
    <s v="L. Okafor"/>
    <x v="3"/>
    <x v="371"/>
    <n v="1214.49"/>
    <s v="High"/>
    <n v="1533.95"/>
    <n v="0"/>
    <n v="11"/>
    <x v="371"/>
    <n v="13359.39"/>
    <n v="2532.5300000000007"/>
    <n v="0.15935959909186559"/>
  </r>
  <r>
    <s v="ORD-2023-545150"/>
    <d v="2023-04-06T00:00:00"/>
    <d v="2023-04-08T00:00:00"/>
    <n v="2"/>
    <s v="Apr-2023"/>
    <s v="Q2-2023"/>
    <s v="Africa"/>
    <s v="Nigeria"/>
    <s v="Abuja"/>
    <s v="Small Business"/>
    <s v="Marketplace"/>
    <s v="K. Singh"/>
    <x v="5"/>
    <x v="372"/>
    <n v="720.35"/>
    <s v="High"/>
    <n v="1571.66"/>
    <n v="0.107"/>
    <n v="23"/>
    <x v="372"/>
    <n v="16568.05"/>
    <n v="42498.006200000003"/>
    <n v="0.71949964047201787"/>
  </r>
  <r>
    <s v="ORD-2025-269934"/>
    <d v="2025-04-04T00:00:00"/>
    <d v="2025-04-10T00:00:00"/>
    <n v="6"/>
    <s v="Apr-2025"/>
    <s v="Q2-2025"/>
    <s v="Europe"/>
    <s v="United Kingdom"/>
    <s v="Birmingham"/>
    <s v="Non-Profit"/>
    <s v="Direct"/>
    <s v="N. Brown"/>
    <x v="1"/>
    <x v="373"/>
    <n v="290.14"/>
    <s v="High"/>
    <n v="250.73"/>
    <n v="3.4000000000000002E-2"/>
    <n v="17"/>
    <x v="373"/>
    <n v="4932.38"/>
    <n v="22026.139419999996"/>
    <n v="0.81703817174986382"/>
  </r>
  <r>
    <s v="ORD-2024-690270"/>
    <d v="2024-05-17T00:00:00"/>
    <d v="2024-05-27T00:00:00"/>
    <n v="10"/>
    <s v="May-2024"/>
    <s v="Q2-2024"/>
    <s v="Americas"/>
    <s v="USA"/>
    <s v="Austin"/>
    <s v="Non-Profit"/>
    <s v="Online"/>
    <s v="C. Otieno"/>
    <x v="3"/>
    <x v="374"/>
    <n v="1484.23"/>
    <s v="High"/>
    <n v="3472.81"/>
    <n v="0.25600000000000001"/>
    <n v="12"/>
    <x v="374"/>
    <n v="17810.760000000002"/>
    <n v="-6213.109440000002"/>
    <n v="-0.53572138665988589"/>
  </r>
  <r>
    <s v="ORD-2024-868223"/>
    <d v="2024-03-03T00:00:00"/>
    <d v="2024-03-19T00:00:00"/>
    <n v="16"/>
    <s v="Mar-2024"/>
    <s v="Q1-2024"/>
    <s v="Asia"/>
    <s v="China"/>
    <s v="Beijing"/>
    <s v="Consumer"/>
    <s v="Distributor"/>
    <s v="G. Dubois"/>
    <x v="3"/>
    <x v="375"/>
    <n v="988.83"/>
    <s v="High"/>
    <n v="1206.04"/>
    <n v="6.3E-2"/>
    <n v="34"/>
    <x v="375"/>
    <n v="33620.22"/>
    <n v="2014.8644800000038"/>
    <n v="5.6541594033005182E-2"/>
  </r>
  <r>
    <s v="ORD-2025-188059"/>
    <d v="2025-06-27T00:00:00"/>
    <d v="2025-07-11T00:00:00"/>
    <n v="14"/>
    <s v="Jun-2025"/>
    <s v="Q2-2025"/>
    <s v="Asia"/>
    <s v="China"/>
    <s v="Shanghai"/>
    <s v="Small Business"/>
    <s v="Marketplace"/>
    <s v="L. Okafor"/>
    <x v="2"/>
    <x v="376"/>
    <n v="1227.7"/>
    <s v="High"/>
    <n v="2197.23"/>
    <n v="9.9000000000000005E-2"/>
    <n v="22"/>
    <x v="376"/>
    <n v="27009.4"/>
    <n v="-3526.078379999999"/>
    <n v="-0.15015245445503542"/>
  </r>
  <r>
    <s v="ORD-2023-281890"/>
    <d v="2023-03-13T00:00:00"/>
    <d v="2023-04-04T00:00:00"/>
    <n v="22"/>
    <s v="Mar-2023"/>
    <s v="Q1-2023"/>
    <s v="Africa"/>
    <s v="South Africa"/>
    <s v="Durban"/>
    <s v="Small Business"/>
    <s v="Retail"/>
    <s v="A. Patel"/>
    <x v="0"/>
    <x v="377"/>
    <n v="1113.7"/>
    <s v="High"/>
    <n v="1620.6"/>
    <n v="0.13900000000000001"/>
    <n v="11"/>
    <x v="377"/>
    <n v="12250.7"/>
    <n v="-871.57763000000159"/>
    <n v="-7.6594450930401736E-2"/>
  </r>
  <r>
    <s v="ORD-2025-636162"/>
    <d v="2025-01-07T00:00:00"/>
    <d v="2025-01-20T00:00:00"/>
    <n v="13"/>
    <s v="Jan-2025"/>
    <s v="Q1-2025"/>
    <s v="Africa"/>
    <s v="South Africa"/>
    <s v="Cape Town"/>
    <s v="Corporate"/>
    <s v="Direct"/>
    <s v="K. Singh"/>
    <x v="2"/>
    <x v="378"/>
    <n v="432.13"/>
    <s v="High"/>
    <n v="1034.6600000000001"/>
    <n v="9.1999999999999998E-2"/>
    <n v="7"/>
    <x v="378"/>
    <n v="3024.91"/>
    <n v="2574.662440000001"/>
    <n v="0.45979625544410324"/>
  </r>
  <r>
    <s v="ORD-2025-915869"/>
    <d v="2025-02-06T00:00:00"/>
    <d v="2025-02-15T00:00:00"/>
    <n v="9"/>
    <s v="Feb-2025"/>
    <s v="Q1-2025"/>
    <s v="Americas"/>
    <s v="Brazil"/>
    <s v="São Paulo"/>
    <s v="Non-Profit"/>
    <s v="Distributor"/>
    <s v="F. Müller"/>
    <x v="2"/>
    <x v="379"/>
    <n v="837.39"/>
    <s v="High"/>
    <n v="1905.42"/>
    <n v="3.2000000000000001E-2"/>
    <n v="18"/>
    <x v="379"/>
    <n v="15073.02"/>
    <n v="20661.338879999992"/>
    <n v="0.57819251632254265"/>
  </r>
  <r>
    <s v="ORD-2025-192876"/>
    <d v="2025-01-31T00:00:00"/>
    <d v="2025-02-17T00:00:00"/>
    <n v="17"/>
    <s v="Jan-2025"/>
    <s v="Q1-2025"/>
    <s v="Europe"/>
    <s v="United Kingdom"/>
    <s v="London"/>
    <s v="Enterprise"/>
    <s v="Retail"/>
    <s v="H. Kim"/>
    <x v="0"/>
    <x v="78"/>
    <n v="378.26"/>
    <s v="High"/>
    <n v="541.55999999999995"/>
    <n v="0.16300000000000001"/>
    <n v="25"/>
    <x v="380"/>
    <n v="9456.5"/>
    <n v="26909.057499999995"/>
    <n v="0.73995998823887132"/>
  </r>
  <r>
    <s v="ORD-2025-822030"/>
    <d v="2025-08-07T00:00:00"/>
    <d v="2025-09-06T00:00:00"/>
    <n v="30"/>
    <s v="Aug-2025"/>
    <s v="Q3-2025"/>
    <s v="Americas"/>
    <s v="Canada"/>
    <s v="Montreal"/>
    <s v="Education"/>
    <s v="Direct"/>
    <s v="M. Rossi"/>
    <x v="2"/>
    <x v="380"/>
    <n v="833.73"/>
    <s v="High"/>
    <n v="1116.5999999999999"/>
    <n v="0.17599999999999999"/>
    <n v="14"/>
    <x v="381"/>
    <n v="11672.220000000001"/>
    <n v="4343.3241600000001"/>
    <n v="0.27119429203334666"/>
  </r>
  <r>
    <s v="ORD-2025-789245"/>
    <d v="2025-07-23T00:00:00"/>
    <d v="2025-08-17T00:00:00"/>
    <n v="25"/>
    <s v="Jul-2025"/>
    <s v="Q3-2025"/>
    <s v="Europe"/>
    <s v="United Kingdom"/>
    <s v="Birmingham"/>
    <s v="Education"/>
    <s v="Online"/>
    <s v="I. Johnson"/>
    <x v="1"/>
    <x v="381"/>
    <n v="1142.06"/>
    <s v="High"/>
    <n v="1455"/>
    <n v="7.8E-2"/>
    <n v="28"/>
    <x v="382"/>
    <n v="31977.68"/>
    <n v="-18317.401760000001"/>
    <n v="-1.3409244993533893"/>
  </r>
  <r>
    <s v="ORD-2023-594955"/>
    <d v="2023-06-20T00:00:00"/>
    <d v="2023-07-08T00:00:00"/>
    <n v="18"/>
    <s v="Jun-2023"/>
    <s v="Q2-2023"/>
    <s v="Americas"/>
    <s v="USA"/>
    <s v="New York"/>
    <s v="Consumer"/>
    <s v="Marketplace"/>
    <s v="O. Wang"/>
    <x v="2"/>
    <x v="382"/>
    <n v="1145.53"/>
    <s v="High"/>
    <n v="1278.3"/>
    <n v="0.09"/>
    <n v="41"/>
    <x v="383"/>
    <n v="46966.729999999996"/>
    <n v="26622.767800000001"/>
    <n v="0.36177401118234026"/>
  </r>
  <r>
    <s v="ORD-2024-398783"/>
    <d v="2024-07-18T00:00:00"/>
    <d v="2024-08-07T00:00:00"/>
    <n v="20"/>
    <s v="Jul-2024"/>
    <s v="Q3-2024"/>
    <s v="Europe"/>
    <s v="France"/>
    <s v="Marseille"/>
    <s v="Corporate"/>
    <s v="Retail"/>
    <s v="F. Müller"/>
    <x v="5"/>
    <x v="383"/>
    <n v="941.35"/>
    <s v="High"/>
    <n v="899.83"/>
    <n v="5.8000000000000003E-2"/>
    <n v="18"/>
    <x v="384"/>
    <n v="16944.3"/>
    <n v="-2077.1096400000024"/>
    <n v="-0.13971097360725546"/>
  </r>
  <r>
    <s v="ORD-2023-676553"/>
    <d v="2023-05-20T00:00:00"/>
    <d v="2023-06-19T00:00:00"/>
    <n v="30"/>
    <s v="May-2023"/>
    <s v="Q2-2023"/>
    <s v="Asia"/>
    <s v="India"/>
    <s v="Delhi"/>
    <s v="Non-Profit"/>
    <s v="Marketplace"/>
    <s v="H. Kim"/>
    <x v="4"/>
    <x v="384"/>
    <n v="1161.2"/>
    <s v="High"/>
    <n v="878.73"/>
    <n v="0.19"/>
    <n v="31"/>
    <x v="385"/>
    <n v="35997.200000000004"/>
    <n v="-15300.031400000003"/>
    <n v="-0.73923306591801174"/>
  </r>
  <r>
    <s v="ORD-2025-866565"/>
    <d v="2025-05-12T00:00:00"/>
    <d v="2025-05-26T00:00:00"/>
    <n v="14"/>
    <s v="May-2025"/>
    <s v="Q2-2025"/>
    <s v="Asia"/>
    <s v="India"/>
    <s v="Hyderabad"/>
    <s v="Corporate"/>
    <s v="Marketplace"/>
    <s v="G. Dubois"/>
    <x v="1"/>
    <x v="385"/>
    <n v="320.12"/>
    <s v="High"/>
    <n v="594.41999999999996"/>
    <n v="0.104"/>
    <n v="18"/>
    <x v="386"/>
    <n v="5762.16"/>
    <n v="12935.836800000001"/>
    <n v="0.69183008952060576"/>
  </r>
  <r>
    <s v="ORD-2024-527858"/>
    <d v="2024-05-07T00:00:00"/>
    <d v="2024-05-12T00:00:00"/>
    <n v="5"/>
    <s v="May-2024"/>
    <s v="Q2-2024"/>
    <s v="Africa"/>
    <s v="Nigeria"/>
    <s v="Abuja"/>
    <s v="Non-Profit"/>
    <s v="Distributor"/>
    <s v="L. Okafor"/>
    <x v="4"/>
    <x v="386"/>
    <n v="1163.99"/>
    <s v="High"/>
    <n v="1617.85"/>
    <n v="0.127"/>
    <n v="14"/>
    <x v="387"/>
    <n v="16295.86"/>
    <n v="14424.25922"/>
    <n v="0.4695378659406127"/>
  </r>
  <r>
    <s v="ORD-2023-619385"/>
    <d v="2023-09-30T00:00:00"/>
    <d v="2023-10-03T00:00:00"/>
    <n v="3"/>
    <s v="Sept-2023"/>
    <s v="Q3-2023"/>
    <s v="Asia"/>
    <s v="China"/>
    <s v="Beijing"/>
    <s v="Non-Profit"/>
    <s v="Retail"/>
    <s v="J. Njeri"/>
    <x v="4"/>
    <x v="387"/>
    <n v="1019.36"/>
    <s v="High"/>
    <n v="972.91"/>
    <n v="0.14699999999999999"/>
    <n v="17"/>
    <x v="388"/>
    <n v="17329.12"/>
    <n v="27437.352129999996"/>
    <n v="0.61289958365097552"/>
  </r>
  <r>
    <s v="ORD-2023-835226"/>
    <d v="2023-10-26T00:00:00"/>
    <d v="2023-11-05T00:00:00"/>
    <n v="10"/>
    <s v="Oct-2023"/>
    <s v="Q4-2023"/>
    <s v="Africa"/>
    <s v="South Africa"/>
    <s v="Cape Town"/>
    <s v="Non-Profit"/>
    <s v="Online"/>
    <s v="I. Johnson"/>
    <x v="4"/>
    <x v="388"/>
    <n v="20.38"/>
    <s v="Low"/>
    <n v="42.56"/>
    <n v="7.1999999999999995E-2"/>
    <n v="11"/>
    <x v="389"/>
    <n v="224.17999999999998"/>
    <n v="27512.487200000003"/>
    <n v="0.99191755814123195"/>
  </r>
  <r>
    <s v="ORD-2025-485946"/>
    <d v="2025-06-15T00:00:00"/>
    <d v="2025-06-30T00:00:00"/>
    <n v="15"/>
    <s v="Jun-2025"/>
    <s v="Q2-2025"/>
    <s v="Africa"/>
    <s v="South Africa"/>
    <s v="Johannesburg"/>
    <s v="Small Business"/>
    <s v="Direct"/>
    <s v="C. Otieno"/>
    <x v="5"/>
    <x v="389"/>
    <n v="1487.59"/>
    <s v="High"/>
    <n v="1480.83"/>
    <n v="8.9999999999999993E-3"/>
    <n v="11"/>
    <x v="390"/>
    <n v="16363.49"/>
    <n v="-6533.0772100000013"/>
    <n v="-0.66457811584939586"/>
  </r>
  <r>
    <s v="ORD-2024-307849"/>
    <d v="2024-08-10T00:00:00"/>
    <d v="2024-09-07T00:00:00"/>
    <n v="28"/>
    <s v="Aug-2024"/>
    <s v="Q3-2024"/>
    <s v="Europe"/>
    <s v="France"/>
    <s v="Marseille"/>
    <s v="Non-Profit"/>
    <s v="Direct"/>
    <s v="F. Müller"/>
    <x v="1"/>
    <x v="390"/>
    <n v="229.96"/>
    <s v="High"/>
    <n v="564.26"/>
    <n v="0.105"/>
    <n v="5"/>
    <x v="391"/>
    <n v="1149.8"/>
    <n v="2412.9712500000005"/>
    <n v="0.67727369530109471"/>
  </r>
  <r>
    <s v="ORD-2023-368449"/>
    <d v="2023-10-09T00:00:00"/>
    <d v="2023-10-26T00:00:00"/>
    <n v="17"/>
    <s v="Oct-2023"/>
    <s v="Q4-2023"/>
    <s v="Asia"/>
    <s v="China"/>
    <s v="Shanghai"/>
    <s v="Consumer"/>
    <s v="Marketplace"/>
    <s v="C. Otieno"/>
    <x v="0"/>
    <x v="391"/>
    <n v="1132.03"/>
    <s v="High"/>
    <n v="2137.21"/>
    <n v="0.35699999999999998"/>
    <n v="35"/>
    <x v="392"/>
    <n v="39621.049999999996"/>
    <n v="-36069.310899999997"/>
    <n v="-10.155394268683755"/>
  </r>
  <r>
    <s v="ORD-2024-251426"/>
    <d v="2024-03-09T00:00:00"/>
    <d v="2024-03-26T00:00:00"/>
    <n v="17"/>
    <s v="Mar-2024"/>
    <s v="Q1-2024"/>
    <s v="Americas"/>
    <s v="USA"/>
    <s v="San Francisco"/>
    <s v="Education"/>
    <s v="Direct"/>
    <s v="I. Johnson"/>
    <x v="3"/>
    <x v="392"/>
    <n v="1137.4100000000001"/>
    <s v="High"/>
    <n v="1680.93"/>
    <n v="0.254"/>
    <n v="9"/>
    <x v="393"/>
    <n v="10236.69"/>
    <n v="-4737.5211600000011"/>
    <n v="-0.86149767316473258"/>
  </r>
  <r>
    <s v="ORD-2023-927385"/>
    <d v="2023-05-29T00:00:00"/>
    <d v="2023-06-20T00:00:00"/>
    <n v="22"/>
    <s v="May-2023"/>
    <s v="Q2-2023"/>
    <s v="Europe"/>
    <s v="United Kingdom"/>
    <s v="London"/>
    <s v="Small Business"/>
    <s v="Direct"/>
    <s v="K. Singh"/>
    <x v="0"/>
    <x v="393"/>
    <n v="1295.3900000000001"/>
    <s v="High"/>
    <n v="2905.06"/>
    <n v="0.14799999999999999"/>
    <n v="8"/>
    <x v="394"/>
    <n v="10363.120000000001"/>
    <n v="1300.1465599999992"/>
    <n v="0.11147362133168971"/>
  </r>
  <r>
    <s v="ORD-2025-486350"/>
    <d v="2025-05-27T00:00:00"/>
    <d v="2025-06-08T00:00:00"/>
    <n v="12"/>
    <s v="May-2025"/>
    <s v="Q2-2025"/>
    <s v="Asia"/>
    <s v="Japan"/>
    <s v="Osaka"/>
    <s v="Corporate"/>
    <s v="Retail"/>
    <s v="H. Kim"/>
    <x v="6"/>
    <x v="394"/>
    <n v="653.6"/>
    <s v="High"/>
    <n v="842.09"/>
    <n v="9.8000000000000004E-2"/>
    <n v="19"/>
    <x v="395"/>
    <n v="12418.4"/>
    <n v="16653.6463"/>
    <n v="0.5728405261930255"/>
  </r>
  <r>
    <s v="ORD-2025-677880"/>
    <d v="2025-08-21T00:00:00"/>
    <d v="2025-09-14T00:00:00"/>
    <n v="24"/>
    <s v="Aug-2025"/>
    <s v="Q3-2025"/>
    <s v="Europe"/>
    <s v="Germany"/>
    <s v="Berlin"/>
    <s v="Non-Profit"/>
    <s v="Online"/>
    <s v="A. Patel"/>
    <x v="5"/>
    <x v="395"/>
    <n v="1397.67"/>
    <s v="High"/>
    <n v="3131.37"/>
    <n v="0.10299999999999999"/>
    <n v="20"/>
    <x v="396"/>
    <n v="27953.4"/>
    <n v="23791.659599999999"/>
    <n v="0.45978610873993464"/>
  </r>
  <r>
    <s v="ORD-2024-102866"/>
    <d v="2024-12-12T00:00:00"/>
    <d v="2024-12-20T00:00:00"/>
    <n v="8"/>
    <s v="Dec-2024"/>
    <s v="Q4-2024"/>
    <s v="Asia"/>
    <s v="Japan"/>
    <s v="Tokyo"/>
    <s v="Corporate"/>
    <s v="Retail"/>
    <s v="B. Chen"/>
    <x v="4"/>
    <x v="396"/>
    <n v="1202.47"/>
    <s v="High"/>
    <n v="1444.72"/>
    <n v="0.24099999999999999"/>
    <n v="17"/>
    <x v="397"/>
    <n v="20441.990000000002"/>
    <n v="-1297.2927799999998"/>
    <n v="-6.7762512255599913E-2"/>
  </r>
  <r>
    <s v="ORD-2025-588029"/>
    <d v="2025-09-14T00:00:00"/>
    <d v="2025-09-23T00:00:00"/>
    <n v="9"/>
    <s v="Sept-2025"/>
    <s v="Q3-2025"/>
    <s v="Africa"/>
    <s v="South Africa"/>
    <s v="Durban"/>
    <s v="Non-Profit"/>
    <s v="Online"/>
    <s v="D. Smith"/>
    <x v="0"/>
    <x v="397"/>
    <n v="1310.3"/>
    <s v="High"/>
    <n v="2875.8"/>
    <n v="8.3000000000000004E-2"/>
    <n v="5"/>
    <x v="398"/>
    <n v="6551.5"/>
    <n v="8108.8999499999991"/>
    <n v="0.55311587525959682"/>
  </r>
  <r>
    <s v="ORD-2024-972999"/>
    <d v="2024-09-06T00:00:00"/>
    <d v="2024-10-04T00:00:00"/>
    <n v="28"/>
    <s v="Sept-2024"/>
    <s v="Q3-2024"/>
    <s v="Africa"/>
    <s v="South Africa"/>
    <s v="Cape Town"/>
    <s v="Corporate"/>
    <s v="Marketplace"/>
    <s v="D. Smith"/>
    <x v="5"/>
    <x v="398"/>
    <n v="1174.17"/>
    <s v="High"/>
    <n v="1641.61"/>
    <n v="0.122"/>
    <n v="9"/>
    <x v="399"/>
    <n v="10567.53"/>
    <n v="7786.4453999999987"/>
    <n v="0.42423754147561943"/>
  </r>
  <r>
    <s v="ORD-2025-608069"/>
    <d v="2025-04-12T00:00:00"/>
    <d v="2025-04-30T00:00:00"/>
    <n v="18"/>
    <s v="Apr-2025"/>
    <s v="Q2-2025"/>
    <s v="Africa"/>
    <s v="Kenya"/>
    <s v="Kisumu"/>
    <s v="Corporate"/>
    <s v="Marketplace"/>
    <s v="F. Müller"/>
    <x v="2"/>
    <x v="399"/>
    <n v="1119.04"/>
    <s v="High"/>
    <n v="1299.02"/>
    <n v="2.5000000000000001E-2"/>
    <n v="14"/>
    <x v="400"/>
    <n v="15666.56"/>
    <n v="10710.973"/>
    <n v="0.40606424414292269"/>
  </r>
  <r>
    <s v="ORD-2024-626750"/>
    <d v="2024-08-12T00:00:00"/>
    <d v="2024-08-15T00:00:00"/>
    <n v="3"/>
    <s v="Aug-2024"/>
    <s v="Q3-2024"/>
    <s v="Americas"/>
    <s v="USA"/>
    <s v="Chicago"/>
    <s v="Corporate"/>
    <s v="Marketplace"/>
    <s v="D. Smith"/>
    <x v="1"/>
    <x v="400"/>
    <n v="850.7"/>
    <s v="High"/>
    <n v="1118.56"/>
    <n v="0.18"/>
    <n v="19"/>
    <x v="401"/>
    <n v="16163.300000000001"/>
    <n v="8614.5087999999978"/>
    <n v="0.34767032345491333"/>
  </r>
  <r>
    <s v="ORD-2024-170021"/>
    <d v="2024-11-05T00:00:00"/>
    <d v="2024-11-08T00:00:00"/>
    <n v="3"/>
    <s v="Nov-2024"/>
    <s v="Q4-2024"/>
    <s v="Americas"/>
    <s v="Canada"/>
    <s v="Toronto"/>
    <s v="Education"/>
    <s v="Marketplace"/>
    <s v="O. Wang"/>
    <x v="0"/>
    <x v="401"/>
    <n v="1020.4"/>
    <s v="High"/>
    <n v="1184.71"/>
    <n v="0.106"/>
    <n v="16"/>
    <x v="402"/>
    <n v="16326.4"/>
    <n v="-10667.59456"/>
    <n v="-1.8851318839475772"/>
  </r>
  <r>
    <s v="ORD-2024-678110"/>
    <d v="2024-07-24T00:00:00"/>
    <d v="2024-08-08T00:00:00"/>
    <n v="15"/>
    <s v="Jul-2024"/>
    <s v="Q3-2024"/>
    <s v="Europe"/>
    <s v="France"/>
    <s v="Marseille"/>
    <s v="Enterprise"/>
    <s v="Marketplace"/>
    <s v="H. Kim"/>
    <x v="4"/>
    <x v="402"/>
    <n v="501.5"/>
    <s v="High"/>
    <n v="1201.47"/>
    <n v="0.126"/>
    <n v="5"/>
    <x v="403"/>
    <n v="2507.5"/>
    <n v="6572.0053000000007"/>
    <n v="0.72382856585809807"/>
  </r>
  <r>
    <s v="ORD-2025-909340"/>
    <d v="2025-01-20T00:00:00"/>
    <d v="2025-02-03T00:00:00"/>
    <n v="14"/>
    <s v="Jan-2025"/>
    <s v="Q1-2025"/>
    <s v="Americas"/>
    <s v="Brazil"/>
    <s v="Brasília"/>
    <s v="Enterprise"/>
    <s v="Marketplace"/>
    <s v="F. Müller"/>
    <x v="0"/>
    <x v="403"/>
    <n v="974.11"/>
    <s v="High"/>
    <n v="880.99"/>
    <n v="0.111"/>
    <n v="10"/>
    <x v="404"/>
    <n v="9741.1"/>
    <n v="2090.1564999999991"/>
    <n v="0.17666394942920891"/>
  </r>
  <r>
    <s v="ORD-2023-854471"/>
    <d v="2023-03-06T00:00:00"/>
    <d v="2023-04-04T00:00:00"/>
    <n v="29"/>
    <s v="Mar-2023"/>
    <s v="Q1-2023"/>
    <s v="Asia"/>
    <s v="China"/>
    <s v="Beijing"/>
    <s v="Small Business"/>
    <s v="Direct"/>
    <s v="C. Otieno"/>
    <x v="5"/>
    <x v="404"/>
    <n v="1126.29"/>
    <s v="High"/>
    <n v="2050.87"/>
    <n v="6.4000000000000001E-2"/>
    <n v="7"/>
    <x v="405"/>
    <n v="7884.03"/>
    <n v="10229.9568"/>
    <n v="0.56475456855251771"/>
  </r>
  <r>
    <s v="ORD-2024-390951"/>
    <d v="2024-12-20T00:00:00"/>
    <d v="2025-01-14T00:00:00"/>
    <n v="25"/>
    <s v="Dec-2024"/>
    <s v="Q4-2024"/>
    <s v="Asia"/>
    <s v="India"/>
    <s v="Delhi"/>
    <s v="Small Business"/>
    <s v="Retail"/>
    <s v="M. Rossi"/>
    <x v="1"/>
    <x v="405"/>
    <n v="1361.34"/>
    <s v="High"/>
    <n v="1737.9"/>
    <n v="7.6999999999999999E-2"/>
    <n v="14"/>
    <x v="406"/>
    <n v="19058.759999999998"/>
    <n v="-15461.921299999998"/>
    <n v="-4.2987530411080135"/>
  </r>
  <r>
    <s v="ORD-2025-881624"/>
    <d v="2025-02-21T00:00:00"/>
    <d v="2025-03-21T00:00:00"/>
    <n v="0"/>
    <s v="Feb-2025"/>
    <s v="Q1-2025"/>
    <s v="Africa"/>
    <s v="Nigeria"/>
    <s v="Abuja"/>
    <s v="Enterprise"/>
    <s v="Marketplace"/>
    <s v="I. Johnson"/>
    <x v="3"/>
    <x v="406"/>
    <n v="1437.39"/>
    <s v="High"/>
    <n v="1388.31"/>
    <n v="0.13800000000000001"/>
    <n v="18"/>
    <x v="407"/>
    <n v="25873.02"/>
    <n v="-10599.690240000002"/>
    <n v="-0.69399995983587026"/>
  </r>
  <r>
    <s v="ORD-2025-512310"/>
    <d v="2025-03-08T00:00:00"/>
    <d v="2025-03-15T00:00:00"/>
    <n v="7"/>
    <s v="Mar-2025"/>
    <s v="Q1-2025"/>
    <s v="Asia"/>
    <s v="India"/>
    <s v="Bengaluru"/>
    <s v="Corporate"/>
    <s v="Distributor"/>
    <s v="K. Singh"/>
    <x v="4"/>
    <x v="407"/>
    <n v="475.66"/>
    <s v="High"/>
    <n v="529.14"/>
    <n v="0.19600000000000001"/>
    <n v="11"/>
    <x v="408"/>
    <n v="5232.26"/>
    <n v="-3544.4710399999999"/>
    <n v="-2.1000676767076372"/>
  </r>
  <r>
    <s v="ORD-2023-674887"/>
    <d v="2023-12-16T00:00:00"/>
    <d v="2023-12-19T00:00:00"/>
    <n v="3"/>
    <s v="Dec-2023"/>
    <s v="Q4-2023"/>
    <s v="Asia"/>
    <s v="China"/>
    <s v="Beijing"/>
    <s v="Education"/>
    <s v="Retail"/>
    <s v="A. Patel"/>
    <x v="6"/>
    <x v="408"/>
    <n v="1415.05"/>
    <s v="High"/>
    <n v="1972.38"/>
    <n v="0"/>
    <n v="12"/>
    <x v="409"/>
    <n v="16980.599999999999"/>
    <n v="-6081"/>
    <n v="-0.5579103820323682"/>
  </r>
  <r>
    <s v="ORD-2024-542244"/>
    <d v="2024-08-30T00:00:00"/>
    <d v="2024-09-05T00:00:00"/>
    <n v="6"/>
    <s v="Aug-2024"/>
    <s v="Q3-2024"/>
    <s v="Asia"/>
    <s v="Japan"/>
    <s v="Nagoya"/>
    <s v="Education"/>
    <s v="Online"/>
    <s v="N. Brown"/>
    <x v="4"/>
    <x v="409"/>
    <n v="466.16"/>
    <s v="High"/>
    <n v="876.81"/>
    <n v="0.24099999999999999"/>
    <n v="8"/>
    <x v="410"/>
    <n v="3729.28"/>
    <n v="-2003.43544"/>
    <n v="-1.1608435002976165"/>
  </r>
  <r>
    <s v="ORD-2024-375848"/>
    <d v="2024-05-18T00:00:00"/>
    <d v="2024-05-21T00:00:00"/>
    <n v="3"/>
    <s v="May-2024"/>
    <s v="Q2-2024"/>
    <s v="Europe"/>
    <s v="France"/>
    <s v="Marseille"/>
    <s v="Non-Profit"/>
    <s v="Marketplace"/>
    <s v="D. Smith"/>
    <x v="1"/>
    <x v="410"/>
    <n v="663.66"/>
    <s v="High"/>
    <n v="824.26"/>
    <n v="0.23899999999999999"/>
    <n v="11"/>
    <x v="411"/>
    <n v="7300.2599999999993"/>
    <n v="2990.5451400000011"/>
    <n v="0.29060361160429093"/>
  </r>
  <r>
    <s v="ORD-2023-933238"/>
    <d v="2023-03-17T00:00:00"/>
    <d v="2023-04-06T00:00:00"/>
    <n v="20"/>
    <s v="Mar-2023"/>
    <s v="Q1-2023"/>
    <s v="Europe"/>
    <s v="Germany"/>
    <s v="Munich"/>
    <s v="Consumer"/>
    <s v="Retail"/>
    <s v="O. Wang"/>
    <x v="3"/>
    <x v="411"/>
    <n v="692.18"/>
    <s v="High"/>
    <n v="1159.3499999999999"/>
    <n v="0.112"/>
    <n v="2"/>
    <x v="412"/>
    <n v="1384.36"/>
    <n v="790.74271999999996"/>
    <n v="0.36354270202006828"/>
  </r>
  <r>
    <s v="ORD-2023-732585"/>
    <d v="2023-08-25T00:00:00"/>
    <d v="2023-09-16T00:00:00"/>
    <n v="22"/>
    <s v="Aug-2023"/>
    <s v="Q3-2023"/>
    <s v="Africa"/>
    <s v="Nigeria"/>
    <s v="Abuja"/>
    <s v="Corporate"/>
    <s v="Marketplace"/>
    <s v="L. Okafor"/>
    <x v="3"/>
    <x v="412"/>
    <n v="1196.83"/>
    <s v="High"/>
    <n v="2513.5100000000002"/>
    <n v="8.3000000000000004E-2"/>
    <n v="7"/>
    <x v="413"/>
    <n v="8377.81"/>
    <n v="-5259.0746599999993"/>
    <n v="-1.6862843706385162"/>
  </r>
  <r>
    <s v="ORD-2024-465898"/>
    <d v="2024-06-06T00:00:00"/>
    <d v="2024-06-24T00:00:00"/>
    <n v="18"/>
    <s v="Jun-2024"/>
    <s v="Q2-2024"/>
    <s v="Asia"/>
    <s v="India"/>
    <s v="Bengaluru"/>
    <s v="Small Business"/>
    <s v="Direct"/>
    <s v="H. Kim"/>
    <x v="2"/>
    <x v="413"/>
    <n v="1253.25"/>
    <s v="High"/>
    <n v="3087.13"/>
    <n v="7.1999999999999995E-2"/>
    <n v="11"/>
    <x v="414"/>
    <n v="13785.75"/>
    <n v="8783.5255200000029"/>
    <n v="0.38918065899884063"/>
  </r>
  <r>
    <s v="ORD-2023-987081"/>
    <d v="2023-08-29T00:00:00"/>
    <d v="2023-09-13T00:00:00"/>
    <n v="15"/>
    <s v="Aug-2023"/>
    <s v="Q3-2023"/>
    <s v="Americas"/>
    <s v="Canada"/>
    <s v="Vancouver"/>
    <s v="Small Business"/>
    <s v="Marketplace"/>
    <s v="O. Wang"/>
    <x v="1"/>
    <x v="414"/>
    <n v="1287.6400000000001"/>
    <s v="High"/>
    <n v="2717.15"/>
    <n v="3.2000000000000001E-2"/>
    <n v="7"/>
    <x v="415"/>
    <n v="9013.4800000000014"/>
    <n v="-5138.353360000001"/>
    <n v="-1.3259833387019324"/>
  </r>
  <r>
    <s v="ORD-2024-655710"/>
    <d v="2024-11-30T00:00:00"/>
    <d v="2024-12-10T00:00:00"/>
    <n v="10"/>
    <s v="Nov-2024"/>
    <s v="Q4-2024"/>
    <s v="Asia"/>
    <s v="India"/>
    <s v="Hyderabad"/>
    <s v="Small Business"/>
    <s v="Retail"/>
    <s v="F. Müller"/>
    <x v="6"/>
    <x v="415"/>
    <n v="851.49"/>
    <s v="High"/>
    <n v="901.79"/>
    <n v="0.245"/>
    <n v="16"/>
    <x v="416"/>
    <n v="13623.84"/>
    <n v="27428.4696"/>
    <n v="0.66813462792358946"/>
  </r>
  <r>
    <s v="ORD-2025-411385"/>
    <d v="2025-06-05T00:00:00"/>
    <d v="2025-06-14T00:00:00"/>
    <n v="9"/>
    <s v="Jun-2025"/>
    <s v="Q2-2025"/>
    <s v="Asia"/>
    <s v="India"/>
    <s v="Delhi"/>
    <s v="Non-Profit"/>
    <s v="Retail"/>
    <s v="A. Patel"/>
    <x v="6"/>
    <x v="416"/>
    <n v="618.69000000000005"/>
    <s v="High"/>
    <n v="796.15"/>
    <n v="0.09"/>
    <n v="11"/>
    <x v="417"/>
    <n v="6805.59"/>
    <n v="-4857.4438"/>
    <n v="-2.4933671815801093"/>
  </r>
  <r>
    <s v="ORD-2025-222035"/>
    <d v="2025-03-14T00:00:00"/>
    <d v="2025-04-08T00:00:00"/>
    <n v="25"/>
    <s v="Mar-2025"/>
    <s v="Q1-2025"/>
    <s v="Asia"/>
    <s v="China"/>
    <s v="Not Provided"/>
    <s v="Corporate"/>
    <s v="Distributor"/>
    <s v="D. Smith"/>
    <x v="1"/>
    <x v="417"/>
    <n v="80.59"/>
    <s v="Medium"/>
    <n v="157.82"/>
    <n v="0.217"/>
    <n v="6"/>
    <x v="418"/>
    <n v="483.54"/>
    <n v="4363.1047200000003"/>
    <n v="0.90023201040409662"/>
  </r>
  <r>
    <s v="ORD-2024-749242"/>
    <d v="2024-01-16T00:00:00"/>
    <d v="2024-02-11T00:00:00"/>
    <n v="26"/>
    <s v="Jan-2024"/>
    <s v="Q1-2024"/>
    <s v="Europe"/>
    <s v="Germany"/>
    <s v="Frankfurt"/>
    <s v="Non-Profit"/>
    <s v="Distributor"/>
    <s v="E. Garcia"/>
    <x v="5"/>
    <x v="418"/>
    <n v="504.93"/>
    <s v="High"/>
    <n v="819.06"/>
    <n v="0.22600000000000001"/>
    <n v="15"/>
    <x v="419"/>
    <n v="7573.95"/>
    <n v="-1824.7940999999992"/>
    <n v="-0.31740209027902672"/>
  </r>
  <r>
    <s v="ORD-2023-623293"/>
    <d v="2023-10-12T00:00:00"/>
    <d v="2023-10-29T00:00:00"/>
    <n v="17"/>
    <s v="Oct-2023"/>
    <s v="Q4-2023"/>
    <s v="Asia"/>
    <s v="Japan"/>
    <s v="Nagoya"/>
    <s v="Non-Profit"/>
    <s v="Direct"/>
    <s v="H. Kim"/>
    <x v="3"/>
    <x v="419"/>
    <n v="1102.19"/>
    <s v="High"/>
    <n v="1711.16"/>
    <n v="0.151"/>
    <n v="10"/>
    <x v="420"/>
    <n v="11021.900000000001"/>
    <n v="176.74959999999737"/>
    <n v="1.5783117278711657E-2"/>
  </r>
  <r>
    <s v="ORD-2025-276968"/>
    <d v="2025-02-25T00:00:00"/>
    <d v="2025-03-17T00:00:00"/>
    <n v="20"/>
    <s v="Feb-2025"/>
    <s v="Q1-2025"/>
    <s v="Americas"/>
    <s v="USA"/>
    <s v="San Francisco"/>
    <s v="Non-Profit"/>
    <s v="Marketplace"/>
    <s v="H. Kim"/>
    <x v="3"/>
    <x v="420"/>
    <n v="1205.26"/>
    <s v="High"/>
    <n v="1696.35"/>
    <n v="1.9E-2"/>
    <n v="6"/>
    <x v="421"/>
    <n v="7231.5599999999995"/>
    <n v="-5378.2351799999997"/>
    <n v="-2.9019387869634206"/>
  </r>
  <r>
    <s v="ORD-2025-650841"/>
    <d v="2025-07-03T00:00:00"/>
    <d v="2025-07-06T00:00:00"/>
    <n v="3"/>
    <s v="Jul-2025"/>
    <s v="Q3-2025"/>
    <s v="Africa"/>
    <s v="Nigeria"/>
    <s v="Lagos"/>
    <s v="Consumer"/>
    <s v="Online"/>
    <s v="Not Provided"/>
    <x v="4"/>
    <x v="421"/>
    <n v="1313.3"/>
    <s v="High"/>
    <n v="2884.34"/>
    <n v="0.157"/>
    <n v="42"/>
    <x v="422"/>
    <n v="55158.6"/>
    <n v="23094.679020000003"/>
    <n v="0.29512730085211453"/>
  </r>
  <r>
    <s v="ORD-2025-831576"/>
    <d v="2025-09-15T00:00:00"/>
    <d v="2025-09-25T00:00:00"/>
    <n v="10"/>
    <s v="Sept-2025"/>
    <s v="Q3-2025"/>
    <s v="Asia"/>
    <s v="India"/>
    <s v="Delhi"/>
    <s v="Consumer"/>
    <s v="Retail"/>
    <s v="A. Patel"/>
    <x v="3"/>
    <x v="422"/>
    <n v="1488.91"/>
    <s v="High"/>
    <n v="1483.74"/>
    <n v="0.16800000000000001"/>
    <n v="24"/>
    <x v="423"/>
    <n v="35733.840000000004"/>
    <n v="-14867.280000000006"/>
    <n v="-0.71249309900625724"/>
  </r>
  <r>
    <s v="ORD-2024-468655"/>
    <d v="2024-02-19T00:00:00"/>
    <d v="2024-03-06T00:00:00"/>
    <n v="16"/>
    <s v="Feb-2024"/>
    <s v="Q1-2024"/>
    <s v="Asia"/>
    <s v="China"/>
    <s v="Beijing"/>
    <s v="Education"/>
    <s v="Marketplace"/>
    <s v="O. Wang"/>
    <x v="1"/>
    <x v="423"/>
    <n v="1477.84"/>
    <s v="High"/>
    <n v="3197.47"/>
    <n v="0.24299999999999999"/>
    <n v="24"/>
    <x v="424"/>
    <n v="35468.159999999996"/>
    <n v="3269.4679200000028"/>
    <n v="8.4400312965781696E-2"/>
  </r>
  <r>
    <s v="ORD-2024-515105"/>
    <d v="2024-02-27T00:00:00"/>
    <d v="2024-03-26T00:00:00"/>
    <n v="28"/>
    <s v="Feb-2024"/>
    <s v="Q1-2024"/>
    <s v="Asia"/>
    <s v="India"/>
    <s v="Mumbai"/>
    <s v="Education"/>
    <s v="Marketplace"/>
    <s v="G. Dubois"/>
    <x v="4"/>
    <x v="424"/>
    <n v="1035.19"/>
    <s v="High"/>
    <n v="2322.6999999999998"/>
    <n v="0.17299999999999999"/>
    <n v="8"/>
    <x v="425"/>
    <n v="8281.52"/>
    <n v="5622.3348000000005"/>
    <n v="0.40437237592555986"/>
  </r>
  <r>
    <s v="ORD-2025-803803"/>
    <d v="2025-08-28T00:00:00"/>
    <d v="2025-09-05T00:00:00"/>
    <n v="8"/>
    <s v="Aug-2025"/>
    <s v="Q3-2025"/>
    <s v="Africa"/>
    <s v="Nigeria"/>
    <s v="Port Harcourt"/>
    <s v="Small Business"/>
    <s v="Marketplace"/>
    <s v="E. Garcia"/>
    <x v="4"/>
    <x v="425"/>
    <n v="1271.0999999999999"/>
    <s v="High"/>
    <n v="1932.42"/>
    <n v="0.25"/>
    <n v="21"/>
    <x v="426"/>
    <n v="26693.1"/>
    <n v="6782.5800000000017"/>
    <n v="0.20261216501053905"/>
  </r>
  <r>
    <s v="ORD-2024-993481"/>
    <d v="2024-08-18T00:00:00"/>
    <d v="2024-09-12T00:00:00"/>
    <n v="25"/>
    <s v="Aug-2024"/>
    <s v="Q3-2024"/>
    <s v="Asia"/>
    <s v="India"/>
    <s v="Mumbai"/>
    <s v="Consumer"/>
    <s v="Marketplace"/>
    <s v="C. Otieno"/>
    <x v="3"/>
    <x v="426"/>
    <n v="1154.03"/>
    <s v="High"/>
    <n v="1590.36"/>
    <n v="0.314"/>
    <n v="18"/>
    <x v="427"/>
    <n v="20772.54"/>
    <n v="-11971.503000000002"/>
    <n v="-1.360237776525653"/>
  </r>
  <r>
    <s v="ORD-2024-811752"/>
    <d v="2024-02-25T00:00:00"/>
    <d v="2024-03-09T00:00:00"/>
    <n v="13"/>
    <s v="Feb-2024"/>
    <s v="Q1-2024"/>
    <s v="Europe"/>
    <s v="France"/>
    <s v="Marseille"/>
    <s v="Small Business"/>
    <s v="Distributor"/>
    <s v="E. Garcia"/>
    <x v="5"/>
    <x v="427"/>
    <n v="322.44"/>
    <s v="High"/>
    <n v="395.61"/>
    <n v="0"/>
    <n v="34"/>
    <x v="428"/>
    <n v="10962.96"/>
    <n v="42377.26"/>
    <n v="0.79447103892709858"/>
  </r>
  <r>
    <s v="ORD-2025-673091"/>
    <d v="2025-05-07T00:00:00"/>
    <d v="2025-05-13T00:00:00"/>
    <n v="6"/>
    <s v="May-2025"/>
    <s v="Q2-2025"/>
    <s v="Asia"/>
    <s v="India"/>
    <s v="Bengaluru"/>
    <s v="Enterprise"/>
    <s v="Direct"/>
    <s v="J. Njeri"/>
    <x v="3"/>
    <x v="428"/>
    <n v="935.98"/>
    <s v="High"/>
    <n v="2077.69"/>
    <n v="0.17499999999999999"/>
    <n v="24"/>
    <x v="429"/>
    <n v="22463.52"/>
    <n v="18608.412"/>
    <n v="0.4530688256885505"/>
  </r>
  <r>
    <s v="ORD-2024-381197"/>
    <d v="2024-11-01T00:00:00"/>
    <d v="2024-11-12T00:00:00"/>
    <n v="11"/>
    <s v="Nov-2024"/>
    <s v="Q4-2024"/>
    <s v="Europe"/>
    <s v="Germany"/>
    <s v="Frankfurt"/>
    <s v="Consumer"/>
    <s v="Online"/>
    <s v="B. Chen"/>
    <x v="1"/>
    <x v="429"/>
    <n v="599.84"/>
    <s v="High"/>
    <n v="1330.85"/>
    <n v="0.115"/>
    <n v="11"/>
    <x v="430"/>
    <n v="6598.2400000000007"/>
    <n v="-1777.5653500000008"/>
    <n v="-0.36873787987330792"/>
  </r>
  <r>
    <s v="ORD-2024-651852"/>
    <d v="2024-12-28T00:00:00"/>
    <d v="2025-01-08T00:00:00"/>
    <n v="11"/>
    <s v="Dec-2024"/>
    <s v="Q4-2024"/>
    <s v="Asia"/>
    <s v="China"/>
    <s v="Shenzhen"/>
    <s v="Enterprise"/>
    <s v="Online"/>
    <s v="K. Singh"/>
    <x v="4"/>
    <x v="430"/>
    <n v="1201.31"/>
    <s v="High"/>
    <n v="2764.65"/>
    <n v="0"/>
    <n v="21"/>
    <x v="431"/>
    <n v="25227.51"/>
    <n v="-9318.1199999999972"/>
    <n v="-0.58569938885148942"/>
  </r>
  <r>
    <s v="ORD-2023-659070"/>
    <d v="2023-10-21T00:00:00"/>
    <d v="2023-10-21T00:00:00"/>
    <n v="0"/>
    <s v="Oct-2023"/>
    <s v="Q4-2023"/>
    <s v="Europe"/>
    <s v="United Kingdom"/>
    <s v="Manchester"/>
    <s v="Enterprise"/>
    <s v="Distributor"/>
    <s v="J. Njeri"/>
    <x v="5"/>
    <x v="431"/>
    <n v="384.19"/>
    <s v="High"/>
    <n v="278.35000000000002"/>
    <n v="5.6000000000000001E-2"/>
    <n v="10"/>
    <x v="432"/>
    <n v="3841.9"/>
    <n v="84.762399999999161"/>
    <n v="2.1586373200812775E-2"/>
  </r>
  <r>
    <s v="ORD-2024-837651"/>
    <d v="2024-12-10T00:00:00"/>
    <d v="2024-12-19T00:00:00"/>
    <n v="9"/>
    <s v="Dec-2024"/>
    <s v="Q4-2024"/>
    <s v="Africa"/>
    <s v="Nigeria"/>
    <s v="Lagos"/>
    <s v="Corporate"/>
    <s v="Retail"/>
    <s v="O. Wang"/>
    <x v="5"/>
    <x v="432"/>
    <n v="488.68"/>
    <s v="High"/>
    <n v="984.36"/>
    <n v="5.8999999999999997E-2"/>
    <n v="14"/>
    <x v="433"/>
    <n v="6841.52"/>
    <n v="17805.584860000003"/>
    <n v="0.72242094806424251"/>
  </r>
  <r>
    <s v="ORD-2024-581530"/>
    <d v="2024-09-07T00:00:00"/>
    <d v="2024-09-18T00:00:00"/>
    <n v="11"/>
    <s v="Sept-2024"/>
    <s v="Q3-2024"/>
    <s v="Asia"/>
    <s v="China"/>
    <s v="Beijing"/>
    <s v="Consumer"/>
    <s v="Distributor"/>
    <s v="O. Wang"/>
    <x v="2"/>
    <x v="433"/>
    <n v="181.74"/>
    <s v="Medium"/>
    <n v="190.84"/>
    <n v="0.214"/>
    <n v="13"/>
    <x v="434"/>
    <n v="2362.62"/>
    <n v="-248.72015999999985"/>
    <n v="-0.11765938730569177"/>
  </r>
  <r>
    <s v="ORD-2023-378104"/>
    <d v="2023-10-18T00:00:00"/>
    <d v="2023-10-20T00:00:00"/>
    <n v="2"/>
    <s v="Oct-2023"/>
    <s v="Q4-2023"/>
    <s v="Africa"/>
    <s v="Kenya"/>
    <s v="Kisumu"/>
    <s v="Consumer"/>
    <s v="Retail"/>
    <s v="J. Njeri"/>
    <x v="3"/>
    <x v="434"/>
    <n v="774.12"/>
    <s v="High"/>
    <n v="908.3"/>
    <n v="0"/>
    <n v="30"/>
    <x v="435"/>
    <n v="23223.599999999999"/>
    <n v="-21339"/>
    <n v="-11.322827125119389"/>
  </r>
  <r>
    <s v="ORD-2024-972318"/>
    <d v="2024-12-24T00:00:00"/>
    <d v="2025-01-13T00:00:00"/>
    <n v="20"/>
    <s v="Dec-2024"/>
    <s v="Q4-2024"/>
    <s v="Asia"/>
    <s v="India"/>
    <s v="Bengaluru"/>
    <s v="Corporate"/>
    <s v="Marketplace"/>
    <s v="D. Smith"/>
    <x v="2"/>
    <x v="435"/>
    <n v="126.15"/>
    <s v="High"/>
    <n v="284.23"/>
    <n v="0.113"/>
    <n v="22"/>
    <x v="436"/>
    <n v="2775.3"/>
    <n v="15889.645860000001"/>
    <n v="0.85130950709331443"/>
  </r>
  <r>
    <s v="ORD-2023-752962"/>
    <d v="2023-04-21T00:00:00"/>
    <d v="2023-04-19T00:00:00"/>
    <n v="2"/>
    <s v="Apr-2023"/>
    <s v="Q2-2023"/>
    <s v="Asia"/>
    <s v="Japan"/>
    <s v="Nagoya"/>
    <s v="Small Business"/>
    <s v="Direct"/>
    <s v="M. Rossi"/>
    <x v="0"/>
    <x v="436"/>
    <n v="607.04"/>
    <s v="High"/>
    <n v="1229.3399999999999"/>
    <n v="0.14699999999999999"/>
    <n v="7"/>
    <x v="437"/>
    <n v="4249.28"/>
    <n v="-3259.8852999999999"/>
    <n v="-3.2948279387387061"/>
  </r>
  <r>
    <s v="ORD-2023-808024"/>
    <d v="2023-12-30T00:00:00"/>
    <d v="2024-01-08T00:00:00"/>
    <n v="9"/>
    <s v="Dec-2023"/>
    <s v="Q4-2023"/>
    <s v="Europe"/>
    <s v="France"/>
    <s v="Marseille"/>
    <s v="Consumer"/>
    <s v="Marketplace"/>
    <s v="L. Okafor"/>
    <x v="6"/>
    <x v="437"/>
    <n v="861.1"/>
    <s v="High"/>
    <n v="1224.72"/>
    <n v="0.17399999999999999"/>
    <n v="24"/>
    <x v="438"/>
    <n v="20666.400000000001"/>
    <n v="-8606.2713600000006"/>
    <n v="-0.71361356225135586"/>
  </r>
  <r>
    <s v="ORD-2023-156396"/>
    <d v="2023-02-21T00:00:00"/>
    <d v="2023-03-12T00:00:00"/>
    <n v="19"/>
    <s v="Feb-2023"/>
    <s v="Q1-2023"/>
    <s v="Africa"/>
    <s v="Kenya"/>
    <s v="Nakuru"/>
    <s v="Corporate"/>
    <s v="Online"/>
    <s v="F. Müller"/>
    <x v="2"/>
    <x v="438"/>
    <n v="352.65"/>
    <s v="High"/>
    <n v="485.86"/>
    <n v="4.1000000000000002E-2"/>
    <n v="6"/>
    <x v="439"/>
    <n v="2115.8999999999996"/>
    <n v="13223.746139999999"/>
    <n v="0.86206331093371624"/>
  </r>
  <r>
    <s v="ORD-2023-184577"/>
    <d v="2023-05-17T00:00:00"/>
    <d v="2023-06-03T00:00:00"/>
    <n v="17"/>
    <s v="May-2023"/>
    <s v="Q2-2023"/>
    <s v="Asia"/>
    <s v="China"/>
    <s v="Beijing"/>
    <s v="Non-Profit"/>
    <s v="Distributor"/>
    <s v="M. Rossi"/>
    <x v="1"/>
    <x v="439"/>
    <n v="979.59"/>
    <s v="High"/>
    <n v="2210.94"/>
    <n v="0.15"/>
    <n v="11"/>
    <x v="440"/>
    <n v="10775.49"/>
    <n v="-5278.1574999999993"/>
    <n v="-0.96013066337173514"/>
  </r>
  <r>
    <s v="ORD-2024-446030"/>
    <d v="2024-03-23T00:00:00"/>
    <d v="2024-03-26T00:00:00"/>
    <n v="3"/>
    <s v="Mar-2024"/>
    <s v="Q1-2024"/>
    <s v="Asia"/>
    <s v="India"/>
    <s v="Bengaluru"/>
    <s v="Education"/>
    <s v="Direct"/>
    <s v="G. Dubois"/>
    <x v="3"/>
    <x v="440"/>
    <n v="382.21"/>
    <s v="High"/>
    <n v="571.89"/>
    <n v="0.14799999999999999"/>
    <n v="26"/>
    <x v="441"/>
    <n v="9937.4599999999991"/>
    <n v="38644.755760000007"/>
    <n v="0.79545066348781124"/>
  </r>
  <r>
    <s v="ORD-2023-842820"/>
    <d v="2023-09-20T00:00:00"/>
    <d v="2023-09-28T00:00:00"/>
    <n v="8"/>
    <s v="Sept-2023"/>
    <s v="Q3-2023"/>
    <s v="Asia"/>
    <s v="India"/>
    <s v="Not Provided"/>
    <s v="Corporate"/>
    <s v="Not Provided"/>
    <s v="B. Chen"/>
    <x v="6"/>
    <x v="441"/>
    <n v="1362.06"/>
    <s v="High"/>
    <n v="3398.37"/>
    <n v="0.157"/>
    <n v="11"/>
    <x v="442"/>
    <n v="14982.66"/>
    <n v="5304.8094000000019"/>
    <n v="0.26148206537775487"/>
  </r>
  <r>
    <s v="ORD-2024-745424"/>
    <d v="2024-08-22T00:00:00"/>
    <d v="2024-09-04T00:00:00"/>
    <n v="13"/>
    <s v="Aug-2024"/>
    <s v="Q3-2024"/>
    <s v="Europe"/>
    <s v="Germany"/>
    <s v="Frankfurt"/>
    <s v="Non-Profit"/>
    <s v="Retail"/>
    <s v="L. Okafor"/>
    <x v="1"/>
    <x v="442"/>
    <n v="90.04"/>
    <s v="Medium"/>
    <n v="194.62"/>
    <n v="4.2999999999999997E-2"/>
    <n v="32"/>
    <x v="443"/>
    <n v="2881.28"/>
    <n v="27807.336640000001"/>
    <n v="0.90611241836673417"/>
  </r>
  <r>
    <s v="ORD-2024-510520"/>
    <d v="2024-09-25T00:00:00"/>
    <d v="2024-10-03T00:00:00"/>
    <n v="8"/>
    <s v="Sept-2024"/>
    <s v="Q3-2024"/>
    <s v="Americas"/>
    <s v="Canada"/>
    <s v="Toronto"/>
    <s v="Consumer"/>
    <s v="Online"/>
    <s v="E. Garcia"/>
    <x v="1"/>
    <x v="443"/>
    <n v="558.19000000000005"/>
    <s v="High"/>
    <n v="1031.6400000000001"/>
    <n v="0"/>
    <n v="21"/>
    <x v="444"/>
    <n v="11721.990000000002"/>
    <n v="7467.3899999999994"/>
    <n v="0.3891418065617544"/>
  </r>
  <r>
    <s v="ORD-2023-769774"/>
    <d v="2023-06-13T00:00:00"/>
    <d v="2023-06-24T00:00:00"/>
    <n v="11"/>
    <s v="Jun-2023"/>
    <s v="Q2-2023"/>
    <s v="Americas"/>
    <s v="Canada"/>
    <s v="Toronto"/>
    <s v="Corporate"/>
    <s v="Online"/>
    <s v="C. Otieno"/>
    <x v="1"/>
    <x v="444"/>
    <n v="247.07"/>
    <s v="High"/>
    <n v="495.19"/>
    <n v="2.8000000000000001E-2"/>
    <n v="4"/>
    <x v="445"/>
    <n v="988.28"/>
    <n v="6179.2868799999997"/>
    <n v="0.86211778466167588"/>
  </r>
  <r>
    <s v="ORD-2023-580751"/>
    <d v="2023-12-24T00:00:00"/>
    <d v="2024-01-13T00:00:00"/>
    <n v="20"/>
    <s v="Dec-2023"/>
    <s v="Q4-2023"/>
    <s v="Asia"/>
    <s v="Japan"/>
    <s v="Nagoya"/>
    <s v="Education"/>
    <s v="Direct"/>
    <s v="B. Chen"/>
    <x v="4"/>
    <x v="445"/>
    <n v="625.37"/>
    <s v="High"/>
    <n v="1319.04"/>
    <n v="7.3999999999999996E-2"/>
    <n v="8"/>
    <x v="446"/>
    <n v="5002.96"/>
    <n v="5246.7488000000003"/>
    <n v="0.51189247444766428"/>
  </r>
  <r>
    <s v="ORD-2025-473192"/>
    <d v="2025-03-30T00:00:00"/>
    <d v="2025-04-29T00:00:00"/>
    <n v="30"/>
    <s v="Mar-2025"/>
    <s v="Q1-2025"/>
    <s v="Africa"/>
    <s v="South Africa"/>
    <s v="Durban"/>
    <s v="Consumer"/>
    <s v="Marketplace"/>
    <s v="J. Njeri"/>
    <x v="5"/>
    <x v="446"/>
    <n v="194.6"/>
    <s v="High"/>
    <n v="314.87"/>
    <n v="0.29299999999999998"/>
    <n v="25"/>
    <x v="447"/>
    <n v="4865"/>
    <n v="23212.267750000003"/>
    <n v="0.82672815448718295"/>
  </r>
  <r>
    <s v="ORD-2024-886939"/>
    <d v="2024-06-03T00:00:00"/>
    <d v="2024-06-24T00:00:00"/>
    <n v="21"/>
    <s v="Jun-2024"/>
    <s v="Q2-2024"/>
    <s v="Americas"/>
    <s v="Canada"/>
    <s v="Toronto"/>
    <s v="Small Business"/>
    <s v="Direct"/>
    <s v="G. Dubois"/>
    <x v="5"/>
    <x v="447"/>
    <n v="1205.5"/>
    <s v="High"/>
    <n v="2210.17"/>
    <n v="0.104"/>
    <n v="23"/>
    <x v="448"/>
    <n v="27726.5"/>
    <n v="-28.31760000000213"/>
    <n v="-1.0223631136172362E-3"/>
  </r>
  <r>
    <s v="ORD-2024-566589"/>
    <d v="2024-06-11T00:00:00"/>
    <d v="2024-07-09T00:00:00"/>
    <n v="28"/>
    <s v="Jun-2024"/>
    <s v="Q2-2024"/>
    <s v="Africa"/>
    <s v="Nigeria"/>
    <s v="Port Harcourt"/>
    <s v="Corporate"/>
    <s v="Marketplace"/>
    <s v="I. Johnson"/>
    <x v="3"/>
    <x v="448"/>
    <n v="895.54"/>
    <s v="High"/>
    <n v="1045"/>
    <n v="0.216"/>
    <n v="15"/>
    <x v="449"/>
    <n v="13433.099999999999"/>
    <n v="1740.7104000000018"/>
    <n v="0.11471808030499721"/>
  </r>
  <r>
    <s v="ORD-2023-109927"/>
    <d v="2023-07-22T00:00:00"/>
    <d v="2023-07-21T00:00:00"/>
    <n v="1"/>
    <s v="Jul-2023"/>
    <s v="Q3-2023"/>
    <s v="Asia"/>
    <s v="India"/>
    <s v="Delhi"/>
    <s v="Small Business"/>
    <s v="Distributor"/>
    <s v="E. Garcia"/>
    <x v="1"/>
    <x v="449"/>
    <n v="946.99"/>
    <s v="High"/>
    <n v="2132.19"/>
    <n v="0.16500000000000001"/>
    <n v="7"/>
    <x v="450"/>
    <n v="6628.93"/>
    <n v="-5333.7948999999999"/>
    <n v="-4.1183308984522151"/>
  </r>
  <r>
    <s v="ORD-2023-780206"/>
    <d v="2023-01-19T00:00:00"/>
    <d v="2023-02-03T00:00:00"/>
    <n v="15"/>
    <s v="Jan-2023"/>
    <s v="Q1-2023"/>
    <s v="Europe"/>
    <s v="United Kingdom"/>
    <s v="London"/>
    <s v="Enterprise"/>
    <s v="Distributor"/>
    <s v="G. Dubois"/>
    <x v="6"/>
    <x v="450"/>
    <n v="873.06"/>
    <s v="High"/>
    <n v="2101.5500000000002"/>
    <n v="6.6000000000000003E-2"/>
    <n v="10"/>
    <x v="451"/>
    <n v="8730.5999999999985"/>
    <n v="-5365.0243999999984"/>
    <n v="-1.5940882148064062"/>
  </r>
  <r>
    <s v="ORD-2024-851993"/>
    <d v="2024-05-01T00:00:00"/>
    <d v="2024-05-16T00:00:00"/>
    <n v="15"/>
    <s v="May-2024"/>
    <s v="Q2-2024"/>
    <s v="Asia"/>
    <s v="India"/>
    <s v="Bengaluru"/>
    <s v="Small Business"/>
    <s v="Retail"/>
    <s v="L. Okafor"/>
    <x v="0"/>
    <x v="451"/>
    <n v="901.19"/>
    <s v="High"/>
    <n v="2125.44"/>
    <n v="7.0999999999999994E-2"/>
    <n v="12"/>
    <x v="452"/>
    <n v="10814.28"/>
    <n v="17566.409879999999"/>
    <n v="0.61895640853956568"/>
  </r>
  <r>
    <s v="ORD-2025-417942"/>
    <d v="2025-06-09T00:00:00"/>
    <d v="2025-06-24T00:00:00"/>
    <n v="15"/>
    <s v="Jun-2025"/>
    <s v="Q2-2025"/>
    <s v="Asia"/>
    <s v="Japan"/>
    <s v="Nagoya"/>
    <s v="Corporate"/>
    <s v="Direct"/>
    <s v="B. Chen"/>
    <x v="3"/>
    <x v="452"/>
    <n v="400.39"/>
    <s v="High"/>
    <n v="712.75"/>
    <n v="0.115"/>
    <n v="19"/>
    <x v="453"/>
    <n v="7607.41"/>
    <n v="4154.1780500000004"/>
    <n v="0.35319873747831187"/>
  </r>
  <r>
    <s v="ORD-2023-172095"/>
    <d v="2023-05-24T00:00:00"/>
    <d v="2023-06-21T00:00:00"/>
    <n v="28"/>
    <s v="May-2023"/>
    <s v="Q2-2023"/>
    <s v="Americas"/>
    <s v="USA"/>
    <s v="Austin"/>
    <s v="Small Business"/>
    <s v="Marketplace"/>
    <s v="G. Dubois"/>
    <x v="5"/>
    <x v="453"/>
    <n v="813.97"/>
    <s v="High"/>
    <n v="1568.83"/>
    <n v="1.7000000000000001E-2"/>
    <n v="15"/>
    <x v="454"/>
    <n v="12209.550000000001"/>
    <n v="28172.434049999996"/>
    <n v="0.69764858544636066"/>
  </r>
  <r>
    <s v="ORD-2024-257550"/>
    <d v="2024-12-27T00:00:00"/>
    <d v="2024-12-29T00:00:00"/>
    <n v="2"/>
    <s v="Dec-2024"/>
    <s v="Q4-2024"/>
    <s v="Americas"/>
    <s v="Canada"/>
    <s v="Vancouver"/>
    <s v="Enterprise"/>
    <s v="Marketplace"/>
    <s v="C. Otieno"/>
    <x v="6"/>
    <x v="454"/>
    <n v="1146.72"/>
    <s v="High"/>
    <n v="2074.34"/>
    <n v="0.111"/>
    <n v="8"/>
    <x v="455"/>
    <n v="9173.76"/>
    <n v="-8499.6846399999995"/>
    <n v="-12.60939821327989"/>
  </r>
  <r>
    <s v="ORD-2023-581799"/>
    <d v="2023-12-05T00:00:00"/>
    <d v="2023-12-12T00:00:00"/>
    <n v="7"/>
    <s v="Dec-2023"/>
    <s v="Q4-2023"/>
    <s v="Americas"/>
    <s v="Brazil"/>
    <s v="Brasília"/>
    <s v="Corporate"/>
    <s v="Direct"/>
    <s v="F. Müller"/>
    <x v="3"/>
    <x v="455"/>
    <n v="307.43"/>
    <s v="High"/>
    <n v="495.19"/>
    <n v="0"/>
    <n v="42"/>
    <x v="456"/>
    <n v="12912.06"/>
    <n v="103736.64"/>
    <n v="0.88930815345563219"/>
  </r>
  <r>
    <s v="ORD-2023-880296"/>
    <d v="2023-05-02T00:00:00"/>
    <d v="2023-05-19T00:00:00"/>
    <n v="17"/>
    <s v="May-2023"/>
    <s v="Q2-2023"/>
    <s v="Asia"/>
    <s v="China"/>
    <s v="Shanghai"/>
    <s v="Non-Profit"/>
    <s v="Direct"/>
    <s v="J. Njeri"/>
    <x v="5"/>
    <x v="456"/>
    <n v="714.28"/>
    <s v="High"/>
    <n v="757.59"/>
    <n v="0.13600000000000001"/>
    <n v="12"/>
    <x v="457"/>
    <n v="8571.36"/>
    <n v="-3468.4377600000007"/>
    <n v="-0.67969637726637211"/>
  </r>
  <r>
    <s v="ORD-2023-191563"/>
    <d v="2023-11-30T00:00:00"/>
    <d v="2023-12-10T00:00:00"/>
    <n v="10"/>
    <s v="Nov-2023"/>
    <s v="Q4-2023"/>
    <s v="Europe"/>
    <s v="Germany"/>
    <s v="Munich"/>
    <s v="Small Business"/>
    <s v="Direct"/>
    <s v="F. Müller"/>
    <x v="4"/>
    <x v="457"/>
    <n v="174.74"/>
    <s v="High"/>
    <n v="415.96"/>
    <n v="0.125"/>
    <n v="21"/>
    <x v="458"/>
    <n v="3669.54"/>
    <n v="31640.778749999998"/>
    <n v="0.89607740371927391"/>
  </r>
  <r>
    <s v="ORD-2024-202166"/>
    <d v="2024-05-05T00:00:00"/>
    <d v="2024-05-18T00:00:00"/>
    <n v="13"/>
    <s v="May-2024"/>
    <s v="Q2-2024"/>
    <s v="Europe"/>
    <s v="France"/>
    <s v="Marseille"/>
    <s v="Corporate"/>
    <s v="Marketplace"/>
    <s v="A. Patel"/>
    <x v="0"/>
    <x v="458"/>
    <n v="1264.04"/>
    <s v="High"/>
    <n v="1870.89"/>
    <n v="0"/>
    <n v="13"/>
    <x v="459"/>
    <n v="16432.52"/>
    <n v="-12658.23"/>
    <n v="-3.3538042916681019"/>
  </r>
  <r>
    <s v="ORD-2023-539967"/>
    <d v="2023-07-09T00:00:00"/>
    <d v="2023-07-19T00:00:00"/>
    <n v="10"/>
    <s v="Jul-2023"/>
    <s v="Q3-2023"/>
    <s v="Asia"/>
    <s v="Japan"/>
    <s v="Tokyo"/>
    <s v="Enterprise"/>
    <s v="Distributor"/>
    <s v="N. Brown"/>
    <x v="0"/>
    <x v="459"/>
    <n v="141.26"/>
    <s v="High"/>
    <n v="206.88"/>
    <n v="0.107"/>
    <n v="9"/>
    <x v="460"/>
    <n v="1271.3399999999999"/>
    <n v="3574.3280399999994"/>
    <n v="0.737633698902742"/>
  </r>
  <r>
    <s v="ORD-2023-704111"/>
    <d v="2023-05-17T00:00:00"/>
    <d v="2023-06-15T00:00:00"/>
    <n v="29"/>
    <s v="May-2023"/>
    <s v="Q2-2023"/>
    <s v="Africa"/>
    <s v="South Africa"/>
    <s v="Durban"/>
    <s v="Enterprise"/>
    <s v="Retail"/>
    <s v="K. Singh"/>
    <x v="6"/>
    <x v="460"/>
    <n v="40.89"/>
    <s v="Medium"/>
    <n v="62.82"/>
    <n v="0.129"/>
    <n v="17"/>
    <x v="461"/>
    <n v="695.13"/>
    <n v="30066.412499999999"/>
    <n v="0.97740262862306071"/>
  </r>
  <r>
    <s v="ORD-2024-356812"/>
    <d v="2024-03-07T00:00:00"/>
    <d v="2024-04-03T00:00:00"/>
    <n v="27"/>
    <s v="Mar-2024"/>
    <s v="Q1-2024"/>
    <s v="Europe"/>
    <s v="Germany"/>
    <s v="Frankfurt"/>
    <s v="Corporate"/>
    <s v="Direct"/>
    <s v="M. Rossi"/>
    <x v="1"/>
    <x v="461"/>
    <n v="738.16"/>
    <s v="High"/>
    <n v="956.49"/>
    <n v="0.152"/>
    <n v="5"/>
    <x v="462"/>
    <n v="3690.7999999999997"/>
    <n v="-2957.7887999999998"/>
    <n v="-4.0351208821911593"/>
  </r>
  <r>
    <s v="ORD-2025-306251"/>
    <d v="2025-04-10T00:00:00"/>
    <d v="2025-04-19T00:00:00"/>
    <n v="9"/>
    <s v="Apr-2025"/>
    <s v="Q2-2025"/>
    <s v="Africa"/>
    <s v="South Africa"/>
    <s v="Durban"/>
    <s v="Enterprise"/>
    <s v="Not Provided"/>
    <s v="G. Dubois"/>
    <x v="2"/>
    <x v="462"/>
    <n v="113.74"/>
    <s v="Medium"/>
    <n v="165.7"/>
    <n v="0.124"/>
    <n v="13"/>
    <x v="463"/>
    <n v="1478.62"/>
    <n v="30165.671119999995"/>
    <n v="0.95327372022988777"/>
  </r>
  <r>
    <s v="ORD-2025-496178"/>
    <d v="2025-07-27T00:00:00"/>
    <d v="2025-08-15T00:00:00"/>
    <n v="19"/>
    <s v="Jul-2025"/>
    <s v="Q3-2025"/>
    <s v="Asia"/>
    <s v="Japan"/>
    <s v="Tokyo"/>
    <s v="Small Business"/>
    <s v="Marketplace"/>
    <s v="J. Njeri"/>
    <x v="0"/>
    <x v="463"/>
    <n v="275.43"/>
    <s v="High"/>
    <n v="608.36"/>
    <n v="0.25700000000000001"/>
    <n v="4"/>
    <x v="464"/>
    <n v="1101.72"/>
    <n v="-181.97515999999996"/>
    <n v="-0.19785396132257718"/>
  </r>
  <r>
    <s v="ORD-2024-508213"/>
    <d v="2024-11-22T00:00:00"/>
    <d v="2024-12-15T00:00:00"/>
    <n v="23"/>
    <s v="Nov-2024"/>
    <s v="Q4-2024"/>
    <s v="Africa"/>
    <s v="Kenya"/>
    <s v="Mombasa"/>
    <s v="Non-Profit"/>
    <s v="Distributor"/>
    <s v="C. Otieno"/>
    <x v="0"/>
    <x v="464"/>
    <n v="1335.76"/>
    <s v="High"/>
    <n v="2665.91"/>
    <n v="0.21099999999999999"/>
    <n v="40"/>
    <x v="465"/>
    <n v="53430.400000000001"/>
    <n v="-32398.500400000001"/>
    <n v="-1.5404457522229709"/>
  </r>
  <r>
    <s v="ORD-2024-787018"/>
    <d v="2024-06-23T00:00:00"/>
    <d v="2024-06-28T00:00:00"/>
    <n v="5"/>
    <s v="Jun-2024"/>
    <s v="Q2-2024"/>
    <s v="Africa"/>
    <s v="Nigeria"/>
    <s v="Port Harcourt"/>
    <s v="Non-Profit"/>
    <s v="Direct"/>
    <s v="M. Rossi"/>
    <x v="6"/>
    <x v="465"/>
    <n v="242.31"/>
    <s v="High"/>
    <n v="587.95000000000005"/>
    <n v="0.22900000000000001"/>
    <n v="6"/>
    <x v="466"/>
    <n v="1453.8600000000001"/>
    <n v="1989.1330199999998"/>
    <n v="0.57773367777550699"/>
  </r>
  <r>
    <s v="ORD-2023-728177"/>
    <d v="2023-12-18T00:00:00"/>
    <d v="2024-01-14T00:00:00"/>
    <n v="27"/>
    <s v="Dec-2023"/>
    <s v="Q4-2023"/>
    <s v="Asia"/>
    <s v="India"/>
    <s v="Mumbai"/>
    <s v="Consumer"/>
    <s v="Distributor"/>
    <s v="D. Smith"/>
    <x v="2"/>
    <x v="466"/>
    <n v="1408.3"/>
    <s v="High"/>
    <n v="2193.13"/>
    <n v="7.0999999999999994E-2"/>
    <n v="7"/>
    <x v="467"/>
    <n v="9858.1"/>
    <n v="-9775.5769300000011"/>
    <n v="-118.45871621111527"/>
  </r>
  <r>
    <s v="ORD-2025-795385"/>
    <d v="2025-06-01T00:00:00"/>
    <d v="2025-06-05T00:00:00"/>
    <n v="4"/>
    <s v="Jun-2025"/>
    <s v="Q2-2025"/>
    <s v="Europe"/>
    <s v="Germany"/>
    <s v="Munich"/>
    <s v="Enterprise"/>
    <s v="Direct"/>
    <s v="M. Rossi"/>
    <x v="0"/>
    <x v="467"/>
    <n v="1171.42"/>
    <s v="High"/>
    <n v="2187.8000000000002"/>
    <n v="0.23"/>
    <n v="15"/>
    <x v="468"/>
    <n v="17571.300000000003"/>
    <n v="-10045.782000000003"/>
    <n v="-1.3348957506978261"/>
  </r>
  <r>
    <s v="ORD-2025-947929"/>
    <d v="2025-03-23T00:00:00"/>
    <d v="2025-04-02T00:00:00"/>
    <n v="10"/>
    <s v="Mar-2025"/>
    <s v="Q1-2025"/>
    <s v="Europe"/>
    <s v="Germany"/>
    <s v="Berlin"/>
    <s v="Enterprise"/>
    <s v="Online"/>
    <s v="E. Garcia"/>
    <x v="1"/>
    <x v="468"/>
    <n v="663.61"/>
    <s v="High"/>
    <n v="1002.11"/>
    <n v="4.5999999999999999E-2"/>
    <n v="17"/>
    <x v="469"/>
    <n v="11281.37"/>
    <n v="950.5699599999989"/>
    <n v="7.7712117874064429E-2"/>
  </r>
  <r>
    <s v="ORD-2023-931633"/>
    <d v="2023-05-14T00:00:00"/>
    <d v="2023-05-22T00:00:00"/>
    <n v="8"/>
    <s v="May-2023"/>
    <s v="Q2-2023"/>
    <s v="Africa"/>
    <s v="Kenya"/>
    <s v="Mombasa"/>
    <s v="Small Business"/>
    <s v="Distributor"/>
    <s v="F. Müller"/>
    <x v="1"/>
    <x v="469"/>
    <n v="432.01"/>
    <s v="High"/>
    <n v="913.78"/>
    <n v="4.9000000000000002E-2"/>
    <n v="12"/>
    <x v="470"/>
    <n v="5184.12"/>
    <n v="28835.166120000005"/>
    <n v="0.84761232255981278"/>
  </r>
  <r>
    <s v="ORD-2023-243704"/>
    <d v="2023-08-29T00:00:00"/>
    <d v="2023-09-19T00:00:00"/>
    <n v="21"/>
    <s v="Aug-2023"/>
    <s v="Q3-2023"/>
    <s v="Europe"/>
    <s v="France"/>
    <s v="Lyon"/>
    <s v="Small Business"/>
    <s v="Direct"/>
    <s v="B. Chen"/>
    <x v="1"/>
    <x v="470"/>
    <n v="784.46"/>
    <s v="High"/>
    <n v="1843.51"/>
    <n v="0.13800000000000001"/>
    <n v="23"/>
    <x v="471"/>
    <n v="18042.580000000002"/>
    <n v="1310.966419999997"/>
    <n v="6.7737787770268371E-2"/>
  </r>
  <r>
    <s v="ORD-2025-779659"/>
    <d v="2025-07-03T00:00:00"/>
    <d v="2025-07-23T00:00:00"/>
    <n v="20"/>
    <s v="Jul-2025"/>
    <s v="Q3-2025"/>
    <s v="Asia"/>
    <s v="China"/>
    <s v="Beijing"/>
    <s v="Small Business"/>
    <s v="Online"/>
    <s v="M. Rossi"/>
    <x v="0"/>
    <x v="471"/>
    <n v="647.36"/>
    <s v="High"/>
    <n v="1383.6"/>
    <n v="7.3999999999999996E-2"/>
    <n v="12"/>
    <x v="472"/>
    <n v="7768.32"/>
    <n v="4964.9208000000017"/>
    <n v="0.38991807961410746"/>
  </r>
  <r>
    <s v="ORD-2024-647571"/>
    <d v="2024-02-06T00:00:00"/>
    <d v="2024-02-28T00:00:00"/>
    <n v="22"/>
    <s v="Feb-2024"/>
    <s v="Q1-2024"/>
    <s v="Africa"/>
    <s v="Kenya"/>
    <s v="Kisumu"/>
    <s v="Non-Profit"/>
    <s v="Online"/>
    <s v="K. Singh"/>
    <x v="5"/>
    <x v="472"/>
    <n v="834.93"/>
    <s v="High"/>
    <n v="1588.53"/>
    <n v="0.126"/>
    <n v="6"/>
    <x v="473"/>
    <n v="5009.58"/>
    <n v="3540.1851600000009"/>
    <n v="0.4140681169305942"/>
  </r>
  <r>
    <s v="ORD-2025-683043"/>
    <d v="2025-08-13T00:00:00"/>
    <d v="2025-09-03T00:00:00"/>
    <n v="21"/>
    <s v="Aug-2025"/>
    <s v="Q3-2025"/>
    <s v="Europe"/>
    <s v="France"/>
    <s v="Paris"/>
    <s v="Education"/>
    <s v="Retail"/>
    <s v="I. Johnson"/>
    <x v="3"/>
    <x v="473"/>
    <n v="603.47"/>
    <s v="High"/>
    <n v="1344.05"/>
    <n v="0.20499999999999999"/>
    <n v="18"/>
    <x v="474"/>
    <n v="10862.460000000001"/>
    <n v="2928.5162999999993"/>
    <n v="0.21235018002315031"/>
  </r>
  <r>
    <s v="ORD-2023-588455"/>
    <d v="2023-05-23T00:00:00"/>
    <d v="2023-05-25T00:00:00"/>
    <n v="2"/>
    <s v="May-2023"/>
    <s v="Q2-2023"/>
    <s v="Americas"/>
    <s v="Brazil"/>
    <s v="Rio de Janeiro"/>
    <s v="Enterprise"/>
    <s v="Retail"/>
    <s v="M. Rossi"/>
    <x v="1"/>
    <x v="474"/>
    <n v="690.49"/>
    <s v="High"/>
    <n v="1290.29"/>
    <n v="4.2000000000000003E-2"/>
    <n v="22"/>
    <x v="475"/>
    <n v="15190.78"/>
    <n v="3603.3214800000005"/>
    <n v="0.19172619046643566"/>
  </r>
  <r>
    <s v="ORD-2024-641220"/>
    <d v="2024-05-10T00:00:00"/>
    <d v="2024-05-16T00:00:00"/>
    <n v="6"/>
    <s v="May-2024"/>
    <s v="Q2-2024"/>
    <s v="Europe"/>
    <s v="United Kingdom"/>
    <s v="Birmingham"/>
    <s v="Non-Profit"/>
    <s v="Direct"/>
    <s v="G. Dubois"/>
    <x v="4"/>
    <x v="475"/>
    <n v="210.76"/>
    <s v="High"/>
    <n v="221.58"/>
    <n v="8.8999999999999996E-2"/>
    <n v="5"/>
    <x v="476"/>
    <n v="1053.8"/>
    <n v="6543.1201000000001"/>
    <n v="0.86128589137063583"/>
  </r>
  <r>
    <s v="ORD-2023-799597"/>
    <d v="2023-03-14T00:00:00"/>
    <d v="2023-03-18T00:00:00"/>
    <n v="4"/>
    <s v="Mar-2023"/>
    <s v="Q1-2023"/>
    <s v="Europe"/>
    <s v="Germany"/>
    <s v="Frankfurt"/>
    <s v="Enterprise"/>
    <s v="Direct"/>
    <s v="A. Patel"/>
    <x v="0"/>
    <x v="476"/>
    <n v="472.33"/>
    <s v="High"/>
    <n v="360.34"/>
    <n v="0.16500000000000001"/>
    <n v="14"/>
    <x v="477"/>
    <n v="6612.62"/>
    <n v="15849.831900000001"/>
    <n v="0.70561450595693875"/>
  </r>
  <r>
    <s v="ORD-2023-569862"/>
    <d v="2023-07-16T00:00:00"/>
    <d v="2023-08-13T00:00:00"/>
    <n v="28"/>
    <s v="Jul-2023"/>
    <s v="Q3-2023"/>
    <s v="Europe"/>
    <s v="United Kingdom"/>
    <s v="Manchester"/>
    <s v="Non-Profit"/>
    <s v="Online"/>
    <s v="J. Njeri"/>
    <x v="4"/>
    <x v="477"/>
    <n v="1039.03"/>
    <s v="High"/>
    <n v="2545.81"/>
    <n v="0.216"/>
    <n v="21"/>
    <x v="478"/>
    <n v="21819.63"/>
    <n v="-1775.8624799999998"/>
    <n v="-8.8599235559283701E-2"/>
  </r>
  <r>
    <s v="ORD-2023-609394"/>
    <d v="2023-04-16T00:00:00"/>
    <d v="2023-04-19T00:00:00"/>
    <n v="3"/>
    <s v="Apr-2023"/>
    <s v="Q2-2023"/>
    <s v="Europe"/>
    <s v="Germany"/>
    <s v="Munich"/>
    <s v="Corporate"/>
    <s v="Direct"/>
    <s v="B. Chen"/>
    <x v="6"/>
    <x v="478"/>
    <n v="553.61"/>
    <s v="High"/>
    <n v="699.47"/>
    <n v="0.02"/>
    <n v="33"/>
    <x v="479"/>
    <n v="18269.13"/>
    <n v="13109.4018"/>
    <n v="0.41778251078018885"/>
  </r>
  <r>
    <s v="ORD-2024-105586"/>
    <d v="2024-01-02T00:00:00"/>
    <d v="2024-01-15T00:00:00"/>
    <n v="13"/>
    <s v="Jan-2024"/>
    <s v="Q1-2024"/>
    <s v="Asia"/>
    <s v="Japan"/>
    <s v="Nagoya"/>
    <s v="Small Business"/>
    <s v="Marketplace"/>
    <s v="G. Dubois"/>
    <x v="2"/>
    <x v="479"/>
    <n v="1219.06"/>
    <s v="High"/>
    <n v="2738.69"/>
    <n v="7.5999999999999998E-2"/>
    <n v="16"/>
    <x v="480"/>
    <n v="19504.96"/>
    <n v="4514.1612800000039"/>
    <n v="0.18794031752355611"/>
  </r>
  <r>
    <s v="ORD-2024-207792"/>
    <d v="2024-09-03T00:00:00"/>
    <d v="2024-09-07T00:00:00"/>
    <n v="4"/>
    <s v="Sept-2024"/>
    <s v="Q3-2024"/>
    <s v="Asia"/>
    <s v="Japan"/>
    <s v="Tokyo"/>
    <s v="Small Business"/>
    <s v="Distributor"/>
    <s v="N. Brown"/>
    <x v="1"/>
    <x v="480"/>
    <n v="43.23"/>
    <s v="Medium"/>
    <n v="94.78"/>
    <n v="9.0999999999999998E-2"/>
    <n v="55"/>
    <x v="481"/>
    <n v="2377.6499999999996"/>
    <n v="127914.81945000002"/>
    <n v="0.98175143958790023"/>
  </r>
  <r>
    <s v="ORD-2025-417336"/>
    <d v="2025-08-30T00:00:00"/>
    <d v="2025-09-03T00:00:00"/>
    <n v="4"/>
    <s v="Aug-2025"/>
    <s v="Q3-2025"/>
    <s v="Europe"/>
    <s v="France"/>
    <s v="Marseille"/>
    <s v="Small Business"/>
    <s v="Marketplace"/>
    <s v="J. Njeri"/>
    <x v="4"/>
    <x v="481"/>
    <n v="1286.56"/>
    <s v="High"/>
    <n v="2777.35"/>
    <n v="0.13200000000000001"/>
    <n v="15"/>
    <x v="482"/>
    <n v="19298.399999999998"/>
    <n v="-13638.345599999997"/>
    <n v="-2.4095785369130014"/>
  </r>
  <r>
    <s v="ORD-2025-252117"/>
    <d v="2025-04-28T00:00:00"/>
    <d v="2025-05-19T00:00:00"/>
    <n v="21"/>
    <s v="Apr-2025"/>
    <s v="Q2-2025"/>
    <s v="Europe"/>
    <s v="Germany"/>
    <s v="Berlin"/>
    <s v="Corporate"/>
    <s v="Distributor"/>
    <s v="B. Chen"/>
    <x v="3"/>
    <x v="482"/>
    <n v="350.76"/>
    <s v="High"/>
    <n v="492.18"/>
    <n v="5.2999999999999999E-2"/>
    <n v="11"/>
    <x v="483"/>
    <n v="3858.3599999999997"/>
    <n v="15521.53097"/>
    <n v="0.80090909665215726"/>
  </r>
  <r>
    <s v="ORD-2023-867175"/>
    <d v="2023-08-10T00:00:00"/>
    <d v="2023-08-15T00:00:00"/>
    <n v="5"/>
    <s v="Aug-2023"/>
    <s v="Q3-2023"/>
    <s v="Americas"/>
    <s v="Brazil"/>
    <s v="São Paulo"/>
    <s v="Education"/>
    <s v="Direct"/>
    <s v="G. Dubois"/>
    <x v="2"/>
    <x v="483"/>
    <n v="1307.52"/>
    <s v="High"/>
    <n v="1921.65"/>
    <n v="0.123"/>
    <n v="13"/>
    <x v="484"/>
    <n v="16997.759999999998"/>
    <n v="-7492.8603099999982"/>
    <n v="-0.78831555875157244"/>
  </r>
  <r>
    <s v="ORD-2024-382152"/>
    <d v="2024-12-08T00:00:00"/>
    <d v="2024-12-08T00:00:00"/>
    <n v="0"/>
    <s v="Dec-2024"/>
    <s v="Q4-2024"/>
    <s v="Europe"/>
    <s v="France"/>
    <s v="Lyon"/>
    <s v="Enterprise"/>
    <s v="Retail"/>
    <s v="H. Kim"/>
    <x v="0"/>
    <x v="484"/>
    <n v="257.44"/>
    <s v="High"/>
    <n v="290.33"/>
    <n v="9.1999999999999998E-2"/>
    <n v="23"/>
    <x v="485"/>
    <n v="5921.12"/>
    <n v="1043.2763200000009"/>
    <n v="0.14980140015926044"/>
  </r>
  <r>
    <s v="ORD-2023-597666"/>
    <d v="2023-10-25T00:00:00"/>
    <d v="2023-11-24T00:00:00"/>
    <n v="30"/>
    <s v="Oct-2023"/>
    <s v="Q4-2023"/>
    <s v="Europe"/>
    <s v="France"/>
    <s v="Paris"/>
    <s v="Enterprise"/>
    <s v="Distributor"/>
    <s v="C. Otieno"/>
    <x v="3"/>
    <x v="485"/>
    <n v="287.85000000000002"/>
    <s v="High"/>
    <n v="602.91999999999996"/>
    <n v="0.222"/>
    <n v="11"/>
    <x v="486"/>
    <n v="3166.3500000000004"/>
    <n v="12107.1126"/>
    <n v="0.79268944554851628"/>
  </r>
  <r>
    <s v="ORD-2024-371409"/>
    <d v="2024-11-17T00:00:00"/>
    <d v="2024-11-28T00:00:00"/>
    <n v="11"/>
    <s v="Nov-2024"/>
    <s v="Q4-2024"/>
    <s v="Americas"/>
    <s v="Canada"/>
    <s v="Not Provided"/>
    <s v="Consumer"/>
    <s v="Distributor"/>
    <s v="A. Patel"/>
    <x v="1"/>
    <x v="486"/>
    <n v="1008.16"/>
    <s v="High"/>
    <n v="2077.5"/>
    <n v="7.3999999999999996E-2"/>
    <n v="15"/>
    <x v="487"/>
    <n v="15122.4"/>
    <n v="-228.29190000000017"/>
    <n v="-1.5327665038230801E-2"/>
  </r>
  <r>
    <s v="ORD-2024-973420"/>
    <d v="2024-05-12T00:00:00"/>
    <d v="2024-05-24T00:00:00"/>
    <n v="12"/>
    <s v="May-2024"/>
    <s v="Q2-2024"/>
    <s v="Europe"/>
    <s v="United Kingdom"/>
    <s v="Manchester"/>
    <s v="Education"/>
    <s v="Marketplace"/>
    <s v="K. Singh"/>
    <x v="1"/>
    <x v="487"/>
    <n v="111.02"/>
    <s v="Medium"/>
    <n v="172.88"/>
    <n v="0.19700000000000001"/>
    <n v="29"/>
    <x v="488"/>
    <n v="3219.58"/>
    <n v="67294.620349999997"/>
    <n v="0.95434139529315387"/>
  </r>
  <r>
    <s v="ORD-2025-254721"/>
    <d v="2025-05-15T00:00:00"/>
    <d v="2025-06-05T00:00:00"/>
    <n v="21"/>
    <s v="May-2025"/>
    <s v="Q2-2025"/>
    <s v="Asia"/>
    <s v="Japan"/>
    <s v="Osaka"/>
    <s v="Enterprise"/>
    <s v="Direct"/>
    <s v="H. Kim"/>
    <x v="3"/>
    <x v="488"/>
    <n v="1466.5"/>
    <s v="High"/>
    <n v="2778.74"/>
    <n v="0.13500000000000001"/>
    <n v="4"/>
    <x v="489"/>
    <n v="5866"/>
    <n v="-2450.1496000000002"/>
    <n v="-0.71728832152602473"/>
  </r>
  <r>
    <s v="ORD-2024-247032"/>
    <d v="2024-04-21T00:00:00"/>
    <d v="2024-05-19T00:00:00"/>
    <n v="28"/>
    <s v="Apr-2024"/>
    <s v="Q2-2024"/>
    <s v="Africa"/>
    <s v="Nigeria"/>
    <s v="Lagos"/>
    <s v="Corporate"/>
    <s v="Distributor"/>
    <s v="A. Patel"/>
    <x v="6"/>
    <x v="489"/>
    <n v="187.22"/>
    <s v="High"/>
    <n v="309.47000000000003"/>
    <n v="0"/>
    <n v="5"/>
    <x v="490"/>
    <n v="936.1"/>
    <n v="3941.0499999999997"/>
    <n v="0.8080641358170243"/>
  </r>
  <r>
    <s v="ORD-2024-792353"/>
    <d v="2024-08-19T00:00:00"/>
    <d v="2024-09-07T00:00:00"/>
    <n v="19"/>
    <s v="Aug-2024"/>
    <s v="Q3-2024"/>
    <s v="Europe"/>
    <s v="France"/>
    <s v="Lyon"/>
    <s v="Corporate"/>
    <s v="Direct"/>
    <s v="J. Njeri"/>
    <x v="0"/>
    <x v="490"/>
    <n v="297.58999999999997"/>
    <s v="High"/>
    <n v="666.41"/>
    <n v="0"/>
    <n v="10"/>
    <x v="491"/>
    <n v="2975.8999999999996"/>
    <n v="-1561.5999999999995"/>
    <n v="-1.1041504631266346"/>
  </r>
  <r>
    <s v="ORD-2025-703623"/>
    <d v="2025-07-23T00:00:00"/>
    <d v="2025-08-19T00:00:00"/>
    <n v="27"/>
    <s v="Jul-2025"/>
    <s v="Q3-2025"/>
    <s v="Asia"/>
    <s v="Japan"/>
    <s v="Nagoya"/>
    <s v="Consumer"/>
    <s v="Marketplace"/>
    <s v="B. Chen"/>
    <x v="6"/>
    <x v="491"/>
    <n v="896.09"/>
    <s v="High"/>
    <n v="744.27"/>
    <n v="8.3000000000000004E-2"/>
    <n v="11"/>
    <x v="492"/>
    <n v="9856.99"/>
    <n v="6538.6215400000019"/>
    <n v="0.3988031507118765"/>
  </r>
  <r>
    <s v="ORD-2024-516704"/>
    <d v="2024-03-01T00:00:00"/>
    <d v="2024-02-29T00:00:00"/>
    <n v="1"/>
    <s v="Mar-2024"/>
    <s v="Q1-2024"/>
    <s v="Americas"/>
    <s v="Brazil"/>
    <s v="São Paulo"/>
    <s v="Non-Profit"/>
    <s v="Direct"/>
    <s v="I. Johnson"/>
    <x v="3"/>
    <x v="492"/>
    <n v="5.34"/>
    <s v="Low"/>
    <n v="12.69"/>
    <n v="0.13200000000000001"/>
    <n v="10"/>
    <x v="493"/>
    <n v="53.4"/>
    <n v="2550.0792000000001"/>
    <n v="0.97948898535467455"/>
  </r>
  <r>
    <s v="ORD-2024-578646"/>
    <d v="2024-05-27T00:00:00"/>
    <d v="2024-06-17T00:00:00"/>
    <n v="21"/>
    <s v="May-2024"/>
    <s v="Q2-2024"/>
    <s v="Asia"/>
    <s v="India"/>
    <s v="Delhi"/>
    <s v="Small Business"/>
    <s v="Online"/>
    <s v="H. Kim"/>
    <x v="6"/>
    <x v="493"/>
    <n v="465.02"/>
    <s v="High"/>
    <n v="651.55999999999995"/>
    <n v="4.2000000000000003E-2"/>
    <n v="19"/>
    <x v="494"/>
    <n v="8835.3799999999992"/>
    <n v="18539.699919999999"/>
    <n v="0.67724733495499501"/>
  </r>
  <r>
    <s v="ORD-2024-433936"/>
    <d v="2024-08-04T00:00:00"/>
    <d v="2024-08-17T00:00:00"/>
    <n v="13"/>
    <s v="Aug-2024"/>
    <s v="Q3-2024"/>
    <s v="Americas"/>
    <s v="USA"/>
    <s v="Austin"/>
    <s v="Consumer"/>
    <s v="Retail"/>
    <s v="D. Smith"/>
    <x v="5"/>
    <x v="494"/>
    <n v="352.79"/>
    <s v="High"/>
    <n v="754.22"/>
    <n v="0.113"/>
    <n v="7"/>
    <x v="495"/>
    <n v="2469.5300000000002"/>
    <n v="16785.261990000003"/>
    <n v="0.87174465445887173"/>
  </r>
  <r>
    <s v="ORD-2023-434071"/>
    <d v="2023-06-20T00:00:00"/>
    <d v="2023-07-04T00:00:00"/>
    <n v="14"/>
    <s v="Jun-2023"/>
    <s v="Q2-2023"/>
    <s v="Americas"/>
    <s v="Brazil"/>
    <s v="Brasília"/>
    <s v="Non-Profit"/>
    <s v="Direct"/>
    <s v="C. Otieno"/>
    <x v="2"/>
    <x v="495"/>
    <n v="1292.8599999999999"/>
    <s v="High"/>
    <n v="2981.01"/>
    <n v="0.14199999999999999"/>
    <n v="12"/>
    <x v="496"/>
    <n v="15514.32"/>
    <n v="-5430.2116800000003"/>
    <n v="-0.5384920022358507"/>
  </r>
  <r>
    <s v="ORD-2024-728474"/>
    <d v="2024-09-09T00:00:00"/>
    <d v="2024-09-13T00:00:00"/>
    <n v="4"/>
    <s v="Sept-2024"/>
    <s v="Q3-2024"/>
    <s v="Europe"/>
    <s v="United Kingdom"/>
    <s v="London"/>
    <s v="Consumer"/>
    <s v="Marketplace"/>
    <s v="F. Müller"/>
    <x v="2"/>
    <x v="496"/>
    <n v="1133.08"/>
    <s v="High"/>
    <n v="976.17"/>
    <n v="4.2000000000000003E-2"/>
    <n v="27"/>
    <x v="497"/>
    <n v="30593.159999999996"/>
    <n v="90.641160000002856"/>
    <n v="2.9540394792469337E-3"/>
  </r>
  <r>
    <s v="ORD-2023-406606"/>
    <d v="2023-10-25T00:00:00"/>
    <d v="2023-10-28T00:00:00"/>
    <n v="3"/>
    <s v="Oct-2023"/>
    <s v="Q4-2023"/>
    <s v="Americas"/>
    <s v="Brazil"/>
    <s v="Brasília"/>
    <s v="Corporate"/>
    <s v="Distributor"/>
    <s v="L. Okafor"/>
    <x v="6"/>
    <x v="497"/>
    <n v="509.31"/>
    <s v="High"/>
    <n v="1145.9000000000001"/>
    <n v="5.7000000000000002E-2"/>
    <n v="8"/>
    <x v="498"/>
    <n v="4074.48"/>
    <n v="10548.281519999999"/>
    <n v="0.7213604287789821"/>
  </r>
  <r>
    <s v="ORD-2025-823055"/>
    <d v="2025-09-08T00:00:00"/>
    <d v="2025-10-05T00:00:00"/>
    <n v="27"/>
    <s v="Sept-2025"/>
    <s v="Q3-2025"/>
    <s v="Americas"/>
    <s v="Brazil"/>
    <s v="Rio de Janeiro"/>
    <s v="Education"/>
    <s v="Online"/>
    <s v="C. Otieno"/>
    <x v="5"/>
    <x v="498"/>
    <n v="660.78"/>
    <s v="High"/>
    <n v="1630.39"/>
    <n v="0.218"/>
    <n v="13"/>
    <x v="499"/>
    <n v="8590.14"/>
    <n v="-188.24597999999787"/>
    <n v="-2.2405183825443903E-2"/>
  </r>
  <r>
    <s v="ORD-2023-573656"/>
    <d v="2023-05-02T00:00:00"/>
    <d v="2023-05-16T00:00:00"/>
    <n v="14"/>
    <s v="May-2023"/>
    <s v="Q2-2023"/>
    <s v="Asia"/>
    <s v="India"/>
    <s v="Bengaluru"/>
    <s v="Non-Profit"/>
    <s v="Retail"/>
    <s v="L. Okafor"/>
    <x v="5"/>
    <x v="499"/>
    <n v="475.37"/>
    <s v="High"/>
    <n v="963.73"/>
    <n v="4.1000000000000002E-2"/>
    <n v="22"/>
    <x v="500"/>
    <n v="10458.14"/>
    <n v="-7964.9893399999992"/>
    <n v="-3.194748503485946"/>
  </r>
  <r>
    <s v="ORD-2024-567435"/>
    <d v="2024-04-26T00:00:00"/>
    <d v="2024-04-24T00:00:00"/>
    <n v="2"/>
    <s v="Apr-2024"/>
    <s v="Q2-2024"/>
    <s v="Europe"/>
    <s v="United Kingdom"/>
    <s v="London"/>
    <s v="Non-Profit"/>
    <s v="Distributor"/>
    <s v="N. Brown"/>
    <x v="3"/>
    <x v="500"/>
    <n v="1232.77"/>
    <s v="High"/>
    <n v="891.73"/>
    <n v="0.16700000000000001"/>
    <n v="10"/>
    <x v="501"/>
    <n v="12327.7"/>
    <n v="-450.20290000000205"/>
    <n v="-3.7903852655960836E-2"/>
  </r>
  <r>
    <s v="ORD-2023-744942"/>
    <d v="2023-02-23T00:00:00"/>
    <d v="2023-03-18T00:00:00"/>
    <n v="23"/>
    <s v="Feb-2023"/>
    <s v="Q1-2023"/>
    <s v="Asia"/>
    <s v="China"/>
    <s v="Beijing"/>
    <s v="Education"/>
    <s v="Distributor"/>
    <s v="K. Singh"/>
    <x v="1"/>
    <x v="501"/>
    <n v="770.11"/>
    <s v="High"/>
    <n v="1667.82"/>
    <n v="6.9000000000000006E-2"/>
    <n v="7"/>
    <x v="502"/>
    <n v="5390.77"/>
    <n v="5002.4112599999989"/>
    <n v="0.48131665703288229"/>
  </r>
  <r>
    <s v="ORD-2025-331237"/>
    <d v="2025-03-24T00:00:00"/>
    <d v="2025-03-25T00:00:00"/>
    <n v="1"/>
    <s v="Mar-2025"/>
    <s v="Q1-2025"/>
    <s v="Asia"/>
    <s v="China"/>
    <s v="Beijing"/>
    <s v="Non-Profit"/>
    <s v="Online"/>
    <s v="G. Dubois"/>
    <x v="2"/>
    <x v="502"/>
    <n v="1133.03"/>
    <s v="High"/>
    <n v="1921.51"/>
    <n v="0.10100000000000001"/>
    <n v="5"/>
    <x v="503"/>
    <n v="5665.15"/>
    <n v="9357.6344499999996"/>
    <n v="0.62289614026912299"/>
  </r>
  <r>
    <s v="ORD-2025-680118"/>
    <d v="2025-03-10T00:00:00"/>
    <d v="2025-03-27T00:00:00"/>
    <n v="17"/>
    <s v="Mar-2025"/>
    <s v="Q1-2025"/>
    <s v="Americas"/>
    <s v="Brazil"/>
    <s v="Rio de Janeiro"/>
    <s v="Enterprise"/>
    <s v="Direct"/>
    <s v="F. Müller"/>
    <x v="2"/>
    <x v="503"/>
    <n v="996.73"/>
    <s v="High"/>
    <n v="1217.43"/>
    <n v="7.0000000000000007E-2"/>
    <n v="9"/>
    <x v="504"/>
    <n v="8970.57"/>
    <n v="-16.595100000000457"/>
    <n v="-1.8533779897015859E-3"/>
  </r>
  <r>
    <s v="ORD-2024-310809"/>
    <d v="2024-04-05T00:00:00"/>
    <d v="2024-04-09T00:00:00"/>
    <n v="4"/>
    <s v="Apr-2024"/>
    <s v="Q2-2024"/>
    <s v="Africa"/>
    <s v="Nigeria"/>
    <s v="Lagos"/>
    <s v="Non-Profit"/>
    <s v="Direct"/>
    <s v="K. Singh"/>
    <x v="0"/>
    <x v="504"/>
    <n v="395.07"/>
    <s v="High"/>
    <n v="970.27"/>
    <n v="0.123"/>
    <n v="38"/>
    <x v="505"/>
    <n v="15012.66"/>
    <n v="-10319.69268"/>
    <n v="-2.1989696446469185"/>
  </r>
  <r>
    <s v="ORD-2025-474368"/>
    <d v="2025-04-27T00:00:00"/>
    <d v="2025-05-17T00:00:00"/>
    <n v="20"/>
    <s v="Apr-2025"/>
    <s v="Q2-2025"/>
    <s v="Americas"/>
    <s v="USA"/>
    <s v="Austin"/>
    <s v="Corporate"/>
    <s v="Direct"/>
    <s v="N. Brown"/>
    <x v="3"/>
    <x v="505"/>
    <n v="932.26"/>
    <s v="High"/>
    <n v="1624.67"/>
    <n v="0.23499999999999999"/>
    <n v="28"/>
    <x v="506"/>
    <n v="26103.279999999999"/>
    <n v="-24667.283199999998"/>
    <n v="-17.177812095402995"/>
  </r>
  <r>
    <s v="ORD-2024-732543"/>
    <d v="2024-10-24T00:00:00"/>
    <d v="2024-10-28T00:00:00"/>
    <n v="4"/>
    <s v="Oct-2024"/>
    <s v="Q4-2024"/>
    <s v="Asia"/>
    <s v="China"/>
    <s v="Shanghai"/>
    <s v="Small Business"/>
    <s v="Distributor"/>
    <s v="I. Johnson"/>
    <x v="2"/>
    <x v="506"/>
    <n v="1331.77"/>
    <s v="High"/>
    <n v="2606.11"/>
    <n v="0.02"/>
    <n v="6"/>
    <x v="507"/>
    <n v="7990.62"/>
    <n v="-483.80039999999917"/>
    <n v="-6.444811861470591E-2"/>
  </r>
  <r>
    <s v="ORD-2023-867166"/>
    <d v="2023-04-13T00:00:00"/>
    <d v="2023-04-20T00:00:00"/>
    <n v="7"/>
    <s v="Apr-2023"/>
    <s v="Q2-2023"/>
    <s v="Europe"/>
    <s v="France"/>
    <s v="Lyon"/>
    <s v="Small Business"/>
    <s v="Online"/>
    <s v="A. Patel"/>
    <x v="4"/>
    <x v="507"/>
    <n v="227.02"/>
    <s v="High"/>
    <n v="434.72"/>
    <n v="9.8000000000000004E-2"/>
    <n v="10"/>
    <x v="508"/>
    <n v="2270.2000000000003"/>
    <n v="23178.467200000003"/>
    <n v="0.91079297072186161"/>
  </r>
  <r>
    <s v="ORD-2024-776337"/>
    <d v="2024-11-12T00:00:00"/>
    <d v="2024-11-21T00:00:00"/>
    <n v="9"/>
    <s v="Nov-2024"/>
    <s v="Q4-2024"/>
    <s v="Asia"/>
    <s v="India"/>
    <s v="Mumbai"/>
    <s v="Corporate"/>
    <s v="Direct"/>
    <s v="H. Kim"/>
    <x v="4"/>
    <x v="508"/>
    <n v="903.41"/>
    <s v="High"/>
    <n v="1860.41"/>
    <n v="0.108"/>
    <n v="5"/>
    <x v="509"/>
    <n v="4517.05"/>
    <n v="2436.9374000000007"/>
    <n v="0.35043741954436103"/>
  </r>
  <r>
    <s v="ORD-2023-913592"/>
    <d v="2023-05-10T00:00:00"/>
    <d v="2023-05-14T00:00:00"/>
    <n v="4"/>
    <s v="May-2023"/>
    <s v="Q2-2023"/>
    <s v="Asia"/>
    <s v="India"/>
    <s v="Delhi"/>
    <s v="Non-Profit"/>
    <s v="Distributor"/>
    <s v="C. Otieno"/>
    <x v="5"/>
    <x v="509"/>
    <n v="622.6"/>
    <s v="High"/>
    <n v="833.69"/>
    <n v="0.20899999999999999"/>
    <n v="14"/>
    <x v="510"/>
    <n v="8716.4"/>
    <n v="-1444.5471599999992"/>
    <n v="-0.19864911897749557"/>
  </r>
  <r>
    <s v="ORD-2024-961501"/>
    <d v="2024-03-02T00:00:00"/>
    <d v="2024-03-23T00:00:00"/>
    <n v="21"/>
    <s v="Mar-2024"/>
    <s v="Q1-2024"/>
    <s v="Americas"/>
    <s v="USA"/>
    <s v="Chicago"/>
    <s v="Small Business"/>
    <s v="Online"/>
    <s v="F. Müller"/>
    <x v="0"/>
    <x v="510"/>
    <n v="225.01"/>
    <s v="High"/>
    <n v="333.48"/>
    <n v="0.11899999999999999"/>
    <n v="12"/>
    <x v="511"/>
    <n v="2700.12"/>
    <n v="25398.564480000001"/>
    <n v="0.90390582157246957"/>
  </r>
  <r>
    <s v="ORD-2024-964950"/>
    <d v="2024-10-10T00:00:00"/>
    <d v="2024-10-11T00:00:00"/>
    <n v="1"/>
    <s v="Oct-2024"/>
    <s v="Q4-2024"/>
    <s v="Europe"/>
    <s v="United Kingdom"/>
    <s v="Manchester"/>
    <s v="Non-Profit"/>
    <s v="Distributor"/>
    <s v="L. Okafor"/>
    <x v="0"/>
    <x v="511"/>
    <n v="1389.46"/>
    <s v="High"/>
    <n v="1784.7"/>
    <n v="0.14599999999999999"/>
    <n v="33"/>
    <x v="512"/>
    <n v="45852.18"/>
    <n v="-5700.1573200000057"/>
    <n v="-0.14196438783242904"/>
  </r>
  <r>
    <s v="ORD-2023-349264"/>
    <d v="2023-06-01T00:00:00"/>
    <d v="2023-06-08T00:00:00"/>
    <n v="7"/>
    <s v="Jun-2023"/>
    <s v="Q2-2023"/>
    <s v="Europe"/>
    <s v="Germany"/>
    <s v="Frankfurt"/>
    <s v="Consumer"/>
    <s v="Online"/>
    <s v="A. Patel"/>
    <x v="3"/>
    <x v="512"/>
    <n v="804.17"/>
    <s v="High"/>
    <n v="1072.29"/>
    <n v="3.2000000000000001E-2"/>
    <n v="5"/>
    <x v="513"/>
    <n v="4020.85"/>
    <n v="7201.8515999999981"/>
    <n v="0.64172174015568584"/>
  </r>
  <r>
    <s v="ORD-2025-137394"/>
    <d v="2025-01-04T00:00:00"/>
    <d v="2025-01-05T00:00:00"/>
    <n v="1"/>
    <s v="Jan-2025"/>
    <s v="Q1-2025"/>
    <s v="Asia"/>
    <s v="India"/>
    <s v="Delhi"/>
    <s v="Education"/>
    <s v="Retail"/>
    <s v="I. Johnson"/>
    <x v="0"/>
    <x v="513"/>
    <n v="1428.33"/>
    <s v="High"/>
    <n v="3028.05"/>
    <n v="0"/>
    <n v="11"/>
    <x v="514"/>
    <n v="15711.63"/>
    <n v="-11677.93"/>
    <n v="-2.8950913553313335"/>
  </r>
  <r>
    <s v="ORD-2025-635337"/>
    <d v="2025-08-05T00:00:00"/>
    <d v="2025-08-28T00:00:00"/>
    <n v="23"/>
    <s v="Aug-2025"/>
    <s v="Q3-2025"/>
    <s v="Asia"/>
    <s v="India"/>
    <s v="Mumbai"/>
    <s v="Non-Profit"/>
    <s v="Distributor"/>
    <s v="N. Brown"/>
    <x v="4"/>
    <x v="514"/>
    <n v="638.54"/>
    <s v="High"/>
    <n v="987.24"/>
    <n v="0"/>
    <n v="11"/>
    <x v="515"/>
    <n v="7023.94"/>
    <n v="23747.57"/>
    <n v="0.77173885844406076"/>
  </r>
  <r>
    <s v="ORD-2023-568013"/>
    <d v="2023-09-30T00:00:00"/>
    <d v="2023-10-30T00:00:00"/>
    <n v="0"/>
    <s v="Sept-2023"/>
    <s v="Q3-2023"/>
    <s v="Asia"/>
    <s v="Japan"/>
    <s v="Tokyo"/>
    <s v="Enterprise"/>
    <s v="Online"/>
    <s v="D. Smith"/>
    <x v="1"/>
    <x v="515"/>
    <n v="649.13"/>
    <s v="High"/>
    <n v="975.43"/>
    <n v="0.157"/>
    <n v="27"/>
    <x v="516"/>
    <n v="17526.509999999998"/>
    <n v="32767.561259999991"/>
    <n v="0.65151936280133227"/>
  </r>
  <r>
    <s v="ORD-2025-828263"/>
    <d v="2025-05-17T00:00:00"/>
    <d v="2025-05-30T00:00:00"/>
    <n v="13"/>
    <s v="May-2025"/>
    <s v="Q2-2025"/>
    <s v="Africa"/>
    <s v="Nigeria"/>
    <s v="Lagos"/>
    <s v="Consumer"/>
    <s v="Distributor"/>
    <s v="F. Müller"/>
    <x v="6"/>
    <x v="516"/>
    <n v="66.400000000000006"/>
    <s v="Medium"/>
    <n v="141.43"/>
    <n v="0.107"/>
    <n v="8"/>
    <x v="517"/>
    <n v="531.20000000000005"/>
    <n v="5462.9017599999997"/>
    <n v="0.91137954921873066"/>
  </r>
  <r>
    <s v="ORD-2024-402240"/>
    <d v="2024-05-01T00:00:00"/>
    <d v="2024-05-26T00:00:00"/>
    <n v="25"/>
    <s v="May-2024"/>
    <s v="Q2-2024"/>
    <s v="Europe"/>
    <s v="Germany"/>
    <s v="Berlin"/>
    <s v="Non-Profit"/>
    <s v="Retail"/>
    <s v="B. Chen"/>
    <x v="2"/>
    <x v="517"/>
    <n v="930.71"/>
    <s v="High"/>
    <n v="1625.42"/>
    <n v="0.13800000000000001"/>
    <n v="7"/>
    <x v="518"/>
    <n v="6514.97"/>
    <n v="358.66110000000026"/>
    <n v="5.2179276830844216E-2"/>
  </r>
  <r>
    <s v="ORD-2023-125739"/>
    <d v="2023-05-01T00:00:00"/>
    <d v="2023-05-18T00:00:00"/>
    <n v="17"/>
    <s v="May-2023"/>
    <s v="Q2-2023"/>
    <s v="Africa"/>
    <s v="Nigeria"/>
    <s v="Port Harcourt"/>
    <s v="Corporate"/>
    <s v="Direct"/>
    <s v="F. Müller"/>
    <x v="0"/>
    <x v="518"/>
    <n v="327.97"/>
    <s v="High"/>
    <n v="299.94"/>
    <n v="4.9000000000000002E-2"/>
    <n v="3"/>
    <x v="519"/>
    <n v="983.91000000000008"/>
    <n v="3900.5115900000001"/>
    <n v="0.79856161433435968"/>
  </r>
  <r>
    <s v="ORD-2024-892879"/>
    <d v="2024-07-09T00:00:00"/>
    <d v="2024-08-08T00:00:00"/>
    <n v="30"/>
    <s v="Jul-2024"/>
    <s v="Q3-2024"/>
    <s v="Europe"/>
    <s v="France"/>
    <s v="Marseille"/>
    <s v="Corporate"/>
    <s v="Direct"/>
    <s v="J. Njeri"/>
    <x v="0"/>
    <x v="519"/>
    <n v="1062.3800000000001"/>
    <s v="High"/>
    <n v="1503.96"/>
    <n v="0.18"/>
    <n v="6"/>
    <x v="520"/>
    <n v="6374.2800000000007"/>
    <n v="-1187.1732000000002"/>
    <n v="-0.22887001285572142"/>
  </r>
  <r>
    <s v="ORD-2023-472050"/>
    <d v="2023-05-10T00:00:00"/>
    <d v="2023-05-27T00:00:00"/>
    <n v="17"/>
    <s v="May-2023"/>
    <s v="Q2-2023"/>
    <s v="Asia"/>
    <s v="India"/>
    <s v="Mumbai"/>
    <s v="Consumer"/>
    <s v="Retail"/>
    <s v="M. Rossi"/>
    <x v="4"/>
    <x v="520"/>
    <n v="1286.1600000000001"/>
    <s v="High"/>
    <n v="3101.11"/>
    <n v="0.1"/>
    <n v="23"/>
    <x v="521"/>
    <n v="29581.68"/>
    <n v="21158.574000000001"/>
    <n v="0.41699779429562966"/>
  </r>
  <r>
    <s v="ORD-2024-468615"/>
    <d v="2024-07-09T00:00:00"/>
    <d v="2024-07-12T00:00:00"/>
    <n v="3"/>
    <s v="Jul-2024"/>
    <s v="Q3-2024"/>
    <s v="Asia"/>
    <s v="China"/>
    <s v="Shanghai"/>
    <s v="Small Business"/>
    <s v="Retail"/>
    <s v="D. Smith"/>
    <x v="6"/>
    <x v="521"/>
    <n v="748.39"/>
    <s v="High"/>
    <n v="979.42"/>
    <n v="0"/>
    <n v="23"/>
    <x v="522"/>
    <n v="17212.97"/>
    <n v="11564.86"/>
    <n v="0.401866992751017"/>
  </r>
  <r>
    <s v="ORD-2024-833375"/>
    <d v="2024-04-24T00:00:00"/>
    <d v="2024-05-10T00:00:00"/>
    <n v="16"/>
    <s v="Apr-2024"/>
    <s v="Q2-2024"/>
    <s v="Africa"/>
    <s v="Kenya"/>
    <s v="Kisumu"/>
    <s v="Non-Profit"/>
    <s v="Online"/>
    <s v="N. Brown"/>
    <x v="5"/>
    <x v="522"/>
    <n v="513.30999999999995"/>
    <s v="High"/>
    <n v="1186.26"/>
    <n v="9.4E-2"/>
    <n v="15"/>
    <x v="523"/>
    <n v="7699.65"/>
    <n v="7314.5820000000003"/>
    <n v="0.48717656687335059"/>
  </r>
  <r>
    <s v="ORD-2024-206311"/>
    <d v="2024-01-13T00:00:00"/>
    <d v="2024-01-15T00:00:00"/>
    <n v="2"/>
    <s v="Jan-2024"/>
    <s v="Q1-2024"/>
    <s v="Americas"/>
    <s v="USA"/>
    <s v="San Francisco"/>
    <s v="Non-Profit"/>
    <s v="Direct"/>
    <s v="E. Garcia"/>
    <x v="0"/>
    <x v="523"/>
    <n v="1061.3699999999999"/>
    <s v="High"/>
    <n v="1938.33"/>
    <n v="0.17"/>
    <n v="4"/>
    <x v="524"/>
    <n v="4245.4799999999996"/>
    <n v="3667.4411999999993"/>
    <n v="0.46347500591816837"/>
  </r>
  <r>
    <s v="ORD-2024-364080"/>
    <d v="2024-04-16T00:00:00"/>
    <d v="2024-04-27T00:00:00"/>
    <n v="11"/>
    <s v="Apr-2024"/>
    <s v="Q2-2024"/>
    <s v="Africa"/>
    <s v="Kenya"/>
    <s v="Nakuru"/>
    <s v="Enterprise"/>
    <s v="Online"/>
    <s v="D. Smith"/>
    <x v="1"/>
    <x v="524"/>
    <n v="401.3"/>
    <s v="High"/>
    <n v="826.47"/>
    <n v="0.22500000000000001"/>
    <n v="13"/>
    <x v="525"/>
    <n v="5216.9000000000005"/>
    <n v="-3070.3205000000003"/>
    <n v="-1.4303316043034977"/>
  </r>
  <r>
    <s v="ORD-2025-460466"/>
    <d v="2025-02-07T00:00:00"/>
    <d v="2025-02-16T00:00:00"/>
    <n v="9"/>
    <s v="Feb-2025"/>
    <s v="Q1-2025"/>
    <s v="Africa"/>
    <s v="Nigeria"/>
    <s v="Lagos"/>
    <s v="Small Business"/>
    <s v="Distributor"/>
    <s v="C. Otieno"/>
    <x v="1"/>
    <x v="525"/>
    <n v="90.68"/>
    <s v="Medium"/>
    <n v="118.17"/>
    <n v="0.13500000000000001"/>
    <n v="21"/>
    <x v="526"/>
    <n v="1904.2800000000002"/>
    <n v="34982.295600000005"/>
    <n v="0.94837471440422894"/>
  </r>
  <r>
    <s v="ORD-2023-700699"/>
    <d v="2023-01-12T00:00:00"/>
    <d v="2023-01-26T00:00:00"/>
    <n v="14"/>
    <s v="Jan-2023"/>
    <s v="Q1-2023"/>
    <s v="Asia"/>
    <s v="China"/>
    <s v="Shenzhen"/>
    <s v="Non-Profit"/>
    <s v="Retail"/>
    <s v="M. Rossi"/>
    <x v="1"/>
    <x v="526"/>
    <n v="1083.0899999999999"/>
    <s v="High"/>
    <n v="1425.87"/>
    <n v="0"/>
    <n v="8"/>
    <x v="527"/>
    <n v="8664.7199999999993"/>
    <n v="-1011.119999999999"/>
    <n v="-0.13211037942928805"/>
  </r>
  <r>
    <s v="ORD-2024-713332"/>
    <d v="2024-06-05T00:00:00"/>
    <d v="2024-06-23T00:00:00"/>
    <n v="18"/>
    <s v="Jun-2024"/>
    <s v="Q2-2024"/>
    <s v="Africa"/>
    <s v="Kenya"/>
    <s v="Nairobi"/>
    <s v="Consumer"/>
    <s v="Distributor"/>
    <s v="D. Smith"/>
    <x v="4"/>
    <x v="527"/>
    <n v="1208.74"/>
    <s v="High"/>
    <n v="1594.78"/>
    <n v="5.8999999999999997E-2"/>
    <n v="39"/>
    <x v="528"/>
    <n v="47140.86"/>
    <n v="5987.548320000009"/>
    <n v="0.11269956148387032"/>
  </r>
  <r>
    <s v="ORD-2023-640022"/>
    <d v="2023-08-24T00:00:00"/>
    <d v="2023-09-20T00:00:00"/>
    <n v="27"/>
    <s v="Aug-2023"/>
    <s v="Q3-2023"/>
    <s v="Africa"/>
    <s v="South Africa"/>
    <s v="Durban"/>
    <s v="Small Business"/>
    <s v="Marketplace"/>
    <s v="M. Rossi"/>
    <x v="1"/>
    <x v="528"/>
    <n v="1399.64"/>
    <s v="High"/>
    <n v="3342.11"/>
    <n v="0"/>
    <n v="10"/>
    <x v="529"/>
    <n v="13996.400000000001"/>
    <n v="15499.799999999996"/>
    <n v="0.52548463869922213"/>
  </r>
  <r>
    <s v="ORD-2024-532184"/>
    <d v="2024-01-25T00:00:00"/>
    <d v="2024-02-08T00:00:00"/>
    <n v="14"/>
    <s v="Jan-2024"/>
    <s v="Q1-2024"/>
    <s v="Asia"/>
    <s v="Japan"/>
    <s v="Osaka"/>
    <s v="Consumer"/>
    <s v="Marketplace"/>
    <s v="I. Johnson"/>
    <x v="2"/>
    <x v="529"/>
    <n v="937.16"/>
    <s v="High"/>
    <n v="1069.77"/>
    <n v="3.7999999999999999E-2"/>
    <n v="9"/>
    <x v="530"/>
    <n v="8434.44"/>
    <n v="13908.135059999999"/>
    <n v="0.62249472241450754"/>
  </r>
  <r>
    <s v="ORD-2025-926547"/>
    <d v="2025-03-11T00:00:00"/>
    <d v="2025-03-26T00:00:00"/>
    <n v="15"/>
    <s v="Mar-2025"/>
    <s v="Q1-2025"/>
    <s v="Europe"/>
    <s v="Germany"/>
    <s v="Berlin"/>
    <s v="Small Business"/>
    <s v="Online"/>
    <s v="I. Johnson"/>
    <x v="3"/>
    <x v="530"/>
    <n v="116.97"/>
    <s v="Medium"/>
    <n v="140.82"/>
    <n v="0.122"/>
    <n v="5"/>
    <x v="531"/>
    <n v="584.85"/>
    <n v="8102.5649000000012"/>
    <n v="0.93267847723032082"/>
  </r>
  <r>
    <s v="ORD-2025-778145"/>
    <d v="2025-04-22T00:00:00"/>
    <d v="2025-05-12T00:00:00"/>
    <n v="20"/>
    <s v="Apr-2025"/>
    <s v="Q2-2025"/>
    <s v="Europe"/>
    <s v="France"/>
    <s v="Lyon"/>
    <s v="Enterprise"/>
    <s v="Marketplace"/>
    <s v="K. Singh"/>
    <x v="5"/>
    <x v="531"/>
    <n v="59.51"/>
    <s v="Medium"/>
    <n v="67.040000000000006"/>
    <n v="0.114"/>
    <n v="9"/>
    <x v="532"/>
    <n v="535.59"/>
    <n v="11277.492300000002"/>
    <n v="0.95466128260191674"/>
  </r>
  <r>
    <s v="ORD-2023-525643"/>
    <d v="2023-08-17T00:00:00"/>
    <d v="2023-09-03T00:00:00"/>
    <n v="17"/>
    <s v="Aug-2023"/>
    <s v="Q3-2023"/>
    <s v="Africa"/>
    <s v="South Africa"/>
    <s v="Durban"/>
    <s v="Enterprise"/>
    <s v="Retail"/>
    <s v="A. Patel"/>
    <x v="3"/>
    <x v="532"/>
    <n v="676.37"/>
    <s v="High"/>
    <n v="1276.67"/>
    <n v="6.6000000000000003E-2"/>
    <n v="10"/>
    <x v="533"/>
    <n v="6763.7"/>
    <n v="8730.612799999999"/>
    <n v="0.56347208893317291"/>
  </r>
  <r>
    <s v="ORD-2025-312803"/>
    <d v="2025-06-24T00:00:00"/>
    <d v="2025-07-14T00:00:00"/>
    <n v="20"/>
    <s v="Jun-2025"/>
    <s v="Q2-2025"/>
    <s v="Africa"/>
    <s v="South Africa"/>
    <s v="Johannesburg"/>
    <s v="Enterprise"/>
    <s v="Marketplace"/>
    <s v="J. Njeri"/>
    <x v="4"/>
    <x v="533"/>
    <n v="1151.06"/>
    <s v="High"/>
    <n v="2821.36"/>
    <n v="0.248"/>
    <n v="20"/>
    <x v="534"/>
    <n v="23021.199999999997"/>
    <n v="-13962.006399999997"/>
    <n v="-1.5411974858336173"/>
  </r>
  <r>
    <s v="ORD-2025-149156"/>
    <d v="2025-01-10T00:00:00"/>
    <d v="2025-02-06T00:00:00"/>
    <n v="27"/>
    <s v="Jan-2025"/>
    <s v="Q1-2025"/>
    <s v="Americas"/>
    <s v="Brazil"/>
    <s v="Brasília"/>
    <s v="Non-Profit"/>
    <s v="Retail"/>
    <s v="B. Chen"/>
    <x v="4"/>
    <x v="534"/>
    <n v="725.62"/>
    <s v="High"/>
    <n v="1559.19"/>
    <n v="0.19"/>
    <n v="12"/>
    <x v="535"/>
    <n v="8707.44"/>
    <n v="-3578.7791999999999"/>
    <n v="-0.69779994028850567"/>
  </r>
  <r>
    <s v="ORD-2023-215819"/>
    <d v="2023-07-01T00:00:00"/>
    <d v="2023-07-11T00:00:00"/>
    <n v="10"/>
    <s v="Jul-2023"/>
    <s v="Q3-2023"/>
    <s v="Europe"/>
    <s v="France"/>
    <s v="Paris"/>
    <s v="Corporate"/>
    <s v="Direct"/>
    <s v="F. Müller"/>
    <x v="2"/>
    <x v="535"/>
    <n v="479.5"/>
    <s v="High"/>
    <n v="656.66"/>
    <n v="0.14899999999999999"/>
    <n v="14"/>
    <x v="536"/>
    <n v="6713"/>
    <n v="15231.3966"/>
    <n v="0.69409047228029042"/>
  </r>
  <r>
    <s v="ORD-2024-353078"/>
    <d v="2024-08-16T00:00:00"/>
    <d v="2024-08-26T00:00:00"/>
    <n v="10"/>
    <s v="Aug-2024"/>
    <s v="Q3-2024"/>
    <s v="Americas"/>
    <s v="USA"/>
    <s v="Chicago"/>
    <s v="Corporate"/>
    <s v="Distributor"/>
    <s v="L. Okafor"/>
    <x v="4"/>
    <x v="387"/>
    <n v="1291.7"/>
    <s v="High"/>
    <n v="2657.84"/>
    <n v="8.6999999999999994E-2"/>
    <n v="21"/>
    <x v="537"/>
    <n v="27125.7"/>
    <n v="4423.0880400000024"/>
    <n v="0.14019835038962727"/>
  </r>
  <r>
    <s v="ORD-2023-621393"/>
    <d v="2023-07-07T00:00:00"/>
    <d v="2023-07-13T00:00:00"/>
    <n v="6"/>
    <s v="Jul-2023"/>
    <s v="Q3-2023"/>
    <s v="Africa"/>
    <s v="South Africa"/>
    <s v="Cape Town"/>
    <s v="Small Business"/>
    <s v="Marketplace"/>
    <s v="B. Chen"/>
    <x v="6"/>
    <x v="536"/>
    <n v="612.59"/>
    <s v="High"/>
    <n v="1424.74"/>
    <n v="4.3999999999999997E-2"/>
    <n v="15"/>
    <x v="538"/>
    <n v="9188.85"/>
    <n v="1239.4848000000002"/>
    <n v="0.11885740377265219"/>
  </r>
  <r>
    <s v="ORD-2023-974506"/>
    <d v="2023-12-28T00:00:00"/>
    <d v="2024-01-01T00:00:00"/>
    <n v="4"/>
    <s v="Dec-2023"/>
    <s v="Q4-2023"/>
    <s v="Africa"/>
    <s v="South Africa"/>
    <s v="Cape Town"/>
    <s v="Education"/>
    <s v="Distributor"/>
    <s v="A. Patel"/>
    <x v="1"/>
    <x v="537"/>
    <n v="1141.8"/>
    <s v="High"/>
    <n v="2318.7399999999998"/>
    <n v="0.107"/>
    <n v="32"/>
    <x v="539"/>
    <n v="36537.599999999999"/>
    <n v="-1280.8169599999965"/>
    <n v="-3.6328242385213268E-2"/>
  </r>
  <r>
    <s v="ORD-2023-811823"/>
    <d v="2023-01-26T00:00:00"/>
    <d v="2023-02-15T00:00:00"/>
    <n v="20"/>
    <s v="Jan-2023"/>
    <s v="Q1-2023"/>
    <s v="Europe"/>
    <s v="Germany"/>
    <s v="Berlin"/>
    <s v="Small Business"/>
    <s v="Online"/>
    <s v="O. Wang"/>
    <x v="2"/>
    <x v="538"/>
    <n v="492.62"/>
    <s v="High"/>
    <n v="366.7"/>
    <n v="8.8999999999999996E-2"/>
    <n v="10"/>
    <x v="540"/>
    <n v="4926.2"/>
    <n v="9137.4536000000007"/>
    <n v="0.6497211791393952"/>
  </r>
  <r>
    <s v="ORD-2023-286720"/>
    <d v="2023-07-08T00:00:00"/>
    <d v="2023-07-09T00:00:00"/>
    <n v="1"/>
    <s v="Jul-2023"/>
    <s v="Q3-2023"/>
    <s v="Africa"/>
    <s v="Kenya"/>
    <s v="Nairobi"/>
    <s v="Consumer"/>
    <s v="Online"/>
    <s v="D. Smith"/>
    <x v="4"/>
    <x v="539"/>
    <n v="1258.72"/>
    <s v="High"/>
    <n v="2797.41"/>
    <n v="0"/>
    <n v="7"/>
    <x v="541"/>
    <n v="8811.0400000000009"/>
    <n v="5995.2899999999991"/>
    <n v="0.40491397935882822"/>
  </r>
  <r>
    <s v="ORD-2024-626925"/>
    <d v="2024-06-07T00:00:00"/>
    <d v="2024-06-09T00:00:00"/>
    <n v="2"/>
    <s v="Jun-2024"/>
    <s v="Q2-2024"/>
    <s v="Asia"/>
    <s v="China"/>
    <s v="Shanghai"/>
    <s v="Corporate"/>
    <s v="Retail"/>
    <s v="O. Wang"/>
    <x v="5"/>
    <x v="540"/>
    <n v="1370.28"/>
    <s v="High"/>
    <n v="2209.66"/>
    <n v="0.13300000000000001"/>
    <n v="16"/>
    <x v="542"/>
    <n v="21924.48"/>
    <n v="3561.0196800000012"/>
    <n v="0.13972728511164123"/>
  </r>
  <r>
    <s v="ORD-2023-960380"/>
    <d v="2023-02-11T00:00:00"/>
    <d v="2023-02-12T00:00:00"/>
    <n v="1"/>
    <s v="Feb-2023"/>
    <s v="Q1-2023"/>
    <s v="Africa"/>
    <s v="Nigeria"/>
    <s v="Port Harcourt"/>
    <s v="Non-Profit"/>
    <s v="Direct"/>
    <s v="D. Smith"/>
    <x v="6"/>
    <x v="541"/>
    <n v="944.61"/>
    <s v="High"/>
    <n v="839.04"/>
    <n v="5.8999999999999997E-2"/>
    <n v="6"/>
    <x v="543"/>
    <n v="5667.66"/>
    <n v="10473.858779999999"/>
    <n v="0.64887690698458544"/>
  </r>
  <r>
    <s v="ORD-2023-453699"/>
    <d v="2023-07-01T00:00:00"/>
    <d v="2023-07-08T00:00:00"/>
    <n v="7"/>
    <s v="Jul-2023"/>
    <s v="Q3-2023"/>
    <s v="Europe"/>
    <s v="Germany"/>
    <s v="Frankfurt"/>
    <s v="Small Business"/>
    <s v="Distributor"/>
    <s v="N. Brown"/>
    <x v="4"/>
    <x v="542"/>
    <n v="460.21"/>
    <s v="High"/>
    <n v="1139.1500000000001"/>
    <n v="0.115"/>
    <n v="14"/>
    <x v="544"/>
    <n v="6442.94"/>
    <n v="-2850.8311999999996"/>
    <n v="-0.79363720831618456"/>
  </r>
  <r>
    <s v="ORD-2025-960931"/>
    <d v="2025-08-20T00:00:00"/>
    <d v="2025-08-26T00:00:00"/>
    <n v="6"/>
    <s v="Aug-2025"/>
    <s v="Q3-2025"/>
    <s v="Americas"/>
    <s v="USA"/>
    <s v="New York"/>
    <s v="Corporate"/>
    <s v="Retail"/>
    <s v="M. Rossi"/>
    <x v="2"/>
    <x v="543"/>
    <n v="1304.95"/>
    <s v="High"/>
    <n v="1712.03"/>
    <n v="0.21199999999999999"/>
    <n v="8"/>
    <x v="545"/>
    <n v="10439.6"/>
    <n v="-4153.2511999999997"/>
    <n v="-0.66067781666839731"/>
  </r>
  <r>
    <s v="ORD-2024-419248"/>
    <d v="2024-03-04T00:00:00"/>
    <d v="2024-03-16T00:00:00"/>
    <n v="12"/>
    <s v="Mar-2024"/>
    <s v="Q1-2024"/>
    <s v="Africa"/>
    <s v="South Africa"/>
    <s v="Johannesburg"/>
    <s v="Enterprise"/>
    <s v="Distributor"/>
    <s v="M. Rossi"/>
    <x v="5"/>
    <x v="544"/>
    <n v="441.08"/>
    <s v="High"/>
    <n v="1054.29"/>
    <n v="0.23699999999999999"/>
    <n v="6"/>
    <x v="546"/>
    <n v="2646.48"/>
    <n v="-2429.9863799999998"/>
    <n v="-11.224286332317782"/>
  </r>
  <r>
    <s v="ORD-2023-488227"/>
    <d v="2023-09-08T00:00:00"/>
    <d v="2023-10-02T00:00:00"/>
    <n v="24"/>
    <s v="Sept-2023"/>
    <s v="Q3-2023"/>
    <s v="Americas"/>
    <s v="Canada"/>
    <s v="Toronto"/>
    <s v="Education"/>
    <s v="Direct"/>
    <s v="A. Patel"/>
    <x v="6"/>
    <x v="545"/>
    <n v="1299.03"/>
    <s v="High"/>
    <n v="2451.2199999999998"/>
    <n v="0.20799999999999999"/>
    <n v="8"/>
    <x v="547"/>
    <n v="10392.24"/>
    <n v="-5613.3753599999991"/>
    <n v="-1.1746253101657214"/>
  </r>
  <r>
    <s v="ORD-2023-472078"/>
    <d v="2023-02-28T00:00:00"/>
    <d v="2023-03-06T00:00:00"/>
    <n v="6"/>
    <s v="Feb-2023"/>
    <s v="Q1-2023"/>
    <s v="Europe"/>
    <s v="Germany"/>
    <s v="Frankfurt"/>
    <s v="Small Business"/>
    <s v="Marketplace"/>
    <s v="D. Smith"/>
    <x v="1"/>
    <x v="546"/>
    <n v="880.02"/>
    <s v="High"/>
    <n v="1251.21"/>
    <n v="0.123"/>
    <n v="29"/>
    <x v="548"/>
    <n v="25520.579999999998"/>
    <n v="-2593.2391599999974"/>
    <n v="-0.1131068438375428"/>
  </r>
  <r>
    <s v="ORD-2024-202877"/>
    <d v="2024-07-13T00:00:00"/>
    <d v="2024-08-03T00:00:00"/>
    <n v="21"/>
    <s v="Jul-2024"/>
    <s v="Q3-2024"/>
    <s v="Americas"/>
    <s v="Brazil"/>
    <s v="Rio de Janeiro"/>
    <s v="Corporate"/>
    <s v="Marketplace"/>
    <s v="M. Rossi"/>
    <x v="5"/>
    <x v="547"/>
    <n v="702.98"/>
    <s v="High"/>
    <n v="1104.8"/>
    <n v="0.17499999999999999"/>
    <n v="12"/>
    <x v="549"/>
    <n v="8435.76"/>
    <n v="-7316.268"/>
    <n v="-6.5353463892551265"/>
  </r>
  <r>
    <s v="ORD-2024-140633"/>
    <d v="2024-12-07T00:00:00"/>
    <d v="2024-12-26T00:00:00"/>
    <n v="19"/>
    <s v="Dec-2024"/>
    <s v="Q4-2024"/>
    <s v="Europe"/>
    <s v="United Kingdom"/>
    <s v="London"/>
    <s v="Enterprise"/>
    <s v="Online"/>
    <s v="D. Smith"/>
    <x v="2"/>
    <x v="548"/>
    <n v="1035.24"/>
    <s v="High"/>
    <n v="2383.41"/>
    <n v="0.17"/>
    <n v="15"/>
    <x v="550"/>
    <n v="15528.6"/>
    <n v="-4714.2810000000009"/>
    <n v="-0.43592953009801183"/>
  </r>
  <r>
    <s v="ORD-2025-419532"/>
    <d v="2025-08-06T00:00:00"/>
    <d v="2025-08-23T00:00:00"/>
    <n v="17"/>
    <s v="Aug-2025"/>
    <s v="Q3-2025"/>
    <s v="Americas"/>
    <s v="Brazil"/>
    <s v="Brasília"/>
    <s v="Consumer"/>
    <s v="Distributor"/>
    <s v="A. Patel"/>
    <x v="5"/>
    <x v="549"/>
    <n v="86.64"/>
    <s v="High"/>
    <n v="213.06"/>
    <n v="0.21199999999999999"/>
    <n v="11"/>
    <x v="551"/>
    <n v="953.04"/>
    <n v="2062.5571999999997"/>
    <n v="0.68396309692819712"/>
  </r>
  <r>
    <s v="ORD-2023-139236"/>
    <d v="2023-03-03T00:00:00"/>
    <d v="2023-03-20T00:00:00"/>
    <n v="17"/>
    <s v="Mar-2023"/>
    <s v="Q1-2023"/>
    <s v="Asia"/>
    <s v="Japan"/>
    <s v="Nagoya"/>
    <s v="Small Business"/>
    <s v="Online"/>
    <s v="D. Smith"/>
    <x v="2"/>
    <x v="550"/>
    <n v="1171.17"/>
    <s v="High"/>
    <n v="2030.64"/>
    <n v="0.157"/>
    <n v="11"/>
    <x v="552"/>
    <n v="12882.87"/>
    <n v="-2572.4067600000017"/>
    <n v="-0.24949478021707217"/>
  </r>
  <r>
    <s v="ORD-2025-337268"/>
    <d v="2025-02-16T00:00:00"/>
    <d v="2025-03-17T00:00:00"/>
    <n v="1"/>
    <s v="Feb-2025"/>
    <s v="Q1-2025"/>
    <s v="Europe"/>
    <s v="Germany"/>
    <s v="Munich"/>
    <s v="Consumer"/>
    <s v="Retail"/>
    <s v="L. Okafor"/>
    <x v="6"/>
    <x v="551"/>
    <n v="730.42"/>
    <s v="High"/>
    <n v="956.7"/>
    <n v="4.2000000000000003E-2"/>
    <n v="22"/>
    <x v="553"/>
    <n v="16069.24"/>
    <n v="-9162.2132799999999"/>
    <n v="-1.3265061293986133"/>
  </r>
  <r>
    <s v="ORD-2025-332931"/>
    <d v="2025-02-15T00:00:00"/>
    <d v="2025-03-01T00:00:00"/>
    <n v="14"/>
    <s v="Feb-2025"/>
    <s v="Q1-2025"/>
    <s v="Africa"/>
    <s v="Kenya"/>
    <s v="Mombasa"/>
    <s v="Education"/>
    <s v="Direct"/>
    <s v="L. Okafor"/>
    <x v="6"/>
    <x v="552"/>
    <n v="1162.8599999999999"/>
    <s v="High"/>
    <n v="1447.68"/>
    <n v="8.6999999999999994E-2"/>
    <n v="12"/>
    <x v="554"/>
    <n v="13954.32"/>
    <n v="-8628.2797199999986"/>
    <n v="-1.6200177367040112"/>
  </r>
  <r>
    <s v="ORD-2024-536442"/>
    <d v="2024-08-31T00:00:00"/>
    <d v="2024-09-26T00:00:00"/>
    <n v="26"/>
    <s v="Aug-2024"/>
    <s v="Q3-2024"/>
    <s v="Asia"/>
    <s v="Japan"/>
    <s v="Tokyo"/>
    <s v="Education"/>
    <s v="Online"/>
    <s v="I. Johnson"/>
    <x v="3"/>
    <x v="553"/>
    <n v="1189.03"/>
    <s v="High"/>
    <n v="2949.62"/>
    <n v="0.125"/>
    <n v="13"/>
    <x v="555"/>
    <n v="15457.39"/>
    <n v="8050.1850000000013"/>
    <n v="0.34245067813247437"/>
  </r>
  <r>
    <s v="ORD-2023-957692"/>
    <d v="2023-05-07T00:00:00"/>
    <d v="2023-05-20T00:00:00"/>
    <n v="13"/>
    <s v="May-2023"/>
    <s v="Q2-2023"/>
    <s v="Asia"/>
    <s v="India"/>
    <s v="Mumbai"/>
    <s v="Enterprise"/>
    <s v="Retail"/>
    <s v="D. Smith"/>
    <x v="6"/>
    <x v="554"/>
    <n v="1443.28"/>
    <s v="High"/>
    <n v="2580.5700000000002"/>
    <n v="0"/>
    <n v="18"/>
    <x v="556"/>
    <n v="25979.040000000001"/>
    <n v="-24427.440000000002"/>
    <n v="-15.74338747099768"/>
  </r>
  <r>
    <s v="ORD-2025-874124"/>
    <d v="2025-05-14T00:00:00"/>
    <d v="2025-05-12T00:00:00"/>
    <n v="2"/>
    <s v="May-2025"/>
    <s v="Q2-2025"/>
    <s v="Americas"/>
    <s v="Canada"/>
    <s v="Vancouver"/>
    <s v="Non-Profit"/>
    <s v="Distributor"/>
    <s v="F. Müller"/>
    <x v="1"/>
    <x v="555"/>
    <n v="883.5"/>
    <s v="High"/>
    <n v="1978.91"/>
    <n v="5.3999999999999999E-2"/>
    <n v="27"/>
    <x v="557"/>
    <n v="23854.5"/>
    <n v="35090.050499999998"/>
    <n v="0.59530610043416987"/>
  </r>
  <r>
    <s v="ORD-2024-687073"/>
    <d v="2024-03-11T00:00:00"/>
    <d v="2024-03-29T00:00:00"/>
    <n v="18"/>
    <s v="Mar-2024"/>
    <s v="Q1-2024"/>
    <s v="Americas"/>
    <s v="USA"/>
    <s v="New York"/>
    <s v="Corporate"/>
    <s v="Retail"/>
    <s v="M. Rossi"/>
    <x v="5"/>
    <x v="556"/>
    <n v="710.98"/>
    <s v="High"/>
    <n v="1481.45"/>
    <n v="0.21099999999999999"/>
    <n v="9"/>
    <x v="558"/>
    <n v="6398.82"/>
    <n v="1503.2438099999999"/>
    <n v="0.19023432942893434"/>
  </r>
  <r>
    <s v="ORD-2024-555229"/>
    <d v="2024-05-18T00:00:00"/>
    <d v="2024-05-22T00:00:00"/>
    <n v="4"/>
    <s v="May-2024"/>
    <s v="Q2-2024"/>
    <s v="Africa"/>
    <s v="Kenya"/>
    <s v="Nairobi"/>
    <s v="Corporate"/>
    <s v="Direct"/>
    <s v="H. Kim"/>
    <x v="6"/>
    <x v="557"/>
    <n v="857.42"/>
    <s v="High"/>
    <n v="1658.92"/>
    <n v="0.122"/>
    <n v="9"/>
    <x v="559"/>
    <n v="7716.78"/>
    <n v="1180.7929799999993"/>
    <n v="0.13270955828675871"/>
  </r>
  <r>
    <s v="ORD-2024-872291"/>
    <d v="2024-01-08T00:00:00"/>
    <d v="2024-01-12T00:00:00"/>
    <n v="4"/>
    <s v="Jan-2024"/>
    <s v="Q1-2024"/>
    <s v="Asia"/>
    <s v="India"/>
    <s v="Bengaluru"/>
    <s v="Corporate"/>
    <s v="Direct"/>
    <s v="E. Garcia"/>
    <x v="1"/>
    <x v="558"/>
    <n v="802.32"/>
    <s v="High"/>
    <n v="602.34"/>
    <n v="0.12"/>
    <n v="25"/>
    <x v="560"/>
    <n v="20058"/>
    <n v="-17338.36"/>
    <n v="-6.3752408406995045"/>
  </r>
  <r>
    <s v="ORD-2024-250862"/>
    <d v="2024-10-25T00:00:00"/>
    <d v="2024-11-05T00:00:00"/>
    <n v="11"/>
    <s v="Oct-2024"/>
    <s v="Q4-2024"/>
    <s v="Americas"/>
    <s v="USA"/>
    <s v="New York"/>
    <s v="Corporate"/>
    <s v="Distributor"/>
    <s v="N. Brown"/>
    <x v="0"/>
    <x v="559"/>
    <n v="446.66"/>
    <s v="High"/>
    <n v="527.64"/>
    <n v="0.14499999999999999"/>
    <n v="15"/>
    <x v="561"/>
    <n v="6699.9000000000005"/>
    <n v="15509.793749999997"/>
    <n v="0.6983344266059498"/>
  </r>
  <r>
    <s v="ORD-2024-331226"/>
    <d v="2024-11-30T00:00:00"/>
    <d v="2024-12-19T00:00:00"/>
    <n v="19"/>
    <s v="Nov-2024"/>
    <s v="Q4-2024"/>
    <s v="Africa"/>
    <s v="Kenya"/>
    <s v="Kisumu"/>
    <s v="Corporate"/>
    <s v="Online"/>
    <s v="L. Okafor"/>
    <x v="3"/>
    <x v="560"/>
    <n v="1195.98"/>
    <s v="High"/>
    <n v="1841.9"/>
    <n v="5.5E-2"/>
    <n v="19"/>
    <x v="562"/>
    <n v="22723.62"/>
    <n v="32254.769550000001"/>
    <n v="0.58668087250293055"/>
  </r>
  <r>
    <s v="ORD-2023-356427"/>
    <d v="2023-04-13T00:00:00"/>
    <d v="2023-05-02T00:00:00"/>
    <n v="19"/>
    <s v="Apr-2023"/>
    <s v="Q2-2023"/>
    <s v="Americas"/>
    <s v="Canada"/>
    <s v="Montreal"/>
    <s v="Consumer"/>
    <s v="Distributor"/>
    <s v="E. Garcia"/>
    <x v="5"/>
    <x v="561"/>
    <n v="671.05"/>
    <s v="High"/>
    <n v="1645.48"/>
    <n v="0.13700000000000001"/>
    <n v="6"/>
    <x v="563"/>
    <n v="4026.2999999999997"/>
    <n v="7367.4229799999994"/>
    <n v="0.64662121353419111"/>
  </r>
  <r>
    <s v="ORD-2025-659650"/>
    <d v="2025-02-04T00:00:00"/>
    <d v="2025-02-08T00:00:00"/>
    <n v="4"/>
    <s v="Feb-2025"/>
    <s v="Q1-2025"/>
    <s v="Europe"/>
    <s v="United Kingdom"/>
    <s v="Manchester"/>
    <s v="Enterprise"/>
    <s v="Marketplace"/>
    <s v="L. Okafor"/>
    <x v="2"/>
    <x v="562"/>
    <n v="586.21"/>
    <s v="High"/>
    <n v="727.22"/>
    <n v="6.8000000000000005E-2"/>
    <n v="15"/>
    <x v="564"/>
    <n v="8793.1500000000015"/>
    <n v="-384.31980000000112"/>
    <n v="-4.5704312117041096E-2"/>
  </r>
  <r>
    <s v="ORD-2024-207669"/>
    <d v="2024-01-24T00:00:00"/>
    <d v="2024-02-04T00:00:00"/>
    <n v="11"/>
    <s v="Jan-2024"/>
    <s v="Q1-2024"/>
    <s v="Europe"/>
    <s v="United Kingdom"/>
    <s v="Manchester"/>
    <s v="Consumer"/>
    <s v="Retail"/>
    <s v="B. Chen"/>
    <x v="4"/>
    <x v="563"/>
    <n v="525.34"/>
    <s v="High"/>
    <n v="1233.79"/>
    <n v="0.14299999999999999"/>
    <n v="4"/>
    <x v="565"/>
    <n v="2101.36"/>
    <n v="1147.5955599999998"/>
    <n v="0.35321983905498533"/>
  </r>
  <r>
    <s v="ORD-2024-979401"/>
    <d v="2024-02-08T00:00:00"/>
    <d v="2024-02-09T00:00:00"/>
    <n v="1"/>
    <s v="Feb-2024"/>
    <s v="Q1-2024"/>
    <s v="Africa"/>
    <s v="Kenya"/>
    <s v="Mombasa"/>
    <s v="Corporate"/>
    <s v="Direct"/>
    <s v="F. Müller"/>
    <x v="0"/>
    <x v="564"/>
    <n v="1233.52"/>
    <s v="High"/>
    <n v="1543.76"/>
    <n v="0.126"/>
    <n v="13"/>
    <x v="566"/>
    <n v="16035.76"/>
    <n v="10454.51576"/>
    <n v="0.39465484824382968"/>
  </r>
  <r>
    <s v="ORD-2025-929414"/>
    <d v="2025-06-26T00:00:00"/>
    <d v="2025-07-11T00:00:00"/>
    <n v="15"/>
    <s v="Jun-2025"/>
    <s v="Q2-2025"/>
    <s v="Africa"/>
    <s v="Nigeria"/>
    <s v="Port Harcourt"/>
    <s v="Small Business"/>
    <s v="Online"/>
    <s v="A. Patel"/>
    <x v="4"/>
    <x v="565"/>
    <n v="1170.1500000000001"/>
    <s v="High"/>
    <n v="2115.19"/>
    <n v="9.1999999999999998E-2"/>
    <n v="23"/>
    <x v="567"/>
    <n v="26913.45"/>
    <n v="2684.1901600000019"/>
    <n v="9.0689330145569333E-2"/>
  </r>
  <r>
    <s v="ORD-2024-766980"/>
    <d v="2024-11-04T00:00:00"/>
    <d v="2024-11-07T00:00:00"/>
    <n v="3"/>
    <s v="Nov-2024"/>
    <s v="Q4-2024"/>
    <s v="Europe"/>
    <s v="France"/>
    <s v="Lyon"/>
    <s v="Corporate"/>
    <s v="Online"/>
    <s v="O. Wang"/>
    <x v="5"/>
    <x v="566"/>
    <n v="740.68"/>
    <s v="High"/>
    <n v="1837.19"/>
    <n v="0.19700000000000001"/>
    <n v="17"/>
    <x v="568"/>
    <n v="12591.56"/>
    <n v="-3042.6854999999996"/>
    <n v="-0.31864336472324561"/>
  </r>
  <r>
    <s v="ORD-2024-437164"/>
    <d v="2024-02-20T00:00:00"/>
    <d v="2024-02-20T00:00:00"/>
    <n v="0"/>
    <s v="Feb-2024"/>
    <s v="Q1-2024"/>
    <s v="Americas"/>
    <s v="USA"/>
    <s v="New York"/>
    <s v="Enterprise"/>
    <s v="Online"/>
    <s v="C. Otieno"/>
    <x v="2"/>
    <x v="567"/>
    <n v="1407.05"/>
    <s v="High"/>
    <n v="2858.93"/>
    <n v="0"/>
    <n v="12"/>
    <x v="569"/>
    <n v="16884.599999999999"/>
    <n v="4561.8000000000029"/>
    <n v="0.2127070277529097"/>
  </r>
  <r>
    <s v="ORD-2025-169093"/>
    <d v="2025-04-13T00:00:00"/>
    <d v="2025-04-14T00:00:00"/>
    <n v="1"/>
    <s v="Apr-2025"/>
    <s v="Q2-2025"/>
    <s v="Asia"/>
    <s v="Japan"/>
    <s v="Osaka"/>
    <s v="Enterprise"/>
    <s v="Online"/>
    <s v="G. Dubois"/>
    <x v="0"/>
    <x v="568"/>
    <n v="138.9"/>
    <s v="High"/>
    <n v="289.92"/>
    <n v="2.9000000000000001E-2"/>
    <n v="12"/>
    <x v="570"/>
    <n v="1666.8000000000002"/>
    <n v="18127.035"/>
    <n v="0.91579196249741401"/>
  </r>
  <r>
    <s v="ORD-2023-868460"/>
    <d v="2023-06-01T00:00:00"/>
    <d v="2023-06-01T00:00:00"/>
    <n v="0"/>
    <s v="Jun-2023"/>
    <s v="Q2-2023"/>
    <s v="Asia"/>
    <s v="India"/>
    <s v="Bengaluru"/>
    <s v="Corporate"/>
    <s v="Retail"/>
    <s v="E. Garcia"/>
    <x v="6"/>
    <x v="569"/>
    <n v="669.37"/>
    <s v="High"/>
    <n v="997.2"/>
    <n v="8.2000000000000003E-2"/>
    <n v="5"/>
    <x v="571"/>
    <n v="3346.85"/>
    <n v="-20.476999999999862"/>
    <n v="-6.1559542480653434E-3"/>
  </r>
  <r>
    <s v="ORD-2025-177994"/>
    <d v="2025-03-24T00:00:00"/>
    <d v="2025-04-04T00:00:00"/>
    <n v="11"/>
    <s v="Mar-2025"/>
    <s v="Q1-2025"/>
    <s v="Asia"/>
    <s v="India"/>
    <s v="Mumbai"/>
    <s v="Education"/>
    <s v="Marketplace"/>
    <s v="J. Njeri"/>
    <x v="3"/>
    <x v="570"/>
    <n v="23.83"/>
    <s v="Low"/>
    <n v="47.29"/>
    <n v="6.4000000000000001E-2"/>
    <n v="19"/>
    <x v="572"/>
    <n v="452.77"/>
    <n v="23661.266959999997"/>
    <n v="0.98122379920247083"/>
  </r>
  <r>
    <s v="ORD-2024-355095"/>
    <d v="2024-01-02T00:00:00"/>
    <d v="2024-01-02T00:00:00"/>
    <n v="0"/>
    <s v="Jan-2024"/>
    <s v="Q1-2024"/>
    <s v="Americas"/>
    <s v="Canada"/>
    <s v="Vancouver"/>
    <s v="Education"/>
    <s v="Direct"/>
    <s v="A. Patel"/>
    <x v="4"/>
    <x v="571"/>
    <n v="444.41"/>
    <s v="High"/>
    <n v="754.24"/>
    <n v="0.20699999999999999"/>
    <n v="32"/>
    <x v="573"/>
    <n v="14221.12"/>
    <n v="-7240.9436800000003"/>
    <n v="-1.0373582769324659"/>
  </r>
  <r>
    <s v="ORD-2023-126505"/>
    <d v="2023-12-19T00:00:00"/>
    <d v="2024-01-01T00:00:00"/>
    <n v="13"/>
    <s v="Dec-2023"/>
    <s v="Q4-2023"/>
    <s v="Americas"/>
    <s v="Canada"/>
    <s v="Toronto"/>
    <s v="Enterprise"/>
    <s v="Retail"/>
    <s v="K. Singh"/>
    <x v="5"/>
    <x v="572"/>
    <n v="856.1"/>
    <s v="High"/>
    <n v="901.48"/>
    <n v="5.6000000000000001E-2"/>
    <n v="17"/>
    <x v="574"/>
    <n v="14553.7"/>
    <n v="14371.857119999997"/>
    <n v="0.49685670911634278"/>
  </r>
  <r>
    <s v="ORD-2023-340056"/>
    <d v="2023-04-26T00:00:00"/>
    <d v="2023-04-26T00:00:00"/>
    <n v="0"/>
    <s v="Apr-2023"/>
    <s v="Q2-2023"/>
    <s v="Europe"/>
    <s v="France"/>
    <s v="Marseille"/>
    <s v="Consumer"/>
    <s v="Direct"/>
    <s v="M. Rossi"/>
    <x v="0"/>
    <x v="573"/>
    <n v="81.489999999999995"/>
    <s v="Medium"/>
    <n v="113.08"/>
    <n v="0.121"/>
    <n v="5"/>
    <x v="575"/>
    <n v="407.45"/>
    <n v="5173.2330999999995"/>
    <n v="0.92698922467036338"/>
  </r>
  <r>
    <s v="ORD-2025-281413"/>
    <d v="2025-08-03T00:00:00"/>
    <d v="2025-08-16T00:00:00"/>
    <n v="13"/>
    <s v="Aug-2025"/>
    <s v="Q3-2025"/>
    <s v="Americas"/>
    <s v="Canada"/>
    <s v="Montreal"/>
    <s v="Enterprise"/>
    <s v="Distributor"/>
    <s v="O. Wang"/>
    <x v="2"/>
    <x v="574"/>
    <n v="698.66"/>
    <s v="High"/>
    <n v="868.62"/>
    <n v="7.1999999999999995E-2"/>
    <n v="15"/>
    <x v="576"/>
    <n v="10479.9"/>
    <n v="-2519.0519999999997"/>
    <n v="-0.31643010895321699"/>
  </r>
  <r>
    <s v="ORD-2023-713614"/>
    <d v="2023-08-02T00:00:00"/>
    <d v="2023-08-19T00:00:00"/>
    <n v="17"/>
    <s v="Aug-2023"/>
    <s v="Q3-2023"/>
    <s v="Americas"/>
    <s v="Canada"/>
    <s v="Vancouver"/>
    <s v="Corporate"/>
    <s v="Online"/>
    <s v="F. Müller"/>
    <x v="2"/>
    <x v="575"/>
    <n v="175.38"/>
    <s v="High"/>
    <n v="347.9"/>
    <n v="7.1999999999999995E-2"/>
    <n v="43"/>
    <x v="577"/>
    <n v="7541.34"/>
    <n v="102395.77616000001"/>
    <n v="0.93140314878712571"/>
  </r>
  <r>
    <s v="ORD-2023-173313"/>
    <d v="2023-06-15T00:00:00"/>
    <d v="2023-07-12T00:00:00"/>
    <n v="27"/>
    <s v="Jun-2023"/>
    <s v="Q2-2023"/>
    <s v="Europe"/>
    <s v="United Kingdom"/>
    <s v="Manchester"/>
    <s v="Consumer"/>
    <s v="Direct"/>
    <s v="I. Johnson"/>
    <x v="6"/>
    <x v="576"/>
    <n v="751.28"/>
    <s v="High"/>
    <n v="1111.8800000000001"/>
    <n v="0.13500000000000001"/>
    <n v="7"/>
    <x v="578"/>
    <n v="5258.96"/>
    <n v="569.0380499999992"/>
    <n v="9.7638682291597417E-2"/>
  </r>
  <r>
    <s v="ORD-2024-496601"/>
    <d v="2024-11-11T00:00:00"/>
    <d v="2024-11-24T00:00:00"/>
    <n v="13"/>
    <s v="Nov-2024"/>
    <s v="Q4-2024"/>
    <s v="Europe"/>
    <s v="United Kingdom"/>
    <s v="London"/>
    <s v="Corporate"/>
    <s v="Retail"/>
    <s v="E. Garcia"/>
    <x v="2"/>
    <x v="577"/>
    <n v="164.53"/>
    <s v="High"/>
    <n v="327.72"/>
    <n v="6.7000000000000004E-2"/>
    <n v="14"/>
    <x v="579"/>
    <n v="2303.42"/>
    <n v="6425.5227399999985"/>
    <n v="0.73611695383855846"/>
  </r>
  <r>
    <s v="ORD-2025-155182"/>
    <d v="2025-07-11T00:00:00"/>
    <d v="2025-08-03T00:00:00"/>
    <n v="23"/>
    <s v="Jul-2025"/>
    <s v="Q3-2025"/>
    <s v="Africa"/>
    <s v="Kenya"/>
    <s v="Nakuru"/>
    <s v="Small Business"/>
    <s v="Retail"/>
    <s v="C. Otieno"/>
    <x v="3"/>
    <x v="578"/>
    <n v="389.93"/>
    <s v="High"/>
    <n v="486.13"/>
    <n v="0.13200000000000001"/>
    <n v="17"/>
    <x v="580"/>
    <n v="6628.81"/>
    <n v="14093.483479999999"/>
    <n v="0.6801121455789747"/>
  </r>
  <r>
    <s v="ORD-2023-244375"/>
    <d v="2023-06-03T00:00:00"/>
    <d v="2023-07-01T00:00:00"/>
    <n v="28"/>
    <s v="Jun-2023"/>
    <s v="Q2-2023"/>
    <s v="Americas"/>
    <s v="Brazil"/>
    <s v="Brasília"/>
    <s v="Small Business"/>
    <s v="Marketplace"/>
    <s v="A. Patel"/>
    <x v="0"/>
    <x v="579"/>
    <n v="860.4"/>
    <s v="High"/>
    <n v="2066.6"/>
    <n v="0.01"/>
    <n v="3"/>
    <x v="581"/>
    <n v="2581.1999999999998"/>
    <n v="8080.7732999999998"/>
    <n v="0.7579059778737206"/>
  </r>
  <r>
    <s v="ORD-2023-856322"/>
    <d v="2023-01-29T00:00:00"/>
    <d v="2023-02-06T00:00:00"/>
    <n v="8"/>
    <s v="Jan-2023"/>
    <s v="Q1-2023"/>
    <s v="Americas"/>
    <s v="Brazil"/>
    <s v="Brasília"/>
    <s v="Corporate"/>
    <s v="Marketplace"/>
    <s v="D. Smith"/>
    <x v="5"/>
    <x v="580"/>
    <n v="41.84"/>
    <s v="Medium"/>
    <n v="86.2"/>
    <n v="0.22600000000000001"/>
    <n v="27"/>
    <x v="582"/>
    <n v="1129.68"/>
    <n v="3750.2119799999991"/>
    <n v="0.76850307247989524"/>
  </r>
  <r>
    <s v="ORD-2024-594527"/>
    <d v="2024-09-06T00:00:00"/>
    <d v="2024-09-04T00:00:00"/>
    <n v="2"/>
    <s v="Sept-2024"/>
    <s v="Q3-2024"/>
    <s v="Asia"/>
    <s v="Japan"/>
    <s v="Osaka"/>
    <s v="Corporate"/>
    <s v="Direct"/>
    <s v="A. Patel"/>
    <x v="4"/>
    <x v="581"/>
    <n v="1368.17"/>
    <s v="High"/>
    <n v="2307.75"/>
    <n v="0.16300000000000001"/>
    <n v="21"/>
    <x v="583"/>
    <n v="28731.57"/>
    <n v="-26547.62775"/>
    <n v="-12.155828639699607"/>
  </r>
  <r>
    <s v="ORD-2024-689872"/>
    <d v="2024-08-03T00:00:00"/>
    <d v="2024-08-09T00:00:00"/>
    <n v="6"/>
    <s v="Aug-2024"/>
    <s v="Q3-2024"/>
    <s v="Africa"/>
    <s v="Kenya"/>
    <s v="Mombasa"/>
    <s v="Consumer"/>
    <s v="Marketplace"/>
    <s v="H. Kim"/>
    <x v="4"/>
    <x v="582"/>
    <n v="643.21"/>
    <s v="High"/>
    <n v="1112.81"/>
    <n v="0.14099999999999999"/>
    <n v="4"/>
    <x v="584"/>
    <n v="2572.84"/>
    <n v="2345.3473199999989"/>
    <n v="0.47687230424562183"/>
  </r>
  <r>
    <s v="ORD-2025-246692"/>
    <d v="2025-04-17T00:00:00"/>
    <d v="2025-04-17T00:00:00"/>
    <n v="0"/>
    <s v="Apr-2025"/>
    <s v="Q2-2025"/>
    <s v="Americas"/>
    <s v="Brazil"/>
    <s v="São Paulo"/>
    <s v="Corporate"/>
    <s v="Distributor"/>
    <s v="L. Okafor"/>
    <x v="3"/>
    <x v="583"/>
    <n v="719.41"/>
    <s v="High"/>
    <n v="1125.99"/>
    <n v="4.1000000000000002E-2"/>
    <n v="21"/>
    <x v="585"/>
    <n v="15107.609999999999"/>
    <n v="17024.567279999996"/>
    <n v="0.52982924660373332"/>
  </r>
  <r>
    <s v="ORD-2023-378676"/>
    <d v="2023-05-03T00:00:00"/>
    <d v="2023-05-16T00:00:00"/>
    <n v="13"/>
    <s v="May-2023"/>
    <s v="Q2-2023"/>
    <s v="Americas"/>
    <s v="USA"/>
    <s v="New York"/>
    <s v="Corporate"/>
    <s v="Marketplace"/>
    <s v="L. Okafor"/>
    <x v="3"/>
    <x v="584"/>
    <n v="64.5"/>
    <s v="Medium"/>
    <n v="123.62"/>
    <n v="0"/>
    <n v="3"/>
    <x v="586"/>
    <n v="193.5"/>
    <n v="2891.88"/>
    <n v="0.93728487252785719"/>
  </r>
  <r>
    <s v="ORD-2024-243988"/>
    <d v="2024-03-13T00:00:00"/>
    <d v="2024-04-06T00:00:00"/>
    <n v="24"/>
    <s v="Mar-2024"/>
    <s v="Q1-2024"/>
    <s v="Africa"/>
    <s v="Nigeria"/>
    <s v="Abuja"/>
    <s v="Consumer"/>
    <s v="Distributor"/>
    <s v="L. Okafor"/>
    <x v="0"/>
    <x v="585"/>
    <n v="1232.78"/>
    <s v="High"/>
    <n v="1731.75"/>
    <n v="9.2999999999999999E-2"/>
    <n v="16"/>
    <x v="587"/>
    <n v="19724.48"/>
    <n v="27154.359200000003"/>
    <n v="0.5792455543566446"/>
  </r>
  <r>
    <s v="ORD-2024-572312"/>
    <d v="2024-06-16T00:00:00"/>
    <d v="2024-06-21T00:00:00"/>
    <n v="5"/>
    <s v="Jun-2024"/>
    <s v="Q2-2024"/>
    <s v="Asia"/>
    <s v="Japan"/>
    <s v="Tokyo"/>
    <s v="Small Business"/>
    <s v="Distributor"/>
    <s v="F. Müller"/>
    <x v="3"/>
    <x v="586"/>
    <n v="1367.13"/>
    <s v="High"/>
    <n v="3062.01"/>
    <n v="0.10299999999999999"/>
    <n v="25"/>
    <x v="588"/>
    <n v="34178.25"/>
    <n v="28378.754249999998"/>
    <n v="0.45364631171576603"/>
  </r>
  <r>
    <s v="ORD-2025-281062"/>
    <d v="2025-02-15T00:00:00"/>
    <d v="2025-02-27T00:00:00"/>
    <n v="12"/>
    <s v="Feb-2025"/>
    <s v="Q1-2025"/>
    <s v="Europe"/>
    <s v="France"/>
    <s v="Lyon"/>
    <s v="Non-Profit"/>
    <s v="Direct"/>
    <s v="K. Singh"/>
    <x v="6"/>
    <x v="587"/>
    <n v="1027.26"/>
    <s v="High"/>
    <n v="2200.41"/>
    <n v="8.7999999999999995E-2"/>
    <n v="6"/>
    <x v="589"/>
    <n v="6163.5599999999995"/>
    <n v="4220.8732800000016"/>
    <n v="0.40646159171047236"/>
  </r>
  <r>
    <s v="ORD-2023-727290"/>
    <d v="2023-04-03T00:00:00"/>
    <d v="2023-04-16T00:00:00"/>
    <n v="13"/>
    <s v="Apr-2023"/>
    <s v="Q2-2023"/>
    <s v="Europe"/>
    <s v="France"/>
    <s v="Marseille"/>
    <s v="Non-Profit"/>
    <s v="Marketplace"/>
    <s v="M. Rossi"/>
    <x v="6"/>
    <x v="588"/>
    <n v="790.54"/>
    <s v="High"/>
    <n v="601.49"/>
    <n v="0"/>
    <n v="15"/>
    <x v="590"/>
    <n v="11858.099999999999"/>
    <n v="1678.9500000000025"/>
    <n v="0.12402628342216379"/>
  </r>
  <r>
    <s v="ORD-2025-993993"/>
    <d v="2025-08-30T00:00:00"/>
    <d v="2025-09-22T00:00:00"/>
    <n v="23"/>
    <s v="Aug-2025"/>
    <s v="Q3-2025"/>
    <s v="Europe"/>
    <s v="France"/>
    <s v="Marseille"/>
    <s v="Corporate"/>
    <s v="Direct"/>
    <s v="E. Garcia"/>
    <x v="0"/>
    <x v="589"/>
    <n v="663.9"/>
    <s v="High"/>
    <n v="947.77"/>
    <n v="0.17399999999999999"/>
    <n v="15"/>
    <x v="591"/>
    <n v="9958.5"/>
    <n v="-10375.547399999999"/>
    <n v="24.878580708092169"/>
  </r>
  <r>
    <s v="ORD-2023-619493"/>
    <d v="2023-02-27T00:00:00"/>
    <d v="2023-02-26T00:00:00"/>
    <n v="1"/>
    <s v="Feb-2023"/>
    <s v="Q1-2023"/>
    <s v="Americas"/>
    <s v="USA"/>
    <s v="San Francisco"/>
    <s v="Non-Profit"/>
    <s v="Online"/>
    <s v="L. Okafor"/>
    <x v="2"/>
    <x v="590"/>
    <n v="1015.91"/>
    <s v="High"/>
    <n v="2331.48"/>
    <n v="0.14599999999999999"/>
    <n v="26"/>
    <x v="592"/>
    <n v="26413.66"/>
    <n v="-2285.01728"/>
    <n v="-9.4701442866737429E-2"/>
  </r>
  <r>
    <s v="ORD-2024-947056"/>
    <d v="2024-07-31T00:00:00"/>
    <d v="2024-08-15T00:00:00"/>
    <n v="15"/>
    <s v="Jul-2024"/>
    <s v="Q3-2024"/>
    <s v="Asia"/>
    <s v="Japan"/>
    <s v="Tokyo"/>
    <s v="Corporate"/>
    <s v="Marketplace"/>
    <s v="F. Müller"/>
    <x v="5"/>
    <x v="591"/>
    <n v="1252.52"/>
    <s v="High"/>
    <n v="1417.24"/>
    <n v="0.192"/>
    <n v="5"/>
    <x v="593"/>
    <n v="6262.6"/>
    <n v="-2179.17"/>
    <n v="-0.53366165209150151"/>
  </r>
  <r>
    <s v="ORD-2025-856556"/>
    <d v="2025-06-15T00:00:00"/>
    <d v="2025-07-12T00:00:00"/>
    <n v="27"/>
    <s v="Jun-2025"/>
    <s v="Q2-2025"/>
    <s v="Europe"/>
    <s v="France"/>
    <s v="Marseille"/>
    <s v="Consumer"/>
    <s v="Direct"/>
    <s v="C. Otieno"/>
    <x v="6"/>
    <x v="592"/>
    <n v="318.83"/>
    <s v="High"/>
    <n v="699.5"/>
    <n v="0.08"/>
    <n v="13"/>
    <x v="594"/>
    <n v="4144.79"/>
    <n v="776.51080000000002"/>
    <n v="0.15778568137919957"/>
  </r>
  <r>
    <s v="ORD-2024-442776"/>
    <d v="2024-06-30T00:00:00"/>
    <d v="2024-07-21T00:00:00"/>
    <n v="21"/>
    <s v="Jun-2024"/>
    <s v="Q2-2024"/>
    <s v="Africa"/>
    <s v="Kenya"/>
    <s v="Kisumu"/>
    <s v="Small Business"/>
    <s v="Retail"/>
    <s v="K. Singh"/>
    <x v="4"/>
    <x v="593"/>
    <n v="753.43"/>
    <s v="High"/>
    <n v="1787.2"/>
    <n v="7.2999999999999995E-2"/>
    <n v="9"/>
    <x v="595"/>
    <n v="6780.87"/>
    <n v="-3332.3743799999997"/>
    <n v="-0.9663269863744236"/>
  </r>
  <r>
    <s v="ORD-2025-705398"/>
    <d v="2025-02-17T00:00:00"/>
    <d v="2025-02-15T00:00:00"/>
    <n v="2"/>
    <s v="Feb-2025"/>
    <s v="Q1-2025"/>
    <s v="Americas"/>
    <s v="Canada"/>
    <s v="Toronto"/>
    <s v="Small Business"/>
    <s v="Retail"/>
    <s v="D. Smith"/>
    <x v="0"/>
    <x v="594"/>
    <n v="1133.47"/>
    <s v="High"/>
    <n v="1698.75"/>
    <n v="4.2999999999999997E-2"/>
    <n v="5"/>
    <x v="596"/>
    <n v="5667.35"/>
    <n v="1791.9386500000001"/>
    <n v="0.24022916045754578"/>
  </r>
  <r>
    <s v="ORD-2023-689428"/>
    <d v="2023-01-07T00:00:00"/>
    <d v="2023-01-30T00:00:00"/>
    <n v="23"/>
    <s v="Jan-2023"/>
    <s v="Q1-2023"/>
    <s v="Africa"/>
    <s v="South Africa"/>
    <s v="Cape Town"/>
    <s v="Consumer"/>
    <s v="Online"/>
    <s v="A. Patel"/>
    <x v="1"/>
    <x v="595"/>
    <n v="299.02"/>
    <s v="High"/>
    <n v="724.7"/>
    <n v="0.14000000000000001"/>
    <n v="5"/>
    <x v="597"/>
    <n v="1495.1"/>
    <n v="2207.8880000000004"/>
    <n v="0.59624497837962209"/>
  </r>
  <r>
    <s v="ORD-2025-683247"/>
    <d v="2025-03-10T00:00:00"/>
    <d v="2025-04-04T00:00:00"/>
    <n v="25"/>
    <s v="Mar-2025"/>
    <s v="Q1-2025"/>
    <s v="Asia"/>
    <s v="Japan"/>
    <s v="Osaka"/>
    <s v="Corporate"/>
    <s v="Direct"/>
    <s v="H. Kim"/>
    <x v="1"/>
    <x v="596"/>
    <n v="783.72"/>
    <s v="High"/>
    <n v="1355.94"/>
    <n v="0.187"/>
    <n v="4"/>
    <x v="598"/>
    <n v="3134.88"/>
    <n v="4332.5249999999996"/>
    <n v="0.58019151231251009"/>
  </r>
  <r>
    <s v="ORD-2024-585443"/>
    <d v="2024-08-17T00:00:00"/>
    <d v="2024-08-15T00:00:00"/>
    <n v="2"/>
    <s v="Aug-2024"/>
    <s v="Q3-2024"/>
    <s v="Americas"/>
    <s v="Brazil"/>
    <s v="Rio de Janeiro"/>
    <s v="Consumer"/>
    <s v="Direct"/>
    <s v="M. Rossi"/>
    <x v="5"/>
    <x v="597"/>
    <n v="165.3"/>
    <s v="High"/>
    <n v="275.07"/>
    <n v="0.13300000000000001"/>
    <n v="25"/>
    <x v="599"/>
    <n v="4132.5"/>
    <n v="53015.805"/>
    <n v="0.92768814403156841"/>
  </r>
  <r>
    <s v="ORD-2024-907733"/>
    <d v="2024-03-09T00:00:00"/>
    <d v="2024-03-22T00:00:00"/>
    <n v="13"/>
    <s v="Mar-2024"/>
    <s v="Q1-2024"/>
    <s v="Europe"/>
    <s v="United Kingdom"/>
    <s v="Manchester"/>
    <s v="Consumer"/>
    <s v="Online"/>
    <s v="E. Garcia"/>
    <x v="4"/>
    <x v="598"/>
    <n v="985.45"/>
    <s v="High"/>
    <n v="1802.44"/>
    <n v="8.9999999999999993E-3"/>
    <n v="19"/>
    <x v="600"/>
    <n v="18723.55"/>
    <n v="-307.09339000000182"/>
    <n v="-1.6674944399089911E-2"/>
  </r>
  <r>
    <s v="ORD-2024-550400"/>
    <d v="2024-08-19T00:00:00"/>
    <d v="2024-09-02T00:00:00"/>
    <n v="14"/>
    <s v="Aug-2024"/>
    <s v="Q3-2024"/>
    <s v="Americas"/>
    <s v="Canada"/>
    <s v="Toronto"/>
    <s v="Consumer"/>
    <s v="Distributor"/>
    <s v="C. Otieno"/>
    <x v="1"/>
    <x v="599"/>
    <n v="1337.01"/>
    <s v="High"/>
    <n v="1269.78"/>
    <n v="0.16"/>
    <n v="7"/>
    <x v="601"/>
    <n v="9359.07"/>
    <n v="-6150.2363999999998"/>
    <n v="-1.916657940754547"/>
  </r>
  <r>
    <s v="ORD-2025-189846"/>
    <d v="2025-08-11T00:00:00"/>
    <d v="2025-08-28T00:00:00"/>
    <n v="17"/>
    <s v="Aug-2025"/>
    <s v="Q3-2025"/>
    <s v="Europe"/>
    <s v="France"/>
    <s v="Paris"/>
    <s v="Education"/>
    <s v="Online"/>
    <s v="F. Müller"/>
    <x v="2"/>
    <x v="600"/>
    <n v="416.16"/>
    <s v="High"/>
    <n v="571.9"/>
    <n v="7.0999999999999994E-2"/>
    <n v="2"/>
    <x v="602"/>
    <n v="832.32"/>
    <n v="1834.9133200000001"/>
    <n v="0.6879463098488886"/>
  </r>
  <r>
    <s v="ORD-2025-752192"/>
    <d v="2025-05-16T00:00:00"/>
    <d v="2025-05-18T00:00:00"/>
    <n v="2"/>
    <s v="May-2025"/>
    <s v="Q2-2025"/>
    <s v="Asia"/>
    <s v="Japan"/>
    <s v="Tokyo"/>
    <s v="Enterprise"/>
    <s v="Retail"/>
    <s v="J. Njeri"/>
    <x v="1"/>
    <x v="601"/>
    <n v="1144.3800000000001"/>
    <s v="High"/>
    <n v="2755.04"/>
    <n v="0.15"/>
    <n v="17"/>
    <x v="603"/>
    <n v="19454.460000000003"/>
    <n v="15186.524999999998"/>
    <n v="0.4383976090749151"/>
  </r>
  <r>
    <s v="ORD-2023-294716"/>
    <d v="2023-04-10T00:00:00"/>
    <d v="2023-04-25T00:00:00"/>
    <n v="15"/>
    <s v="Apr-2023"/>
    <s v="Q2-2023"/>
    <s v="Europe"/>
    <s v="United Kingdom"/>
    <s v="London"/>
    <s v="Small Business"/>
    <s v="Retail"/>
    <s v="D. Smith"/>
    <x v="1"/>
    <x v="602"/>
    <n v="405.66"/>
    <s v="High"/>
    <n v="962.51"/>
    <n v="0.19"/>
    <n v="7"/>
    <x v="604"/>
    <n v="2839.6200000000003"/>
    <n v="7671.7661999999982"/>
    <n v="0.72985294746377016"/>
  </r>
  <r>
    <s v="ORD-2023-552115"/>
    <d v="2023-09-17T00:00:00"/>
    <d v="2023-10-02T00:00:00"/>
    <n v="15"/>
    <s v="Sept-2023"/>
    <s v="Q3-2023"/>
    <s v="Americas"/>
    <s v="Brazil"/>
    <s v="Rio de Janeiro"/>
    <s v="Small Business"/>
    <s v="Retail"/>
    <s v="B. Chen"/>
    <x v="4"/>
    <x v="603"/>
    <n v="689.33"/>
    <s v="High"/>
    <n v="668.27"/>
    <n v="0.186"/>
    <n v="13"/>
    <x v="605"/>
    <n v="8961.2900000000009"/>
    <n v="-8474.7296400000014"/>
    <n v="-17.417632706453933"/>
  </r>
  <r>
    <s v="ORD-2023-107265"/>
    <d v="2023-04-22T00:00:00"/>
    <d v="2023-05-14T00:00:00"/>
    <n v="22"/>
    <s v="Apr-2023"/>
    <s v="Q2-2023"/>
    <s v="Asia"/>
    <s v="Japan"/>
    <s v="Nagoya"/>
    <s v="Enterprise"/>
    <s v="Retail"/>
    <s v="A. Patel"/>
    <x v="6"/>
    <x v="604"/>
    <n v="1209.22"/>
    <s v="High"/>
    <n v="1404.33"/>
    <n v="0.10299999999999999"/>
    <n v="11"/>
    <x v="606"/>
    <n v="13301.42"/>
    <n v="-13301.42"/>
    <n v="0"/>
  </r>
  <r>
    <s v="ORD-2025-262434"/>
    <d v="2025-06-19T00:00:00"/>
    <d v="2025-06-21T00:00:00"/>
    <n v="2"/>
    <s v="Jun-2025"/>
    <s v="Q2-2025"/>
    <s v="Africa"/>
    <s v="South Africa"/>
    <s v="Johannesburg"/>
    <s v="Small Business"/>
    <s v="Not Provided"/>
    <s v="H. Kim"/>
    <x v="3"/>
    <x v="605"/>
    <n v="1466.27"/>
    <s v="High"/>
    <n v="3589.89"/>
    <n v="9.7000000000000003E-2"/>
    <n v="9"/>
    <x v="606"/>
    <n v="13196.43"/>
    <n v="-13196.43"/>
    <n v="0"/>
  </r>
  <r>
    <s v="ORD-2024-266562"/>
    <d v="2024-11-27T00:00:00"/>
    <d v="2024-12-24T00:00:00"/>
    <n v="27"/>
    <s v="Nov-2024"/>
    <s v="Q4-2024"/>
    <s v="Africa"/>
    <s v="Kenya"/>
    <s v="Mombasa"/>
    <s v="Corporate"/>
    <s v="Distributor"/>
    <s v="B. Chen"/>
    <x v="1"/>
    <x v="606"/>
    <n v="143.33000000000001"/>
    <s v="High"/>
    <n v="233.51"/>
    <n v="0.16300000000000001"/>
    <n v="14"/>
    <x v="606"/>
    <n v="2006.6200000000001"/>
    <n v="-2006.6200000000001"/>
    <n v="0"/>
  </r>
  <r>
    <s v="ORD-2024-838925"/>
    <d v="2024-01-28T00:00:00"/>
    <d v="2024-01-27T00:00:00"/>
    <n v="1"/>
    <s v="Jan-2024"/>
    <s v="Q1-2024"/>
    <s v="Africa"/>
    <s v="South Africa"/>
    <s v="Cape Town"/>
    <s v="Enterprise"/>
    <s v="Direct"/>
    <s v="O. Wang"/>
    <x v="0"/>
    <x v="607"/>
    <n v="109.75"/>
    <s v="Medium"/>
    <n v="124.25"/>
    <n v="0.12"/>
    <n v="19"/>
    <x v="606"/>
    <n v="2085.25"/>
    <n v="-2085.25"/>
    <n v="0"/>
  </r>
  <r>
    <s v="ORD-2023-664790"/>
    <d v="2023-04-16T00:00:00"/>
    <d v="2023-04-23T00:00:00"/>
    <n v="7"/>
    <s v="Apr-2023"/>
    <s v="Q2-2023"/>
    <s v="Americas"/>
    <s v="USA"/>
    <s v="Austin"/>
    <s v="Corporate"/>
    <s v="Distributor"/>
    <s v="O. Wang"/>
    <x v="1"/>
    <x v="608"/>
    <n v="1099.1500000000001"/>
    <s v="High"/>
    <n v="1431.37"/>
    <n v="0.104"/>
    <n v="8"/>
    <x v="606"/>
    <n v="8793.2000000000007"/>
    <n v="-8793.2000000000007"/>
    <n v="0"/>
  </r>
  <r>
    <s v="ORD-2024-331408"/>
    <d v="2024-02-01T00:00:00"/>
    <d v="2024-02-01T00:00:00"/>
    <n v="0"/>
    <s v="Feb-2024"/>
    <s v="Q1-2024"/>
    <s v="Americas"/>
    <s v="USA"/>
    <s v="Austin"/>
    <s v="Consumer"/>
    <s v="Distributor"/>
    <s v="H. Kim"/>
    <x v="1"/>
    <x v="609"/>
    <n v="714.43"/>
    <s v="High"/>
    <n v="1595.52"/>
    <n v="0.19400000000000001"/>
    <n v="14"/>
    <x v="606"/>
    <n v="10002.019999999999"/>
    <n v="-10002.019999999999"/>
    <n v="0"/>
  </r>
  <r>
    <s v="ORD-2024-741404"/>
    <d v="2024-10-19T00:00:00"/>
    <d v="2024-11-06T00:00:00"/>
    <n v="18"/>
    <s v="Oct-2024"/>
    <s v="Q4-2024"/>
    <s v="Americas"/>
    <s v="USA"/>
    <s v="Chicago"/>
    <s v="Education"/>
    <s v="Not Provided"/>
    <s v="C. Otieno"/>
    <x v="5"/>
    <x v="610"/>
    <n v="942.02"/>
    <s v="High"/>
    <n v="1028.46"/>
    <n v="0"/>
    <n v="9"/>
    <x v="606"/>
    <n v="8478.18"/>
    <n v="-8478.18"/>
    <n v="0"/>
  </r>
  <r>
    <s v="ORD-2024-341535"/>
    <d v="2024-06-25T00:00:00"/>
    <d v="2024-06-30T00:00:00"/>
    <n v="5"/>
    <s v="Jun-2024"/>
    <s v="Q2-2024"/>
    <s v="Africa"/>
    <s v="Kenya"/>
    <s v="Kisumu"/>
    <s v="Education"/>
    <s v="Direct"/>
    <s v="M. Rossi"/>
    <x v="2"/>
    <x v="611"/>
    <n v="1323.55"/>
    <s v="High"/>
    <n v="3230.35"/>
    <n v="2.1999999999999999E-2"/>
    <n v="26"/>
    <x v="606"/>
    <n v="34412.299999999996"/>
    <n v="-34412.299999999996"/>
    <n v="0"/>
  </r>
  <r>
    <s v="ORD-2023-451931"/>
    <d v="2023-07-30T00:00:00"/>
    <d v="2023-08-19T00:00:00"/>
    <n v="20"/>
    <s v="Jul-2023"/>
    <s v="Q3-2023"/>
    <s v="Europe"/>
    <s v="France"/>
    <s v="Paris"/>
    <s v="Enterprise"/>
    <s v="Marketplace"/>
    <s v="G. Dubois"/>
    <x v="2"/>
    <x v="612"/>
    <n v="1418.51"/>
    <s v="High"/>
    <n v="2789.61"/>
    <n v="0.17100000000000001"/>
    <n v="8"/>
    <x v="606"/>
    <n v="11348.08"/>
    <n v="-11348.08"/>
    <n v="0"/>
  </r>
  <r>
    <s v="ORD-2025-532859"/>
    <d v="2025-03-11T00:00:00"/>
    <d v="2025-03-27T00:00:00"/>
    <n v="16"/>
    <s v="Mar-2025"/>
    <s v="Q1-2025"/>
    <s v="Asia"/>
    <s v="Japan"/>
    <s v="Tokyo"/>
    <s v="Enterprise"/>
    <s v="Distributor"/>
    <s v="B. Chen"/>
    <x v="1"/>
    <x v="613"/>
    <n v="1317.58"/>
    <s v="High"/>
    <n v="1897.74"/>
    <n v="8.1000000000000003E-2"/>
    <n v="6"/>
    <x v="606"/>
    <n v="7905.48"/>
    <n v="-7905.48"/>
    <n v="0"/>
  </r>
  <r>
    <s v="ORD-2023-502205"/>
    <d v="2023-10-09T00:00:00"/>
    <d v="2023-10-11T00:00:00"/>
    <n v="2"/>
    <s v="Oct-2023"/>
    <s v="Q4-2023"/>
    <s v="Africa"/>
    <s v="Nigeria"/>
    <s v="Port Harcourt"/>
    <s v="Education"/>
    <s v="Marketplace"/>
    <s v="K. Singh"/>
    <x v="2"/>
    <x v="614"/>
    <n v="391.16"/>
    <s v="High"/>
    <n v="902.47"/>
    <n v="4.0000000000000001E-3"/>
    <n v="12"/>
    <x v="606"/>
    <n v="4693.92"/>
    <n v="-4693.92"/>
    <n v="0"/>
  </r>
  <r>
    <s v="ORD-2024-930679"/>
    <d v="2024-12-17T00:00:00"/>
    <d v="2025-01-16T00:00:00"/>
    <n v="30"/>
    <s v="Dec-2024"/>
    <s v="Q4-2024"/>
    <s v="Europe"/>
    <s v="United Kingdom"/>
    <s v="Manchester"/>
    <s v="Corporate"/>
    <s v="Retail"/>
    <s v="D. Smith"/>
    <x v="5"/>
    <x v="615"/>
    <n v="722.87"/>
    <s v="Low"/>
    <n v="-33.659999999999997"/>
    <n v="0.10199999999999999"/>
    <n v="28"/>
    <x v="606"/>
    <n v="20240.36"/>
    <n v="-20240.36"/>
    <n v="0"/>
  </r>
  <r>
    <s v="ORD-2025-150713"/>
    <d v="2025-07-11T00:00:00"/>
    <d v="2025-07-16T00:00:00"/>
    <n v="5"/>
    <s v="Jul-2025"/>
    <s v="Q3-2025"/>
    <s v="Europe"/>
    <s v="United Kingdom"/>
    <s v="London"/>
    <s v="Enterprise"/>
    <s v="Online"/>
    <s v="K. Singh"/>
    <x v="1"/>
    <x v="616"/>
    <n v="930.03"/>
    <s v="High"/>
    <n v="1086.68"/>
    <n v="0.109"/>
    <n v="26"/>
    <x v="606"/>
    <n v="24180.78"/>
    <n v="-24180.78"/>
    <n v="0"/>
  </r>
  <r>
    <s v="ORD-2024-756884"/>
    <d v="2024-10-13T00:00:00"/>
    <d v="2024-10-24T00:00:00"/>
    <n v="11"/>
    <s v="Oct-2024"/>
    <s v="Q4-2024"/>
    <s v="Europe"/>
    <s v="France"/>
    <s v="Paris"/>
    <s v="Education"/>
    <s v="Distributor"/>
    <s v="F. Müller"/>
    <x v="0"/>
    <x v="617"/>
    <n v="816.7"/>
    <s v="High"/>
    <n v="1010.75"/>
    <n v="4.7E-2"/>
    <n v="43"/>
    <x v="606"/>
    <n v="35118.1"/>
    <n v="-35118.1"/>
    <n v="0"/>
  </r>
  <r>
    <s v="ORD-2023-755337"/>
    <d v="2023-09-08T00:00:00"/>
    <d v="2023-09-14T00:00:00"/>
    <n v="6"/>
    <s v="Sept-2023"/>
    <s v="Q3-2023"/>
    <s v="Africa"/>
    <s v="Kenya"/>
    <s v="Nakuru"/>
    <s v="Education"/>
    <s v="Direct"/>
    <s v="I. Johnson"/>
    <x v="6"/>
    <x v="618"/>
    <n v="251.03"/>
    <s v="High"/>
    <n v="411.48"/>
    <n v="0.16500000000000001"/>
    <n v="3"/>
    <x v="606"/>
    <n v="753.09"/>
    <n v="-753.09"/>
    <n v="0"/>
  </r>
  <r>
    <s v="ORD-2025-907040"/>
    <d v="2025-04-17T00:00:00"/>
    <d v="2025-05-03T00:00:00"/>
    <n v="16"/>
    <s v="Apr-2025"/>
    <s v="Q2-2025"/>
    <s v="Americas"/>
    <s v="Brazil"/>
    <s v="Rio de Janeiro"/>
    <s v="Consumer"/>
    <s v="Marketplace"/>
    <s v="J. Njeri"/>
    <x v="2"/>
    <x v="619"/>
    <n v="168.68"/>
    <s v="High"/>
    <n v="413.34"/>
    <n v="0.186"/>
    <n v="7"/>
    <x v="606"/>
    <n v="1180.76"/>
    <n v="-1180.76"/>
    <n v="0"/>
  </r>
  <r>
    <s v="ORD-2024-817997"/>
    <d v="2024-07-28T00:00:00"/>
    <d v="2024-08-23T00:00:00"/>
    <n v="26"/>
    <s v="Jul-2024"/>
    <s v="Q3-2024"/>
    <s v="Asia"/>
    <s v="India"/>
    <s v="Hyderabad"/>
    <s v="Corporate"/>
    <s v="Retail"/>
    <s v="J. Njeri"/>
    <x v="2"/>
    <x v="620"/>
    <n v="1339.24"/>
    <s v="High"/>
    <n v="1558.89"/>
    <n v="0.192"/>
    <n v="24"/>
    <x v="606"/>
    <n v="32141.760000000002"/>
    <n v="-32141.760000000002"/>
    <n v="0"/>
  </r>
  <r>
    <s v="ORD-2025-649633"/>
    <d v="2025-07-19T00:00:00"/>
    <d v="2025-07-31T00:00:00"/>
    <n v="12"/>
    <s v="Jul-2025"/>
    <s v="Q3-2025"/>
    <s v="Africa"/>
    <s v="Kenya"/>
    <s v="Nairobi"/>
    <s v="Small Business"/>
    <s v="Marketplace"/>
    <s v="O. Wang"/>
    <x v="6"/>
    <x v="621"/>
    <n v="619.64"/>
    <s v="High"/>
    <n v="861.16"/>
    <n v="0.113"/>
    <n v="14"/>
    <x v="606"/>
    <n v="8674.9599999999991"/>
    <n v="-8674.9599999999991"/>
    <n v="0"/>
  </r>
  <r>
    <s v="ORD-2023-885216"/>
    <d v="2023-08-03T00:00:00"/>
    <d v="2023-08-02T00:00:00"/>
    <n v="1"/>
    <s v="Aug-2023"/>
    <s v="Q3-2023"/>
    <s v="Asia"/>
    <s v="China"/>
    <s v="Shanghai"/>
    <s v="Non-Profit"/>
    <s v="Direct"/>
    <s v="J. Njeri"/>
    <x v="2"/>
    <x v="622"/>
    <n v="1021.97"/>
    <s v="High"/>
    <n v="2296.25"/>
    <n v="0.161"/>
    <n v="26"/>
    <x v="606"/>
    <n v="26571.22"/>
    <n v="-26571.22"/>
    <n v="0"/>
  </r>
  <r>
    <s v="ORD-2023-561823"/>
    <d v="2023-11-19T00:00:00"/>
    <d v="2023-12-12T00:00:00"/>
    <n v="23"/>
    <s v="Nov-2023"/>
    <s v="Q4-2023"/>
    <s v="Asia"/>
    <s v="India"/>
    <s v="Delhi"/>
    <s v="Small Business"/>
    <s v="Direct"/>
    <s v="C. Otieno"/>
    <x v="2"/>
    <x v="623"/>
    <n v="1349.04"/>
    <s v="High"/>
    <n v="2636.6"/>
    <n v="0.114"/>
    <n v="14"/>
    <x v="606"/>
    <n v="18886.559999999998"/>
    <n v="-18886.559999999998"/>
    <n v="0"/>
  </r>
  <r>
    <s v="ORD-2023-249805"/>
    <d v="2023-12-22T00:00:00"/>
    <d v="2024-01-16T00:00:00"/>
    <n v="25"/>
    <s v="Dec-2023"/>
    <s v="Q4-2023"/>
    <s v="Asia"/>
    <s v="India"/>
    <s v="Hyderabad"/>
    <s v="Small Business"/>
    <s v="Retail"/>
    <s v="A. Patel"/>
    <x v="0"/>
    <x v="624"/>
    <n v="1346.81"/>
    <s v="High"/>
    <n v="978.09"/>
    <n v="0.159"/>
    <n v="17"/>
    <x v="606"/>
    <n v="22895.77"/>
    <n v="-22895.77"/>
    <n v="0"/>
  </r>
  <r>
    <s v="ORD-2023-548934"/>
    <d v="2023-08-03T00:00:00"/>
    <d v="2023-08-30T00:00:00"/>
    <n v="27"/>
    <s v="Aug-2023"/>
    <s v="Q3-2023"/>
    <s v="Asia"/>
    <s v="China"/>
    <s v="Shanghai"/>
    <s v="Consumer"/>
    <s v="Distributor"/>
    <s v="N. Brown"/>
    <x v="5"/>
    <x v="625"/>
    <n v="226.04"/>
    <s v="High"/>
    <n v="545.72"/>
    <n v="0.151"/>
    <n v="11"/>
    <x v="606"/>
    <n v="2486.44"/>
    <n v="-2486.44"/>
    <n v="0"/>
  </r>
  <r>
    <s v="ORD-2023-921939"/>
    <d v="2023-06-23T00:00:00"/>
    <d v="2023-07-18T00:00:00"/>
    <n v="25"/>
    <s v="Jun-2023"/>
    <s v="Q2-2023"/>
    <s v="Americas"/>
    <s v="Canada"/>
    <s v="Vancouver"/>
    <s v="Enterprise"/>
    <s v="Online"/>
    <s v="N. Brown"/>
    <x v="3"/>
    <x v="626"/>
    <n v="807.02"/>
    <s v="High"/>
    <n v="1435.54"/>
    <n v="0"/>
    <n v="23"/>
    <x v="606"/>
    <n v="18561.46"/>
    <n v="-18561.46"/>
    <n v="0"/>
  </r>
  <r>
    <s v="ORD-2023-961864"/>
    <d v="2023-12-07T00:00:00"/>
    <d v="2024-01-02T00:00:00"/>
    <n v="26"/>
    <s v="Dec-2023"/>
    <s v="Q4-2023"/>
    <s v="Europe"/>
    <s v="Germany"/>
    <s v="Frankfurt"/>
    <s v="Enterprise"/>
    <s v="Distributor"/>
    <s v="E. Garcia"/>
    <x v="0"/>
    <x v="627"/>
    <n v="1071.99"/>
    <s v="High"/>
    <n v="2397.3000000000002"/>
    <n v="6.2E-2"/>
    <n v="18"/>
    <x v="606"/>
    <n v="19295.82"/>
    <n v="-19295.82"/>
    <n v="0"/>
  </r>
  <r>
    <s v="ORD-2023-455933"/>
    <d v="2023-11-19T00:00:00"/>
    <d v="2023-12-19T00:00:00"/>
    <n v="0"/>
    <s v="Nov-2023"/>
    <s v="Q4-2023"/>
    <s v="Asia"/>
    <s v="Japan"/>
    <s v="Nagoya"/>
    <s v="Consumer"/>
    <s v="Retail"/>
    <s v="Not Provided"/>
    <x v="3"/>
    <x v="628"/>
    <n v="807.11"/>
    <s v="High"/>
    <n v="1853.86"/>
    <n v="0.13900000000000001"/>
    <n v="8"/>
    <x v="606"/>
    <n v="6456.88"/>
    <n v="-6456.88"/>
    <n v="0"/>
  </r>
  <r>
    <s v="ORD-2025-728935"/>
    <d v="2025-02-28T00:00:00"/>
    <d v="2025-03-10T00:00:00"/>
    <n v="10"/>
    <s v="Feb-2025"/>
    <s v="Q1-2025"/>
    <s v="Asia"/>
    <s v="Japan"/>
    <s v="Osaka"/>
    <s v="Education"/>
    <s v="Distributor"/>
    <s v="N. Brown"/>
    <x v="4"/>
    <x v="629"/>
    <n v="51.86"/>
    <s v="Low"/>
    <n v="45.98"/>
    <n v="0.17299999999999999"/>
    <n v="7"/>
    <x v="606"/>
    <n v="363.02"/>
    <n v="-363.02"/>
    <n v="0"/>
  </r>
  <r>
    <m/>
    <m/>
    <m/>
    <m/>
    <m/>
    <m/>
    <m/>
    <m/>
    <m/>
    <m/>
    <m/>
    <m/>
    <x v="7"/>
    <x v="630"/>
    <m/>
    <m/>
    <m/>
    <m/>
    <m/>
    <x v="607"/>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2">
  <r>
    <x v="0"/>
    <d v="2024-03-11T00:00:00"/>
    <d v="2024-04-06T00:00:00"/>
    <n v="26"/>
    <x v="0"/>
    <s v="Corporate"/>
    <s v="Retail"/>
    <x v="0"/>
    <s v="Components"/>
    <n v="279.24"/>
    <s v="High"/>
    <n v="608.9"/>
    <n v="0.112"/>
    <n v="9"/>
    <n v="1403.9546399999999"/>
    <n v="2513.16"/>
    <x v="0"/>
    <x v="0"/>
  </r>
  <r>
    <x v="1"/>
    <d v="2024-10-23T00:00:00"/>
    <d v="2024-10-22T00:00:00"/>
    <n v="1"/>
    <x v="1"/>
    <s v="Education"/>
    <s v="Online"/>
    <x v="1"/>
    <s v="Printers"/>
    <n v="1084.3900000000001"/>
    <s v="High"/>
    <n v="759.33"/>
    <n v="0.23699999999999999"/>
    <n v="31"/>
    <n v="17934.41419"/>
    <n v="33616.090000000004"/>
    <x v="1"/>
    <x v="0"/>
  </r>
  <r>
    <x v="2"/>
    <d v="2023-02-28T00:00:00"/>
    <d v="2023-03-25T00:00:00"/>
    <n v="25"/>
    <x v="2"/>
    <s v="Corporate"/>
    <s v="Retail"/>
    <x v="2"/>
    <s v="Networking"/>
    <n v="1460.76"/>
    <s v="Low"/>
    <n v="-30.66"/>
    <n v="0.13100000000000001"/>
    <n v="12"/>
    <n v="4534.0944"/>
    <n v="17529.12"/>
    <x v="2"/>
    <x v="0"/>
  </r>
  <r>
    <x v="3"/>
    <d v="2025-03-29T00:00:00"/>
    <d v="2025-04-02T00:00:00"/>
    <n v="4"/>
    <x v="3"/>
    <s v="Non-Profit"/>
    <s v="Marketplace"/>
    <x v="3"/>
    <s v="Phones"/>
    <n v="259.93"/>
    <s v="High"/>
    <n v="255.94"/>
    <n v="7.1999999999999995E-2"/>
    <n v="22"/>
    <n v="34016.730880000003"/>
    <n v="5718.46"/>
    <x v="3"/>
    <x v="0"/>
  </r>
  <r>
    <x v="4"/>
    <d v="2023-12-06T00:00:00"/>
    <d v="2023-12-31T00:00:00"/>
    <n v="25"/>
    <x v="4"/>
    <s v="Consumer"/>
    <s v="Retail"/>
    <x v="4"/>
    <s v="Printers"/>
    <n v="663.03"/>
    <s v="High"/>
    <n v="813.51"/>
    <n v="0.10199999999999999"/>
    <n v="15"/>
    <n v="8510.0765999999985"/>
    <n v="9945.4499999999989"/>
    <x v="4"/>
    <x v="0"/>
  </r>
  <r>
    <x v="5"/>
    <d v="2023-01-02T00:00:00"/>
    <d v="2023-01-05T00:00:00"/>
    <n v="3"/>
    <x v="5"/>
    <s v="Corporate"/>
    <s v="Distributor"/>
    <x v="5"/>
    <s v="Laptops"/>
    <n v="315.87"/>
    <s v="High"/>
    <n v="591.67999999999995"/>
    <n v="0"/>
    <n v="7"/>
    <n v="12558.49"/>
    <n v="2211.09"/>
    <x v="5"/>
    <x v="0"/>
  </r>
  <r>
    <x v="6"/>
    <d v="2024-12-27T00:00:00"/>
    <d v="2025-01-14T00:00:00"/>
    <n v="18"/>
    <x v="6"/>
    <s v="Small Business"/>
    <s v="Marketplace"/>
    <x v="6"/>
    <s v="Monitors"/>
    <n v="586.07000000000005"/>
    <s v="High"/>
    <n v="845.97"/>
    <n v="0.14699999999999999"/>
    <n v="4"/>
    <n v="8983.864239999999"/>
    <n v="2344.2800000000002"/>
    <x v="6"/>
    <x v="0"/>
  </r>
  <r>
    <x v="7"/>
    <d v="2023-01-15T00:00:00"/>
    <d v="2023-01-13T00:00:00"/>
    <n v="2"/>
    <x v="5"/>
    <s v="Education"/>
    <s v="Online"/>
    <x v="7"/>
    <s v="Printers"/>
    <n v="28.38"/>
    <s v="Low"/>
    <n v="47.22"/>
    <n v="0.19400000000000001"/>
    <n v="18"/>
    <n v="19177.399799999999"/>
    <n v="510.84"/>
    <x v="7"/>
    <x v="0"/>
  </r>
  <r>
    <x v="8"/>
    <d v="2024-05-04T00:00:00"/>
    <d v="2024-05-29T00:00:00"/>
    <n v="25"/>
    <x v="7"/>
    <s v="Non-Profit"/>
    <s v="Marketplace"/>
    <x v="7"/>
    <s v="Monitors"/>
    <n v="1295.3399999999999"/>
    <s v="High"/>
    <n v="2530.81"/>
    <n v="3.1E-2"/>
    <n v="6"/>
    <n v="17656.36218"/>
    <n v="7772.0399999999991"/>
    <x v="8"/>
    <x v="0"/>
  </r>
  <r>
    <x v="9"/>
    <d v="2025-05-21T00:00:00"/>
    <d v="2025-06-09T00:00:00"/>
    <n v="19"/>
    <x v="8"/>
    <s v="Non-Profit"/>
    <s v="Online"/>
    <x v="8"/>
    <s v="Components"/>
    <n v="1331.38"/>
    <s v="High"/>
    <n v="2309.56"/>
    <n v="0.14899999999999999"/>
    <n v="31"/>
    <n v="5259.5799699999998"/>
    <n v="41272.780000000006"/>
    <x v="9"/>
    <x v="0"/>
  </r>
  <r>
    <x v="10"/>
    <d v="2024-01-28T00:00:00"/>
    <d v="2024-02-09T00:00:00"/>
    <n v="12"/>
    <x v="9"/>
    <s v="Corporate"/>
    <s v="Online"/>
    <x v="3"/>
    <s v="Accessories"/>
    <n v="644.16999999999996"/>
    <s v="High"/>
    <n v="700.12"/>
    <n v="6.0000000000000001E-3"/>
    <n v="23"/>
    <n v="21204.733619999999"/>
    <n v="14815.91"/>
    <x v="10"/>
    <x v="0"/>
  </r>
  <r>
    <x v="11"/>
    <d v="2025-01-03T00:00:00"/>
    <d v="2025-01-23T00:00:00"/>
    <n v="20"/>
    <x v="10"/>
    <s v="Corporate"/>
    <s v="Distributor"/>
    <x v="9"/>
    <s v="Phones"/>
    <n v="908.6"/>
    <s v="High"/>
    <n v="691.37"/>
    <n v="0.25"/>
    <n v="20"/>
    <n v="26031.15"/>
    <n v="18172"/>
    <x v="11"/>
    <x v="0"/>
  </r>
  <r>
    <x v="12"/>
    <d v="2025-03-06T00:00:00"/>
    <d v="2025-03-31T00:00:00"/>
    <n v="25"/>
    <x v="3"/>
    <s v="Non-Profit"/>
    <s v="Online"/>
    <x v="1"/>
    <s v="Components"/>
    <n v="331.57"/>
    <s v="High"/>
    <n v="548.4"/>
    <n v="9.4E-2"/>
    <n v="10"/>
    <n v="12644.498400000002"/>
    <n v="3315.7"/>
    <x v="12"/>
    <x v="0"/>
  </r>
  <r>
    <x v="13"/>
    <d v="2024-01-20T00:00:00"/>
    <d v="2024-02-13T00:00:00"/>
    <n v="24"/>
    <x v="9"/>
    <s v="Corporate"/>
    <s v="Retail"/>
    <x v="10"/>
    <s v="Printers"/>
    <n v="643.53"/>
    <s v="High"/>
    <n v="1439.01"/>
    <n v="0"/>
    <n v="15"/>
    <n v="6816.3"/>
    <n v="9652.9499999999989"/>
    <x v="13"/>
    <x v="0"/>
  </r>
  <r>
    <x v="14"/>
    <d v="2025-09-01T00:00:00"/>
    <d v="2025-09-30T00:00:00"/>
    <n v="29"/>
    <x v="11"/>
    <s v="Education"/>
    <s v="Retail"/>
    <x v="11"/>
    <s v="Accessories"/>
    <n v="780.59"/>
    <s v="High"/>
    <n v="631.57000000000005"/>
    <n v="0"/>
    <n v="12"/>
    <n v="18971.64"/>
    <n v="9367.08"/>
    <x v="14"/>
    <x v="0"/>
  </r>
  <r>
    <x v="15"/>
    <d v="2023-04-23T00:00:00"/>
    <d v="2023-04-22T00:00:00"/>
    <n v="1"/>
    <x v="12"/>
    <s v="Small Business"/>
    <s v="Direct"/>
    <x v="6"/>
    <s v="Laptops"/>
    <n v="756.51"/>
    <s v="High"/>
    <n v="850.8"/>
    <n v="7.3999999999999996E-2"/>
    <n v="9"/>
    <n v="14666.089860000002"/>
    <n v="6808.59"/>
    <x v="15"/>
    <x v="0"/>
  </r>
  <r>
    <x v="16"/>
    <d v="2024-12-10T00:00:00"/>
    <d v="2025-01-08T00:00:00"/>
    <n v="29"/>
    <x v="6"/>
    <s v="Small Business"/>
    <s v="Retail"/>
    <x v="11"/>
    <s v="Printers"/>
    <n v="891.08"/>
    <s v="High"/>
    <n v="1040.0999999999999"/>
    <n v="0.109"/>
    <n v="28"/>
    <n v="79945.865999999995"/>
    <n v="24950.240000000002"/>
    <x v="16"/>
    <x v="0"/>
  </r>
  <r>
    <x v="17"/>
    <d v="2025-09-08T00:00:00"/>
    <d v="2025-09-16T00:00:00"/>
    <n v="8"/>
    <x v="11"/>
    <s v="Corporate"/>
    <s v="Distributor"/>
    <x v="0"/>
    <s v="Phones"/>
    <n v="1225.57"/>
    <s v="High"/>
    <n v="2705.57"/>
    <n v="0.183"/>
    <n v="16"/>
    <n v="14842.34096"/>
    <n v="19609.12"/>
    <x v="17"/>
    <x v="0"/>
  </r>
  <r>
    <x v="18"/>
    <d v="2025-07-20T00:00:00"/>
    <d v="2025-08-05T00:00:00"/>
    <n v="16"/>
    <x v="13"/>
    <s v="Enterprise"/>
    <s v="Marketplace"/>
    <x v="3"/>
    <s v="Accessories"/>
    <n v="1068.17"/>
    <s v="High"/>
    <n v="2375.37"/>
    <n v="0.109"/>
    <n v="18"/>
    <n v="15979.62168"/>
    <n v="19227.060000000001"/>
    <x v="18"/>
    <x v="0"/>
  </r>
  <r>
    <x v="19"/>
    <d v="2025-05-21T00:00:00"/>
    <d v="2025-05-19T00:00:00"/>
    <n v="2"/>
    <x v="8"/>
    <s v="Enterprise"/>
    <s v="Online"/>
    <x v="12"/>
    <s v="Laptops"/>
    <n v="1015.16"/>
    <s v="High"/>
    <n v="2148.14"/>
    <n v="3.7999999999999999E-2"/>
    <n v="19"/>
    <n v="25535.279900000001"/>
    <n v="19288.04"/>
    <x v="19"/>
    <x v="0"/>
  </r>
  <r>
    <x v="20"/>
    <d v="2024-07-25T00:00:00"/>
    <d v="2024-07-24T00:00:00"/>
    <n v="1"/>
    <x v="14"/>
    <s v="Non-Profit"/>
    <s v="Direct"/>
    <x v="1"/>
    <s v="Laptops"/>
    <n v="1494.4"/>
    <s v="High"/>
    <n v="3661.07"/>
    <n v="7.1999999999999995E-2"/>
    <n v="7"/>
    <n v="3565.5894400000002"/>
    <n v="10460.800000000001"/>
    <x v="20"/>
    <x v="0"/>
  </r>
  <r>
    <x v="21"/>
    <d v="2023-05-11T00:00:00"/>
    <d v="2023-05-28T00:00:00"/>
    <n v="17"/>
    <x v="15"/>
    <s v="Enterprise"/>
    <s v="Marketplace"/>
    <x v="6"/>
    <s v="Networking"/>
    <n v="1331.19"/>
    <s v="High"/>
    <n v="2903.09"/>
    <n v="0.14299999999999999"/>
    <n v="8"/>
    <n v="24160.543999999998"/>
    <n v="10649.52"/>
    <x v="21"/>
    <x v="0"/>
  </r>
  <r>
    <x v="22"/>
    <d v="2025-06-14T00:00:00"/>
    <d v="2025-06-29T00:00:00"/>
    <n v="15"/>
    <x v="16"/>
    <s v="Consumer"/>
    <s v="Marketplace"/>
    <x v="12"/>
    <s v="Accessories"/>
    <n v="730.99"/>
    <s v="High"/>
    <n v="1242.8399999999999"/>
    <n v="0.12"/>
    <n v="10"/>
    <n v="16065.367999999999"/>
    <n v="7309.9"/>
    <x v="22"/>
    <x v="0"/>
  </r>
  <r>
    <x v="23"/>
    <d v="2024-05-18T00:00:00"/>
    <d v="2024-05-23T00:00:00"/>
    <n v="5"/>
    <x v="7"/>
    <s v="Enterprise"/>
    <s v="Retail"/>
    <x v="10"/>
    <s v="Laptops"/>
    <n v="1274.5899999999999"/>
    <s v="High"/>
    <n v="2553.69"/>
    <n v="0.01"/>
    <n v="8"/>
    <n v="14187.650399999999"/>
    <n v="10196.719999999999"/>
    <x v="23"/>
    <x v="0"/>
  </r>
  <r>
    <x v="24"/>
    <d v="2023-02-07T00:00:00"/>
    <d v="2023-02-12T00:00:00"/>
    <n v="5"/>
    <x v="2"/>
    <s v="Education"/>
    <s v="Online"/>
    <x v="13"/>
    <s v="Components"/>
    <n v="948.55"/>
    <s v="High"/>
    <n v="2089.16"/>
    <n v="7.0000000000000001E-3"/>
    <n v="12"/>
    <n v="31336.100999999999"/>
    <n v="11382.599999999999"/>
    <x v="24"/>
    <x v="0"/>
  </r>
  <r>
    <x v="25"/>
    <d v="2024-06-30T00:00:00"/>
    <d v="2024-07-14T00:00:00"/>
    <n v="14"/>
    <x v="17"/>
    <s v="Education"/>
    <s v="Retail"/>
    <x v="0"/>
    <s v="Accessories"/>
    <n v="1491.85"/>
    <s v="High"/>
    <n v="2583.02"/>
    <n v="0.16800000000000001"/>
    <n v="4"/>
    <n v="353.76639999999998"/>
    <n v="5967.4"/>
    <x v="25"/>
    <x v="0"/>
  </r>
  <r>
    <x v="26"/>
    <d v="2024-11-30T00:00:00"/>
    <d v="2024-12-30T00:00:00"/>
    <n v="0"/>
    <x v="18"/>
    <s v="Consumer"/>
    <s v="Marketplace"/>
    <x v="9"/>
    <s v="Printers"/>
    <n v="117.64"/>
    <s v="Medium"/>
    <n v="175.67"/>
    <n v="0"/>
    <n v="10"/>
    <n v="3857.2000000000003"/>
    <n v="1176.4000000000001"/>
    <x v="26"/>
    <x v="0"/>
  </r>
  <r>
    <x v="27"/>
    <d v="2024-07-19T00:00:00"/>
    <d v="2024-07-19T00:00:00"/>
    <n v="0"/>
    <x v="14"/>
    <s v="Small Business"/>
    <s v="Retail"/>
    <x v="8"/>
    <s v="Phones"/>
    <n v="857.24"/>
    <s v="High"/>
    <n v="758.23"/>
    <n v="0.125"/>
    <n v="6"/>
    <n v="1243.5675000000001"/>
    <n v="5143.4400000000005"/>
    <x v="27"/>
    <x v="0"/>
  </r>
  <r>
    <x v="28"/>
    <d v="2023-04-14T00:00:00"/>
    <d v="2023-05-14T00:00:00"/>
    <n v="0"/>
    <x v="12"/>
    <s v="Consumer"/>
    <s v="Marketplace"/>
    <x v="12"/>
    <s v="Phones"/>
    <n v="209.25"/>
    <s v="High"/>
    <n v="434.8"/>
    <n v="0"/>
    <n v="9"/>
    <n v="377.09999999999997"/>
    <n v="1883.25"/>
    <x v="28"/>
    <x v="0"/>
  </r>
  <r>
    <x v="29"/>
    <d v="2025-04-07T00:00:00"/>
    <d v="2025-04-11T00:00:00"/>
    <n v="4"/>
    <x v="19"/>
    <s v="Education"/>
    <s v="Retail"/>
    <x v="6"/>
    <s v="Networking"/>
    <n v="754.77"/>
    <s v="High"/>
    <n v="1666.18"/>
    <n v="0.13900000000000001"/>
    <n v="14"/>
    <n v="11781.338519999999"/>
    <n v="10566.779999999999"/>
    <x v="29"/>
    <x v="0"/>
  </r>
  <r>
    <x v="30"/>
    <d v="2024-12-27T00:00:00"/>
    <d v="2025-01-15T00:00:00"/>
    <n v="19"/>
    <x v="6"/>
    <s v="Non-Profit"/>
    <s v="Distributor"/>
    <x v="3"/>
    <s v="Components"/>
    <n v="495.59"/>
    <s v="High"/>
    <n v="631.78"/>
    <n v="8.6999999999999994E-2"/>
    <n v="17"/>
    <n v="43367.691729999999"/>
    <n v="8425.0299999999988"/>
    <x v="30"/>
    <x v="0"/>
  </r>
  <r>
    <x v="31"/>
    <d v="2023-02-23T00:00:00"/>
    <d v="2023-03-25T00:00:00"/>
    <n v="2"/>
    <x v="2"/>
    <s v="Enterprise"/>
    <s v="Online"/>
    <x v="14"/>
    <s v="Phones"/>
    <n v="1242.6600000000001"/>
    <s v="High"/>
    <n v="1794.07"/>
    <n v="8.8999999999999996E-2"/>
    <n v="16"/>
    <n v="10231.623200000002"/>
    <n v="19882.560000000001"/>
    <x v="31"/>
    <x v="0"/>
  </r>
  <r>
    <x v="32"/>
    <d v="2025-07-24T00:00:00"/>
    <d v="2025-08-06T00:00:00"/>
    <n v="13"/>
    <x v="13"/>
    <s v="Education"/>
    <s v="Marketplace"/>
    <x v="14"/>
    <s v="Networking"/>
    <n v="1463.9"/>
    <s v="High"/>
    <n v="2633.02"/>
    <n v="8.4000000000000005E-2"/>
    <n v="4"/>
    <n v="-19.309279999999998"/>
    <n v="5855.6"/>
    <x v="32"/>
    <x v="0"/>
  </r>
  <r>
    <x v="33"/>
    <d v="2024-04-18T00:00:00"/>
    <d v="2024-05-08T00:00:00"/>
    <n v="20"/>
    <x v="20"/>
    <s v="Non-Profit"/>
    <s v="Not Provided"/>
    <x v="14"/>
    <s v="Laptops"/>
    <n v="645.33000000000004"/>
    <s v="High"/>
    <n v="1321.85"/>
    <n v="0"/>
    <n v="10"/>
    <n v="14370.599999999999"/>
    <n v="6453.3"/>
    <x v="33"/>
    <x v="0"/>
  </r>
  <r>
    <x v="34"/>
    <d v="2024-08-23T00:00:00"/>
    <d v="2024-08-21T00:00:00"/>
    <n v="2"/>
    <x v="21"/>
    <s v="Education"/>
    <s v="Retail"/>
    <x v="6"/>
    <s v="Components"/>
    <n v="1432.52"/>
    <s v="High"/>
    <n v="3036.87"/>
    <n v="0"/>
    <n v="9"/>
    <n v="17207.010000000002"/>
    <n v="12892.68"/>
    <x v="34"/>
    <x v="0"/>
  </r>
  <r>
    <x v="35"/>
    <d v="2023-03-27T00:00:00"/>
    <d v="2023-04-22T00:00:00"/>
    <n v="26"/>
    <x v="22"/>
    <s v="Non-Profit"/>
    <s v="Marketplace"/>
    <x v="1"/>
    <s v="Printers"/>
    <n v="178.53"/>
    <s v="Medium"/>
    <n v="199.37"/>
    <n v="0.10100000000000001"/>
    <n v="37"/>
    <n v="86276.904139999999"/>
    <n v="6605.61"/>
    <x v="35"/>
    <x v="0"/>
  </r>
  <r>
    <x v="36"/>
    <d v="2024-03-07T00:00:00"/>
    <d v="2024-03-25T00:00:00"/>
    <n v="18"/>
    <x v="0"/>
    <s v="Corporate"/>
    <s v="Online"/>
    <x v="5"/>
    <s v="Components"/>
    <n v="712.84"/>
    <s v="High"/>
    <n v="927.51"/>
    <n v="0.24299999999999999"/>
    <n v="27"/>
    <n v="25427.751119999997"/>
    <n v="19246.68"/>
    <x v="36"/>
    <x v="0"/>
  </r>
  <r>
    <x v="37"/>
    <d v="2025-06-24T00:00:00"/>
    <d v="2025-07-10T00:00:00"/>
    <n v="16"/>
    <x v="16"/>
    <s v="Enterprise"/>
    <s v="Direct"/>
    <x v="13"/>
    <s v="Components"/>
    <n v="757.19"/>
    <s v="High"/>
    <n v="1735.41"/>
    <n v="0.13600000000000001"/>
    <n v="8"/>
    <n v="13219.269119999999"/>
    <n v="6057.52"/>
    <x v="37"/>
    <x v="0"/>
  </r>
  <r>
    <x v="38"/>
    <d v="2024-04-19T00:00:00"/>
    <d v="2024-05-06T00:00:00"/>
    <n v="17"/>
    <x v="20"/>
    <s v="Non-Profit"/>
    <s v="Online"/>
    <x v="8"/>
    <s v="Printers"/>
    <n v="865.33"/>
    <s v="High"/>
    <n v="1395.64"/>
    <n v="0.17499999999999999"/>
    <n v="13"/>
    <n v="8106.7057499999992"/>
    <n v="11249.29"/>
    <x v="38"/>
    <x v="0"/>
  </r>
  <r>
    <x v="39"/>
    <d v="2023-06-17T00:00:00"/>
    <d v="2023-06-24T00:00:00"/>
    <n v="7"/>
    <x v="23"/>
    <s v="Corporate"/>
    <s v="Retail"/>
    <x v="2"/>
    <s v="Printers"/>
    <n v="313.99"/>
    <s v="High"/>
    <n v="454.42"/>
    <n v="0.129"/>
    <n v="9"/>
    <n v="8980.9071300000014"/>
    <n v="2825.91"/>
    <x v="39"/>
    <x v="0"/>
  </r>
  <r>
    <x v="40"/>
    <d v="2024-08-27T00:00:00"/>
    <d v="2024-09-19T00:00:00"/>
    <n v="23"/>
    <x v="21"/>
    <s v="Small Business"/>
    <s v="Direct"/>
    <x v="14"/>
    <s v="Monitors"/>
    <n v="1024.01"/>
    <s v="High"/>
    <n v="1580.97"/>
    <n v="3.6999999999999998E-2"/>
    <n v="27"/>
    <n v="32087.834099999996"/>
    <n v="27648.27"/>
    <x v="40"/>
    <x v="0"/>
  </r>
  <r>
    <x v="41"/>
    <d v="2024-01-11T00:00:00"/>
    <d v="2024-02-02T00:00:00"/>
    <n v="22"/>
    <x v="9"/>
    <s v="Consumer"/>
    <s v="Online"/>
    <x v="11"/>
    <s v="Networking"/>
    <n v="1206.2"/>
    <s v="High"/>
    <n v="1759.79"/>
    <n v="0"/>
    <n v="6"/>
    <n v="7368.0599999999995"/>
    <n v="7237.2000000000007"/>
    <x v="41"/>
    <x v="0"/>
  </r>
  <r>
    <x v="42"/>
    <d v="2024-10-25T00:00:00"/>
    <d v="2024-11-14T00:00:00"/>
    <n v="20"/>
    <x v="1"/>
    <s v="Corporate"/>
    <s v="Direct"/>
    <x v="10"/>
    <s v="Printers"/>
    <n v="1396.48"/>
    <s v="High"/>
    <n v="3204.5"/>
    <n v="0.318"/>
    <n v="14"/>
    <n v="5778.7360400000007"/>
    <n v="19550.72"/>
    <x v="42"/>
    <x v="0"/>
  </r>
  <r>
    <x v="43"/>
    <d v="2025-05-29T00:00:00"/>
    <d v="2025-06-20T00:00:00"/>
    <n v="22"/>
    <x v="8"/>
    <s v="Corporate"/>
    <s v="Direct"/>
    <x v="8"/>
    <s v="Printers"/>
    <n v="483.47"/>
    <s v="High"/>
    <n v="1135.43"/>
    <n v="0.14599999999999999"/>
    <n v="11"/>
    <n v="17662.129100000002"/>
    <n v="5318.17"/>
    <x v="43"/>
    <x v="0"/>
  </r>
  <r>
    <x v="44"/>
    <d v="2024-05-20T00:00:00"/>
    <d v="2024-06-02T00:00:00"/>
    <n v="13"/>
    <x v="7"/>
    <s v="Enterprise"/>
    <s v="Marketplace"/>
    <x v="11"/>
    <s v="Components"/>
    <n v="675.43"/>
    <s v="High"/>
    <n v="996.36"/>
    <n v="0.182"/>
    <n v="22"/>
    <n v="22844.122400000004"/>
    <n v="14859.46"/>
    <x v="44"/>
    <x v="0"/>
  </r>
  <r>
    <x v="45"/>
    <d v="2023-04-19T00:00:00"/>
    <d v="2023-04-30T00:00:00"/>
    <n v="11"/>
    <x v="12"/>
    <s v="Small Business"/>
    <s v="Retail"/>
    <x v="8"/>
    <s v="Networking"/>
    <n v="826.55"/>
    <s v="High"/>
    <n v="1397.05"/>
    <n v="0.16900000000000001"/>
    <n v="28"/>
    <n v="14447.799239999997"/>
    <n v="23143.399999999998"/>
    <x v="45"/>
    <x v="0"/>
  </r>
  <r>
    <x v="46"/>
    <d v="2023-06-23T00:00:00"/>
    <d v="2023-07-03T00:00:00"/>
    <n v="10"/>
    <x v="23"/>
    <s v="Consumer"/>
    <s v="Online"/>
    <x v="1"/>
    <s v="Printers"/>
    <n v="337.75"/>
    <s v="High"/>
    <n v="548.89"/>
    <n v="0"/>
    <n v="13"/>
    <n v="18926.830000000002"/>
    <n v="4390.75"/>
    <x v="46"/>
    <x v="0"/>
  </r>
  <r>
    <x v="47"/>
    <d v="2024-05-14T00:00:00"/>
    <d v="2024-05-28T00:00:00"/>
    <n v="14"/>
    <x v="7"/>
    <s v="Consumer"/>
    <s v="Retail"/>
    <x v="5"/>
    <s v="Networking"/>
    <n v="1421.14"/>
    <s v="High"/>
    <n v="3524"/>
    <n v="0"/>
    <n v="31"/>
    <n v="16939.329999999998"/>
    <n v="44055.340000000004"/>
    <x v="47"/>
    <x v="0"/>
  </r>
  <r>
    <x v="48"/>
    <d v="2024-10-14T00:00:00"/>
    <d v="2024-11-08T00:00:00"/>
    <n v="25"/>
    <x v="1"/>
    <s v="Enterprise"/>
    <s v="Online"/>
    <x v="7"/>
    <s v="Networking"/>
    <n v="859.35"/>
    <s v="High"/>
    <n v="1825.61"/>
    <n v="0.187"/>
    <n v="24"/>
    <n v="26300.615040000001"/>
    <n v="20624.400000000001"/>
    <x v="48"/>
    <x v="0"/>
  </r>
  <r>
    <x v="49"/>
    <d v="2023-07-10T00:00:00"/>
    <d v="2023-08-01T00:00:00"/>
    <n v="22"/>
    <x v="24"/>
    <s v="Consumer"/>
    <s v="Marketplace"/>
    <x v="5"/>
    <s v="Printers"/>
    <n v="1303.56"/>
    <s v="High"/>
    <n v="1791.37"/>
    <n v="0.126"/>
    <n v="22"/>
    <n v="21312.892040000002"/>
    <n v="28678.32"/>
    <x v="49"/>
    <x v="0"/>
  </r>
  <r>
    <x v="50"/>
    <d v="2024-11-06T00:00:00"/>
    <d v="2024-11-22T00:00:00"/>
    <n v="16"/>
    <x v="18"/>
    <s v="Non-Profit"/>
    <s v="Distributor"/>
    <x v="14"/>
    <s v="Accessories"/>
    <n v="1454.11"/>
    <s v="High"/>
    <n v="2629.75"/>
    <n v="0.29199999999999998"/>
    <n v="8"/>
    <n v="17808.182399999998"/>
    <n v="11632.88"/>
    <x v="50"/>
    <x v="0"/>
  </r>
  <r>
    <x v="51"/>
    <d v="2024-10-17T00:00:00"/>
    <d v="2024-11-06T00:00:00"/>
    <n v="20"/>
    <x v="1"/>
    <s v="Enterprise"/>
    <s v="Distributor"/>
    <x v="7"/>
    <s v="Monitors"/>
    <n v="72.94"/>
    <s v="Medium"/>
    <n v="106.3"/>
    <n v="0.29499999999999998"/>
    <n v="8"/>
    <n v="11819.917200000002"/>
    <n v="583.52"/>
    <x v="51"/>
    <x v="0"/>
  </r>
  <r>
    <x v="52"/>
    <d v="2023-03-31T00:00:00"/>
    <d v="2023-04-05T00:00:00"/>
    <n v="5"/>
    <x v="22"/>
    <s v="Education"/>
    <s v="Marketplace"/>
    <x v="5"/>
    <s v="Laptops"/>
    <n v="533.26"/>
    <s v="High"/>
    <n v="385.72"/>
    <n v="0"/>
    <n v="15"/>
    <n v="10554.3"/>
    <n v="7998.9"/>
    <x v="52"/>
    <x v="0"/>
  </r>
  <r>
    <x v="53"/>
    <d v="2025-01-21T00:00:00"/>
    <d v="2025-02-16T00:00:00"/>
    <n v="26"/>
    <x v="10"/>
    <s v="Corporate"/>
    <s v="Distributor"/>
    <x v="7"/>
    <s v="Laptops"/>
    <n v="204.11"/>
    <s v="High"/>
    <n v="236.87"/>
    <n v="0.182"/>
    <n v="13"/>
    <n v="21238.118460000002"/>
    <n v="2653.4300000000003"/>
    <x v="53"/>
    <x v="0"/>
  </r>
  <r>
    <x v="54"/>
    <d v="2023-08-30T00:00:00"/>
    <d v="2023-09-01T00:00:00"/>
    <n v="2"/>
    <x v="25"/>
    <s v="Corporate"/>
    <s v="Direct"/>
    <x v="13"/>
    <s v="Networking"/>
    <n v="44.42"/>
    <s v="Low"/>
    <n v="41.9"/>
    <n v="0.14399999999999999"/>
    <n v="6"/>
    <n v="14195.647199999998"/>
    <n v="266.52"/>
    <x v="54"/>
    <x v="0"/>
  </r>
  <r>
    <x v="55"/>
    <d v="2025-04-06T00:00:00"/>
    <d v="2025-04-30T00:00:00"/>
    <n v="24"/>
    <x v="19"/>
    <s v="Education"/>
    <s v="Online"/>
    <x v="11"/>
    <s v="Monitors"/>
    <n v="855.78"/>
    <s v="High"/>
    <n v="977.38"/>
    <n v="0.14699999999999999"/>
    <n v="38"/>
    <n v="48735.421419999999"/>
    <n v="32519.64"/>
    <x v="55"/>
    <x v="0"/>
  </r>
  <r>
    <x v="56"/>
    <d v="2025-02-09T00:00:00"/>
    <d v="2025-03-01T00:00:00"/>
    <n v="20"/>
    <x v="26"/>
    <s v="Corporate"/>
    <s v="Distributor"/>
    <x v="5"/>
    <s v="Laptops"/>
    <n v="1154.6400000000001"/>
    <s v="High"/>
    <n v="2794.13"/>
    <n v="3.5000000000000003E-2"/>
    <n v="11"/>
    <n v="4119.0446000000002"/>
    <n v="12701.04"/>
    <x v="56"/>
    <x v="0"/>
  </r>
  <r>
    <x v="57"/>
    <d v="2024-12-17T00:00:00"/>
    <d v="2024-12-18T00:00:00"/>
    <n v="1"/>
    <x v="6"/>
    <s v="Education"/>
    <s v="Retail"/>
    <x v="4"/>
    <s v="Accessories"/>
    <n v="346.82"/>
    <s v="High"/>
    <n v="701.95"/>
    <n v="0.14699999999999999"/>
    <n v="8"/>
    <n v="304.14567999999997"/>
    <n v="2774.56"/>
    <x v="57"/>
    <x v="0"/>
  </r>
  <r>
    <x v="58"/>
    <d v="2025-06-09T00:00:00"/>
    <d v="2025-06-18T00:00:00"/>
    <n v="9"/>
    <x v="16"/>
    <s v="Small Business"/>
    <s v="Marketplace"/>
    <x v="10"/>
    <s v="Accessories"/>
    <n v="1225.5"/>
    <s v="Low"/>
    <n v="-5.27"/>
    <n v="7.4999999999999997E-2"/>
    <n v="56"/>
    <n v="93667.868000000002"/>
    <n v="68628"/>
    <x v="58"/>
    <x v="0"/>
  </r>
  <r>
    <x v="59"/>
    <d v="2025-05-02T00:00:00"/>
    <d v="2025-05-13T00:00:00"/>
    <n v="11"/>
    <x v="8"/>
    <s v="Small Business"/>
    <s v="Online"/>
    <x v="8"/>
    <s v="Accessories"/>
    <n v="1057.5999999999999"/>
    <s v="High"/>
    <n v="1437.06"/>
    <n v="0.20499999999999999"/>
    <n v="4"/>
    <n v="4086.5861999999997"/>
    <n v="4230.3999999999996"/>
    <x v="59"/>
    <x v="0"/>
  </r>
  <r>
    <x v="60"/>
    <d v="2024-03-10T00:00:00"/>
    <d v="2024-04-09T00:00:00"/>
    <n v="30"/>
    <x v="0"/>
    <s v="Corporate"/>
    <s v="Direct"/>
    <x v="2"/>
    <s v="Components"/>
    <n v="1176.56"/>
    <s v="High"/>
    <n v="1911.89"/>
    <n v="0.11899999999999999"/>
    <n v="20"/>
    <n v="29568.826800000003"/>
    <n v="23531.199999999997"/>
    <x v="60"/>
    <x v="0"/>
  </r>
  <r>
    <x v="61"/>
    <d v="2025-09-10T00:00:00"/>
    <d v="2025-09-12T00:00:00"/>
    <n v="2"/>
    <x v="11"/>
    <s v="Consumer"/>
    <s v="Online"/>
    <x v="7"/>
    <s v="Components"/>
    <n v="1470.15"/>
    <s v="High"/>
    <n v="2593.7800000000002"/>
    <n v="0.11"/>
    <n v="12"/>
    <n v="7255.4580000000005"/>
    <n v="17641.800000000003"/>
    <x v="61"/>
    <x v="0"/>
  </r>
  <r>
    <x v="62"/>
    <d v="2025-04-27T00:00:00"/>
    <d v="2025-05-25T00:00:00"/>
    <n v="28"/>
    <x v="19"/>
    <s v="Small Business"/>
    <s v="Marketplace"/>
    <x v="2"/>
    <s v="Phones"/>
    <n v="603.45000000000005"/>
    <s v="High"/>
    <n v="1244.08"/>
    <n v="0.2"/>
    <n v="11"/>
    <n v="9767.2960000000003"/>
    <n v="6637.9500000000007"/>
    <x v="62"/>
    <x v="0"/>
  </r>
  <r>
    <x v="63"/>
    <d v="2024-11-02T00:00:00"/>
    <d v="2024-11-18T00:00:00"/>
    <n v="16"/>
    <x v="18"/>
    <s v="Small Business"/>
    <s v="Distributor"/>
    <x v="7"/>
    <s v="Monitors"/>
    <n v="1233.58"/>
    <s v="High"/>
    <n v="1912.51"/>
    <n v="0.255"/>
    <n v="51"/>
    <n v="3175.2421499999996"/>
    <n v="62912.579999999994"/>
    <x v="63"/>
    <x v="0"/>
  </r>
  <r>
    <x v="64"/>
    <d v="2023-02-15T00:00:00"/>
    <d v="2023-02-26T00:00:00"/>
    <n v="11"/>
    <x v="2"/>
    <s v="Non-Profit"/>
    <s v="Retail"/>
    <x v="11"/>
    <s v="Laptops"/>
    <n v="498.5"/>
    <s v="High"/>
    <n v="755.87"/>
    <n v="0.13"/>
    <n v="40"/>
    <n v="44693.64"/>
    <n v="19940"/>
    <x v="64"/>
    <x v="0"/>
  </r>
  <r>
    <x v="65"/>
    <d v="2023-12-03T00:00:00"/>
    <d v="2023-12-26T00:00:00"/>
    <n v="23"/>
    <x v="4"/>
    <s v="Education"/>
    <s v="Retail"/>
    <x v="7"/>
    <s v="Phones"/>
    <n v="1303.1099999999999"/>
    <s v="High"/>
    <n v="1145.67"/>
    <n v="0.184"/>
    <n v="13"/>
    <n v="9671.5257600000004"/>
    <n v="16940.43"/>
    <x v="65"/>
    <x v="0"/>
  </r>
  <r>
    <x v="66"/>
    <d v="2023-03-19T00:00:00"/>
    <d v="2023-04-09T00:00:00"/>
    <n v="21"/>
    <x v="22"/>
    <s v="Consumer"/>
    <s v="Retail"/>
    <x v="4"/>
    <s v="Accessories"/>
    <n v="1082.17"/>
    <s v="High"/>
    <n v="1234.0999999999999"/>
    <n v="0.189"/>
    <n v="16"/>
    <n v="18232.188319999997"/>
    <n v="17314.72"/>
    <x v="66"/>
    <x v="0"/>
  </r>
  <r>
    <x v="67"/>
    <d v="2024-05-22T00:00:00"/>
    <d v="2024-06-06T00:00:00"/>
    <n v="15"/>
    <x v="7"/>
    <s v="Corporate"/>
    <s v="Distributor"/>
    <x v="0"/>
    <s v="Monitors"/>
    <n v="673.88"/>
    <s v="High"/>
    <n v="1228.01"/>
    <n v="0.105"/>
    <n v="13"/>
    <n v="11273.616900000001"/>
    <n v="8760.44"/>
    <x v="67"/>
    <x v="0"/>
  </r>
  <r>
    <x v="68"/>
    <d v="2023-08-19T00:00:00"/>
    <d v="2023-09-07T00:00:00"/>
    <n v="19"/>
    <x v="25"/>
    <s v="Enterprise"/>
    <s v="Retail"/>
    <x v="14"/>
    <s v="Monitors"/>
    <n v="494.61"/>
    <s v="High"/>
    <n v="605.23"/>
    <n v="0.20399999999999999"/>
    <n v="18"/>
    <n v="15600.46968"/>
    <n v="8902.98"/>
    <x v="68"/>
    <x v="0"/>
  </r>
  <r>
    <x v="69"/>
    <d v="2023-04-21T00:00:00"/>
    <d v="2023-05-10T00:00:00"/>
    <n v="19"/>
    <x v="12"/>
    <s v="Corporate"/>
    <s v="Retail"/>
    <x v="8"/>
    <s v="Components"/>
    <n v="882.33"/>
    <s v="High"/>
    <n v="1880.15"/>
    <n v="0.05"/>
    <n v="5"/>
    <n v="11803.702499999998"/>
    <n v="4411.6500000000005"/>
    <x v="69"/>
    <x v="0"/>
  </r>
  <r>
    <x v="70"/>
    <d v="2024-03-18T00:00:00"/>
    <d v="2024-03-21T00:00:00"/>
    <n v="3"/>
    <x v="0"/>
    <s v="Small Business"/>
    <s v="Online"/>
    <x v="12"/>
    <s v="Accessories"/>
    <n v="910.63"/>
    <s v="High"/>
    <n v="1269.4000000000001"/>
    <n v="6.8000000000000005E-2"/>
    <n v="9"/>
    <n v="240.65172000000001"/>
    <n v="8195.67"/>
    <x v="70"/>
    <x v="0"/>
  </r>
  <r>
    <x v="71"/>
    <d v="2025-04-09T00:00:00"/>
    <d v="2025-05-06T00:00:00"/>
    <n v="27"/>
    <x v="19"/>
    <s v="Enterprise"/>
    <s v="Marketplace"/>
    <x v="9"/>
    <s v="Laptops"/>
    <n v="264.19"/>
    <s v="High"/>
    <n v="620.92999999999995"/>
    <n v="0.14199999999999999"/>
    <n v="12"/>
    <n v="19527.59952"/>
    <n v="3170.2799999999997"/>
    <x v="71"/>
    <x v="0"/>
  </r>
  <r>
    <x v="72"/>
    <d v="2024-04-12T00:00:00"/>
    <d v="2024-05-07T00:00:00"/>
    <n v="25"/>
    <x v="20"/>
    <s v="Education"/>
    <s v="Distributor"/>
    <x v="8"/>
    <s v="Laptops"/>
    <n v="1376.51"/>
    <s v="High"/>
    <n v="1455.91"/>
    <n v="0.185"/>
    <n v="17"/>
    <n v="5807.6003499999997"/>
    <n v="23400.67"/>
    <x v="72"/>
    <x v="0"/>
  </r>
  <r>
    <x v="73"/>
    <d v="2024-12-15T00:00:00"/>
    <d v="2024-12-20T00:00:00"/>
    <n v="5"/>
    <x v="6"/>
    <s v="Small Business"/>
    <s v="Direct"/>
    <x v="1"/>
    <s v="Networking"/>
    <n v="717.55"/>
    <s v="High"/>
    <n v="546.42999999999995"/>
    <n v="4.7E-2"/>
    <n v="18"/>
    <n v="34328.070179999995"/>
    <n v="12915.9"/>
    <x v="73"/>
    <x v="0"/>
  </r>
  <r>
    <x v="74"/>
    <d v="2023-05-20T00:00:00"/>
    <d v="2023-05-18T00:00:00"/>
    <n v="2"/>
    <x v="15"/>
    <s v="Corporate"/>
    <s v="Distributor"/>
    <x v="8"/>
    <s v="Components"/>
    <n v="917.88"/>
    <s v="High"/>
    <n v="1347.92"/>
    <n v="0.34300000000000003"/>
    <n v="5"/>
    <n v="10198.97235"/>
    <n v="4589.3999999999996"/>
    <x v="74"/>
    <x v="0"/>
  </r>
  <r>
    <x v="75"/>
    <d v="2023-09-18T00:00:00"/>
    <d v="2023-10-08T00:00:00"/>
    <n v="20"/>
    <x v="27"/>
    <s v="Small Business"/>
    <s v="Direct"/>
    <x v="5"/>
    <s v="Components"/>
    <n v="825.64"/>
    <s v="High"/>
    <n v="1108.43"/>
    <n v="0.114"/>
    <n v="7"/>
    <n v="2073.2045600000001"/>
    <n v="5779.48"/>
    <x v="75"/>
    <x v="0"/>
  </r>
  <r>
    <x v="76"/>
    <d v="2024-08-28T00:00:00"/>
    <d v="2024-09-25T00:00:00"/>
    <n v="28"/>
    <x v="21"/>
    <s v="Non-Profit"/>
    <s v="Online"/>
    <x v="15"/>
    <s v="Accessories"/>
    <n v="1394.65"/>
    <s v="High"/>
    <n v="3144.1"/>
    <n v="0.13400000000000001"/>
    <n v="13"/>
    <n v="21984.960139999999"/>
    <n v="18130.45"/>
    <x v="76"/>
    <x v="0"/>
  </r>
  <r>
    <x v="77"/>
    <d v="2024-06-30T00:00:00"/>
    <d v="2024-06-28T00:00:00"/>
    <n v="2"/>
    <x v="17"/>
    <s v="Small Business"/>
    <s v="Direct"/>
    <x v="4"/>
    <s v="Accessories"/>
    <n v="1112.98"/>
    <s v="High"/>
    <n v="2095.73"/>
    <n v="7.1999999999999995E-2"/>
    <n v="17"/>
    <n v="3822.3670400000005"/>
    <n v="18920.66"/>
    <x v="77"/>
    <x v="0"/>
  </r>
  <r>
    <x v="78"/>
    <d v="2023-06-14T00:00:00"/>
    <d v="2023-06-16T00:00:00"/>
    <n v="2"/>
    <x v="23"/>
    <s v="Non-Profit"/>
    <s v="Direct"/>
    <x v="11"/>
    <s v="Components"/>
    <n v="357.36"/>
    <s v="High"/>
    <n v="703.62"/>
    <n v="0.25700000000000001"/>
    <n v="20"/>
    <n v="44117.408199999998"/>
    <n v="7147.2000000000007"/>
    <x v="78"/>
    <x v="0"/>
  </r>
  <r>
    <x v="79"/>
    <d v="2024-11-21T00:00:00"/>
    <d v="2024-12-21T00:00:00"/>
    <n v="0"/>
    <x v="18"/>
    <s v="Small Business"/>
    <s v="Direct"/>
    <x v="2"/>
    <s v="Monitors"/>
    <n v="1122.68"/>
    <s v="High"/>
    <n v="1997.19"/>
    <n v="0.186"/>
    <n v="3"/>
    <n v="3404.8806"/>
    <n v="3368.04"/>
    <x v="79"/>
    <x v="0"/>
  </r>
  <r>
    <x v="80"/>
    <d v="2023-02-08T00:00:00"/>
    <d v="2023-02-11T00:00:00"/>
    <n v="3"/>
    <x v="2"/>
    <s v="Corporate"/>
    <s v="Direct"/>
    <x v="12"/>
    <s v="Networking"/>
    <n v="1410.05"/>
    <s v="High"/>
    <n v="2763.95"/>
    <n v="0.161"/>
    <n v="26"/>
    <n v="336.15374000000003"/>
    <n v="36661.299999999996"/>
    <x v="80"/>
    <x v="0"/>
  </r>
  <r>
    <x v="81"/>
    <d v="2023-08-19T00:00:00"/>
    <d v="2023-09-12T00:00:00"/>
    <n v="24"/>
    <x v="25"/>
    <s v="Enterprise"/>
    <s v="Retail"/>
    <x v="2"/>
    <s v="Printers"/>
    <n v="1183.95"/>
    <s v="High"/>
    <n v="1503.53"/>
    <n v="0.24099999999999999"/>
    <n v="16"/>
    <n v="27333.836640000001"/>
    <n v="18943.2"/>
    <x v="81"/>
    <x v="0"/>
  </r>
  <r>
    <x v="82"/>
    <d v="2025-05-14T00:00:00"/>
    <d v="2025-05-24T00:00:00"/>
    <n v="10"/>
    <x v="8"/>
    <s v="Small Business"/>
    <s v="Marketplace"/>
    <x v="11"/>
    <s v="Components"/>
    <n v="170.39"/>
    <s v="High"/>
    <n v="388.04"/>
    <n v="8.4000000000000005E-2"/>
    <n v="15"/>
    <n v="2281.3896"/>
    <n v="2555.85"/>
    <x v="82"/>
    <x v="0"/>
  </r>
  <r>
    <x v="83"/>
    <d v="2025-04-23T00:00:00"/>
    <d v="2025-04-22T00:00:00"/>
    <n v="1"/>
    <x v="19"/>
    <s v="Non-Profit"/>
    <s v="Distributor"/>
    <x v="14"/>
    <s v="Monitors"/>
    <n v="23.24"/>
    <s v="Low"/>
    <n v="44.57"/>
    <n v="0.215"/>
    <n v="15"/>
    <n v="4198.3762500000003"/>
    <n v="348.59999999999997"/>
    <x v="83"/>
    <x v="0"/>
  </r>
  <r>
    <x v="84"/>
    <d v="2025-03-25T00:00:00"/>
    <d v="2025-04-17T00:00:00"/>
    <n v="23"/>
    <x v="3"/>
    <s v="Consumer"/>
    <s v="Retail"/>
    <x v="10"/>
    <s v="Networking"/>
    <n v="1421.19"/>
    <s v="High"/>
    <n v="1808.26"/>
    <n v="0.104"/>
    <n v="13"/>
    <n v="11939.7824"/>
    <n v="18475.47"/>
    <x v="84"/>
    <x v="0"/>
  </r>
  <r>
    <x v="85"/>
    <d v="2023-12-22T00:00:00"/>
    <d v="2023-12-23T00:00:00"/>
    <n v="1"/>
    <x v="4"/>
    <s v="Non-Profit"/>
    <s v="Marketplace"/>
    <x v="14"/>
    <s v="Components"/>
    <n v="1186.18"/>
    <s v="High"/>
    <n v="1285.0899999999999"/>
    <n v="7.0000000000000007E-2"/>
    <n v="11"/>
    <n v="18364.589100000001"/>
    <n v="13047.980000000001"/>
    <x v="85"/>
    <x v="0"/>
  </r>
  <r>
    <x v="86"/>
    <d v="2024-04-06T00:00:00"/>
    <d v="2024-04-25T00:00:00"/>
    <n v="19"/>
    <x v="20"/>
    <s v="Corporate"/>
    <s v="Retail"/>
    <x v="11"/>
    <s v="Components"/>
    <n v="1366.48"/>
    <s v="High"/>
    <n v="1678.14"/>
    <n v="0.154"/>
    <n v="10"/>
    <n v="36.970199999999998"/>
    <n v="13664.8"/>
    <x v="86"/>
    <x v="0"/>
  </r>
  <r>
    <x v="87"/>
    <d v="2025-08-07T00:00:00"/>
    <d v="2025-08-19T00:00:00"/>
    <n v="12"/>
    <x v="28"/>
    <s v="Corporate"/>
    <s v="Not Provided"/>
    <x v="12"/>
    <s v="Components"/>
    <n v="601.51"/>
    <s v="High"/>
    <n v="679.35"/>
    <n v="0.188"/>
    <n v="3"/>
    <n v="532.26600000000008"/>
    <n v="1804.53"/>
    <x v="87"/>
    <x v="0"/>
  </r>
  <r>
    <x v="88"/>
    <d v="2024-01-21T00:00:00"/>
    <d v="2024-01-25T00:00:00"/>
    <n v="4"/>
    <x v="9"/>
    <s v="Consumer"/>
    <s v="Direct"/>
    <x v="0"/>
    <s v="Monitors"/>
    <n v="523.70000000000005"/>
    <s v="High"/>
    <n v="1109.92"/>
    <n v="0.03"/>
    <n v="11"/>
    <n v="2666.1129000000001"/>
    <n v="5760.7000000000007"/>
    <x v="88"/>
    <x v="0"/>
  </r>
  <r>
    <x v="89"/>
    <d v="2023-06-29T00:00:00"/>
    <d v="2023-07-02T00:00:00"/>
    <n v="3"/>
    <x v="23"/>
    <s v="Education"/>
    <s v="Marketplace"/>
    <x v="9"/>
    <s v="Monitors"/>
    <n v="55.65"/>
    <s v="Medium"/>
    <n v="83.57"/>
    <n v="6.6000000000000003E-2"/>
    <n v="8"/>
    <n v="25677.677439999999"/>
    <n v="445.2"/>
    <x v="89"/>
    <x v="0"/>
  </r>
  <r>
    <x v="90"/>
    <d v="2025-04-28T00:00:00"/>
    <d v="2025-05-15T00:00:00"/>
    <n v="17"/>
    <x v="19"/>
    <s v="Education"/>
    <s v="Direct"/>
    <x v="13"/>
    <s v="Networking"/>
    <n v="691.19"/>
    <s v="High"/>
    <n v="1284.3"/>
    <n v="7.3999999999999996E-2"/>
    <n v="7"/>
    <n v="346.46290000000005"/>
    <n v="4838.33"/>
    <x v="90"/>
    <x v="0"/>
  </r>
  <r>
    <x v="91"/>
    <d v="2025-06-09T00:00:00"/>
    <d v="2025-06-25T00:00:00"/>
    <n v="16"/>
    <x v="16"/>
    <s v="Enterprise"/>
    <s v="Distributor"/>
    <x v="12"/>
    <s v="Phones"/>
    <n v="527.33000000000004"/>
    <s v="High"/>
    <n v="911.72"/>
    <n v="0.14399999999999999"/>
    <n v="25"/>
    <n v="74251.58"/>
    <n v="13183.250000000002"/>
    <x v="91"/>
    <x v="0"/>
  </r>
  <r>
    <x v="92"/>
    <d v="2023-06-24T00:00:00"/>
    <d v="2023-06-23T00:00:00"/>
    <n v="1"/>
    <x v="23"/>
    <s v="Non-Profit"/>
    <s v="Retail"/>
    <x v="6"/>
    <s v="Printers"/>
    <n v="804.01"/>
    <s v="High"/>
    <n v="1405.07"/>
    <n v="9.6000000000000002E-2"/>
    <n v="8"/>
    <n v="4491.2166399999996"/>
    <n v="6432.08"/>
    <x v="92"/>
    <x v="0"/>
  </r>
  <r>
    <x v="93"/>
    <d v="2024-10-04T00:00:00"/>
    <d v="2024-11-02T00:00:00"/>
    <n v="29"/>
    <x v="1"/>
    <s v="Corporate"/>
    <s v="Distributor"/>
    <x v="9"/>
    <s v="Accessories"/>
    <n v="412.09"/>
    <s v="High"/>
    <n v="968.94"/>
    <n v="9.9000000000000005E-2"/>
    <n v="23"/>
    <n v="1834.19273"/>
    <n v="9478.07"/>
    <x v="93"/>
    <x v="0"/>
  </r>
  <r>
    <x v="94"/>
    <d v="2025-09-10T00:00:00"/>
    <d v="2025-09-30T00:00:00"/>
    <n v="20"/>
    <x v="11"/>
    <s v="Corporate"/>
    <s v="Direct"/>
    <x v="4"/>
    <s v="Phones"/>
    <n v="1009.48"/>
    <s v="High"/>
    <n v="1088.81"/>
    <n v="0.16"/>
    <n v="6"/>
    <n v="9873.8135999999995"/>
    <n v="6056.88"/>
    <x v="94"/>
    <x v="0"/>
  </r>
  <r>
    <x v="95"/>
    <d v="2023-04-06T00:00:00"/>
    <d v="2023-04-27T00:00:00"/>
    <n v="21"/>
    <x v="12"/>
    <s v="Enterprise"/>
    <s v="Distributor"/>
    <x v="2"/>
    <s v="Printers"/>
    <n v="1084.79"/>
    <s v="High"/>
    <n v="2484.9899999999998"/>
    <n v="3.4000000000000002E-2"/>
    <n v="18"/>
    <n v="47694.762360000001"/>
    <n v="19526.22"/>
    <x v="95"/>
    <x v="0"/>
  </r>
  <r>
    <x v="96"/>
    <d v="2025-08-01T00:00:00"/>
    <d v="2025-08-16T00:00:00"/>
    <n v="15"/>
    <x v="28"/>
    <s v="Enterprise"/>
    <s v="Direct"/>
    <x v="7"/>
    <s v="Monitors"/>
    <n v="24.44"/>
    <s v="Low"/>
    <n v="28.69"/>
    <n v="0.14599999999999999"/>
    <n v="6"/>
    <n v="8605.3480799999998"/>
    <n v="146.64000000000001"/>
    <x v="96"/>
    <x v="0"/>
  </r>
  <r>
    <x v="97"/>
    <d v="2024-05-28T00:00:00"/>
    <d v="2024-05-26T00:00:00"/>
    <n v="2"/>
    <x v="7"/>
    <s v="Enterprise"/>
    <s v="Online"/>
    <x v="9"/>
    <s v="Accessories"/>
    <n v="1227.08"/>
    <s v="High"/>
    <n v="1896.62"/>
    <n v="0"/>
    <n v="18"/>
    <n v="25810.2"/>
    <n v="22087.439999999999"/>
    <x v="97"/>
    <x v="0"/>
  </r>
  <r>
    <x v="98"/>
    <d v="2025-07-22T00:00:00"/>
    <d v="2025-08-18T00:00:00"/>
    <n v="27"/>
    <x v="13"/>
    <s v="Non-Profit"/>
    <s v="Marketplace"/>
    <x v="12"/>
    <s v="Networking"/>
    <n v="547.32000000000005"/>
    <s v="High"/>
    <n v="419.17"/>
    <n v="9.1999999999999998E-2"/>
    <n v="14"/>
    <n v="3615.67416"/>
    <n v="7662.4800000000005"/>
    <x v="98"/>
    <x v="0"/>
  </r>
  <r>
    <x v="99"/>
    <d v="2023-02-28T00:00:00"/>
    <d v="2023-03-20T00:00:00"/>
    <n v="20"/>
    <x v="2"/>
    <s v="Small Business"/>
    <s v="Direct"/>
    <x v="10"/>
    <s v="Laptops"/>
    <n v="1200.78"/>
    <s v="High"/>
    <n v="2001.17"/>
    <n v="0.29199999999999998"/>
    <n v="18"/>
    <n v="8854.276319999999"/>
    <n v="21614.04"/>
    <x v="99"/>
    <x v="0"/>
  </r>
  <r>
    <x v="100"/>
    <d v="2025-01-27T00:00:00"/>
    <d v="2025-02-15T00:00:00"/>
    <n v="19"/>
    <x v="10"/>
    <s v="Non-Profit"/>
    <s v="Direct"/>
    <x v="4"/>
    <s v="Phones"/>
    <n v="1253.22"/>
    <s v="High"/>
    <n v="3104.71"/>
    <n v="0"/>
    <n v="17"/>
    <n v="31422.63"/>
    <n v="21304.74"/>
    <x v="100"/>
    <x v="0"/>
  </r>
  <r>
    <x v="101"/>
    <d v="2024-01-13T00:00:00"/>
    <d v="2024-01-22T00:00:00"/>
    <n v="9"/>
    <x v="9"/>
    <s v="Enterprise"/>
    <s v="Marketplace"/>
    <x v="1"/>
    <s v="Components"/>
    <n v="313.60000000000002"/>
    <s v="High"/>
    <n v="334.28"/>
    <n v="0.14000000000000001"/>
    <n v="22"/>
    <n v="854.99479999999994"/>
    <n v="6899.2000000000007"/>
    <x v="101"/>
    <x v="0"/>
  </r>
  <r>
    <x v="102"/>
    <d v="2025-03-31T00:00:00"/>
    <d v="2025-04-04T00:00:00"/>
    <n v="4"/>
    <x v="3"/>
    <s v="Corporate"/>
    <s v="Direct"/>
    <x v="0"/>
    <s v="Laptops"/>
    <n v="862.08"/>
    <s v="High"/>
    <n v="1952.83"/>
    <n v="0"/>
    <n v="7"/>
    <n v="2527.7000000000003"/>
    <n v="6034.56"/>
    <x v="102"/>
    <x v="0"/>
  </r>
  <r>
    <x v="103"/>
    <d v="2024-12-05T00:00:00"/>
    <d v="2024-12-28T00:00:00"/>
    <n v="23"/>
    <x v="6"/>
    <s v="Corporate"/>
    <s v="Direct"/>
    <x v="9"/>
    <s v="Accessories"/>
    <n v="107.03"/>
    <s v="High"/>
    <n v="242.29"/>
    <n v="0.18"/>
    <n v="30"/>
    <n v="24706.764000000003"/>
    <n v="3210.9"/>
    <x v="103"/>
    <x v="0"/>
  </r>
  <r>
    <x v="104"/>
    <d v="2024-09-14T00:00:00"/>
    <d v="2024-10-05T00:00:00"/>
    <n v="21"/>
    <x v="29"/>
    <s v="Small Business"/>
    <s v="Online"/>
    <x v="10"/>
    <s v="Laptops"/>
    <n v="1405.56"/>
    <s v="High"/>
    <n v="2968.87"/>
    <n v="0.16900000000000001"/>
    <n v="5"/>
    <n v="4270.2181499999997"/>
    <n v="7027.7999999999993"/>
    <x v="104"/>
    <x v="0"/>
  </r>
  <r>
    <x v="105"/>
    <d v="2024-05-21T00:00:00"/>
    <d v="2024-05-27T00:00:00"/>
    <n v="6"/>
    <x v="7"/>
    <s v="Non-Profit"/>
    <s v="Online"/>
    <x v="12"/>
    <s v="Components"/>
    <n v="1157.51"/>
    <s v="High"/>
    <n v="1394.3"/>
    <n v="0.27800000000000002"/>
    <n v="12"/>
    <n v="4055.5317599999998"/>
    <n v="13890.119999999999"/>
    <x v="105"/>
    <x v="0"/>
  </r>
  <r>
    <x v="106"/>
    <d v="2023-05-11T00:00:00"/>
    <d v="2023-06-07T00:00:00"/>
    <n v="27"/>
    <x v="15"/>
    <s v="Corporate"/>
    <s v="Online"/>
    <x v="1"/>
    <s v="Phones"/>
    <n v="12.85"/>
    <s v="Low"/>
    <n v="15.41"/>
    <n v="0.13700000000000001"/>
    <n v="39"/>
    <n v="22483.549139999999"/>
    <n v="501.15"/>
    <x v="106"/>
    <x v="0"/>
  </r>
  <r>
    <x v="107"/>
    <d v="2024-08-14T00:00:00"/>
    <d v="2024-09-04T00:00:00"/>
    <n v="21"/>
    <x v="21"/>
    <s v="Non-Profit"/>
    <s v="Online"/>
    <x v="1"/>
    <s v="Phones"/>
    <n v="1138.8"/>
    <s v="High"/>
    <n v="2250.81"/>
    <n v="0.123"/>
    <n v="12"/>
    <n v="5654.22948"/>
    <n v="13665.599999999999"/>
    <x v="107"/>
    <x v="0"/>
  </r>
  <r>
    <x v="108"/>
    <d v="2024-10-16T00:00:00"/>
    <d v="2024-11-08T00:00:00"/>
    <n v="23"/>
    <x v="1"/>
    <s v="Small Business"/>
    <s v="Retail"/>
    <x v="1"/>
    <s v="Networking"/>
    <n v="82.14"/>
    <s v="Medium"/>
    <n v="166.04"/>
    <n v="0"/>
    <n v="10"/>
    <n v="5727.1"/>
    <n v="821.4"/>
    <x v="108"/>
    <x v="0"/>
  </r>
  <r>
    <x v="109"/>
    <d v="2024-06-02T00:00:00"/>
    <d v="2024-06-08T00:00:00"/>
    <n v="6"/>
    <x v="17"/>
    <s v="Consumer"/>
    <s v="Marketplace"/>
    <x v="8"/>
    <s v="Accessories"/>
    <n v="292.94"/>
    <s v="High"/>
    <n v="356.55"/>
    <n v="0.22900000000000001"/>
    <n v="2"/>
    <n v="3583.4075399999997"/>
    <n v="585.88"/>
    <x v="109"/>
    <x v="0"/>
  </r>
  <r>
    <x v="110"/>
    <d v="2024-06-09T00:00:00"/>
    <d v="2024-07-07T00:00:00"/>
    <n v="28"/>
    <x v="17"/>
    <s v="Corporate"/>
    <s v="Online"/>
    <x v="1"/>
    <s v="Components"/>
    <n v="550.22"/>
    <s v="High"/>
    <n v="1025.05"/>
    <n v="0"/>
    <n v="27"/>
    <n v="44038.080000000002"/>
    <n v="14855.94"/>
    <x v="110"/>
    <x v="0"/>
  </r>
  <r>
    <x v="111"/>
    <d v="2024-06-10T00:00:00"/>
    <d v="2024-06-11T00:00:00"/>
    <n v="1"/>
    <x v="17"/>
    <s v="Small Business"/>
    <s v="Marketplace"/>
    <x v="12"/>
    <s v="Laptops"/>
    <n v="1187.1300000000001"/>
    <s v="High"/>
    <n v="1795.17"/>
    <n v="1.2E-2"/>
    <n v="17"/>
    <n v="6606.0347600000005"/>
    <n v="20181.210000000003"/>
    <x v="111"/>
    <x v="0"/>
  </r>
  <r>
    <x v="112"/>
    <d v="2024-06-29T00:00:00"/>
    <d v="2024-07-26T00:00:00"/>
    <n v="27"/>
    <x v="17"/>
    <s v="Enterprise"/>
    <s v="Distributor"/>
    <x v="5"/>
    <s v="Networking"/>
    <n v="5.36"/>
    <s v="Low"/>
    <n v="4.37"/>
    <n v="0.11799999999999999"/>
    <n v="9"/>
    <n v="14734.198080000002"/>
    <n v="48.24"/>
    <x v="112"/>
    <x v="0"/>
  </r>
  <r>
    <x v="113"/>
    <d v="2025-01-17T00:00:00"/>
    <d v="2025-01-24T00:00:00"/>
    <n v="7"/>
    <x v="10"/>
    <s v="Enterprise"/>
    <s v="Online"/>
    <x v="3"/>
    <s v="Accessories"/>
    <n v="142.09"/>
    <s v="High"/>
    <n v="218.5"/>
    <n v="0.11899999999999999"/>
    <n v="11"/>
    <n v="822.7659000000001"/>
    <n v="1562.99"/>
    <x v="113"/>
    <x v="0"/>
  </r>
  <r>
    <x v="114"/>
    <d v="2023-11-20T00:00:00"/>
    <d v="2023-12-05T00:00:00"/>
    <n v="15"/>
    <x v="30"/>
    <s v="Enterprise"/>
    <s v="Retail"/>
    <x v="4"/>
    <s v="Networking"/>
    <n v="354.24"/>
    <s v="High"/>
    <n v="249.87"/>
    <n v="0"/>
    <n v="6"/>
    <n v="13513.439999999999"/>
    <n v="2125.44"/>
    <x v="114"/>
    <x v="0"/>
  </r>
  <r>
    <x v="115"/>
    <d v="2023-03-02T00:00:00"/>
    <d v="2023-03-05T00:00:00"/>
    <n v="3"/>
    <x v="22"/>
    <s v="Enterprise"/>
    <s v="Direct"/>
    <x v="3"/>
    <s v="Monitors"/>
    <n v="1473.58"/>
    <s v="High"/>
    <n v="3436.52"/>
    <n v="0.108"/>
    <n v="8"/>
    <n v="6576.6803200000004"/>
    <n v="11788.64"/>
    <x v="115"/>
    <x v="0"/>
  </r>
  <r>
    <x v="116"/>
    <d v="2025-06-03T00:00:00"/>
    <d v="2025-06-10T00:00:00"/>
    <n v="7"/>
    <x v="16"/>
    <s v="Consumer"/>
    <s v="Distributor"/>
    <x v="7"/>
    <s v="Printers"/>
    <n v="75.180000000000007"/>
    <s v="Medium"/>
    <n v="53.45"/>
    <n v="0.157"/>
    <n v="17"/>
    <n v="23548.41258"/>
    <n v="1278.0600000000002"/>
    <x v="116"/>
    <x v="0"/>
  </r>
  <r>
    <x v="117"/>
    <d v="2024-12-27T00:00:00"/>
    <d v="2025-01-02T00:00:00"/>
    <n v="6"/>
    <x v="6"/>
    <s v="Education"/>
    <s v="Direct"/>
    <x v="9"/>
    <s v="Laptops"/>
    <n v="1391.99"/>
    <s v="High"/>
    <n v="3469.7"/>
    <n v="0.184"/>
    <n v="23"/>
    <n v="27535.846560000005"/>
    <n v="32015.77"/>
    <x v="117"/>
    <x v="0"/>
  </r>
  <r>
    <x v="118"/>
    <d v="2023-06-09T00:00:00"/>
    <d v="2023-06-19T00:00:00"/>
    <n v="10"/>
    <x v="23"/>
    <s v="Enterprise"/>
    <s v="Retail"/>
    <x v="9"/>
    <s v="Monitors"/>
    <n v="339.61"/>
    <s v="High"/>
    <n v="621.02"/>
    <n v="7.0999999999999994E-2"/>
    <n v="10"/>
    <n v="9278.4804000000004"/>
    <n v="3396.1000000000004"/>
    <x v="118"/>
    <x v="0"/>
  </r>
  <r>
    <x v="119"/>
    <d v="2025-07-09T00:00:00"/>
    <d v="2025-07-18T00:00:00"/>
    <n v="9"/>
    <x v="13"/>
    <s v="Education"/>
    <s v="Distributor"/>
    <x v="2"/>
    <s v="Laptops"/>
    <n v="57.96"/>
    <s v="Medium"/>
    <n v="88.51"/>
    <n v="4.2999999999999997E-2"/>
    <n v="7"/>
    <n v="4225.1932799999995"/>
    <n v="405.72"/>
    <x v="119"/>
    <x v="0"/>
  </r>
  <r>
    <x v="120"/>
    <d v="2025-06-19T00:00:00"/>
    <d v="2025-07-12T00:00:00"/>
    <n v="23"/>
    <x v="16"/>
    <s v="Non-Profit"/>
    <s v="Direct"/>
    <x v="15"/>
    <s v="Networking"/>
    <n v="801.24"/>
    <s v="High"/>
    <n v="1959.09"/>
    <n v="0.123"/>
    <n v="23"/>
    <n v="14696.792309999999"/>
    <n v="18428.52"/>
    <x v="120"/>
    <x v="0"/>
  </r>
  <r>
    <x v="121"/>
    <d v="2023-11-19T00:00:00"/>
    <d v="2023-12-13T00:00:00"/>
    <n v="24"/>
    <x v="30"/>
    <s v="Non-Profit"/>
    <s v="Direct"/>
    <x v="10"/>
    <s v="Monitors"/>
    <n v="1297.42"/>
    <s v="High"/>
    <n v="2742.97"/>
    <n v="6.9000000000000006E-2"/>
    <n v="9"/>
    <n v="7972.7022900000002"/>
    <n v="11676.78"/>
    <x v="121"/>
    <x v="0"/>
  </r>
  <r>
    <x v="122"/>
    <d v="2023-12-29T00:00:00"/>
    <d v="2024-01-20T00:00:00"/>
    <n v="22"/>
    <x v="4"/>
    <s v="Corporate"/>
    <s v="Direct"/>
    <x v="4"/>
    <s v="Phones"/>
    <n v="1395.49"/>
    <s v="High"/>
    <n v="1679.42"/>
    <n v="0.20300000000000001"/>
    <n v="12"/>
    <n v="7009.2643199999993"/>
    <n v="16745.88"/>
    <x v="122"/>
    <x v="0"/>
  </r>
  <r>
    <x v="123"/>
    <d v="2024-11-02T00:00:00"/>
    <d v="2024-11-29T00:00:00"/>
    <n v="27"/>
    <x v="18"/>
    <s v="Small Business"/>
    <s v="Direct"/>
    <x v="2"/>
    <s v="Networking"/>
    <n v="1363.51"/>
    <s v="High"/>
    <n v="1433.9"/>
    <n v="5.7000000000000002E-2"/>
    <n v="8"/>
    <n v="18192.506879999997"/>
    <n v="10908.08"/>
    <x v="123"/>
    <x v="0"/>
  </r>
  <r>
    <x v="124"/>
    <d v="2023-08-21T00:00:00"/>
    <d v="2023-09-04T00:00:00"/>
    <n v="14"/>
    <x v="25"/>
    <s v="Education"/>
    <s v="Distributor"/>
    <x v="9"/>
    <s v="Components"/>
    <n v="178.19"/>
    <s v="High"/>
    <n v="284.43"/>
    <n v="8.8999999999999996E-2"/>
    <n v="8"/>
    <n v="4141.6975199999997"/>
    <n v="1425.52"/>
    <x v="124"/>
    <x v="0"/>
  </r>
  <r>
    <x v="125"/>
    <d v="2023-08-12T00:00:00"/>
    <d v="2023-09-06T00:00:00"/>
    <n v="25"/>
    <x v="25"/>
    <s v="Small Business"/>
    <s v="Retail"/>
    <x v="5"/>
    <s v="Components"/>
    <n v="950.77"/>
    <s v="High"/>
    <n v="694.78"/>
    <n v="8.4000000000000005E-2"/>
    <n v="14"/>
    <n v="16093.478800000001"/>
    <n v="13310.779999999999"/>
    <x v="125"/>
    <x v="0"/>
  </r>
  <r>
    <x v="126"/>
    <d v="2024-06-07T00:00:00"/>
    <d v="2024-06-26T00:00:00"/>
    <n v="19"/>
    <x v="17"/>
    <s v="Non-Profit"/>
    <s v="Marketplace"/>
    <x v="12"/>
    <s v="Components"/>
    <n v="1064.32"/>
    <s v="High"/>
    <n v="1848.39"/>
    <n v="7.2999999999999995E-2"/>
    <n v="38"/>
    <n v="29785.344300000001"/>
    <n v="40444.159999999996"/>
    <x v="126"/>
    <x v="0"/>
  </r>
  <r>
    <x v="127"/>
    <d v="2025-08-05T00:00:00"/>
    <d v="2025-08-14T00:00:00"/>
    <n v="9"/>
    <x v="28"/>
    <s v="Non-Profit"/>
    <s v="Direct"/>
    <x v="6"/>
    <s v="Components"/>
    <n v="41.76"/>
    <s v="Low"/>
    <n v="45.19"/>
    <n v="0.17899999999999999"/>
    <n v="23"/>
    <n v="40507.245110000003"/>
    <n v="960.4799999999999"/>
    <x v="127"/>
    <x v="0"/>
  </r>
  <r>
    <x v="128"/>
    <d v="2024-05-30T00:00:00"/>
    <d v="2024-06-13T00:00:00"/>
    <n v="14"/>
    <x v="7"/>
    <s v="Small Business"/>
    <s v="Retail"/>
    <x v="9"/>
    <s v="Phones"/>
    <n v="157.78"/>
    <s v="High"/>
    <n v="361.1"/>
    <n v="0.187"/>
    <n v="9"/>
    <n v="9877.5109800000009"/>
    <n v="1420.02"/>
    <x v="128"/>
    <x v="0"/>
  </r>
  <r>
    <x v="129"/>
    <d v="2023-01-22T00:00:00"/>
    <d v="2023-01-30T00:00:00"/>
    <n v="8"/>
    <x v="5"/>
    <s v="Small Business"/>
    <s v="Online"/>
    <x v="8"/>
    <s v="Networking"/>
    <n v="413.52"/>
    <s v="High"/>
    <n v="1004.34"/>
    <n v="0.111"/>
    <n v="18"/>
    <n v="8440.7349599999998"/>
    <n v="7443.36"/>
    <x v="129"/>
    <x v="0"/>
  </r>
  <r>
    <x v="130"/>
    <d v="2025-02-12T00:00:00"/>
    <d v="2025-02-28T00:00:00"/>
    <n v="16"/>
    <x v="26"/>
    <s v="Non-Profit"/>
    <s v="Direct"/>
    <x v="5"/>
    <s v="Monitors"/>
    <n v="414.95"/>
    <s v="High"/>
    <n v="1027.73"/>
    <n v="6.3E-2"/>
    <n v="8"/>
    <n v="10997.906320000002"/>
    <n v="3319.6"/>
    <x v="130"/>
    <x v="0"/>
  </r>
  <r>
    <x v="131"/>
    <d v="2025-03-03T00:00:00"/>
    <d v="2025-03-24T00:00:00"/>
    <n v="21"/>
    <x v="3"/>
    <s v="Enterprise"/>
    <s v="Direct"/>
    <x v="10"/>
    <s v="Accessories"/>
    <n v="555.95000000000005"/>
    <s v="High"/>
    <n v="468.09"/>
    <n v="0.14199999999999999"/>
    <n v="11"/>
    <n v="15583.45932"/>
    <n v="6115.4500000000007"/>
    <x v="131"/>
    <x v="0"/>
  </r>
  <r>
    <x v="132"/>
    <d v="2023-01-27T00:00:00"/>
    <d v="2023-01-31T00:00:00"/>
    <n v="4"/>
    <x v="5"/>
    <s v="Enterprise"/>
    <s v="Online"/>
    <x v="13"/>
    <s v="Laptops"/>
    <n v="941.2"/>
    <s v="High"/>
    <n v="668.02"/>
    <n v="0.22"/>
    <n v="16"/>
    <n v="24737.606400000001"/>
    <n v="15059.2"/>
    <x v="132"/>
    <x v="0"/>
  </r>
  <r>
    <x v="133"/>
    <d v="2025-01-09T00:00:00"/>
    <d v="2025-01-15T00:00:00"/>
    <n v="6"/>
    <x v="10"/>
    <s v="Education"/>
    <s v="Online"/>
    <x v="0"/>
    <s v="Phones"/>
    <n v="304.77999999999997"/>
    <s v="High"/>
    <n v="537.27"/>
    <n v="0.187"/>
    <n v="8"/>
    <n v="16599.638879999999"/>
    <n v="2438.2399999999998"/>
    <x v="133"/>
    <x v="0"/>
  </r>
  <r>
    <x v="134"/>
    <d v="2024-12-21T00:00:00"/>
    <d v="2024-12-26T00:00:00"/>
    <n v="5"/>
    <x v="6"/>
    <s v="Consumer"/>
    <s v="Marketplace"/>
    <x v="12"/>
    <s v="Printers"/>
    <n v="699.57"/>
    <s v="High"/>
    <n v="572.71"/>
    <n v="0.192"/>
    <n v="26"/>
    <n v="10987.39408"/>
    <n v="18188.82"/>
    <x v="134"/>
    <x v="0"/>
  </r>
  <r>
    <x v="135"/>
    <d v="2023-04-12T00:00:00"/>
    <d v="2023-04-17T00:00:00"/>
    <n v="5"/>
    <x v="12"/>
    <s v="Enterprise"/>
    <s v="Direct"/>
    <x v="6"/>
    <s v="Monitors"/>
    <n v="1087.81"/>
    <s v="High"/>
    <n v="2323.87"/>
    <n v="9.4E-2"/>
    <n v="13"/>
    <n v="14342.18838"/>
    <n v="14141.529999999999"/>
    <x v="135"/>
    <x v="0"/>
  </r>
  <r>
    <x v="136"/>
    <d v="2024-12-14T00:00:00"/>
    <d v="2025-01-12T00:00:00"/>
    <n v="29"/>
    <x v="6"/>
    <s v="Education"/>
    <s v="Online"/>
    <x v="1"/>
    <s v="Components"/>
    <n v="1412.15"/>
    <s v="High"/>
    <n v="1631.04"/>
    <n v="8.9999999999999993E-3"/>
    <n v="6"/>
    <n v="7989.2834400000002"/>
    <n v="8472.9000000000015"/>
    <x v="136"/>
    <x v="0"/>
  </r>
  <r>
    <x v="137"/>
    <d v="2023-03-31T00:00:00"/>
    <d v="2023-04-12T00:00:00"/>
    <n v="12"/>
    <x v="22"/>
    <s v="Small Business"/>
    <s v="Online"/>
    <x v="0"/>
    <s v="Phones"/>
    <n v="304.22000000000003"/>
    <s v="High"/>
    <n v="393.31"/>
    <n v="0.26500000000000001"/>
    <n v="15"/>
    <n v="3326.2424999999998"/>
    <n v="4563.3"/>
    <x v="137"/>
    <x v="0"/>
  </r>
  <r>
    <x v="138"/>
    <d v="2024-11-20T00:00:00"/>
    <d v="2024-12-15T00:00:00"/>
    <n v="25"/>
    <x v="18"/>
    <s v="Corporate"/>
    <s v="Online"/>
    <x v="3"/>
    <s v="Printers"/>
    <n v="1203.58"/>
    <s v="High"/>
    <n v="1856.16"/>
    <n v="0.129"/>
    <n v="22"/>
    <n v="28967.387020000002"/>
    <n v="26478.76"/>
    <x v="138"/>
    <x v="0"/>
  </r>
  <r>
    <x v="139"/>
    <d v="2024-02-14T00:00:00"/>
    <d v="2024-02-14T00:00:00"/>
    <n v="0"/>
    <x v="31"/>
    <s v="Corporate"/>
    <s v="Distributor"/>
    <x v="4"/>
    <s v="Accessories"/>
    <n v="65.930000000000007"/>
    <s v="Medium"/>
    <n v="84.9"/>
    <n v="0.25900000000000001"/>
    <n v="23"/>
    <n v="35027.455319999994"/>
    <n v="1516.39"/>
    <x v="139"/>
    <x v="0"/>
  </r>
  <r>
    <x v="140"/>
    <d v="2023-05-02T00:00:00"/>
    <d v="2023-05-18T00:00:00"/>
    <n v="16"/>
    <x v="15"/>
    <s v="Small Business"/>
    <s v="Marketplace"/>
    <x v="11"/>
    <s v="Monitors"/>
    <n v="1463.92"/>
    <s v="High"/>
    <n v="2252.2399999999998"/>
    <n v="0.11799999999999999"/>
    <n v="44"/>
    <n v="15179.749199999998"/>
    <n v="64412.480000000003"/>
    <x v="140"/>
    <x v="0"/>
  </r>
  <r>
    <x v="141"/>
    <d v="2024-12-23T00:00:00"/>
    <d v="2025-01-11T00:00:00"/>
    <n v="19"/>
    <x v="6"/>
    <s v="Education"/>
    <s v="Retail"/>
    <x v="11"/>
    <s v="Phones"/>
    <n v="501.81"/>
    <s v="High"/>
    <n v="921.62"/>
    <n v="0.01"/>
    <n v="9"/>
    <n v="16474.322700000001"/>
    <n v="4516.29"/>
    <x v="141"/>
    <x v="0"/>
  </r>
  <r>
    <x v="142"/>
    <d v="2023-07-26T00:00:00"/>
    <d v="2023-08-25T00:00:00"/>
    <n v="30"/>
    <x v="24"/>
    <s v="Consumer"/>
    <s v="Retail"/>
    <x v="12"/>
    <s v="Accessories"/>
    <n v="1261.48"/>
    <s v="High"/>
    <n v="1643.18"/>
    <n v="0.151"/>
    <n v="23"/>
    <n v="27251.100119999996"/>
    <n v="29014.04"/>
    <x v="142"/>
    <x v="0"/>
  </r>
  <r>
    <x v="143"/>
    <d v="2024-06-15T00:00:00"/>
    <d v="2024-07-06T00:00:00"/>
    <n v="21"/>
    <x v="17"/>
    <s v="Enterprise"/>
    <s v="Distributor"/>
    <x v="4"/>
    <s v="Printers"/>
    <n v="817.23"/>
    <s v="High"/>
    <n v="1467.17"/>
    <n v="0.245"/>
    <n v="9"/>
    <n v="3655.9817999999996"/>
    <n v="7355.07"/>
    <x v="143"/>
    <x v="0"/>
  </r>
  <r>
    <x v="144"/>
    <d v="2023-07-05T00:00:00"/>
    <d v="2023-07-14T00:00:00"/>
    <n v="9"/>
    <x v="24"/>
    <s v="Enterprise"/>
    <s v="Direct"/>
    <x v="5"/>
    <s v="Networking"/>
    <n v="578.85"/>
    <s v="High"/>
    <n v="998.76"/>
    <n v="8.2000000000000003E-2"/>
    <n v="28"/>
    <n v="31331.119680000003"/>
    <n v="16207.800000000001"/>
    <x v="144"/>
    <x v="0"/>
  </r>
  <r>
    <x v="145"/>
    <d v="2023-11-30T00:00:00"/>
    <d v="2023-11-29T00:00:00"/>
    <n v="1"/>
    <x v="30"/>
    <s v="Small Business"/>
    <s v="Marketplace"/>
    <x v="6"/>
    <s v="Laptops"/>
    <n v="275.56"/>
    <s v="High"/>
    <n v="630.72"/>
    <n v="0.107"/>
    <n v="23"/>
    <n v="42353.882679999995"/>
    <n v="6337.88"/>
    <x v="145"/>
    <x v="0"/>
  </r>
  <r>
    <x v="146"/>
    <d v="2025-09-11T00:00:00"/>
    <d v="2025-09-28T00:00:00"/>
    <n v="17"/>
    <x v="11"/>
    <s v="Non-Profit"/>
    <s v="Distributor"/>
    <x v="1"/>
    <s v="Laptops"/>
    <n v="891.46"/>
    <s v="High"/>
    <n v="728.61"/>
    <n v="0.185"/>
    <n v="6"/>
    <n v="49.780199999999994"/>
    <n v="5348.76"/>
    <x v="146"/>
    <x v="0"/>
  </r>
  <r>
    <x v="147"/>
    <d v="2024-04-04T00:00:00"/>
    <d v="2024-04-24T00:00:00"/>
    <n v="20"/>
    <x v="20"/>
    <s v="Non-Profit"/>
    <s v="Direct"/>
    <x v="7"/>
    <s v="Accessories"/>
    <n v="683.42"/>
    <s v="High"/>
    <n v="951.51"/>
    <n v="0"/>
    <n v="14"/>
    <n v="31944.079999999998"/>
    <n v="9567.8799999999992"/>
    <x v="147"/>
    <x v="0"/>
  </r>
  <r>
    <x v="148"/>
    <d v="2023-09-14T00:00:00"/>
    <d v="2023-09-16T00:00:00"/>
    <n v="2"/>
    <x v="27"/>
    <s v="Non-Profit"/>
    <s v="Direct"/>
    <x v="5"/>
    <s v="Printers"/>
    <n v="376.83"/>
    <s v="High"/>
    <n v="732.88"/>
    <n v="0.188"/>
    <n v="25"/>
    <n v="5066.2710000000006"/>
    <n v="9420.75"/>
    <x v="148"/>
    <x v="0"/>
  </r>
  <r>
    <x v="149"/>
    <d v="2024-09-23T00:00:00"/>
    <d v="2024-10-18T00:00:00"/>
    <n v="25"/>
    <x v="29"/>
    <s v="Small Business"/>
    <s v="Online"/>
    <x v="13"/>
    <s v="Phones"/>
    <n v="1297"/>
    <s v="High"/>
    <n v="2411.52"/>
    <n v="2.1000000000000001E-2"/>
    <n v="18"/>
    <n v="57712.049999999996"/>
    <n v="23346"/>
    <x v="149"/>
    <x v="0"/>
  </r>
  <r>
    <x v="150"/>
    <d v="2025-04-16T00:00:00"/>
    <d v="2025-05-16T00:00:00"/>
    <n v="0"/>
    <x v="19"/>
    <s v="Enterprise"/>
    <s v="Distributor"/>
    <x v="11"/>
    <s v="Printers"/>
    <n v="763.32"/>
    <s v="High"/>
    <n v="568.29"/>
    <n v="0.13100000000000001"/>
    <n v="16"/>
    <n v="26608.919040000001"/>
    <n v="12213.12"/>
    <x v="150"/>
    <x v="0"/>
  </r>
  <r>
    <x v="151"/>
    <d v="2023-07-03T00:00:00"/>
    <d v="2023-07-23T00:00:00"/>
    <n v="20"/>
    <x v="24"/>
    <s v="Small Business"/>
    <s v="Distributor"/>
    <x v="9"/>
    <s v="Laptops"/>
    <n v="1001.96"/>
    <s v="High"/>
    <n v="1254.95"/>
    <n v="4.4999999999999998E-2"/>
    <n v="18"/>
    <n v="517.24709999999993"/>
    <n v="18035.28"/>
    <x v="151"/>
    <x v="0"/>
  </r>
  <r>
    <x v="152"/>
    <d v="2023-12-07T00:00:00"/>
    <d v="2023-12-05T00:00:00"/>
    <n v="2"/>
    <x v="4"/>
    <s v="Non-Profit"/>
    <s v="Marketplace"/>
    <x v="10"/>
    <s v="Printers"/>
    <n v="1097.5899999999999"/>
    <s v="High"/>
    <n v="845.55"/>
    <n v="0.184"/>
    <n v="6"/>
    <n v="2454.4137600000004"/>
    <n v="6585.5399999999991"/>
    <x v="152"/>
    <x v="0"/>
  </r>
  <r>
    <x v="153"/>
    <d v="2024-02-18T00:00:00"/>
    <d v="2024-03-04T00:00:00"/>
    <n v="15"/>
    <x v="31"/>
    <s v="Education"/>
    <s v="Direct"/>
    <x v="11"/>
    <s v="Printers"/>
    <n v="928.68"/>
    <s v="High"/>
    <n v="2145.17"/>
    <n v="0.13600000000000001"/>
    <n v="16"/>
    <n v="5684.1523200000001"/>
    <n v="14858.88"/>
    <x v="153"/>
    <x v="0"/>
  </r>
  <r>
    <x v="154"/>
    <d v="2023-10-31T00:00:00"/>
    <d v="2023-11-02T00:00:00"/>
    <n v="2"/>
    <x v="32"/>
    <s v="Education"/>
    <s v="Retail"/>
    <x v="7"/>
    <s v="Accessories"/>
    <n v="867.89"/>
    <s v="High"/>
    <n v="1349.94"/>
    <n v="0.184"/>
    <n v="10"/>
    <n v="48.307200000000009"/>
    <n v="8678.9"/>
    <x v="154"/>
    <x v="0"/>
  </r>
  <r>
    <x v="155"/>
    <d v="2024-08-07T00:00:00"/>
    <d v="2024-08-17T00:00:00"/>
    <n v="10"/>
    <x v="21"/>
    <s v="Consumer"/>
    <s v="Online"/>
    <x v="11"/>
    <s v="Networking"/>
    <n v="436.58"/>
    <s v="High"/>
    <n v="527.48"/>
    <n v="0.111"/>
    <n v="19"/>
    <n v="37272.187330000001"/>
    <n v="8295.02"/>
    <x v="155"/>
    <x v="0"/>
  </r>
  <r>
    <x v="156"/>
    <d v="2024-02-01T00:00:00"/>
    <d v="2024-02-21T00:00:00"/>
    <n v="20"/>
    <x v="31"/>
    <s v="Small Business"/>
    <s v="Marketplace"/>
    <x v="8"/>
    <s v="Networking"/>
    <n v="656.2"/>
    <s v="High"/>
    <n v="1467.17"/>
    <n v="1.7999999999999999E-2"/>
    <n v="5"/>
    <n v="9391.848"/>
    <n v="3281"/>
    <x v="156"/>
    <x v="0"/>
  </r>
  <r>
    <x v="157"/>
    <d v="2024-08-27T00:00:00"/>
    <d v="2024-09-18T00:00:00"/>
    <n v="22"/>
    <x v="21"/>
    <s v="Consumer"/>
    <s v="Direct"/>
    <x v="5"/>
    <s v="Components"/>
    <n v="896.75"/>
    <s v="High"/>
    <n v="1651.14"/>
    <n v="2.5000000000000001E-2"/>
    <n v="15"/>
    <n v="20216.283749999999"/>
    <n v="13451.25"/>
    <x v="157"/>
    <x v="0"/>
  </r>
  <r>
    <x v="158"/>
    <d v="2025-02-15T00:00:00"/>
    <d v="2025-02-15T00:00:00"/>
    <n v="0"/>
    <x v="26"/>
    <s v="Small Business"/>
    <s v="Marketplace"/>
    <x v="4"/>
    <s v="Accessories"/>
    <n v="815.83"/>
    <s v="High"/>
    <n v="1982.18"/>
    <n v="0.127"/>
    <n v="6"/>
    <n v="7100.6851799999995"/>
    <n v="4894.9800000000005"/>
    <x v="158"/>
    <x v="0"/>
  </r>
  <r>
    <x v="159"/>
    <d v="2025-08-01T00:00:00"/>
    <d v="2025-08-21T00:00:00"/>
    <n v="20"/>
    <x v="28"/>
    <s v="Corporate"/>
    <s v="Direct"/>
    <x v="2"/>
    <s v="Phones"/>
    <n v="1220.4100000000001"/>
    <s v="High"/>
    <n v="2552.2199999999998"/>
    <n v="0.18099999999999999"/>
    <n v="14"/>
    <n v="10180.661399999999"/>
    <n v="17085.740000000002"/>
    <x v="159"/>
    <x v="0"/>
  </r>
  <r>
    <x v="160"/>
    <d v="2023-02-20T00:00:00"/>
    <d v="2023-03-04T00:00:00"/>
    <n v="12"/>
    <x v="2"/>
    <s v="Consumer"/>
    <s v="Distributor"/>
    <x v="12"/>
    <s v="Monitors"/>
    <n v="299.75"/>
    <s v="High"/>
    <n v="523.01"/>
    <n v="0.157"/>
    <n v="50"/>
    <n v="43022.083500000001"/>
    <n v="14987.5"/>
    <x v="160"/>
    <x v="0"/>
  </r>
  <r>
    <x v="161"/>
    <d v="2024-10-30T00:00:00"/>
    <d v="2024-11-24T00:00:00"/>
    <n v="25"/>
    <x v="1"/>
    <s v="Small Business"/>
    <s v="Online"/>
    <x v="6"/>
    <s v="Components"/>
    <n v="811.05"/>
    <s v="High"/>
    <n v="1217.71"/>
    <n v="7.1999999999999995E-2"/>
    <n v="5"/>
    <n v="6475.2592000000004"/>
    <n v="4055.25"/>
    <x v="161"/>
    <x v="0"/>
  </r>
  <r>
    <x v="162"/>
    <d v="2024-04-03T00:00:00"/>
    <d v="2024-04-07T00:00:00"/>
    <n v="4"/>
    <x v="20"/>
    <s v="Non-Profit"/>
    <s v="Direct"/>
    <x v="13"/>
    <s v="Phones"/>
    <n v="1023.27"/>
    <s v="High"/>
    <n v="1343.64"/>
    <n v="0.13300000000000001"/>
    <n v="7"/>
    <n v="13797.385980000001"/>
    <n v="7162.8899999999994"/>
    <x v="162"/>
    <x v="0"/>
  </r>
  <r>
    <x v="163"/>
    <d v="2023-03-25T00:00:00"/>
    <d v="2023-03-26T00:00:00"/>
    <n v="1"/>
    <x v="22"/>
    <s v="Small Business"/>
    <s v="Distributor"/>
    <x v="2"/>
    <s v="Monitors"/>
    <n v="135.12"/>
    <s v="High"/>
    <n v="301.7"/>
    <n v="0.14000000000000001"/>
    <n v="47"/>
    <n v="50207.703000000001"/>
    <n v="6350.64"/>
    <x v="163"/>
    <x v="0"/>
  </r>
  <r>
    <x v="164"/>
    <d v="2024-06-04T00:00:00"/>
    <d v="2024-06-16T00:00:00"/>
    <n v="12"/>
    <x v="17"/>
    <s v="Corporate"/>
    <s v="Retail"/>
    <x v="1"/>
    <s v="Printers"/>
    <n v="918.42"/>
    <s v="High"/>
    <n v="1511.71"/>
    <n v="0.02"/>
    <n v="8"/>
    <n v="10272.6736"/>
    <n v="7347.36"/>
    <x v="164"/>
    <x v="0"/>
  </r>
  <r>
    <x v="165"/>
    <d v="2023-02-19T00:00:00"/>
    <d v="2023-03-12T00:00:00"/>
    <n v="21"/>
    <x v="2"/>
    <s v="Small Business"/>
    <s v="Direct"/>
    <x v="4"/>
    <s v="Monitors"/>
    <n v="1234.81"/>
    <s v="High"/>
    <n v="2055.2399999999998"/>
    <n v="5.2999999999999999E-2"/>
    <n v="44"/>
    <n v="40303.373"/>
    <n v="54331.64"/>
    <x v="165"/>
    <x v="0"/>
  </r>
  <r>
    <x v="166"/>
    <d v="2023-04-18T00:00:00"/>
    <d v="2023-05-18T00:00:00"/>
    <n v="0"/>
    <x v="12"/>
    <s v="Non-Profit"/>
    <s v="Retail"/>
    <x v="10"/>
    <s v="Laptops"/>
    <n v="329.03"/>
    <s v="High"/>
    <n v="391.15"/>
    <n v="0.19700000000000001"/>
    <n v="46"/>
    <n v="32735.194359999998"/>
    <n v="15135.38"/>
    <x v="166"/>
    <x v="0"/>
  </r>
  <r>
    <x v="167"/>
    <d v="2024-05-23T00:00:00"/>
    <d v="2024-06-14T00:00:00"/>
    <n v="22"/>
    <x v="7"/>
    <s v="Small Business"/>
    <s v="Online"/>
    <x v="13"/>
    <s v="Monitors"/>
    <n v="1481.74"/>
    <s v="High"/>
    <n v="1848.97"/>
    <n v="0.254"/>
    <n v="9"/>
    <n v="5308.1555399999997"/>
    <n v="13335.66"/>
    <x v="167"/>
    <x v="0"/>
  </r>
  <r>
    <x v="168"/>
    <d v="2023-10-07T00:00:00"/>
    <d v="2023-10-23T00:00:00"/>
    <n v="16"/>
    <x v="32"/>
    <s v="Consumer"/>
    <s v="Retail"/>
    <x v="3"/>
    <s v="Monitors"/>
    <n v="906.81"/>
    <s v="High"/>
    <n v="1395.56"/>
    <n v="0.185"/>
    <n v="6"/>
    <n v="1766.9036999999998"/>
    <n v="5440.86"/>
    <x v="168"/>
    <x v="0"/>
  </r>
  <r>
    <x v="169"/>
    <d v="2024-10-09T00:00:00"/>
    <d v="2024-11-08T00:00:00"/>
    <n v="30"/>
    <x v="1"/>
    <s v="Small Business"/>
    <s v="Distributor"/>
    <x v="1"/>
    <s v="Components"/>
    <n v="343.85"/>
    <s v="High"/>
    <n v="538.04"/>
    <n v="0.13900000000000001"/>
    <n v="5"/>
    <n v="8403.5321999999996"/>
    <n v="1719.25"/>
    <x v="169"/>
    <x v="0"/>
  </r>
  <r>
    <x v="170"/>
    <d v="2024-07-15T00:00:00"/>
    <d v="2024-07-15T00:00:00"/>
    <n v="0"/>
    <x v="14"/>
    <s v="Small Business"/>
    <s v="Marketplace"/>
    <x v="3"/>
    <s v="Accessories"/>
    <n v="801.77"/>
    <s v="High"/>
    <n v="1218.92"/>
    <n v="0.254"/>
    <n v="16"/>
    <n v="18676.97536"/>
    <n v="12828.32"/>
    <x v="170"/>
    <x v="0"/>
  </r>
  <r>
    <x v="171"/>
    <d v="2023-09-21T00:00:00"/>
    <d v="2023-10-10T00:00:00"/>
    <n v="19"/>
    <x v="27"/>
    <s v="Education"/>
    <s v="Online"/>
    <x v="14"/>
    <s v="Components"/>
    <n v="845.63"/>
    <s v="High"/>
    <n v="2062.12"/>
    <n v="0.13400000000000001"/>
    <n v="5"/>
    <n v="3691.4982"/>
    <n v="4228.1499999999996"/>
    <x v="171"/>
    <x v="0"/>
  </r>
  <r>
    <x v="172"/>
    <d v="2023-02-24T00:00:00"/>
    <d v="2023-03-09T00:00:00"/>
    <n v="13"/>
    <x v="2"/>
    <s v="Enterprise"/>
    <s v="Online"/>
    <x v="12"/>
    <s v="Components"/>
    <n v="6.85"/>
    <s v="Low"/>
    <n v="10.18"/>
    <n v="4.7E-2"/>
    <n v="10"/>
    <n v="13964.213699999998"/>
    <n v="68.5"/>
    <x v="172"/>
    <x v="0"/>
  </r>
  <r>
    <x v="173"/>
    <d v="2025-05-21T00:00:00"/>
    <d v="2025-05-19T00:00:00"/>
    <n v="2"/>
    <x v="8"/>
    <s v="Non-Profit"/>
    <s v="Distributor"/>
    <x v="7"/>
    <s v="Laptops"/>
    <n v="1263.8399999999999"/>
    <s v="High"/>
    <n v="2281.7199999999998"/>
    <n v="7.8E-2"/>
    <n v="15"/>
    <n v="36583.530899999998"/>
    <n v="18957.599999999999"/>
    <x v="173"/>
    <x v="0"/>
  </r>
  <r>
    <x v="174"/>
    <d v="2024-05-23T00:00:00"/>
    <d v="2024-06-03T00:00:00"/>
    <n v="11"/>
    <x v="7"/>
    <s v="Small Business"/>
    <s v="Distributor"/>
    <x v="9"/>
    <s v="Printers"/>
    <n v="180.89"/>
    <s v="High"/>
    <n v="249.57"/>
    <n v="2.1999999999999999E-2"/>
    <n v="8"/>
    <n v="6897.4036800000003"/>
    <n v="1447.12"/>
    <x v="174"/>
    <x v="0"/>
  </r>
  <r>
    <x v="175"/>
    <d v="2025-04-14T00:00:00"/>
    <d v="2025-05-04T00:00:00"/>
    <n v="20"/>
    <x v="19"/>
    <s v="Enterprise"/>
    <s v="Marketplace"/>
    <x v="11"/>
    <s v="Monitors"/>
    <n v="1413.87"/>
    <s v="High"/>
    <n v="3275"/>
    <n v="0.255"/>
    <n v="38"/>
    <n v="17694.882399999999"/>
    <n v="53727.06"/>
    <x v="175"/>
    <x v="0"/>
  </r>
  <r>
    <x v="176"/>
    <d v="2023-08-27T00:00:00"/>
    <d v="2023-09-11T00:00:00"/>
    <n v="15"/>
    <x v="25"/>
    <s v="Consumer"/>
    <s v="Marketplace"/>
    <x v="13"/>
    <s v="Printers"/>
    <n v="943.79"/>
    <s v="High"/>
    <n v="1913.76"/>
    <n v="9.0999999999999998E-2"/>
    <n v="9"/>
    <n v="7960.4402400000008"/>
    <n v="8494.11"/>
    <x v="176"/>
    <x v="0"/>
  </r>
  <r>
    <x v="177"/>
    <d v="2024-02-03T00:00:00"/>
    <d v="2024-02-21T00:00:00"/>
    <n v="18"/>
    <x v="31"/>
    <s v="Corporate"/>
    <s v="Retail"/>
    <x v="10"/>
    <s v="Components"/>
    <n v="39.229999999999997"/>
    <s v="Low"/>
    <n v="30.09"/>
    <n v="0.17699999999999999"/>
    <n v="13"/>
    <n v="16533.592659999998"/>
    <n v="509.98999999999995"/>
    <x v="177"/>
    <x v="0"/>
  </r>
  <r>
    <x v="178"/>
    <d v="2023-04-05T00:00:00"/>
    <d v="2023-04-16T00:00:00"/>
    <n v="11"/>
    <x v="12"/>
    <s v="Non-Profit"/>
    <s v="Online"/>
    <x v="7"/>
    <s v="Monitors"/>
    <n v="213.1"/>
    <s v="High"/>
    <n v="501.31"/>
    <n v="5.6000000000000001E-2"/>
    <n v="15"/>
    <n v="31908.427200000002"/>
    <n v="3196.5"/>
    <x v="178"/>
    <x v="0"/>
  </r>
  <r>
    <x v="179"/>
    <d v="2025-08-21T00:00:00"/>
    <d v="2025-09-12T00:00:00"/>
    <n v="22"/>
    <x v="28"/>
    <s v="Education"/>
    <s v="Retail"/>
    <x v="5"/>
    <s v="Printers"/>
    <n v="352.66"/>
    <s v="High"/>
    <n v="411.18"/>
    <n v="0.17299999999999999"/>
    <n v="13"/>
    <n v="26302.966559999997"/>
    <n v="4584.58"/>
    <x v="179"/>
    <x v="0"/>
  </r>
  <r>
    <x v="180"/>
    <d v="2025-09-15T00:00:00"/>
    <d v="2025-09-18T00:00:00"/>
    <n v="3"/>
    <x v="11"/>
    <s v="Non-Profit"/>
    <s v="Direct"/>
    <x v="4"/>
    <s v="Accessories"/>
    <n v="5.5"/>
    <s v="Low"/>
    <n v="5.92"/>
    <n v="0.21199999999999999"/>
    <n v="4"/>
    <n v="593.52160000000003"/>
    <n v="22"/>
    <x v="180"/>
    <x v="0"/>
  </r>
  <r>
    <x v="181"/>
    <d v="2024-10-03T00:00:00"/>
    <d v="2024-10-11T00:00:00"/>
    <n v="8"/>
    <x v="1"/>
    <s v="Enterprise"/>
    <s v="Direct"/>
    <x v="5"/>
    <s v="Phones"/>
    <n v="1132.6099999999999"/>
    <s v="High"/>
    <n v="2206.63"/>
    <n v="6.3E-2"/>
    <n v="20"/>
    <n v="48027.621600000006"/>
    <n v="22652.199999999997"/>
    <x v="181"/>
    <x v="0"/>
  </r>
  <r>
    <x v="182"/>
    <d v="2025-02-02T00:00:00"/>
    <d v="2025-03-04T00:00:00"/>
    <n v="2"/>
    <x v="26"/>
    <s v="Education"/>
    <s v="Distributor"/>
    <x v="4"/>
    <s v="Accessories"/>
    <n v="766.59"/>
    <s v="High"/>
    <n v="1912.8"/>
    <n v="0.19600000000000001"/>
    <n v="5"/>
    <n v="7256.5421999999999"/>
    <n v="3832.9500000000003"/>
    <x v="182"/>
    <x v="0"/>
  </r>
  <r>
    <x v="183"/>
    <d v="2023-08-19T00:00:00"/>
    <d v="2023-08-23T00:00:00"/>
    <n v="4"/>
    <x v="25"/>
    <s v="Small Business"/>
    <s v="Online"/>
    <x v="1"/>
    <s v="Monitors"/>
    <n v="790.63"/>
    <s v="High"/>
    <n v="1382.31"/>
    <n v="0.10100000000000001"/>
    <n v="7"/>
    <n v="12999.63889"/>
    <n v="5534.41"/>
    <x v="183"/>
    <x v="0"/>
  </r>
  <r>
    <x v="184"/>
    <d v="2024-10-22T00:00:00"/>
    <d v="2024-10-29T00:00:00"/>
    <n v="7"/>
    <x v="1"/>
    <s v="Enterprise"/>
    <s v="Distributor"/>
    <x v="12"/>
    <s v="Monitors"/>
    <n v="1023.06"/>
    <s v="High"/>
    <n v="1355.61"/>
    <n v="0.153"/>
    <n v="23"/>
    <n v="46101.981310000003"/>
    <n v="23530.379999999997"/>
    <x v="184"/>
    <x v="0"/>
  </r>
  <r>
    <x v="185"/>
    <d v="2023-06-22T00:00:00"/>
    <d v="2023-07-21T00:00:00"/>
    <n v="29"/>
    <x v="23"/>
    <s v="Corporate"/>
    <s v="Retail"/>
    <x v="1"/>
    <s v="Accessories"/>
    <n v="734.34"/>
    <s v="High"/>
    <n v="887.9"/>
    <n v="2.5000000000000001E-2"/>
    <n v="12"/>
    <n v="1541.5919999999999"/>
    <n v="8812.08"/>
    <x v="185"/>
    <x v="0"/>
  </r>
  <r>
    <x v="186"/>
    <d v="2025-01-13T00:00:00"/>
    <d v="2025-02-08T00:00:00"/>
    <n v="26"/>
    <x v="10"/>
    <s v="Non-Profit"/>
    <s v="Not Provided"/>
    <x v="6"/>
    <s v="Monitors"/>
    <n v="594.74"/>
    <s v="High"/>
    <n v="1020.69"/>
    <n v="0.21099999999999999"/>
    <n v="6"/>
    <n v="6319.9846800000005"/>
    <n v="3568.44"/>
    <x v="186"/>
    <x v="0"/>
  </r>
  <r>
    <x v="129"/>
    <d v="2023-01-29T00:00:00"/>
    <d v="2023-02-28T00:00:00"/>
    <n v="30"/>
    <x v="5"/>
    <s v="Non-Profit"/>
    <s v="Retail"/>
    <x v="5"/>
    <s v="Accessories"/>
    <n v="1262.0999999999999"/>
    <s v="High"/>
    <n v="1395.53"/>
    <n v="0.23300000000000001"/>
    <n v="25"/>
    <n v="51608.553749999999"/>
    <n v="31552.499999999996"/>
    <x v="187"/>
    <x v="0"/>
  </r>
  <r>
    <x v="187"/>
    <d v="2023-07-19T00:00:00"/>
    <d v="2023-07-31T00:00:00"/>
    <n v="12"/>
    <x v="24"/>
    <s v="Corporate"/>
    <s v="Retail"/>
    <x v="0"/>
    <s v="Monitors"/>
    <n v="1334.64"/>
    <s v="High"/>
    <n v="2273.42"/>
    <n v="0.11799999999999999"/>
    <n v="14"/>
    <n v="9587.7280800000008"/>
    <n v="18684.960000000003"/>
    <x v="188"/>
    <x v="0"/>
  </r>
  <r>
    <x v="188"/>
    <d v="2024-05-19T00:00:00"/>
    <d v="2024-06-08T00:00:00"/>
    <n v="20"/>
    <x v="7"/>
    <s v="Small Business"/>
    <s v="Retail"/>
    <x v="6"/>
    <s v="Monitors"/>
    <n v="1075.9000000000001"/>
    <s v="High"/>
    <n v="1242.1500000000001"/>
    <n v="1.2E-2"/>
    <n v="7"/>
    <n v="2200.4637200000002"/>
    <n v="7531.3000000000011"/>
    <x v="189"/>
    <x v="0"/>
  </r>
  <r>
    <x v="189"/>
    <d v="2024-02-03T00:00:00"/>
    <d v="2024-02-19T00:00:00"/>
    <n v="16"/>
    <x v="31"/>
    <s v="Small Business"/>
    <s v="Online"/>
    <x v="10"/>
    <s v="Laptops"/>
    <n v="993.75"/>
    <s v="High"/>
    <n v="1310.29"/>
    <n v="0.215"/>
    <n v="19"/>
    <n v="18590.205150000002"/>
    <n v="18881.25"/>
    <x v="190"/>
    <x v="0"/>
  </r>
  <r>
    <x v="190"/>
    <d v="2023-08-08T00:00:00"/>
    <d v="2023-08-22T00:00:00"/>
    <n v="14"/>
    <x v="25"/>
    <s v="Non-Profit"/>
    <s v="Direct"/>
    <x v="13"/>
    <s v="Monitors"/>
    <n v="446.69"/>
    <s v="High"/>
    <n v="967.25"/>
    <n v="9.4E-2"/>
    <n v="10"/>
    <n v="3143.4576000000002"/>
    <n v="4466.8999999999996"/>
    <x v="191"/>
    <x v="0"/>
  </r>
  <r>
    <x v="191"/>
    <d v="2024-08-12T00:00:00"/>
    <d v="2024-09-03T00:00:00"/>
    <n v="22"/>
    <x v="21"/>
    <s v="Consumer"/>
    <s v="Distributor"/>
    <x v="2"/>
    <s v="Laptops"/>
    <n v="797.8"/>
    <s v="High"/>
    <n v="886.22"/>
    <n v="0.23599999999999999"/>
    <n v="36"/>
    <n v="13882.919040000001"/>
    <n v="28720.799999999999"/>
    <x v="192"/>
    <x v="0"/>
  </r>
  <r>
    <x v="192"/>
    <d v="2023-10-15T00:00:00"/>
    <d v="2023-11-13T00:00:00"/>
    <n v="29"/>
    <x v="32"/>
    <s v="Non-Profit"/>
    <s v="Distributor"/>
    <x v="1"/>
    <s v="Printers"/>
    <n v="986.44"/>
    <s v="High"/>
    <n v="790.61"/>
    <n v="7.1999999999999995E-2"/>
    <n v="6"/>
    <n v="5219.7772800000002"/>
    <n v="5918.64"/>
    <x v="193"/>
    <x v="0"/>
  </r>
  <r>
    <x v="193"/>
    <d v="2023-05-04T00:00:00"/>
    <d v="2023-05-26T00:00:00"/>
    <n v="22"/>
    <x v="15"/>
    <s v="Enterprise"/>
    <s v="Online"/>
    <x v="1"/>
    <s v="Networking"/>
    <n v="249.71"/>
    <s v="High"/>
    <n v="361.33"/>
    <n v="9.4E-2"/>
    <n v="12"/>
    <n v="14139.90576"/>
    <n v="2996.52"/>
    <x v="194"/>
    <x v="0"/>
  </r>
  <r>
    <x v="194"/>
    <d v="2024-09-22T00:00:00"/>
    <d v="2024-10-01T00:00:00"/>
    <n v="9"/>
    <x v="29"/>
    <s v="Non-Profit"/>
    <s v="Online"/>
    <x v="11"/>
    <s v="Monitors"/>
    <n v="1378.8"/>
    <s v="High"/>
    <n v="1952.04"/>
    <n v="0.159"/>
    <n v="19"/>
    <n v="3645.6088500000001"/>
    <n v="26197.200000000001"/>
    <x v="195"/>
    <x v="0"/>
  </r>
  <r>
    <x v="195"/>
    <d v="2024-10-23T00:00:00"/>
    <d v="2024-11-14T00:00:00"/>
    <n v="22"/>
    <x v="1"/>
    <s v="Non-Profit"/>
    <s v="Direct"/>
    <x v="5"/>
    <s v="Phones"/>
    <n v="1406.4"/>
    <s v="High"/>
    <n v="1564.76"/>
    <n v="0.185"/>
    <n v="17"/>
    <n v="6879.2846"/>
    <n v="23908.800000000003"/>
    <x v="196"/>
    <x v="0"/>
  </r>
  <r>
    <x v="196"/>
    <d v="2024-02-11T00:00:00"/>
    <d v="2024-03-03T00:00:00"/>
    <n v="21"/>
    <x v="31"/>
    <s v="Enterprise"/>
    <s v="Online"/>
    <x v="5"/>
    <s v="Phones"/>
    <n v="516.86"/>
    <s v="High"/>
    <n v="852.54"/>
    <n v="5.0999999999999997E-2"/>
    <n v="14"/>
    <n v="39076.783199999991"/>
    <n v="7236.04"/>
    <x v="197"/>
    <x v="0"/>
  </r>
  <r>
    <x v="197"/>
    <d v="2023-01-30T00:00:00"/>
    <d v="2023-02-21T00:00:00"/>
    <n v="22"/>
    <x v="5"/>
    <s v="Small Business"/>
    <s v="Marketplace"/>
    <x v="3"/>
    <s v="Networking"/>
    <n v="1142.8800000000001"/>
    <s v="High"/>
    <n v="1465.29"/>
    <n v="0.186"/>
    <n v="7"/>
    <n v="6200.5636000000013"/>
    <n v="8000.1600000000008"/>
    <x v="198"/>
    <x v="0"/>
  </r>
  <r>
    <x v="198"/>
    <d v="2023-04-14T00:00:00"/>
    <d v="2023-05-13T00:00:00"/>
    <n v="29"/>
    <x v="12"/>
    <s v="Consumer"/>
    <s v="Direct"/>
    <x v="1"/>
    <s v="Printers"/>
    <n v="1320.33"/>
    <s v="High"/>
    <n v="2645.23"/>
    <n v="0.155"/>
    <n v="25"/>
    <n v="53428.293749999997"/>
    <n v="33008.25"/>
    <x v="199"/>
    <x v="0"/>
  </r>
  <r>
    <x v="199"/>
    <d v="2023-01-13T00:00:00"/>
    <d v="2023-01-19T00:00:00"/>
    <n v="6"/>
    <x v="5"/>
    <s v="Corporate"/>
    <s v="Direct"/>
    <x v="10"/>
    <s v="Phones"/>
    <n v="833.57"/>
    <s v="High"/>
    <n v="881.57"/>
    <n v="5.7000000000000002E-2"/>
    <n v="18"/>
    <n v="45796.021740000004"/>
    <n v="15004.26"/>
    <x v="200"/>
    <x v="0"/>
  </r>
  <r>
    <x v="200"/>
    <d v="2024-01-12T00:00:00"/>
    <d v="2024-01-29T00:00:00"/>
    <n v="17"/>
    <x v="9"/>
    <s v="Education"/>
    <s v="Distributor"/>
    <x v="8"/>
    <s v="Printers"/>
    <n v="493.76"/>
    <s v="High"/>
    <n v="625.04"/>
    <n v="0.25800000000000001"/>
    <n v="10"/>
    <n v="11002.004999999999"/>
    <n v="4937.6000000000004"/>
    <x v="201"/>
    <x v="0"/>
  </r>
  <r>
    <x v="201"/>
    <d v="2023-08-15T00:00:00"/>
    <d v="2023-09-07T00:00:00"/>
    <n v="23"/>
    <x v="25"/>
    <s v="Enterprise"/>
    <s v="Online"/>
    <x v="11"/>
    <s v="Phones"/>
    <n v="590.33000000000004"/>
    <s v="High"/>
    <n v="973.04"/>
    <n v="0"/>
    <n v="26"/>
    <n v="37877.06"/>
    <n v="15348.580000000002"/>
    <x v="202"/>
    <x v="0"/>
  </r>
  <r>
    <x v="202"/>
    <d v="2023-01-20T00:00:00"/>
    <d v="2023-02-03T00:00:00"/>
    <n v="14"/>
    <x v="5"/>
    <s v="Corporate"/>
    <s v="Retail"/>
    <x v="12"/>
    <s v="Networking"/>
    <n v="884.36"/>
    <s v="High"/>
    <n v="1545.34"/>
    <n v="0.24299999999999999"/>
    <n v="41"/>
    <n v="28497.86303"/>
    <n v="36258.76"/>
    <x v="203"/>
    <x v="0"/>
  </r>
  <r>
    <x v="203"/>
    <d v="2025-02-04T00:00:00"/>
    <d v="2025-02-25T00:00:00"/>
    <n v="21"/>
    <x v="26"/>
    <s v="Corporate"/>
    <s v="Marketplace"/>
    <x v="14"/>
    <s v="Monitors"/>
    <n v="1016.32"/>
    <s v="High"/>
    <n v="2253.42"/>
    <n v="5.5E-2"/>
    <n v="12"/>
    <n v="554.97959999999989"/>
    <n v="12195.84"/>
    <x v="204"/>
    <x v="0"/>
  </r>
  <r>
    <x v="204"/>
    <d v="2023-04-19T00:00:00"/>
    <d v="2023-04-28T00:00:00"/>
    <n v="9"/>
    <x v="12"/>
    <s v="Education"/>
    <s v="Online"/>
    <x v="6"/>
    <s v="Monitors"/>
    <n v="1178.42"/>
    <s v="High"/>
    <n v="2446.56"/>
    <n v="2.9000000000000001E-2"/>
    <n v="11"/>
    <n v="9957.7894899999992"/>
    <n v="12962.62"/>
    <x v="205"/>
    <x v="0"/>
  </r>
  <r>
    <x v="205"/>
    <d v="2023-07-02T00:00:00"/>
    <d v="2023-08-01T00:00:00"/>
    <n v="30"/>
    <x v="24"/>
    <s v="Small Business"/>
    <s v="Retail"/>
    <x v="5"/>
    <s v="Components"/>
    <n v="137.46"/>
    <s v="Medium"/>
    <n v="188.3"/>
    <n v="3.7999999999999999E-2"/>
    <n v="37"/>
    <n v="11596.169260000001"/>
    <n v="5086.0200000000004"/>
    <x v="206"/>
    <x v="0"/>
  </r>
  <r>
    <x v="206"/>
    <d v="2025-01-21T00:00:00"/>
    <d v="2025-02-14T00:00:00"/>
    <n v="24"/>
    <x v="10"/>
    <s v="Small Business"/>
    <s v="Retail"/>
    <x v="1"/>
    <s v="Accessories"/>
    <n v="1030.44"/>
    <s v="High"/>
    <n v="2562.84"/>
    <n v="0.14799999999999999"/>
    <n v="13"/>
    <n v="4496.5237200000001"/>
    <n v="13395.720000000001"/>
    <x v="207"/>
    <x v="0"/>
  </r>
  <r>
    <x v="207"/>
    <d v="2024-09-10T00:00:00"/>
    <d v="2024-10-07T00:00:00"/>
    <n v="27"/>
    <x v="29"/>
    <s v="Consumer"/>
    <s v="Retail"/>
    <x v="4"/>
    <s v="Printers"/>
    <n v="1248.3900000000001"/>
    <s v="High"/>
    <n v="1805.11"/>
    <n v="0.20300000000000001"/>
    <n v="11"/>
    <n v="13931.376689999999"/>
    <n v="13732.29"/>
    <x v="208"/>
    <x v="0"/>
  </r>
  <r>
    <x v="208"/>
    <d v="2025-07-21T00:00:00"/>
    <d v="2025-08-07T00:00:00"/>
    <n v="17"/>
    <x v="13"/>
    <s v="Enterprise"/>
    <s v="Direct"/>
    <x v="12"/>
    <s v="Accessories"/>
    <n v="1204.95"/>
    <s v="High"/>
    <n v="2065.73"/>
    <n v="0.13600000000000001"/>
    <n v="10"/>
    <n v="12379.392"/>
    <n v="12049.5"/>
    <x v="209"/>
    <x v="0"/>
  </r>
  <r>
    <x v="209"/>
    <d v="2024-10-02T00:00:00"/>
    <d v="2024-10-23T00:00:00"/>
    <n v="21"/>
    <x v="1"/>
    <s v="Corporate"/>
    <s v="Marketplace"/>
    <x v="8"/>
    <s v="Components"/>
    <n v="1095.6099999999999"/>
    <s v="High"/>
    <n v="2366.5100000000002"/>
    <n v="0.152"/>
    <n v="9"/>
    <n v="13476.28032"/>
    <n v="9860.49"/>
    <x v="210"/>
    <x v="0"/>
  </r>
  <r>
    <x v="210"/>
    <d v="2025-07-14T00:00:00"/>
    <d v="2025-08-04T00:00:00"/>
    <n v="21"/>
    <x v="13"/>
    <s v="Consumer"/>
    <s v="Online"/>
    <x v="10"/>
    <s v="Monitors"/>
    <n v="90.3"/>
    <s v="Medium"/>
    <n v="131.76"/>
    <n v="0.10199999999999999"/>
    <n v="15"/>
    <n v="37144.063799999996"/>
    <n v="1354.5"/>
    <x v="211"/>
    <x v="0"/>
  </r>
  <r>
    <x v="211"/>
    <d v="2024-09-09T00:00:00"/>
    <d v="2024-10-01T00:00:00"/>
    <n v="22"/>
    <x v="29"/>
    <s v="Consumer"/>
    <s v="Direct"/>
    <x v="4"/>
    <s v="Printers"/>
    <n v="1166.18"/>
    <s v="High"/>
    <n v="1335.02"/>
    <n v="0.128"/>
    <n v="6"/>
    <n v="4571.46"/>
    <n v="6997.08"/>
    <x v="212"/>
    <x v="0"/>
  </r>
  <r>
    <x v="212"/>
    <d v="2025-01-29T00:00:00"/>
    <d v="2025-02-06T00:00:00"/>
    <n v="8"/>
    <x v="10"/>
    <s v="Education"/>
    <s v="Retail"/>
    <x v="5"/>
    <s v="Phones"/>
    <n v="1445.27"/>
    <s v="High"/>
    <n v="2691.45"/>
    <n v="0"/>
    <n v="9"/>
    <n v="2326.6799999999998"/>
    <n v="13007.43"/>
    <x v="213"/>
    <x v="0"/>
  </r>
  <r>
    <x v="213"/>
    <d v="2023-11-10T00:00:00"/>
    <d v="2023-11-28T00:00:00"/>
    <n v="18"/>
    <x v="30"/>
    <s v="Education"/>
    <s v="Marketplace"/>
    <x v="4"/>
    <s v="Accessories"/>
    <n v="388.51"/>
    <s v="High"/>
    <n v="776.46"/>
    <n v="0.157"/>
    <n v="12"/>
    <n v="6137.98416"/>
    <n v="4662.12"/>
    <x v="214"/>
    <x v="0"/>
  </r>
  <r>
    <x v="214"/>
    <d v="2024-02-29T00:00:00"/>
    <d v="2024-03-30T00:00:00"/>
    <n v="1"/>
    <x v="31"/>
    <s v="Small Business"/>
    <s v="Direct"/>
    <x v="2"/>
    <s v="Networking"/>
    <n v="231.11"/>
    <s v="High"/>
    <n v="318.17"/>
    <n v="0.20100000000000001"/>
    <n v="60"/>
    <n v="64128.8586"/>
    <n v="13866.6"/>
    <x v="215"/>
    <x v="0"/>
  </r>
  <r>
    <x v="215"/>
    <d v="2023-12-20T00:00:00"/>
    <d v="2024-01-14T00:00:00"/>
    <n v="25"/>
    <x v="4"/>
    <s v="Non-Profit"/>
    <s v="Marketplace"/>
    <x v="4"/>
    <s v="Monitors"/>
    <n v="1085.6099999999999"/>
    <s v="High"/>
    <n v="1246.4100000000001"/>
    <n v="0.113"/>
    <n v="7"/>
    <n v="11133.23372"/>
    <n v="7599.2699999999995"/>
    <x v="216"/>
    <x v="0"/>
  </r>
  <r>
    <x v="216"/>
    <d v="2023-01-22T00:00:00"/>
    <d v="2023-01-21T00:00:00"/>
    <n v="1"/>
    <x v="5"/>
    <s v="Corporate"/>
    <s v="Direct"/>
    <x v="9"/>
    <s v="Monitors"/>
    <n v="150.86000000000001"/>
    <s v="High"/>
    <n v="346.96"/>
    <n v="0.19600000000000001"/>
    <n v="8"/>
    <n v="789.46368000000007"/>
    <n v="1206.8800000000001"/>
    <x v="217"/>
    <x v="0"/>
  </r>
  <r>
    <x v="217"/>
    <d v="2024-10-11T00:00:00"/>
    <d v="2024-11-09T00:00:00"/>
    <n v="29"/>
    <x v="1"/>
    <s v="Non-Profit"/>
    <s v="Online"/>
    <x v="9"/>
    <s v="Printers"/>
    <n v="391.64"/>
    <s v="High"/>
    <n v="504.76"/>
    <n v="4.0000000000000001E-3"/>
    <n v="13"/>
    <n v="12014.83764"/>
    <n v="5091.32"/>
    <x v="218"/>
    <x v="0"/>
  </r>
  <r>
    <x v="218"/>
    <d v="2024-09-19T00:00:00"/>
    <d v="2024-10-14T00:00:00"/>
    <n v="25"/>
    <x v="29"/>
    <s v="Small Business"/>
    <s v="Retail"/>
    <x v="11"/>
    <s v="Printers"/>
    <n v="386.96"/>
    <s v="High"/>
    <n v="937.46"/>
    <n v="0.26600000000000001"/>
    <n v="41"/>
    <n v="4570.6767199999995"/>
    <n v="15865.359999999999"/>
    <x v="219"/>
    <x v="0"/>
  </r>
  <r>
    <x v="219"/>
    <d v="2025-08-25T00:00:00"/>
    <d v="2025-09-24T00:00:00"/>
    <n v="30"/>
    <x v="28"/>
    <s v="Consumer"/>
    <s v="Direct"/>
    <x v="5"/>
    <s v="Components"/>
    <n v="589.14"/>
    <s v="High"/>
    <n v="1300.58"/>
    <n v="5.5E-2"/>
    <n v="11"/>
    <n v="22977.108"/>
    <n v="6480.54"/>
    <x v="220"/>
    <x v="0"/>
  </r>
  <r>
    <x v="220"/>
    <d v="2023-09-25T00:00:00"/>
    <d v="2023-10-02T00:00:00"/>
    <n v="7"/>
    <x v="27"/>
    <s v="Education"/>
    <s v="Marketplace"/>
    <x v="2"/>
    <s v="Accessories"/>
    <n v="145.58000000000001"/>
    <s v="High"/>
    <n v="228.15"/>
    <n v="0.20399999999999999"/>
    <n v="5"/>
    <n v="158.16520000000003"/>
    <n v="727.90000000000009"/>
    <x v="221"/>
    <x v="0"/>
  </r>
  <r>
    <x v="221"/>
    <d v="2023-08-26T00:00:00"/>
    <d v="2023-09-10T00:00:00"/>
    <n v="15"/>
    <x v="25"/>
    <s v="Non-Profit"/>
    <s v="Direct"/>
    <x v="13"/>
    <s v="Components"/>
    <n v="241.14"/>
    <s v="High"/>
    <n v="496.52"/>
    <n v="9.2999999999999999E-2"/>
    <n v="10"/>
    <n v="9151.630000000001"/>
    <n v="2411.3999999999996"/>
    <x v="222"/>
    <x v="0"/>
  </r>
  <r>
    <x v="222"/>
    <d v="2025-07-16T00:00:00"/>
    <d v="2025-07-17T00:00:00"/>
    <n v="1"/>
    <x v="13"/>
    <s v="Small Business"/>
    <s v="Distributor"/>
    <x v="5"/>
    <s v="Networking"/>
    <n v="1198.9000000000001"/>
    <s v="High"/>
    <n v="2941.2"/>
    <n v="5.0999999999999997E-2"/>
    <n v="24"/>
    <n v="37663.304640000002"/>
    <n v="28773.600000000002"/>
    <x v="223"/>
    <x v="0"/>
  </r>
  <r>
    <x v="223"/>
    <d v="2023-04-19T00:00:00"/>
    <d v="2023-05-07T00:00:00"/>
    <n v="18"/>
    <x v="12"/>
    <s v="Enterprise"/>
    <s v="Retail"/>
    <x v="13"/>
    <s v="Laptops"/>
    <n v="1089.1500000000001"/>
    <s v="High"/>
    <n v="1088.2"/>
    <n v="5.0999999999999997E-2"/>
    <n v="15"/>
    <n v="14458.4895"/>
    <n v="16337.250000000002"/>
    <x v="224"/>
    <x v="0"/>
  </r>
  <r>
    <x v="224"/>
    <d v="2023-12-19T00:00:00"/>
    <d v="2023-12-20T00:00:00"/>
    <n v="1"/>
    <x v="4"/>
    <s v="Consumer"/>
    <s v="Distributor"/>
    <x v="1"/>
    <s v="Phones"/>
    <n v="1080.43"/>
    <s v="High"/>
    <n v="2529.15"/>
    <n v="0.14699999999999999"/>
    <n v="10"/>
    <n v="7783.1984999999995"/>
    <n v="10804.300000000001"/>
    <x v="225"/>
    <x v="0"/>
  </r>
  <r>
    <x v="225"/>
    <d v="2023-07-30T00:00:00"/>
    <d v="2023-08-07T00:00:00"/>
    <n v="8"/>
    <x v="24"/>
    <s v="Education"/>
    <s v="Marketplace"/>
    <x v="8"/>
    <s v="Networking"/>
    <n v="1352.44"/>
    <s v="High"/>
    <n v="2698.01"/>
    <n v="0.13100000000000001"/>
    <n v="13"/>
    <n v="9209.201430000001"/>
    <n v="17581.72"/>
    <x v="226"/>
    <x v="0"/>
  </r>
  <r>
    <x v="226"/>
    <d v="2023-10-04T00:00:00"/>
    <d v="2023-10-29T00:00:00"/>
    <n v="25"/>
    <x v="32"/>
    <s v="Small Business"/>
    <s v="Distributor"/>
    <x v="7"/>
    <s v="Accessories"/>
    <n v="1239.8399999999999"/>
    <s v="High"/>
    <n v="1482.75"/>
    <n v="6.7000000000000004E-2"/>
    <n v="4"/>
    <n v="6770.0719200000003"/>
    <n v="4959.3599999999997"/>
    <x v="227"/>
    <x v="0"/>
  </r>
  <r>
    <x v="227"/>
    <d v="2025-08-10T00:00:00"/>
    <d v="2025-08-30T00:00:00"/>
    <n v="20"/>
    <x v="28"/>
    <s v="Corporate"/>
    <s v="Marketplace"/>
    <x v="11"/>
    <s v="Printers"/>
    <n v="933.29"/>
    <s v="High"/>
    <n v="1456.81"/>
    <n v="0.123"/>
    <n v="13"/>
    <n v="8652.4469199999985"/>
    <n v="12132.77"/>
    <x v="228"/>
    <x v="0"/>
  </r>
  <r>
    <x v="228"/>
    <d v="2023-03-07T00:00:00"/>
    <d v="2023-04-01T00:00:00"/>
    <n v="25"/>
    <x v="22"/>
    <s v="Consumer"/>
    <s v="Marketplace"/>
    <x v="14"/>
    <s v="Printers"/>
    <n v="1024.0999999999999"/>
    <s v="High"/>
    <n v="918.19"/>
    <n v="0.189"/>
    <n v="10"/>
    <n v="13522.938400000001"/>
    <n v="10241"/>
    <x v="229"/>
    <x v="0"/>
  </r>
  <r>
    <x v="229"/>
    <d v="2023-05-23T00:00:00"/>
    <d v="2023-06-10T00:00:00"/>
    <n v="18"/>
    <x v="15"/>
    <s v="Corporate"/>
    <s v="Distributor"/>
    <x v="6"/>
    <s v="Components"/>
    <n v="54.62"/>
    <s v="Low"/>
    <n v="48.94"/>
    <n v="0.14799999999999999"/>
    <n v="16"/>
    <n v="34932.681600000004"/>
    <n v="873.92"/>
    <x v="230"/>
    <x v="0"/>
  </r>
  <r>
    <x v="230"/>
    <d v="2025-04-24T00:00:00"/>
    <d v="2025-05-06T00:00:00"/>
    <n v="12"/>
    <x v="19"/>
    <s v="Consumer"/>
    <s v="Online"/>
    <x v="0"/>
    <s v="Phones"/>
    <n v="394.13"/>
    <s v="High"/>
    <n v="932.29"/>
    <n v="0.109"/>
    <n v="7"/>
    <n v="4648.9350599999998"/>
    <n v="2758.91"/>
    <x v="231"/>
    <x v="0"/>
  </r>
  <r>
    <x v="231"/>
    <d v="2024-09-03T00:00:00"/>
    <d v="2024-09-08T00:00:00"/>
    <n v="5"/>
    <x v="29"/>
    <s v="Small Business"/>
    <s v="Direct"/>
    <x v="11"/>
    <s v="Printers"/>
    <n v="197.63"/>
    <s v="High"/>
    <n v="325.79000000000002"/>
    <n v="0.11600000000000001"/>
    <n v="10"/>
    <n v="6081.4780000000001"/>
    <n v="1976.3"/>
    <x v="232"/>
    <x v="0"/>
  </r>
  <r>
    <x v="232"/>
    <d v="2024-09-05T00:00:00"/>
    <d v="2024-09-25T00:00:00"/>
    <n v="20"/>
    <x v="29"/>
    <s v="Enterprise"/>
    <s v="Distributor"/>
    <x v="14"/>
    <s v="Monitors"/>
    <n v="195.54"/>
    <s v="High"/>
    <n v="405.97"/>
    <n v="0.187"/>
    <n v="16"/>
    <n v="7155.3105599999999"/>
    <n v="3128.64"/>
    <x v="233"/>
    <x v="0"/>
  </r>
  <r>
    <x v="233"/>
    <d v="2023-03-14T00:00:00"/>
    <d v="2023-03-30T00:00:00"/>
    <n v="16"/>
    <x v="22"/>
    <s v="Consumer"/>
    <s v="Distributor"/>
    <x v="11"/>
    <s v="Components"/>
    <n v="1309.77"/>
    <s v="High"/>
    <n v="1589.07"/>
    <n v="0.10199999999999999"/>
    <n v="10"/>
    <n v="18572.525799999999"/>
    <n v="13097.7"/>
    <x v="234"/>
    <x v="0"/>
  </r>
  <r>
    <x v="234"/>
    <d v="2024-01-11T00:00:00"/>
    <d v="2024-02-02T00:00:00"/>
    <n v="22"/>
    <x v="9"/>
    <s v="Small Business"/>
    <s v="Online"/>
    <x v="15"/>
    <s v="Printers"/>
    <n v="1237.68"/>
    <s v="High"/>
    <n v="1432.8"/>
    <n v="6.8000000000000005E-2"/>
    <n v="13"/>
    <n v="31218.691400000003"/>
    <n v="16089.84"/>
    <x v="235"/>
    <x v="0"/>
  </r>
  <r>
    <x v="235"/>
    <d v="2024-09-13T00:00:00"/>
    <d v="2024-10-02T00:00:00"/>
    <n v="19"/>
    <x v="29"/>
    <s v="Small Business"/>
    <s v="Retail"/>
    <x v="12"/>
    <s v="Phones"/>
    <n v="1338.99"/>
    <s v="High"/>
    <n v="1765.76"/>
    <n v="0.126"/>
    <n v="24"/>
    <n v="21901.880639999999"/>
    <n v="32135.760000000002"/>
    <x v="236"/>
    <x v="0"/>
  </r>
  <r>
    <x v="236"/>
    <d v="2025-07-17T00:00:00"/>
    <d v="2025-07-23T00:00:00"/>
    <n v="6"/>
    <x v="13"/>
    <s v="Consumer"/>
    <s v="Online"/>
    <x v="10"/>
    <s v="Components"/>
    <n v="1364.89"/>
    <s v="High"/>
    <n v="2757.54"/>
    <n v="0.17199999999999999"/>
    <n v="61"/>
    <n v="5002.3123200000009"/>
    <n v="83258.290000000008"/>
    <x v="237"/>
    <x v="0"/>
  </r>
  <r>
    <x v="237"/>
    <d v="2023-11-28T00:00:00"/>
    <d v="2023-12-07T00:00:00"/>
    <n v="9"/>
    <x v="30"/>
    <s v="Enterprise"/>
    <s v="Marketplace"/>
    <x v="4"/>
    <s v="Phones"/>
    <n v="699.33"/>
    <s v="High"/>
    <n v="873.75"/>
    <n v="0.23499999999999999"/>
    <n v="10"/>
    <n v="15275.5965"/>
    <n v="6993.3"/>
    <x v="238"/>
    <x v="0"/>
  </r>
  <r>
    <x v="238"/>
    <d v="2024-03-30T00:00:00"/>
    <d v="2024-04-24T00:00:00"/>
    <n v="25"/>
    <x v="0"/>
    <s v="Non-Profit"/>
    <s v="Online"/>
    <x v="3"/>
    <s v="Laptops"/>
    <n v="160.82"/>
    <s v="High"/>
    <n v="258.52"/>
    <n v="0.13"/>
    <n v="17"/>
    <n v="13631.647199999999"/>
    <n v="2733.94"/>
    <x v="239"/>
    <x v="0"/>
  </r>
  <r>
    <x v="239"/>
    <d v="2023-09-19T00:00:00"/>
    <d v="2023-10-08T00:00:00"/>
    <n v="19"/>
    <x v="27"/>
    <s v="Education"/>
    <s v="Direct"/>
    <x v="1"/>
    <s v="Printers"/>
    <n v="385.32"/>
    <s v="High"/>
    <n v="606.76"/>
    <n v="8.5999999999999993E-2"/>
    <n v="8"/>
    <n v="18307.712480000002"/>
    <n v="3082.56"/>
    <x v="240"/>
    <x v="0"/>
  </r>
  <r>
    <x v="240"/>
    <d v="2025-05-16T00:00:00"/>
    <d v="2025-05-27T00:00:00"/>
    <n v="11"/>
    <x v="8"/>
    <s v="Enterprise"/>
    <s v="Online"/>
    <x v="9"/>
    <s v="Phones"/>
    <n v="918.12"/>
    <s v="High"/>
    <n v="1337.69"/>
    <n v="9.5000000000000001E-2"/>
    <n v="8"/>
    <n v="17830.4548"/>
    <n v="7344.96"/>
    <x v="241"/>
    <x v="0"/>
  </r>
  <r>
    <x v="241"/>
    <d v="2025-08-02T00:00:00"/>
    <d v="2025-08-08T00:00:00"/>
    <n v="6"/>
    <x v="28"/>
    <s v="Consumer"/>
    <s v="Direct"/>
    <x v="13"/>
    <s v="Laptops"/>
    <n v="1225.94"/>
    <s v="High"/>
    <n v="1793.08"/>
    <n v="0.13600000000000001"/>
    <n v="22"/>
    <n v="9431.7695999999996"/>
    <n v="26970.68"/>
    <x v="242"/>
    <x v="0"/>
  </r>
  <r>
    <x v="242"/>
    <d v="2024-12-04T00:00:00"/>
    <d v="2024-12-12T00:00:00"/>
    <n v="8"/>
    <x v="6"/>
    <s v="Enterprise"/>
    <s v="Marketplace"/>
    <x v="5"/>
    <s v="Printers"/>
    <n v="72.06"/>
    <s v="Medium"/>
    <n v="122.74"/>
    <n v="0.23799999999999999"/>
    <n v="8"/>
    <n v="5532.6686399999999"/>
    <n v="576.48"/>
    <x v="243"/>
    <x v="0"/>
  </r>
  <r>
    <x v="243"/>
    <d v="2023-04-19T00:00:00"/>
    <d v="2023-04-28T00:00:00"/>
    <n v="9"/>
    <x v="12"/>
    <s v="Corporate"/>
    <s v="Distributor"/>
    <x v="12"/>
    <s v="Phones"/>
    <n v="1013.54"/>
    <s v="High"/>
    <n v="927.93"/>
    <n v="0.17499999999999999"/>
    <n v="16"/>
    <n v="4411.308"/>
    <n v="16216.64"/>
    <x v="244"/>
    <x v="0"/>
  </r>
  <r>
    <x v="244"/>
    <d v="2024-03-06T00:00:00"/>
    <d v="2024-03-26T00:00:00"/>
    <n v="20"/>
    <x v="0"/>
    <s v="Consumer"/>
    <s v="Marketplace"/>
    <x v="2"/>
    <s v="Phones"/>
    <n v="65.64"/>
    <s v="Medium"/>
    <n v="151.88"/>
    <n v="0.16700000000000001"/>
    <n v="23"/>
    <n v="10322.677609999999"/>
    <n v="1509.72"/>
    <x v="245"/>
    <x v="0"/>
  </r>
  <r>
    <x v="245"/>
    <d v="2024-02-16T00:00:00"/>
    <d v="2024-03-04T00:00:00"/>
    <n v="17"/>
    <x v="31"/>
    <s v="Non-Profit"/>
    <s v="Retail"/>
    <x v="14"/>
    <s v="Laptops"/>
    <n v="1350.98"/>
    <s v="High"/>
    <n v="2210.4"/>
    <n v="0.26300000000000001"/>
    <n v="6"/>
    <n v="6352.3798799999995"/>
    <n v="8105.88"/>
    <x v="246"/>
    <x v="0"/>
  </r>
  <r>
    <x v="246"/>
    <d v="2025-04-22T00:00:00"/>
    <d v="2025-05-02T00:00:00"/>
    <n v="10"/>
    <x v="19"/>
    <s v="Corporate"/>
    <s v="Marketplace"/>
    <x v="0"/>
    <s v="Monitors"/>
    <n v="20.149999999999999"/>
    <s v="Low"/>
    <n v="39.74"/>
    <n v="0.151"/>
    <n v="18"/>
    <n v="26996.417099999999"/>
    <n v="362.7"/>
    <x v="247"/>
    <x v="0"/>
  </r>
  <r>
    <x v="247"/>
    <d v="2024-11-08T00:00:00"/>
    <d v="2024-11-08T00:00:00"/>
    <n v="0"/>
    <x v="18"/>
    <s v="Enterprise"/>
    <s v="Marketplace"/>
    <x v="12"/>
    <s v="Networking"/>
    <n v="803.28"/>
    <s v="High"/>
    <n v="1009"/>
    <n v="0.11"/>
    <n v="4"/>
    <n v="2237.6023999999998"/>
    <n v="3213.12"/>
    <x v="248"/>
    <x v="0"/>
  </r>
  <r>
    <x v="248"/>
    <d v="2025-09-12T00:00:00"/>
    <d v="2025-09-30T00:00:00"/>
    <n v="18"/>
    <x v="11"/>
    <s v="Non-Profit"/>
    <s v="Marketplace"/>
    <x v="9"/>
    <s v="Monitors"/>
    <n v="1212.99"/>
    <s v="High"/>
    <n v="1653.64"/>
    <n v="0.107"/>
    <n v="8"/>
    <n v="11792.958000000001"/>
    <n v="9703.92"/>
    <x v="249"/>
    <x v="0"/>
  </r>
  <r>
    <x v="249"/>
    <d v="2024-09-02T00:00:00"/>
    <d v="2024-09-08T00:00:00"/>
    <n v="6"/>
    <x v="29"/>
    <s v="Consumer"/>
    <s v="Direct"/>
    <x v="10"/>
    <s v="Components"/>
    <n v="462.94"/>
    <s v="High"/>
    <n v="1015.7"/>
    <n v="0.14299999999999999"/>
    <n v="14"/>
    <n v="26961.185719999998"/>
    <n v="6481.16"/>
    <x v="250"/>
    <x v="0"/>
  </r>
  <r>
    <x v="250"/>
    <d v="2023-03-04T00:00:00"/>
    <d v="2023-03-24T00:00:00"/>
    <n v="20"/>
    <x v="22"/>
    <s v="Consumer"/>
    <s v="Distributor"/>
    <x v="2"/>
    <s v="Laptops"/>
    <n v="481.71"/>
    <s v="High"/>
    <n v="912.45"/>
    <n v="0.20300000000000001"/>
    <n v="24"/>
    <n v="17084.938320000001"/>
    <n v="11561.039999999999"/>
    <x v="251"/>
    <x v="0"/>
  </r>
  <r>
    <x v="251"/>
    <d v="2024-03-15T00:00:00"/>
    <d v="2024-04-09T00:00:00"/>
    <n v="25"/>
    <x v="0"/>
    <s v="Consumer"/>
    <s v="Online"/>
    <x v="9"/>
    <s v="Monitors"/>
    <n v="648.64"/>
    <s v="High"/>
    <n v="815.19"/>
    <n v="0.22500000000000001"/>
    <n v="28"/>
    <n v="50537.130000000005"/>
    <n v="18161.919999999998"/>
    <x v="252"/>
    <x v="0"/>
  </r>
  <r>
    <x v="252"/>
    <d v="2024-07-29T00:00:00"/>
    <d v="2024-07-31T00:00:00"/>
    <n v="2"/>
    <x v="14"/>
    <s v="Education"/>
    <s v="Marketplace"/>
    <x v="2"/>
    <s v="Printers"/>
    <n v="798.97"/>
    <s v="High"/>
    <n v="1814.06"/>
    <n v="0.122"/>
    <n v="16"/>
    <n v="29033.704000000002"/>
    <n v="12783.52"/>
    <x v="253"/>
    <x v="0"/>
  </r>
  <r>
    <x v="253"/>
    <d v="2024-10-27T00:00:00"/>
    <d v="2024-11-20T00:00:00"/>
    <n v="24"/>
    <x v="1"/>
    <s v="Non-Profit"/>
    <s v="Online"/>
    <x v="10"/>
    <s v="Monitors"/>
    <n v="317.25"/>
    <s v="High"/>
    <n v="758.92"/>
    <n v="5.2999999999999999E-2"/>
    <n v="9"/>
    <n v="18599.828130000002"/>
    <n v="2855.25"/>
    <x v="254"/>
    <x v="0"/>
  </r>
  <r>
    <x v="254"/>
    <d v="2024-04-29T00:00:00"/>
    <d v="2024-05-19T00:00:00"/>
    <n v="20"/>
    <x v="20"/>
    <s v="Enterprise"/>
    <s v="Marketplace"/>
    <x v="0"/>
    <s v="Laptops"/>
    <n v="668.97"/>
    <s v="High"/>
    <n v="1667.44"/>
    <n v="3.4000000000000002E-2"/>
    <n v="15"/>
    <n v="39508.723799999992"/>
    <n v="10034.550000000001"/>
    <x v="255"/>
    <x v="0"/>
  </r>
  <r>
    <x v="255"/>
    <d v="2023-10-05T00:00:00"/>
    <d v="2023-10-06T00:00:00"/>
    <n v="1"/>
    <x v="32"/>
    <s v="Non-Profit"/>
    <s v="Online"/>
    <x v="2"/>
    <s v="Components"/>
    <n v="1470.26"/>
    <s v="High"/>
    <n v="2562.5500000000002"/>
    <n v="0.17299999999999999"/>
    <n v="9"/>
    <n v="828.33146999999997"/>
    <n v="13232.34"/>
    <x v="256"/>
    <x v="0"/>
  </r>
  <r>
    <x v="256"/>
    <d v="2023-04-19T00:00:00"/>
    <d v="2023-05-07T00:00:00"/>
    <n v="18"/>
    <x v="12"/>
    <s v="Non-Profit"/>
    <s v="Direct"/>
    <x v="10"/>
    <s v="Networking"/>
    <n v="516.96"/>
    <s v="High"/>
    <n v="745.38"/>
    <n v="0.19700000000000001"/>
    <n v="4"/>
    <n v="3533.4890799999994"/>
    <n v="2067.84"/>
    <x v="257"/>
    <x v="0"/>
  </r>
  <r>
    <x v="257"/>
    <d v="2025-06-27T00:00:00"/>
    <d v="2025-07-05T00:00:00"/>
    <n v="8"/>
    <x v="16"/>
    <s v="Small Business"/>
    <s v="Direct"/>
    <x v="3"/>
    <s v="Monitors"/>
    <n v="314.93"/>
    <s v="High"/>
    <n v="687.95"/>
    <n v="0.20499999999999999"/>
    <n v="8"/>
    <n v="9725.3304000000007"/>
    <n v="2519.44"/>
    <x v="258"/>
    <x v="0"/>
  </r>
  <r>
    <x v="258"/>
    <d v="2023-10-11T00:00:00"/>
    <d v="2023-10-13T00:00:00"/>
    <n v="2"/>
    <x v="32"/>
    <s v="Consumer"/>
    <s v="Distributor"/>
    <x v="15"/>
    <s v="Accessories"/>
    <n v="715.94"/>
    <s v="High"/>
    <n v="550.07000000000005"/>
    <n v="0.14000000000000001"/>
    <n v="16"/>
    <n v="10026.7744"/>
    <n v="11455.04"/>
    <x v="259"/>
    <x v="0"/>
  </r>
  <r>
    <x v="259"/>
    <d v="2023-05-20T00:00:00"/>
    <d v="2023-06-07T00:00:00"/>
    <n v="18"/>
    <x v="15"/>
    <s v="Enterprise"/>
    <s v="Distributor"/>
    <x v="6"/>
    <s v="Components"/>
    <n v="1120.06"/>
    <s v="High"/>
    <n v="2068.21"/>
    <n v="7.8E-2"/>
    <n v="12"/>
    <n v="69.481920000000002"/>
    <n v="13440.72"/>
    <x v="260"/>
    <x v="0"/>
  </r>
  <r>
    <x v="260"/>
    <d v="2023-05-27T00:00:00"/>
    <d v="2023-06-19T00:00:00"/>
    <n v="23"/>
    <x v="15"/>
    <s v="Education"/>
    <s v="Retail"/>
    <x v="7"/>
    <s v="Accessories"/>
    <n v="1471.58"/>
    <s v="High"/>
    <n v="2576.65"/>
    <n v="4.0000000000000001E-3"/>
    <n v="7"/>
    <n v="17916.436439999998"/>
    <n v="10301.06"/>
    <x v="261"/>
    <x v="0"/>
  </r>
  <r>
    <x v="261"/>
    <d v="2023-08-04T00:00:00"/>
    <d v="2023-08-24T00:00:00"/>
    <n v="20"/>
    <x v="25"/>
    <s v="Non-Profit"/>
    <s v="Direct"/>
    <x v="15"/>
    <s v="Networking"/>
    <n v="582.88"/>
    <s v="High"/>
    <n v="1044.1400000000001"/>
    <n v="0.216"/>
    <n v="10"/>
    <n v="12481.436800000001"/>
    <n v="5828.8"/>
    <x v="262"/>
    <x v="0"/>
  </r>
  <r>
    <x v="262"/>
    <d v="2025-06-21T00:00:00"/>
    <d v="2025-06-27T00:00:00"/>
    <n v="6"/>
    <x v="16"/>
    <s v="Enterprise"/>
    <s v="Distributor"/>
    <x v="13"/>
    <s v="Phones"/>
    <n v="93.91"/>
    <s v="Medium"/>
    <n v="99.04"/>
    <n v="5.7000000000000002E-2"/>
    <n v="6"/>
    <n v="5632.3692599999995"/>
    <n v="563.46"/>
    <x v="263"/>
    <x v="0"/>
  </r>
  <r>
    <x v="263"/>
    <d v="2025-04-16T00:00:00"/>
    <d v="2025-04-26T00:00:00"/>
    <n v="10"/>
    <x v="19"/>
    <s v="Enterprise"/>
    <s v="Marketplace"/>
    <x v="9"/>
    <s v="Laptops"/>
    <n v="1457.44"/>
    <s v="High"/>
    <n v="1996.81"/>
    <n v="0.126"/>
    <n v="23"/>
    <n v="24932.711619999998"/>
    <n v="33521.120000000003"/>
    <x v="264"/>
    <x v="0"/>
  </r>
  <r>
    <x v="264"/>
    <d v="2025-09-02T00:00:00"/>
    <d v="2025-09-11T00:00:00"/>
    <n v="9"/>
    <x v="11"/>
    <s v="Corporate"/>
    <s v="Distributor"/>
    <x v="12"/>
    <s v="Printers"/>
    <n v="1207.6300000000001"/>
    <s v="High"/>
    <n v="921.68"/>
    <n v="0.19600000000000001"/>
    <n v="17"/>
    <n v="1617.8811600000001"/>
    <n v="20529.710000000003"/>
    <x v="265"/>
    <x v="0"/>
  </r>
  <r>
    <x v="265"/>
    <d v="2024-10-08T00:00:00"/>
    <d v="2024-10-08T00:00:00"/>
    <n v="0"/>
    <x v="1"/>
    <s v="Corporate"/>
    <s v="Online"/>
    <x v="6"/>
    <s v="Monitors"/>
    <n v="1108.1099999999999"/>
    <s v="High"/>
    <n v="2503.79"/>
    <n v="0.184"/>
    <n v="19"/>
    <n v="32644.137120000007"/>
    <n v="21054.089999999997"/>
    <x v="266"/>
    <x v="0"/>
  </r>
  <r>
    <x v="266"/>
    <d v="2023-05-07T00:00:00"/>
    <d v="2023-05-05T00:00:00"/>
    <n v="2"/>
    <x v="15"/>
    <s v="Non-Profit"/>
    <s v="Marketplace"/>
    <x v="8"/>
    <s v="Components"/>
    <n v="1269.6500000000001"/>
    <s v="High"/>
    <n v="2462.77"/>
    <n v="0.107"/>
    <n v="8"/>
    <n v="3736.3119999999999"/>
    <n v="10157.200000000001"/>
    <x v="267"/>
    <x v="0"/>
  </r>
  <r>
    <x v="267"/>
    <d v="2023-12-24T00:00:00"/>
    <d v="2024-01-01T00:00:00"/>
    <n v="8"/>
    <x v="4"/>
    <s v="Education"/>
    <s v="Direct"/>
    <x v="0"/>
    <s v="Phones"/>
    <n v="526.49"/>
    <s v="High"/>
    <n v="496.2"/>
    <n v="0"/>
    <n v="14"/>
    <n v="15054.199999999999"/>
    <n v="7370.8600000000006"/>
    <x v="268"/>
    <x v="0"/>
  </r>
  <r>
    <x v="268"/>
    <d v="2024-01-10T00:00:00"/>
    <d v="2024-01-23T00:00:00"/>
    <n v="13"/>
    <x v="9"/>
    <s v="Corporate"/>
    <s v="Direct"/>
    <x v="8"/>
    <s v="Printers"/>
    <n v="720"/>
    <s v="High"/>
    <n v="907.59"/>
    <n v="0.154"/>
    <n v="10"/>
    <n v="27872.062200000004"/>
    <n v="7200"/>
    <x v="269"/>
    <x v="0"/>
  </r>
  <r>
    <x v="269"/>
    <d v="2023-08-03T00:00:00"/>
    <d v="2023-08-14T00:00:00"/>
    <n v="11"/>
    <x v="25"/>
    <s v="Corporate"/>
    <s v="Direct"/>
    <x v="1"/>
    <s v="Accessories"/>
    <n v="232.73"/>
    <s v="High"/>
    <n v="334.19"/>
    <n v="0.13400000000000001"/>
    <n v="25"/>
    <n v="10046.682500000001"/>
    <n v="5818.25"/>
    <x v="270"/>
    <x v="0"/>
  </r>
  <r>
    <x v="270"/>
    <d v="2025-02-19T00:00:00"/>
    <d v="2025-03-09T00:00:00"/>
    <n v="18"/>
    <x v="26"/>
    <s v="Small Business"/>
    <s v="Direct"/>
    <x v="7"/>
    <s v="Monitors"/>
    <n v="325.87"/>
    <s v="High"/>
    <n v="538.79"/>
    <n v="0.17399999999999999"/>
    <n v="16"/>
    <n v="6753.7724800000005"/>
    <n v="5213.92"/>
    <x v="271"/>
    <x v="0"/>
  </r>
  <r>
    <x v="271"/>
    <d v="2024-03-31T00:00:00"/>
    <d v="2024-04-17T00:00:00"/>
    <n v="17"/>
    <x v="0"/>
    <s v="Education"/>
    <s v="Direct"/>
    <x v="10"/>
    <s v="Monitors"/>
    <n v="1025.51"/>
    <s v="High"/>
    <n v="1436.54"/>
    <n v="0.13900000000000001"/>
    <n v="28"/>
    <n v="101.73576"/>
    <n v="28714.28"/>
    <x v="272"/>
    <x v="0"/>
  </r>
  <r>
    <x v="272"/>
    <d v="2023-07-24T00:00:00"/>
    <d v="2023-08-13T00:00:00"/>
    <n v="20"/>
    <x v="24"/>
    <s v="Education"/>
    <s v="Direct"/>
    <x v="0"/>
    <s v="Monitors"/>
    <n v="1082.3800000000001"/>
    <s v="High"/>
    <n v="1766.55"/>
    <n v="0.16400000000000001"/>
    <n v="20"/>
    <n v="9651.4527999999991"/>
    <n v="21647.600000000002"/>
    <x v="273"/>
    <x v="0"/>
  </r>
  <r>
    <x v="273"/>
    <d v="2024-03-16T00:00:00"/>
    <d v="2024-04-13T00:00:00"/>
    <n v="28"/>
    <x v="0"/>
    <s v="Small Business"/>
    <s v="Online"/>
    <x v="11"/>
    <s v="Printers"/>
    <n v="287.61"/>
    <s v="High"/>
    <n v="628.54"/>
    <n v="0.13500000000000001"/>
    <n v="21"/>
    <n v="25903.83495"/>
    <n v="6039.81"/>
    <x v="274"/>
    <x v="0"/>
  </r>
  <r>
    <x v="274"/>
    <d v="2024-01-25T00:00:00"/>
    <d v="2024-01-27T00:00:00"/>
    <n v="2"/>
    <x v="9"/>
    <s v="Non-Profit"/>
    <s v="Marketplace"/>
    <x v="13"/>
    <s v="Laptops"/>
    <n v="1410.97"/>
    <s v="High"/>
    <n v="1650.75"/>
    <n v="0.13500000000000001"/>
    <n v="6"/>
    <n v="7059.0227999999997"/>
    <n v="8465.82"/>
    <x v="275"/>
    <x v="0"/>
  </r>
  <r>
    <x v="275"/>
    <d v="2024-03-27T00:00:00"/>
    <d v="2024-04-11T00:00:00"/>
    <n v="15"/>
    <x v="0"/>
    <s v="Small Business"/>
    <s v="Direct"/>
    <x v="7"/>
    <s v="Networking"/>
    <n v="1338.35"/>
    <s v="High"/>
    <n v="2247.14"/>
    <n v="0.115"/>
    <n v="40"/>
    <n v="73316.94"/>
    <n v="53534"/>
    <x v="276"/>
    <x v="0"/>
  </r>
  <r>
    <x v="276"/>
    <d v="2025-06-24T00:00:00"/>
    <d v="2025-07-14T00:00:00"/>
    <n v="20"/>
    <x v="16"/>
    <s v="Corporate"/>
    <s v="Direct"/>
    <x v="7"/>
    <s v="Accessories"/>
    <n v="385.08"/>
    <s v="High"/>
    <n v="893.19"/>
    <n v="0.151"/>
    <n v="8"/>
    <n v="6655.0732799999996"/>
    <n v="3080.64"/>
    <x v="277"/>
    <x v="0"/>
  </r>
  <r>
    <x v="277"/>
    <d v="2024-06-16T00:00:00"/>
    <d v="2024-07-03T00:00:00"/>
    <n v="17"/>
    <x v="17"/>
    <s v="Enterprise"/>
    <s v="Marketplace"/>
    <x v="9"/>
    <s v="Phones"/>
    <n v="1173.83"/>
    <s v="High"/>
    <n v="2328.9"/>
    <n v="0.12"/>
    <n v="17"/>
    <n v="8039.3543999999993"/>
    <n v="19955.11"/>
    <x v="278"/>
    <x v="0"/>
  </r>
  <r>
    <x v="278"/>
    <d v="2023-10-30T00:00:00"/>
    <d v="2023-11-14T00:00:00"/>
    <n v="15"/>
    <x v="32"/>
    <s v="Corporate"/>
    <s v="Online"/>
    <x v="9"/>
    <s v="Laptops"/>
    <n v="953.46"/>
    <s v="High"/>
    <n v="2066.75"/>
    <n v="0.13800000000000001"/>
    <n v="5"/>
    <n v="919.40919999999994"/>
    <n v="4767.3"/>
    <x v="279"/>
    <x v="0"/>
  </r>
  <r>
    <x v="279"/>
    <d v="2023-06-15T00:00:00"/>
    <d v="2023-06-23T00:00:00"/>
    <n v="8"/>
    <x v="23"/>
    <s v="Consumer"/>
    <s v="Distributor"/>
    <x v="7"/>
    <s v="Monitors"/>
    <n v="1097.0899999999999"/>
    <s v="High"/>
    <n v="2182.31"/>
    <n v="0.112"/>
    <n v="9"/>
    <n v="15941.402639999998"/>
    <n v="9873.81"/>
    <x v="280"/>
    <x v="0"/>
  </r>
  <r>
    <x v="280"/>
    <d v="2025-03-14T00:00:00"/>
    <d v="2025-03-29T00:00:00"/>
    <n v="15"/>
    <x v="3"/>
    <s v="Non-Profit"/>
    <s v="Direct"/>
    <x v="10"/>
    <s v="Networking"/>
    <n v="1106.96"/>
    <s v="High"/>
    <n v="2726.62"/>
    <n v="0.317"/>
    <n v="7"/>
    <n v="2643.1280400000001"/>
    <n v="7748.72"/>
    <x v="281"/>
    <x v="0"/>
  </r>
  <r>
    <x v="281"/>
    <d v="2023-08-15T00:00:00"/>
    <d v="2023-08-25T00:00:00"/>
    <n v="10"/>
    <x v="25"/>
    <s v="Small Business"/>
    <s v="Retail"/>
    <x v="13"/>
    <s v="Phones"/>
    <n v="91.85"/>
    <s v="Medium"/>
    <n v="111.29"/>
    <n v="0"/>
    <n v="6"/>
    <n v="1349.6999999999998"/>
    <n v="551.09999999999991"/>
    <x v="282"/>
    <x v="0"/>
  </r>
  <r>
    <x v="282"/>
    <d v="2025-05-17T00:00:00"/>
    <d v="2025-05-28T00:00:00"/>
    <n v="11"/>
    <x v="8"/>
    <s v="Corporate"/>
    <s v="Distributor"/>
    <x v="5"/>
    <s v="Laptops"/>
    <n v="623.4"/>
    <s v="High"/>
    <n v="1100.0899999999999"/>
    <n v="0.114"/>
    <n v="12"/>
    <n v="8208.8608800000002"/>
    <n v="7480.7999999999993"/>
    <x v="283"/>
    <x v="0"/>
  </r>
  <r>
    <x v="283"/>
    <d v="2024-01-13T00:00:00"/>
    <d v="2024-02-05T00:00:00"/>
    <n v="23"/>
    <x v="9"/>
    <s v="Education"/>
    <s v="Direct"/>
    <x v="5"/>
    <s v="Laptops"/>
    <n v="1017.93"/>
    <s v="High"/>
    <n v="1529.14"/>
    <n v="0.155"/>
    <n v="12"/>
    <n v="31932.989400000002"/>
    <n v="12215.16"/>
    <x v="284"/>
    <x v="0"/>
  </r>
  <r>
    <x v="284"/>
    <d v="2023-06-24T00:00:00"/>
    <d v="2023-07-21T00:00:00"/>
    <n v="27"/>
    <x v="23"/>
    <s v="Consumer"/>
    <s v="Marketplace"/>
    <x v="1"/>
    <s v="Phones"/>
    <n v="554.76"/>
    <s v="High"/>
    <n v="728.69"/>
    <n v="0.22"/>
    <n v="7"/>
    <n v="314.11380000000003"/>
    <n v="3883.3199999999997"/>
    <x v="285"/>
    <x v="0"/>
  </r>
  <r>
    <x v="285"/>
    <d v="2025-04-04T00:00:00"/>
    <d v="2025-04-13T00:00:00"/>
    <n v="9"/>
    <x v="19"/>
    <s v="Consumer"/>
    <s v="Marketplace"/>
    <x v="9"/>
    <s v="Phones"/>
    <n v="7.02"/>
    <s v="Low"/>
    <n v="6.28"/>
    <n v="0.13400000000000001"/>
    <n v="14"/>
    <n v="9999.9964400000008"/>
    <n v="98.28"/>
    <x v="286"/>
    <x v="0"/>
  </r>
  <r>
    <x v="286"/>
    <d v="2024-09-07T00:00:00"/>
    <d v="2024-09-07T00:00:00"/>
    <n v="0"/>
    <x v="29"/>
    <s v="Education"/>
    <s v="Distributor"/>
    <x v="5"/>
    <s v="Networking"/>
    <n v="1066.6500000000001"/>
    <s v="High"/>
    <n v="2569.77"/>
    <n v="0.13400000000000001"/>
    <n v="9"/>
    <n v="11640.572819999999"/>
    <n v="9599.85"/>
    <x v="287"/>
    <x v="0"/>
  </r>
  <r>
    <x v="287"/>
    <d v="2024-01-28T00:00:00"/>
    <d v="2024-01-30T00:00:00"/>
    <n v="2"/>
    <x v="9"/>
    <s v="Consumer"/>
    <s v="Direct"/>
    <x v="9"/>
    <s v="Accessories"/>
    <n v="798.45"/>
    <s v="High"/>
    <n v="1592.02"/>
    <n v="6.6000000000000003E-2"/>
    <n v="18"/>
    <n v="12473.159039999999"/>
    <n v="14372.1"/>
    <x v="288"/>
    <x v="0"/>
  </r>
  <r>
    <x v="288"/>
    <d v="2023-07-18T00:00:00"/>
    <d v="2023-08-10T00:00:00"/>
    <n v="23"/>
    <x v="24"/>
    <s v="Small Business"/>
    <s v="Retail"/>
    <x v="4"/>
    <s v="Components"/>
    <n v="1271.56"/>
    <s v="High"/>
    <n v="995.47"/>
    <n v="0.192"/>
    <n v="13"/>
    <n v="7796.3839200000002"/>
    <n v="16530.28"/>
    <x v="289"/>
    <x v="0"/>
  </r>
  <r>
    <x v="289"/>
    <d v="2025-08-28T00:00:00"/>
    <d v="2025-08-26T00:00:00"/>
    <n v="2"/>
    <x v="28"/>
    <s v="Small Business"/>
    <s v="Retail"/>
    <x v="8"/>
    <s v="Accessories"/>
    <n v="521.05999999999995"/>
    <s v="High"/>
    <n v="1240.31"/>
    <n v="0.14599999999999999"/>
    <n v="18"/>
    <n v="7371.4888800000008"/>
    <n v="9379.0799999999981"/>
    <x v="290"/>
    <x v="0"/>
  </r>
  <r>
    <x v="290"/>
    <d v="2025-03-30T00:00:00"/>
    <d v="2025-04-07T00:00:00"/>
    <n v="8"/>
    <x v="3"/>
    <s v="Non-Profit"/>
    <s v="Direct"/>
    <x v="4"/>
    <s v="Printers"/>
    <n v="71.62"/>
    <s v="Medium"/>
    <n v="118.37"/>
    <n v="0.156"/>
    <n v="11"/>
    <n v="10911.020999999999"/>
    <n v="787.82"/>
    <x v="291"/>
    <x v="0"/>
  </r>
  <r>
    <x v="291"/>
    <d v="2023-10-21T00:00:00"/>
    <d v="2023-11-09T00:00:00"/>
    <n v="19"/>
    <x v="32"/>
    <s v="Non-Profit"/>
    <s v="Direct"/>
    <x v="8"/>
    <s v="Accessories"/>
    <n v="1142.48"/>
    <s v="High"/>
    <n v="2105.5300000000002"/>
    <n v="0.20699999999999999"/>
    <n v="14"/>
    <n v="2525.1498999999999"/>
    <n v="15994.720000000001"/>
    <x v="292"/>
    <x v="0"/>
  </r>
  <r>
    <x v="292"/>
    <d v="2023-08-23T00:00:00"/>
    <d v="2023-09-22T00:00:00"/>
    <n v="30"/>
    <x v="25"/>
    <s v="Consumer"/>
    <s v="Distributor"/>
    <x v="7"/>
    <s v="Accessories"/>
    <n v="209.81"/>
    <s v="High"/>
    <n v="523"/>
    <n v="5.8999999999999997E-2"/>
    <n v="15"/>
    <n v="16636.221300000001"/>
    <n v="3147.15"/>
    <x v="293"/>
    <x v="0"/>
  </r>
  <r>
    <x v="293"/>
    <d v="2025-04-11T00:00:00"/>
    <d v="2025-05-04T00:00:00"/>
    <n v="23"/>
    <x v="19"/>
    <s v="Small Business"/>
    <s v="Online"/>
    <x v="12"/>
    <s v="Components"/>
    <n v="786.2"/>
    <s v="High"/>
    <n v="1075.3"/>
    <n v="0.08"/>
    <n v="9"/>
    <n v="20054.987999999998"/>
    <n v="7075.8"/>
    <x v="294"/>
    <x v="0"/>
  </r>
  <r>
    <x v="294"/>
    <d v="2025-06-01T00:00:00"/>
    <d v="2025-06-27T00:00:00"/>
    <n v="26"/>
    <x v="16"/>
    <s v="Consumer"/>
    <s v="Distributor"/>
    <x v="6"/>
    <s v="Laptops"/>
    <n v="1362.31"/>
    <s v="High"/>
    <n v="3294.57"/>
    <n v="0.113"/>
    <n v="7"/>
    <n v="2693.96092"/>
    <n v="9536.17"/>
    <x v="295"/>
    <x v="0"/>
  </r>
  <r>
    <x v="295"/>
    <d v="2024-03-02T00:00:00"/>
    <d v="2024-03-16T00:00:00"/>
    <n v="14"/>
    <x v="0"/>
    <s v="Non-Profit"/>
    <s v="Direct"/>
    <x v="7"/>
    <s v="Printers"/>
    <n v="248.24"/>
    <s v="High"/>
    <n v="464.05"/>
    <n v="0.16900000000000001"/>
    <n v="11"/>
    <n v="28786.197329999999"/>
    <n v="2730.6400000000003"/>
    <x v="296"/>
    <x v="0"/>
  </r>
  <r>
    <x v="296"/>
    <d v="2023-06-20T00:00:00"/>
    <d v="2023-07-08T00:00:00"/>
    <n v="18"/>
    <x v="23"/>
    <s v="Non-Profit"/>
    <s v="Direct"/>
    <x v="9"/>
    <s v="Monitors"/>
    <n v="337"/>
    <s v="High"/>
    <n v="511.03"/>
    <n v="0.108"/>
    <n v="7"/>
    <n v="409.91860000000008"/>
    <n v="2359"/>
    <x v="297"/>
    <x v="0"/>
  </r>
  <r>
    <x v="297"/>
    <d v="2024-03-26T00:00:00"/>
    <d v="2024-04-05T00:00:00"/>
    <n v="10"/>
    <x v="0"/>
    <s v="Consumer"/>
    <s v="Direct"/>
    <x v="1"/>
    <s v="Monitors"/>
    <n v="5.66"/>
    <s v="Low"/>
    <n v="4.22"/>
    <n v="0.11899999999999999"/>
    <n v="18"/>
    <n v="39520.356119999997"/>
    <n v="101.88"/>
    <x v="298"/>
    <x v="0"/>
  </r>
  <r>
    <x v="298"/>
    <d v="2025-01-22T00:00:00"/>
    <d v="2025-01-22T00:00:00"/>
    <n v="0"/>
    <x v="10"/>
    <s v="Small Business"/>
    <s v="Online"/>
    <x v="5"/>
    <s v="Accessories"/>
    <n v="591.72"/>
    <s v="High"/>
    <n v="577.24"/>
    <n v="0"/>
    <n v="22"/>
    <n v="20500.48"/>
    <n v="13017.84"/>
    <x v="299"/>
    <x v="0"/>
  </r>
  <r>
    <x v="299"/>
    <d v="2025-05-10T00:00:00"/>
    <d v="2025-05-27T00:00:00"/>
    <n v="17"/>
    <x v="8"/>
    <s v="Education"/>
    <s v="Direct"/>
    <x v="0"/>
    <s v="Components"/>
    <n v="862.89"/>
    <s v="High"/>
    <n v="1426.03"/>
    <n v="5.6000000000000001E-2"/>
    <n v="19"/>
    <n v="11111.531359999999"/>
    <n v="16394.91"/>
    <x v="300"/>
    <x v="0"/>
  </r>
  <r>
    <x v="300"/>
    <d v="2023-10-05T00:00:00"/>
    <d v="2023-10-31T00:00:00"/>
    <n v="26"/>
    <x v="32"/>
    <s v="Consumer"/>
    <s v="Not Provided"/>
    <x v="1"/>
    <s v="Printers"/>
    <n v="649.91"/>
    <s v="High"/>
    <n v="1360.12"/>
    <n v="0.19400000000000001"/>
    <n v="9"/>
    <n v="10311.923699999999"/>
    <n v="5849.19"/>
    <x v="301"/>
    <x v="0"/>
  </r>
  <r>
    <x v="301"/>
    <d v="2023-07-18T00:00:00"/>
    <d v="2023-07-22T00:00:00"/>
    <n v="4"/>
    <x v="24"/>
    <s v="Consumer"/>
    <s v="Direct"/>
    <x v="9"/>
    <s v="Networking"/>
    <n v="1269.55"/>
    <s v="High"/>
    <n v="2071.1"/>
    <n v="0.129"/>
    <n v="22"/>
    <n v="18252.954719999998"/>
    <n v="27930.1"/>
    <x v="302"/>
    <x v="0"/>
  </r>
  <r>
    <x v="302"/>
    <d v="2025-06-22T00:00:00"/>
    <d v="2025-07-08T00:00:00"/>
    <n v="16"/>
    <x v="16"/>
    <s v="Education"/>
    <s v="Direct"/>
    <x v="8"/>
    <s v="Phones"/>
    <n v="892.73"/>
    <s v="High"/>
    <n v="979.84"/>
    <n v="0.17399999999999999"/>
    <n v="10"/>
    <n v="26053.196400000001"/>
    <n v="8927.2999999999993"/>
    <x v="303"/>
    <x v="0"/>
  </r>
  <r>
    <x v="303"/>
    <d v="2024-06-19T00:00:00"/>
    <d v="2024-06-20T00:00:00"/>
    <n v="1"/>
    <x v="17"/>
    <s v="Small Business"/>
    <s v="Direct"/>
    <x v="1"/>
    <s v="Laptops"/>
    <n v="231.63"/>
    <s v="High"/>
    <n v="537.39"/>
    <n v="0.08"/>
    <n v="12"/>
    <n v="2496.5855999999999"/>
    <n v="2779.56"/>
    <x v="304"/>
    <x v="0"/>
  </r>
  <r>
    <x v="304"/>
    <d v="2025-04-09T00:00:00"/>
    <d v="2025-04-12T00:00:00"/>
    <n v="3"/>
    <x v="19"/>
    <s v="Small Business"/>
    <s v="Distributor"/>
    <x v="10"/>
    <s v="Monitors"/>
    <n v="86.68"/>
    <s v="High"/>
    <n v="213.32"/>
    <n v="3.7999999999999999E-2"/>
    <n v="8"/>
    <n v="6818.0403199999992"/>
    <n v="693.44"/>
    <x v="305"/>
    <x v="0"/>
  </r>
  <r>
    <x v="305"/>
    <d v="2025-03-25T00:00:00"/>
    <d v="2025-03-26T00:00:00"/>
    <n v="1"/>
    <x v="3"/>
    <s v="Education"/>
    <s v="Distributor"/>
    <x v="3"/>
    <s v="Accessories"/>
    <n v="1450.43"/>
    <s v="High"/>
    <n v="1994.67"/>
    <n v="0.1"/>
    <n v="24"/>
    <n v="52560.144000000008"/>
    <n v="34810.32"/>
    <x v="306"/>
    <x v="0"/>
  </r>
  <r>
    <x v="306"/>
    <d v="2025-05-18T00:00:00"/>
    <d v="2025-06-09T00:00:00"/>
    <n v="22"/>
    <x v="8"/>
    <s v="Consumer"/>
    <s v="Retail"/>
    <x v="10"/>
    <s v="Networking"/>
    <n v="382.96"/>
    <s v="High"/>
    <n v="552.84"/>
    <n v="0.17599999999999999"/>
    <n v="8"/>
    <n v="7609.4092799999999"/>
    <n v="3063.68"/>
    <x v="307"/>
    <x v="0"/>
  </r>
  <r>
    <x v="307"/>
    <d v="2025-01-22T00:00:00"/>
    <d v="2025-02-04T00:00:00"/>
    <n v="13"/>
    <x v="10"/>
    <s v="Small Business"/>
    <s v="Distributor"/>
    <x v="4"/>
    <s v="Printers"/>
    <n v="122.29"/>
    <s v="High"/>
    <n v="224.95"/>
    <n v="0.153"/>
    <n v="28"/>
    <n v="26941.13884"/>
    <n v="3424.1200000000003"/>
    <x v="308"/>
    <x v="0"/>
  </r>
  <r>
    <x v="308"/>
    <d v="2023-01-10T00:00:00"/>
    <d v="2023-01-29T00:00:00"/>
    <n v="19"/>
    <x v="5"/>
    <s v="Non-Profit"/>
    <s v="Direct"/>
    <x v="14"/>
    <s v="Laptops"/>
    <n v="401.66"/>
    <s v="High"/>
    <n v="772.09"/>
    <n v="8.8999999999999996E-2"/>
    <n v="14"/>
    <n v="35096.967360000002"/>
    <n v="5623.2400000000007"/>
    <x v="309"/>
    <x v="0"/>
  </r>
  <r>
    <x v="309"/>
    <d v="2024-12-29T00:00:00"/>
    <d v="2025-01-12T00:00:00"/>
    <n v="14"/>
    <x v="6"/>
    <s v="Corporate"/>
    <s v="Direct"/>
    <x v="5"/>
    <s v="Monitors"/>
    <n v="1399.72"/>
    <s v="High"/>
    <n v="3149.21"/>
    <n v="0.185"/>
    <n v="12"/>
    <n v="13444.761599999998"/>
    <n v="16796.64"/>
    <x v="310"/>
    <x v="0"/>
  </r>
  <r>
    <x v="310"/>
    <d v="2024-05-23T00:00:00"/>
    <d v="2024-06-06T00:00:00"/>
    <n v="14"/>
    <x v="7"/>
    <s v="Non-Profit"/>
    <s v="Online"/>
    <x v="2"/>
    <s v="Networking"/>
    <n v="51.13"/>
    <s v="Medium"/>
    <n v="57.53"/>
    <n v="4.4999999999999998E-2"/>
    <n v="16"/>
    <n v="20144.693599999999"/>
    <n v="818.08"/>
    <x v="311"/>
    <x v="0"/>
  </r>
  <r>
    <x v="311"/>
    <d v="2023-06-24T00:00:00"/>
    <d v="2023-06-22T00:00:00"/>
    <n v="2"/>
    <x v="23"/>
    <s v="Non-Profit"/>
    <s v="Retail"/>
    <x v="12"/>
    <s v="Accessories"/>
    <n v="471.42"/>
    <s v="High"/>
    <n v="824.81"/>
    <n v="8.7999999999999995E-2"/>
    <n v="15"/>
    <n v="6043.0032000000001"/>
    <n v="7071.3"/>
    <x v="312"/>
    <x v="0"/>
  </r>
  <r>
    <x v="312"/>
    <d v="2024-11-04T00:00:00"/>
    <d v="2024-11-05T00:00:00"/>
    <n v="1"/>
    <x v="18"/>
    <s v="Corporate"/>
    <s v="Retail"/>
    <x v="12"/>
    <s v="Printers"/>
    <n v="840.68"/>
    <s v="High"/>
    <n v="1493.53"/>
    <n v="0"/>
    <n v="27"/>
    <n v="35911.89"/>
    <n v="22698.359999999997"/>
    <x v="313"/>
    <x v="0"/>
  </r>
  <r>
    <x v="313"/>
    <d v="2024-06-08T00:00:00"/>
    <d v="2024-06-24T00:00:00"/>
    <n v="16"/>
    <x v="17"/>
    <s v="Education"/>
    <s v="Distributor"/>
    <x v="10"/>
    <s v="Monitors"/>
    <n v="597.85"/>
    <s v="High"/>
    <n v="741.92"/>
    <n v="3.1E-2"/>
    <n v="7"/>
    <n v="11089.255379999999"/>
    <n v="4184.95"/>
    <x v="314"/>
    <x v="0"/>
  </r>
  <r>
    <x v="314"/>
    <d v="2025-06-01T00:00:00"/>
    <d v="2025-06-06T00:00:00"/>
    <n v="5"/>
    <x v="16"/>
    <s v="Consumer"/>
    <s v="Distributor"/>
    <x v="3"/>
    <s v="Components"/>
    <n v="379.45"/>
    <s v="High"/>
    <n v="742.23"/>
    <n v="0.09"/>
    <n v="13"/>
    <n v="835.19799999999998"/>
    <n v="4932.8499999999995"/>
    <x v="315"/>
    <x v="0"/>
  </r>
  <r>
    <x v="315"/>
    <d v="2023-05-06T00:00:00"/>
    <d v="2023-05-14T00:00:00"/>
    <n v="8"/>
    <x v="15"/>
    <s v="Enterprise"/>
    <s v="Marketplace"/>
    <x v="5"/>
    <s v="Phones"/>
    <n v="291.18"/>
    <s v="High"/>
    <n v="479.54"/>
    <n v="0.14099999999999999"/>
    <n v="22"/>
    <n v="34451.80992"/>
    <n v="6405.96"/>
    <x v="316"/>
    <x v="0"/>
  </r>
  <r>
    <x v="316"/>
    <d v="2023-11-14T00:00:00"/>
    <d v="2023-11-30T00:00:00"/>
    <n v="16"/>
    <x v="30"/>
    <s v="Enterprise"/>
    <s v="Direct"/>
    <x v="11"/>
    <s v="Networking"/>
    <n v="1017.92"/>
    <s v="High"/>
    <n v="1175.25"/>
    <n v="7.4999999999999997E-2"/>
    <n v="15"/>
    <n v="27971.861250000002"/>
    <n v="15268.8"/>
    <x v="317"/>
    <x v="0"/>
  </r>
  <r>
    <x v="317"/>
    <d v="2025-04-01T00:00:00"/>
    <d v="2025-04-27T00:00:00"/>
    <n v="26"/>
    <x v="19"/>
    <s v="Corporate"/>
    <s v="Direct"/>
    <x v="2"/>
    <s v="Monitors"/>
    <n v="156.55000000000001"/>
    <s v="High"/>
    <n v="227.45"/>
    <n v="1.4E-2"/>
    <n v="13"/>
    <n v="3129.2583399999999"/>
    <n v="2035.15"/>
    <x v="318"/>
    <x v="0"/>
  </r>
  <r>
    <x v="318"/>
    <d v="2023-03-23T00:00:00"/>
    <d v="2023-04-15T00:00:00"/>
    <n v="23"/>
    <x v="22"/>
    <s v="Small Business"/>
    <s v="Retail"/>
    <x v="0"/>
    <s v="Accessories"/>
    <n v="875.36"/>
    <s v="High"/>
    <n v="1178.6199999999999"/>
    <n v="0.151"/>
    <n v="53"/>
    <n v="125232.05063999999"/>
    <n v="46394.080000000002"/>
    <x v="319"/>
    <x v="0"/>
  </r>
  <r>
    <x v="319"/>
    <d v="2024-05-28T00:00:00"/>
    <d v="2024-06-18T00:00:00"/>
    <n v="21"/>
    <x v="7"/>
    <s v="Small Business"/>
    <s v="Online"/>
    <x v="6"/>
    <s v="Phones"/>
    <n v="986.85"/>
    <s v="High"/>
    <n v="2422.1"/>
    <n v="7.5999999999999998E-2"/>
    <n v="10"/>
    <n v="18944.864399999999"/>
    <n v="9868.5"/>
    <x v="320"/>
    <x v="0"/>
  </r>
  <r>
    <x v="320"/>
    <d v="2024-01-02T00:00:00"/>
    <d v="2024-01-01T00:00:00"/>
    <n v="1"/>
    <x v="9"/>
    <s v="Education"/>
    <s v="Marketplace"/>
    <x v="5"/>
    <s v="Networking"/>
    <n v="404.77"/>
    <s v="High"/>
    <n v="433.88"/>
    <n v="0.215"/>
    <n v="22"/>
    <n v="2540.7624000000005"/>
    <n v="8904.9399999999987"/>
    <x v="321"/>
    <x v="0"/>
  </r>
  <r>
    <x v="321"/>
    <d v="2023-02-28T00:00:00"/>
    <d v="2023-02-27T00:00:00"/>
    <n v="1"/>
    <x v="2"/>
    <s v="Corporate"/>
    <s v="Retail"/>
    <x v="11"/>
    <s v="Networking"/>
    <n v="1299.81"/>
    <s v="High"/>
    <n v="3149.13"/>
    <n v="0.10299999999999999"/>
    <n v="14"/>
    <n v="24902.262840000003"/>
    <n v="18197.34"/>
    <x v="322"/>
    <x v="0"/>
  </r>
  <r>
    <x v="322"/>
    <d v="2024-02-18T00:00:00"/>
    <d v="2024-03-11T00:00:00"/>
    <n v="22"/>
    <x v="31"/>
    <s v="Consumer"/>
    <s v="Online"/>
    <x v="8"/>
    <s v="Components"/>
    <n v="80.48"/>
    <s v="Medium"/>
    <n v="65.650000000000006"/>
    <n v="0.17599999999999999"/>
    <n v="13"/>
    <n v="24630.101600000002"/>
    <n v="1046.24"/>
    <x v="323"/>
    <x v="0"/>
  </r>
  <r>
    <x v="323"/>
    <d v="2024-09-09T00:00:00"/>
    <d v="2024-10-08T00:00:00"/>
    <n v="29"/>
    <x v="29"/>
    <s v="Education"/>
    <s v="Direct"/>
    <x v="1"/>
    <s v="Components"/>
    <n v="1010.33"/>
    <s v="High"/>
    <n v="2492.14"/>
    <n v="5.0999999999999997E-2"/>
    <n v="11"/>
    <n v="4829.1857899999995"/>
    <n v="11113.630000000001"/>
    <x v="324"/>
    <x v="0"/>
  </r>
  <r>
    <x v="324"/>
    <d v="2023-05-07T00:00:00"/>
    <d v="2023-05-29T00:00:00"/>
    <n v="22"/>
    <x v="15"/>
    <s v="Education"/>
    <s v="Distributor"/>
    <x v="11"/>
    <s v="Accessories"/>
    <n v="653.86"/>
    <s v="High"/>
    <n v="931.84"/>
    <n v="0.121"/>
    <n v="12"/>
    <n v="11533.077720000001"/>
    <n v="7846.32"/>
    <x v="325"/>
    <x v="0"/>
  </r>
  <r>
    <x v="325"/>
    <d v="2024-01-12T00:00:00"/>
    <d v="2024-01-29T00:00:00"/>
    <n v="17"/>
    <x v="9"/>
    <s v="Small Business"/>
    <s v="Direct"/>
    <x v="5"/>
    <s v="Components"/>
    <n v="310.02"/>
    <s v="High"/>
    <n v="619.51"/>
    <n v="4.2000000000000003E-2"/>
    <n v="4"/>
    <n v="5572.5710399999998"/>
    <n v="1240.08"/>
    <x v="326"/>
    <x v="0"/>
  </r>
  <r>
    <x v="326"/>
    <d v="2023-06-10T00:00:00"/>
    <d v="2023-06-18T00:00:00"/>
    <n v="8"/>
    <x v="23"/>
    <s v="Enterprise"/>
    <s v="Direct"/>
    <x v="10"/>
    <s v="Phones"/>
    <n v="894.23"/>
    <s v="High"/>
    <n v="1421.55"/>
    <n v="0.109"/>
    <n v="3"/>
    <n v="5667.829200000001"/>
    <n v="2682.69"/>
    <x v="327"/>
    <x v="0"/>
  </r>
  <r>
    <x v="327"/>
    <d v="2025-05-19T00:00:00"/>
    <d v="2025-05-17T00:00:00"/>
    <n v="2"/>
    <x v="8"/>
    <s v="Small Business"/>
    <s v="Distributor"/>
    <x v="4"/>
    <s v="Monitors"/>
    <n v="383.77"/>
    <s v="High"/>
    <n v="952.56"/>
    <n v="0.34599999999999997"/>
    <n v="10"/>
    <n v="841.56720000000018"/>
    <n v="3837.7"/>
    <x v="328"/>
    <x v="0"/>
  </r>
  <r>
    <x v="328"/>
    <d v="2023-10-22T00:00:00"/>
    <d v="2023-11-16T00:00:00"/>
    <n v="25"/>
    <x v="32"/>
    <s v="Small Business"/>
    <s v="Marketplace"/>
    <x v="2"/>
    <s v="Laptops"/>
    <n v="1373.31"/>
    <s v="High"/>
    <n v="3154.14"/>
    <n v="0.2"/>
    <n v="11"/>
    <n v="11668.448000000002"/>
    <n v="15106.41"/>
    <x v="329"/>
    <x v="0"/>
  </r>
  <r>
    <x v="329"/>
    <d v="2025-01-11T00:00:00"/>
    <d v="2025-01-23T00:00:00"/>
    <n v="12"/>
    <x v="10"/>
    <s v="Consumer"/>
    <s v="Distributor"/>
    <x v="10"/>
    <s v="Phones"/>
    <n v="100.69"/>
    <s v="High"/>
    <n v="226.14"/>
    <n v="6.5000000000000002E-2"/>
    <n v="12"/>
    <n v="27369.282600000002"/>
    <n v="1208.28"/>
    <x v="330"/>
    <x v="0"/>
  </r>
  <r>
    <x v="330"/>
    <d v="2025-09-14T00:00:00"/>
    <d v="2025-09-26T00:00:00"/>
    <n v="12"/>
    <x v="11"/>
    <s v="Small Business"/>
    <s v="Direct"/>
    <x v="13"/>
    <s v="Networking"/>
    <n v="425.15"/>
    <s v="High"/>
    <n v="885.92"/>
    <n v="0.23899999999999999"/>
    <n v="13"/>
    <n v="21779.835220000001"/>
    <n v="5526.95"/>
    <x v="331"/>
    <x v="0"/>
  </r>
  <r>
    <x v="331"/>
    <d v="2023-08-30T00:00:00"/>
    <d v="2023-09-03T00:00:00"/>
    <n v="4"/>
    <x v="25"/>
    <s v="Small Business"/>
    <s v="Marketplace"/>
    <x v="4"/>
    <s v="Accessories"/>
    <n v="1082.25"/>
    <s v="High"/>
    <n v="2433.34"/>
    <n v="0.27"/>
    <n v="4"/>
    <n v="2377.9312"/>
    <n v="4329"/>
    <x v="332"/>
    <x v="0"/>
  </r>
  <r>
    <x v="332"/>
    <d v="2023-11-15T00:00:00"/>
    <d v="2023-12-06T00:00:00"/>
    <n v="21"/>
    <x v="30"/>
    <s v="Education"/>
    <s v="Direct"/>
    <x v="10"/>
    <s v="Accessories"/>
    <n v="1184.99"/>
    <s v="High"/>
    <n v="1154.3399999999999"/>
    <n v="2.8000000000000001E-2"/>
    <n v="5"/>
    <n v="6720.9426000000003"/>
    <n v="5924.95"/>
    <x v="333"/>
    <x v="0"/>
  </r>
  <r>
    <x v="333"/>
    <d v="2025-04-27T00:00:00"/>
    <d v="2025-05-27T00:00:00"/>
    <n v="0"/>
    <x v="19"/>
    <s v="Enterprise"/>
    <s v="Marketplace"/>
    <x v="10"/>
    <s v="Phones"/>
    <n v="481.32"/>
    <s v="High"/>
    <n v="1135.99"/>
    <n v="0.14499999999999999"/>
    <n v="5"/>
    <n v="7038.4882499999994"/>
    <n v="2406.6"/>
    <x v="334"/>
    <x v="0"/>
  </r>
  <r>
    <x v="334"/>
    <d v="2024-04-09T00:00:00"/>
    <d v="2024-04-18T00:00:00"/>
    <n v="9"/>
    <x v="20"/>
    <s v="Consumer"/>
    <s v="Online"/>
    <x v="6"/>
    <s v="Printers"/>
    <n v="1288.8499999999999"/>
    <s v="High"/>
    <n v="2751.84"/>
    <n v="0.158"/>
    <n v="7"/>
    <n v="2362.5509599999996"/>
    <n v="9021.9499999999989"/>
    <x v="335"/>
    <x v="0"/>
  </r>
  <r>
    <x v="335"/>
    <d v="2024-07-11T00:00:00"/>
    <d v="2024-07-31T00:00:00"/>
    <n v="20"/>
    <x v="14"/>
    <s v="Consumer"/>
    <s v="Online"/>
    <x v="3"/>
    <s v="Phones"/>
    <n v="647.26"/>
    <s v="High"/>
    <n v="1374.72"/>
    <n v="6.6000000000000003E-2"/>
    <n v="22"/>
    <n v="36586.946879999996"/>
    <n v="14239.72"/>
    <x v="336"/>
    <x v="0"/>
  </r>
  <r>
    <x v="336"/>
    <d v="2024-02-18T00:00:00"/>
    <d v="2024-03-03T00:00:00"/>
    <n v="14"/>
    <x v="31"/>
    <s v="Enterprise"/>
    <s v="Distributor"/>
    <x v="8"/>
    <s v="Printers"/>
    <n v="624.23"/>
    <s v="High"/>
    <n v="1318.37"/>
    <n v="0.21"/>
    <n v="37"/>
    <n v="32691.708900000005"/>
    <n v="23096.510000000002"/>
    <x v="337"/>
    <x v="0"/>
  </r>
  <r>
    <x v="337"/>
    <d v="2023-07-25T00:00:00"/>
    <d v="2023-08-10T00:00:00"/>
    <n v="16"/>
    <x v="24"/>
    <s v="Corporate"/>
    <s v="Distributor"/>
    <x v="2"/>
    <s v="Accessories"/>
    <n v="506.83"/>
    <s v="High"/>
    <n v="441.74"/>
    <n v="0.24"/>
    <n v="9"/>
    <n v="5274.4607999999998"/>
    <n v="4561.47"/>
    <x v="338"/>
    <x v="0"/>
  </r>
  <r>
    <x v="338"/>
    <d v="2023-07-14T00:00:00"/>
    <d v="2023-07-21T00:00:00"/>
    <n v="7"/>
    <x v="24"/>
    <s v="Enterprise"/>
    <s v="Marketplace"/>
    <x v="15"/>
    <s v="Monitors"/>
    <n v="620.74"/>
    <s v="High"/>
    <n v="1330.07"/>
    <n v="0.29899999999999999"/>
    <n v="28"/>
    <n v="23750.665119999998"/>
    <n v="17380.72"/>
    <x v="339"/>
    <x v="0"/>
  </r>
  <r>
    <x v="339"/>
    <d v="2023-07-24T00:00:00"/>
    <d v="2023-08-19T00:00:00"/>
    <n v="26"/>
    <x v="24"/>
    <s v="Enterprise"/>
    <s v="Distributor"/>
    <x v="12"/>
    <s v="Accessories"/>
    <n v="661.45"/>
    <s v="High"/>
    <n v="1634.86"/>
    <n v="0.56499999999999995"/>
    <n v="24"/>
    <n v="31570.873200000005"/>
    <n v="15874.800000000001"/>
    <x v="340"/>
    <x v="0"/>
  </r>
  <r>
    <x v="340"/>
    <d v="2023-04-13T00:00:00"/>
    <d v="2023-04-11T00:00:00"/>
    <n v="2"/>
    <x v="12"/>
    <s v="Education"/>
    <s v="Marketplace"/>
    <x v="3"/>
    <s v="Networking"/>
    <n v="32.1"/>
    <s v="Medium"/>
    <n v="70.599999999999994"/>
    <n v="0.28199999999999997"/>
    <n v="22"/>
    <n v="36385.454160000001"/>
    <n v="706.2"/>
    <x v="341"/>
    <x v="0"/>
  </r>
  <r>
    <x v="341"/>
    <d v="2024-10-29T00:00:00"/>
    <d v="2024-11-04T00:00:00"/>
    <n v="6"/>
    <x v="1"/>
    <s v="Corporate"/>
    <s v="Distributor"/>
    <x v="12"/>
    <s v="Printers"/>
    <n v="805.81"/>
    <s v="High"/>
    <n v="1823.04"/>
    <n v="0"/>
    <n v="11"/>
    <n v="33921.800000000003"/>
    <n v="8863.91"/>
    <x v="342"/>
    <x v="0"/>
  </r>
  <r>
    <x v="342"/>
    <d v="2024-02-17T00:00:00"/>
    <d v="2024-03-04T00:00:00"/>
    <n v="16"/>
    <x v="31"/>
    <s v="Small Business"/>
    <s v="Marketplace"/>
    <x v="9"/>
    <s v="Phones"/>
    <n v="1231.8"/>
    <s v="High"/>
    <n v="2015.99"/>
    <n v="0.26100000000000001"/>
    <n v="6"/>
    <n v="1430.8961399999998"/>
    <n v="7390.7999999999993"/>
    <x v="343"/>
    <x v="0"/>
  </r>
  <r>
    <x v="343"/>
    <d v="2024-07-13T00:00:00"/>
    <d v="2024-07-12T00:00:00"/>
    <n v="1"/>
    <x v="14"/>
    <s v="Small Business"/>
    <s v="Marketplace"/>
    <x v="9"/>
    <s v="Networking"/>
    <n v="105.13"/>
    <s v="High"/>
    <n v="244.13"/>
    <n v="7.0999999999999994E-2"/>
    <n v="14"/>
    <n v="9511.1577400000006"/>
    <n v="1471.82"/>
    <x v="344"/>
    <x v="0"/>
  </r>
  <r>
    <x v="344"/>
    <d v="2023-12-01T00:00:00"/>
    <d v="2023-12-18T00:00:00"/>
    <n v="17"/>
    <x v="4"/>
    <s v="Small Business"/>
    <s v="Direct"/>
    <x v="13"/>
    <s v="Laptops"/>
    <n v="1495.79"/>
    <s v="High"/>
    <n v="2783.12"/>
    <n v="0.02"/>
    <n v="5"/>
    <n v="7516.3549999999996"/>
    <n v="7478.95"/>
    <x v="345"/>
    <x v="0"/>
  </r>
  <r>
    <x v="345"/>
    <d v="2024-07-25T00:00:00"/>
    <d v="2024-08-02T00:00:00"/>
    <n v="8"/>
    <x v="14"/>
    <s v="Consumer"/>
    <s v="Direct"/>
    <x v="1"/>
    <s v="Accessories"/>
    <n v="986.81"/>
    <s v="High"/>
    <n v="2050.31"/>
    <n v="0.10299999999999999"/>
    <n v="43"/>
    <n v="60620.497860000003"/>
    <n v="42432.829999999994"/>
    <x v="346"/>
    <x v="0"/>
  </r>
  <r>
    <x v="346"/>
    <d v="2023-05-04T00:00:00"/>
    <d v="2023-05-16T00:00:00"/>
    <n v="12"/>
    <x v="15"/>
    <s v="Small Business"/>
    <s v="Marketplace"/>
    <x v="1"/>
    <s v="Phones"/>
    <n v="77.739999999999995"/>
    <s v="Medium"/>
    <n v="147.12"/>
    <n v="0"/>
    <n v="15"/>
    <n v="3760.95"/>
    <n v="1166.0999999999999"/>
    <x v="347"/>
    <x v="0"/>
  </r>
  <r>
    <x v="347"/>
    <d v="2023-12-21T00:00:00"/>
    <d v="2024-01-06T00:00:00"/>
    <n v="16"/>
    <x v="4"/>
    <s v="Corporate"/>
    <s v="Marketplace"/>
    <x v="11"/>
    <s v="Components"/>
    <n v="932.61"/>
    <s v="High"/>
    <n v="1982.98"/>
    <n v="0.14399999999999999"/>
    <n v="16"/>
    <n v="47563.605759999999"/>
    <n v="14921.76"/>
    <x v="348"/>
    <x v="0"/>
  </r>
  <r>
    <x v="348"/>
    <d v="2025-06-17T00:00:00"/>
    <d v="2025-07-05T00:00:00"/>
    <n v="18"/>
    <x v="16"/>
    <s v="Consumer"/>
    <s v="Marketplace"/>
    <x v="4"/>
    <s v="Laptops"/>
    <n v="982.93"/>
    <s v="High"/>
    <n v="2299.3000000000002"/>
    <n v="0.113"/>
    <n v="6"/>
    <n v="6418.5448799999995"/>
    <n v="5897.58"/>
    <x v="349"/>
    <x v="0"/>
  </r>
  <r>
    <x v="349"/>
    <d v="2023-02-23T00:00:00"/>
    <d v="2023-03-08T00:00:00"/>
    <n v="13"/>
    <x v="2"/>
    <s v="Small Business"/>
    <s v="Direct"/>
    <x v="0"/>
    <s v="Printers"/>
    <n v="307.37"/>
    <s v="High"/>
    <n v="462.61"/>
    <n v="0.188"/>
    <n v="11"/>
    <n v="19625.658360000001"/>
    <n v="3381.07"/>
    <x v="350"/>
    <x v="0"/>
  </r>
  <r>
    <x v="350"/>
    <d v="2023-12-02T00:00:00"/>
    <d v="2023-12-16T00:00:00"/>
    <n v="14"/>
    <x v="4"/>
    <s v="Education"/>
    <s v="Direct"/>
    <x v="13"/>
    <s v="Monitors"/>
    <n v="879.08"/>
    <s v="High"/>
    <n v="1093.3900000000001"/>
    <n v="0.113"/>
    <n v="17"/>
    <n v="24437.027399999999"/>
    <n v="14944.36"/>
    <x v="351"/>
    <x v="0"/>
  </r>
  <r>
    <x v="351"/>
    <d v="2023-07-14T00:00:00"/>
    <d v="2023-07-14T00:00:00"/>
    <n v="0"/>
    <x v="24"/>
    <s v="Education"/>
    <s v="Retail"/>
    <x v="2"/>
    <s v="Accessories"/>
    <n v="956.38"/>
    <s v="High"/>
    <n v="1454.22"/>
    <n v="3.9E-2"/>
    <n v="19"/>
    <n v="18891.856940000001"/>
    <n v="18171.22"/>
    <x v="352"/>
    <x v="0"/>
  </r>
  <r>
    <x v="352"/>
    <d v="2024-08-08T00:00:00"/>
    <d v="2024-08-20T00:00:00"/>
    <n v="12"/>
    <x v="21"/>
    <s v="Small Business"/>
    <s v="Retail"/>
    <x v="10"/>
    <s v="Networking"/>
    <n v="1233.3599999999999"/>
    <s v="High"/>
    <n v="2120.4"/>
    <n v="0.17899999999999999"/>
    <n v="20"/>
    <n v="31286.9964"/>
    <n v="24667.199999999997"/>
    <x v="353"/>
    <x v="0"/>
  </r>
  <r>
    <x v="353"/>
    <d v="2024-11-07T00:00:00"/>
    <d v="2024-11-26T00:00:00"/>
    <n v="19"/>
    <x v="18"/>
    <s v="Non-Profit"/>
    <s v="Distributor"/>
    <x v="1"/>
    <s v="Printers"/>
    <n v="55.35"/>
    <s v="Medium"/>
    <n v="128.68"/>
    <n v="0.128"/>
    <n v="10"/>
    <n v="4722.4031999999997"/>
    <n v="553.5"/>
    <x v="354"/>
    <x v="0"/>
  </r>
  <r>
    <x v="354"/>
    <d v="2024-01-01T00:00:00"/>
    <d v="2024-01-27T00:00:00"/>
    <n v="26"/>
    <x v="9"/>
    <s v="Education"/>
    <s v="Distributor"/>
    <x v="14"/>
    <s v="Accessories"/>
    <n v="657.45"/>
    <s v="High"/>
    <n v="1325.96"/>
    <n v="0.16700000000000001"/>
    <n v="21"/>
    <n v="19532.683799999999"/>
    <n v="13806.45"/>
    <x v="355"/>
    <x v="0"/>
  </r>
  <r>
    <x v="355"/>
    <d v="2025-08-14T00:00:00"/>
    <d v="2025-09-11T00:00:00"/>
    <n v="28"/>
    <x v="28"/>
    <s v="Non-Profit"/>
    <s v="Direct"/>
    <x v="9"/>
    <s v="Printers"/>
    <n v="1203.02"/>
    <s v="High"/>
    <n v="2439.33"/>
    <n v="0"/>
    <n v="18"/>
    <n v="26190"/>
    <n v="21654.36"/>
    <x v="356"/>
    <x v="0"/>
  </r>
  <r>
    <x v="356"/>
    <d v="2024-04-03T00:00:00"/>
    <d v="2024-04-21T00:00:00"/>
    <n v="18"/>
    <x v="20"/>
    <s v="Small Business"/>
    <s v="Distributor"/>
    <x v="5"/>
    <s v="Networking"/>
    <n v="1176.69"/>
    <s v="High"/>
    <n v="2201.54"/>
    <n v="0.17"/>
    <n v="27"/>
    <n v="28646.702999999998"/>
    <n v="31770.63"/>
    <x v="357"/>
    <x v="0"/>
  </r>
  <r>
    <x v="357"/>
    <d v="2024-11-25T00:00:00"/>
    <d v="2024-12-07T00:00:00"/>
    <n v="12"/>
    <x v="18"/>
    <s v="Corporate"/>
    <s v="Distributor"/>
    <x v="8"/>
    <s v="Accessories"/>
    <n v="769.9"/>
    <s v="High"/>
    <n v="814.36"/>
    <n v="0"/>
    <n v="5"/>
    <n v="4499.1500000000005"/>
    <n v="3849.5"/>
    <x v="358"/>
    <x v="0"/>
  </r>
  <r>
    <x v="358"/>
    <d v="2024-01-18T00:00:00"/>
    <d v="2024-02-03T00:00:00"/>
    <n v="16"/>
    <x v="9"/>
    <s v="Non-Profit"/>
    <s v="Distributor"/>
    <x v="4"/>
    <s v="Printers"/>
    <n v="666.23"/>
    <s v="High"/>
    <n v="1382.91"/>
    <n v="0.17599999999999999"/>
    <n v="13"/>
    <n v="9412.9557600000007"/>
    <n v="8660.99"/>
    <x v="359"/>
    <x v="0"/>
  </r>
  <r>
    <x v="359"/>
    <d v="2024-06-23T00:00:00"/>
    <d v="2024-06-25T00:00:00"/>
    <n v="2"/>
    <x v="17"/>
    <s v="Small Business"/>
    <s v="Marketplace"/>
    <x v="4"/>
    <s v="Accessories"/>
    <n v="951.44"/>
    <s v="High"/>
    <n v="1646.43"/>
    <n v="0.11"/>
    <n v="24"/>
    <n v="12696.811199999998"/>
    <n v="22834.560000000001"/>
    <x v="360"/>
    <x v="0"/>
  </r>
  <r>
    <x v="360"/>
    <d v="2025-06-25T00:00:00"/>
    <d v="2025-07-10T00:00:00"/>
    <n v="15"/>
    <x v="16"/>
    <s v="Non-Profit"/>
    <s v="Marketplace"/>
    <x v="14"/>
    <s v="Phones"/>
    <n v="546.83000000000004"/>
    <s v="High"/>
    <n v="400.84"/>
    <n v="7.8E-2"/>
    <n v="13"/>
    <n v="19391.5501"/>
    <n v="7108.7900000000009"/>
    <x v="361"/>
    <x v="0"/>
  </r>
  <r>
    <x v="361"/>
    <d v="2023-07-01T00:00:00"/>
    <d v="2023-07-08T00:00:00"/>
    <n v="7"/>
    <x v="24"/>
    <s v="Corporate"/>
    <s v="Retail"/>
    <x v="8"/>
    <s v="Laptops"/>
    <n v="834.26"/>
    <s v="High"/>
    <n v="1780.56"/>
    <n v="1.4E-2"/>
    <n v="47"/>
    <n v="45086.595219999996"/>
    <n v="39210.22"/>
    <x v="362"/>
    <x v="0"/>
  </r>
  <r>
    <x v="362"/>
    <d v="2024-03-09T00:00:00"/>
    <d v="2024-03-26T00:00:00"/>
    <n v="17"/>
    <x v="0"/>
    <s v="Enterprise"/>
    <s v="Online"/>
    <x v="11"/>
    <s v="Monitors"/>
    <n v="1029.67"/>
    <s v="High"/>
    <n v="1118.43"/>
    <n v="0.27200000000000002"/>
    <n v="9"/>
    <n v="278.85311999999999"/>
    <n v="9267.0300000000007"/>
    <x v="363"/>
    <x v="0"/>
  </r>
  <r>
    <x v="363"/>
    <d v="2023-06-05T00:00:00"/>
    <d v="2023-06-28T00:00:00"/>
    <n v="23"/>
    <x v="23"/>
    <s v="Corporate"/>
    <s v="Direct"/>
    <x v="11"/>
    <s v="Printers"/>
    <n v="605.82000000000005"/>
    <s v="High"/>
    <n v="771.12"/>
    <n v="0.13200000000000001"/>
    <n v="19"/>
    <n v="24421.848359999996"/>
    <n v="11510.580000000002"/>
    <x v="364"/>
    <x v="0"/>
  </r>
  <r>
    <x v="364"/>
    <d v="2025-03-21T00:00:00"/>
    <d v="2025-04-09T00:00:00"/>
    <n v="19"/>
    <x v="3"/>
    <s v="Small Business"/>
    <s v="Distributor"/>
    <x v="6"/>
    <s v="Components"/>
    <n v="1055.45"/>
    <s v="High"/>
    <n v="1210.04"/>
    <n v="8.9999999999999993E-3"/>
    <n v="18"/>
    <n v="10065.26988"/>
    <n v="18998.100000000002"/>
    <x v="365"/>
    <x v="0"/>
  </r>
  <r>
    <x v="365"/>
    <d v="2024-06-02T00:00:00"/>
    <d v="2024-06-15T00:00:00"/>
    <n v="13"/>
    <x v="17"/>
    <s v="Education"/>
    <s v="Online"/>
    <x v="7"/>
    <s v="Phones"/>
    <n v="1295.18"/>
    <s v="High"/>
    <n v="3024.03"/>
    <n v="0.192"/>
    <n v="8"/>
    <n v="13814.925440000001"/>
    <n v="10361.44"/>
    <x v="366"/>
    <x v="0"/>
  </r>
  <r>
    <x v="366"/>
    <d v="2025-03-15T00:00:00"/>
    <d v="2025-03-29T00:00:00"/>
    <n v="14"/>
    <x v="3"/>
    <s v="Enterprise"/>
    <s v="Direct"/>
    <x v="0"/>
    <s v="Components"/>
    <n v="935.83"/>
    <s v="High"/>
    <n v="2303.46"/>
    <n v="0.105"/>
    <n v="9"/>
    <n v="13539.891150000001"/>
    <n v="8422.4700000000012"/>
    <x v="367"/>
    <x v="0"/>
  </r>
  <r>
    <x v="367"/>
    <d v="2023-09-25T00:00:00"/>
    <d v="2023-10-09T00:00:00"/>
    <n v="14"/>
    <x v="27"/>
    <s v="Small Business"/>
    <s v="Marketplace"/>
    <x v="1"/>
    <s v="Laptops"/>
    <n v="1279.56"/>
    <s v="High"/>
    <n v="3083.8"/>
    <n v="0.106"/>
    <n v="5"/>
    <n v="12985.618199999999"/>
    <n v="6397.7999999999993"/>
    <x v="368"/>
    <x v="0"/>
  </r>
  <r>
    <x v="368"/>
    <d v="2025-06-24T00:00:00"/>
    <d v="2025-07-23T00:00:00"/>
    <n v="29"/>
    <x v="16"/>
    <s v="Non-Profit"/>
    <s v="Marketplace"/>
    <x v="2"/>
    <s v="Printers"/>
    <n v="255.4"/>
    <s v="High"/>
    <n v="322.70999999999998"/>
    <n v="0.115"/>
    <n v="16"/>
    <n v="11923.994400000001"/>
    <n v="4086.4"/>
    <x v="369"/>
    <x v="0"/>
  </r>
  <r>
    <x v="369"/>
    <d v="2023-12-26T00:00:00"/>
    <d v="2024-01-03T00:00:00"/>
    <n v="8"/>
    <x v="4"/>
    <s v="Small Business"/>
    <s v="Retail"/>
    <x v="12"/>
    <s v="Laptops"/>
    <n v="492.75"/>
    <s v="High"/>
    <n v="731.29"/>
    <n v="5.8000000000000003E-2"/>
    <n v="6"/>
    <n v="17698.503240000002"/>
    <n v="2956.5"/>
    <x v="370"/>
    <x v="0"/>
  </r>
  <r>
    <x v="370"/>
    <d v="2023-02-05T00:00:00"/>
    <d v="2023-02-28T00:00:00"/>
    <n v="23"/>
    <x v="2"/>
    <s v="Non-Profit"/>
    <s v="Distributor"/>
    <x v="4"/>
    <s v="Phones"/>
    <n v="1214.49"/>
    <s v="High"/>
    <n v="1533.95"/>
    <n v="0"/>
    <n v="11"/>
    <n v="15891.92"/>
    <n v="13359.39"/>
    <x v="371"/>
    <x v="0"/>
  </r>
  <r>
    <x v="371"/>
    <d v="2023-04-06T00:00:00"/>
    <d v="2023-04-08T00:00:00"/>
    <n v="2"/>
    <x v="12"/>
    <s v="Small Business"/>
    <s v="Marketplace"/>
    <x v="11"/>
    <s v="Monitors"/>
    <n v="720.35"/>
    <s v="High"/>
    <n v="1571.66"/>
    <n v="0.107"/>
    <n v="23"/>
    <n v="59066.056200000006"/>
    <n v="16568.05"/>
    <x v="372"/>
    <x v="0"/>
  </r>
  <r>
    <x v="372"/>
    <d v="2025-04-04T00:00:00"/>
    <d v="2025-04-10T00:00:00"/>
    <n v="6"/>
    <x v="19"/>
    <s v="Non-Profit"/>
    <s v="Direct"/>
    <x v="13"/>
    <s v="Printers"/>
    <n v="290.14"/>
    <s v="High"/>
    <n v="250.73"/>
    <n v="3.4000000000000002E-2"/>
    <n v="17"/>
    <n v="26958.519419999997"/>
    <n v="4932.38"/>
    <x v="373"/>
    <x v="0"/>
  </r>
  <r>
    <x v="373"/>
    <d v="2024-05-17T00:00:00"/>
    <d v="2024-05-27T00:00:00"/>
    <n v="10"/>
    <x v="7"/>
    <s v="Non-Profit"/>
    <s v="Online"/>
    <x v="0"/>
    <s v="Phones"/>
    <n v="1484.23"/>
    <s v="High"/>
    <n v="3472.81"/>
    <n v="0.25600000000000001"/>
    <n v="12"/>
    <n v="11597.65056"/>
    <n v="17810.760000000002"/>
    <x v="374"/>
    <x v="0"/>
  </r>
  <r>
    <x v="374"/>
    <d v="2024-03-03T00:00:00"/>
    <d v="2024-03-19T00:00:00"/>
    <n v="16"/>
    <x v="0"/>
    <s v="Consumer"/>
    <s v="Distributor"/>
    <x v="3"/>
    <s v="Phones"/>
    <n v="988.83"/>
    <s v="High"/>
    <n v="1206.04"/>
    <n v="6.3E-2"/>
    <n v="34"/>
    <n v="35635.084480000005"/>
    <n v="33620.22"/>
    <x v="375"/>
    <x v="0"/>
  </r>
  <r>
    <x v="375"/>
    <d v="2025-06-27T00:00:00"/>
    <d v="2025-07-11T00:00:00"/>
    <n v="14"/>
    <x v="16"/>
    <s v="Small Business"/>
    <s v="Marketplace"/>
    <x v="4"/>
    <s v="Networking"/>
    <n v="1227.7"/>
    <s v="High"/>
    <n v="2197.23"/>
    <n v="9.9000000000000005E-2"/>
    <n v="22"/>
    <n v="23483.321620000002"/>
    <n v="27009.4"/>
    <x v="376"/>
    <x v="0"/>
  </r>
  <r>
    <x v="376"/>
    <d v="2023-03-13T00:00:00"/>
    <d v="2023-04-04T00:00:00"/>
    <n v="22"/>
    <x v="22"/>
    <s v="Small Business"/>
    <s v="Retail"/>
    <x v="8"/>
    <s v="Components"/>
    <n v="1113.7"/>
    <s v="High"/>
    <n v="1620.6"/>
    <n v="0.13900000000000001"/>
    <n v="11"/>
    <n v="11379.122369999999"/>
    <n v="12250.7"/>
    <x v="377"/>
    <x v="0"/>
  </r>
  <r>
    <x v="377"/>
    <d v="2025-01-07T00:00:00"/>
    <d v="2025-01-20T00:00:00"/>
    <n v="13"/>
    <x v="10"/>
    <s v="Corporate"/>
    <s v="Direct"/>
    <x v="11"/>
    <s v="Networking"/>
    <n v="432.13"/>
    <s v="High"/>
    <n v="1034.6600000000001"/>
    <n v="9.1999999999999998E-2"/>
    <n v="7"/>
    <n v="5599.5724400000008"/>
    <n v="3024.91"/>
    <x v="378"/>
    <x v="0"/>
  </r>
  <r>
    <x v="378"/>
    <d v="2025-02-06T00:00:00"/>
    <d v="2025-02-15T00:00:00"/>
    <n v="9"/>
    <x v="26"/>
    <s v="Non-Profit"/>
    <s v="Distributor"/>
    <x v="9"/>
    <s v="Networking"/>
    <n v="837.39"/>
    <s v="High"/>
    <n v="1905.42"/>
    <n v="3.2000000000000001E-2"/>
    <n v="18"/>
    <n v="35734.358879999992"/>
    <n v="15073.02"/>
    <x v="379"/>
    <x v="0"/>
  </r>
  <r>
    <x v="379"/>
    <d v="2025-01-31T00:00:00"/>
    <d v="2025-02-17T00:00:00"/>
    <n v="17"/>
    <x v="10"/>
    <s v="Enterprise"/>
    <s v="Retail"/>
    <x v="10"/>
    <s v="Components"/>
    <n v="378.26"/>
    <s v="High"/>
    <n v="541.55999999999995"/>
    <n v="0.16300000000000001"/>
    <n v="25"/>
    <n v="36365.557499999995"/>
    <n v="9456.5"/>
    <x v="380"/>
    <x v="0"/>
  </r>
  <r>
    <x v="380"/>
    <d v="2025-08-07T00:00:00"/>
    <d v="2025-09-06T00:00:00"/>
    <n v="30"/>
    <x v="28"/>
    <s v="Education"/>
    <s v="Direct"/>
    <x v="12"/>
    <s v="Networking"/>
    <n v="833.73"/>
    <s v="High"/>
    <n v="1116.5999999999999"/>
    <n v="0.17599999999999999"/>
    <n v="14"/>
    <n v="16015.544160000001"/>
    <n v="11672.220000000001"/>
    <x v="381"/>
    <x v="0"/>
  </r>
  <r>
    <x v="381"/>
    <d v="2025-07-23T00:00:00"/>
    <d v="2025-08-17T00:00:00"/>
    <n v="25"/>
    <x v="13"/>
    <s v="Education"/>
    <s v="Online"/>
    <x v="2"/>
    <s v="Printers"/>
    <n v="1142.06"/>
    <s v="High"/>
    <n v="1455"/>
    <n v="7.8E-2"/>
    <n v="28"/>
    <n v="13660.278240000001"/>
    <n v="31977.68"/>
    <x v="382"/>
    <x v="0"/>
  </r>
  <r>
    <x v="382"/>
    <d v="2023-06-20T00:00:00"/>
    <d v="2023-07-08T00:00:00"/>
    <n v="18"/>
    <x v="23"/>
    <s v="Consumer"/>
    <s v="Marketplace"/>
    <x v="7"/>
    <s v="Networking"/>
    <n v="1145.53"/>
    <s v="High"/>
    <n v="1278.3"/>
    <n v="0.09"/>
    <n v="41"/>
    <n v="73589.497799999997"/>
    <n v="46966.729999999996"/>
    <x v="383"/>
    <x v="0"/>
  </r>
  <r>
    <x v="383"/>
    <d v="2024-07-18T00:00:00"/>
    <d v="2024-08-07T00:00:00"/>
    <n v="20"/>
    <x v="14"/>
    <s v="Corporate"/>
    <s v="Retail"/>
    <x v="9"/>
    <s v="Monitors"/>
    <n v="941.35"/>
    <s v="High"/>
    <n v="899.83"/>
    <n v="5.8000000000000003E-2"/>
    <n v="18"/>
    <n v="14867.190359999997"/>
    <n v="16944.3"/>
    <x v="384"/>
    <x v="0"/>
  </r>
  <r>
    <x v="384"/>
    <d v="2023-05-20T00:00:00"/>
    <d v="2023-06-19T00:00:00"/>
    <n v="30"/>
    <x v="15"/>
    <s v="Non-Profit"/>
    <s v="Marketplace"/>
    <x v="10"/>
    <s v="Laptops"/>
    <n v="1161.2"/>
    <s v="High"/>
    <n v="878.73"/>
    <n v="0.19"/>
    <n v="31"/>
    <n v="20697.168600000001"/>
    <n v="35997.200000000004"/>
    <x v="385"/>
    <x v="0"/>
  </r>
  <r>
    <x v="385"/>
    <d v="2025-05-12T00:00:00"/>
    <d v="2025-05-26T00:00:00"/>
    <n v="14"/>
    <x v="8"/>
    <s v="Corporate"/>
    <s v="Marketplace"/>
    <x v="3"/>
    <s v="Printers"/>
    <n v="320.12"/>
    <s v="High"/>
    <n v="594.41999999999996"/>
    <n v="0.104"/>
    <n v="18"/>
    <n v="18697.996800000001"/>
    <n v="5762.16"/>
    <x v="386"/>
    <x v="0"/>
  </r>
  <r>
    <x v="386"/>
    <d v="2024-05-07T00:00:00"/>
    <d v="2024-05-12T00:00:00"/>
    <n v="5"/>
    <x v="7"/>
    <s v="Non-Profit"/>
    <s v="Distributor"/>
    <x v="4"/>
    <s v="Laptops"/>
    <n v="1163.99"/>
    <s v="High"/>
    <n v="1617.85"/>
    <n v="0.127"/>
    <n v="14"/>
    <n v="30720.11922"/>
    <n v="16295.86"/>
    <x v="387"/>
    <x v="0"/>
  </r>
  <r>
    <x v="387"/>
    <d v="2023-09-30T00:00:00"/>
    <d v="2023-10-03T00:00:00"/>
    <n v="3"/>
    <x v="27"/>
    <s v="Non-Profit"/>
    <s v="Retail"/>
    <x v="1"/>
    <s v="Laptops"/>
    <n v="1019.36"/>
    <s v="High"/>
    <n v="972.91"/>
    <n v="0.14699999999999999"/>
    <n v="17"/>
    <n v="44766.472129999995"/>
    <n v="17329.12"/>
    <x v="388"/>
    <x v="0"/>
  </r>
  <r>
    <x v="388"/>
    <d v="2023-10-26T00:00:00"/>
    <d v="2023-11-05T00:00:00"/>
    <n v="10"/>
    <x v="32"/>
    <s v="Non-Profit"/>
    <s v="Online"/>
    <x v="2"/>
    <s v="Laptops"/>
    <n v="20.38"/>
    <s v="Low"/>
    <n v="42.56"/>
    <n v="7.1999999999999995E-2"/>
    <n v="11"/>
    <n v="27736.667200000004"/>
    <n v="224.17999999999998"/>
    <x v="389"/>
    <x v="0"/>
  </r>
  <r>
    <x v="389"/>
    <d v="2025-06-15T00:00:00"/>
    <d v="2025-06-30T00:00:00"/>
    <n v="15"/>
    <x v="16"/>
    <s v="Small Business"/>
    <s v="Direct"/>
    <x v="0"/>
    <s v="Monitors"/>
    <n v="1487.59"/>
    <s v="High"/>
    <n v="1480.83"/>
    <n v="8.9999999999999993E-3"/>
    <n v="11"/>
    <n v="9830.4127899999985"/>
    <n v="16363.49"/>
    <x v="390"/>
    <x v="0"/>
  </r>
  <r>
    <x v="390"/>
    <d v="2024-08-10T00:00:00"/>
    <d v="2024-09-07T00:00:00"/>
    <n v="28"/>
    <x v="21"/>
    <s v="Non-Profit"/>
    <s v="Direct"/>
    <x v="9"/>
    <s v="Printers"/>
    <n v="229.96"/>
    <s v="High"/>
    <n v="564.26"/>
    <n v="0.105"/>
    <n v="5"/>
    <n v="3562.7712500000002"/>
    <n v="1149.8"/>
    <x v="391"/>
    <x v="0"/>
  </r>
  <r>
    <x v="391"/>
    <d v="2023-10-09T00:00:00"/>
    <d v="2023-10-26T00:00:00"/>
    <n v="17"/>
    <x v="32"/>
    <s v="Consumer"/>
    <s v="Marketplace"/>
    <x v="0"/>
    <s v="Components"/>
    <n v="1132.03"/>
    <s v="High"/>
    <n v="2137.21"/>
    <n v="0.35699999999999998"/>
    <n v="35"/>
    <n v="3551.7390999999998"/>
    <n v="39621.049999999996"/>
    <x v="392"/>
    <x v="0"/>
  </r>
  <r>
    <x v="392"/>
    <d v="2024-03-09T00:00:00"/>
    <d v="2024-03-26T00:00:00"/>
    <n v="17"/>
    <x v="0"/>
    <s v="Education"/>
    <s v="Direct"/>
    <x v="2"/>
    <s v="Phones"/>
    <n v="1137.4100000000001"/>
    <s v="High"/>
    <n v="1680.93"/>
    <n v="0.254"/>
    <n v="9"/>
    <n v="5499.1688399999994"/>
    <n v="10236.69"/>
    <x v="393"/>
    <x v="0"/>
  </r>
  <r>
    <x v="393"/>
    <d v="2023-05-29T00:00:00"/>
    <d v="2023-06-20T00:00:00"/>
    <n v="22"/>
    <x v="15"/>
    <s v="Small Business"/>
    <s v="Direct"/>
    <x v="11"/>
    <s v="Components"/>
    <n v="1295.3900000000001"/>
    <s v="High"/>
    <n v="2905.06"/>
    <n v="0.14799999999999999"/>
    <n v="8"/>
    <n v="11663.26656"/>
    <n v="10363.120000000001"/>
    <x v="394"/>
    <x v="0"/>
  </r>
  <r>
    <x v="394"/>
    <d v="2025-05-27T00:00:00"/>
    <d v="2025-06-08T00:00:00"/>
    <n v="12"/>
    <x v="8"/>
    <s v="Corporate"/>
    <s v="Retail"/>
    <x v="10"/>
    <s v="Accessories"/>
    <n v="653.6"/>
    <s v="High"/>
    <n v="842.09"/>
    <n v="9.8000000000000004E-2"/>
    <n v="19"/>
    <n v="29072.046299999998"/>
    <n v="12418.4"/>
    <x v="395"/>
    <x v="0"/>
  </r>
  <r>
    <x v="395"/>
    <d v="2025-08-21T00:00:00"/>
    <d v="2025-09-14T00:00:00"/>
    <n v="24"/>
    <x v="28"/>
    <s v="Non-Profit"/>
    <s v="Online"/>
    <x v="8"/>
    <s v="Monitors"/>
    <n v="1397.67"/>
    <s v="High"/>
    <n v="3131.37"/>
    <n v="0.10299999999999999"/>
    <n v="20"/>
    <n v="51745.059600000001"/>
    <n v="27953.4"/>
    <x v="396"/>
    <x v="0"/>
  </r>
  <r>
    <x v="396"/>
    <d v="2024-12-12T00:00:00"/>
    <d v="2024-12-20T00:00:00"/>
    <n v="8"/>
    <x v="6"/>
    <s v="Corporate"/>
    <s v="Retail"/>
    <x v="5"/>
    <s v="Laptops"/>
    <n v="1202.47"/>
    <s v="High"/>
    <n v="1444.72"/>
    <n v="0.24099999999999999"/>
    <n v="17"/>
    <n v="19144.697220000002"/>
    <n v="20441.990000000002"/>
    <x v="397"/>
    <x v="0"/>
  </r>
  <r>
    <x v="397"/>
    <d v="2025-09-14T00:00:00"/>
    <d v="2025-09-23T00:00:00"/>
    <n v="9"/>
    <x v="11"/>
    <s v="Non-Profit"/>
    <s v="Online"/>
    <x v="14"/>
    <s v="Components"/>
    <n v="1310.3"/>
    <s v="High"/>
    <n v="2875.8"/>
    <n v="8.3000000000000004E-2"/>
    <n v="5"/>
    <n v="14660.399949999999"/>
    <n v="6551.5"/>
    <x v="398"/>
    <x v="0"/>
  </r>
  <r>
    <x v="398"/>
    <d v="2024-09-06T00:00:00"/>
    <d v="2024-10-04T00:00:00"/>
    <n v="28"/>
    <x v="29"/>
    <s v="Corporate"/>
    <s v="Marketplace"/>
    <x v="14"/>
    <s v="Monitors"/>
    <n v="1174.17"/>
    <s v="High"/>
    <n v="1641.61"/>
    <n v="0.122"/>
    <n v="9"/>
    <n v="18353.975399999999"/>
    <n v="10567.53"/>
    <x v="399"/>
    <x v="0"/>
  </r>
  <r>
    <x v="399"/>
    <d v="2025-04-12T00:00:00"/>
    <d v="2025-04-30T00:00:00"/>
    <n v="18"/>
    <x v="19"/>
    <s v="Corporate"/>
    <s v="Marketplace"/>
    <x v="9"/>
    <s v="Networking"/>
    <n v="1119.04"/>
    <s v="High"/>
    <n v="1299.02"/>
    <n v="2.5000000000000001E-2"/>
    <n v="14"/>
    <n v="26377.532999999999"/>
    <n v="15666.56"/>
    <x v="400"/>
    <x v="0"/>
  </r>
  <r>
    <x v="400"/>
    <d v="2024-08-12T00:00:00"/>
    <d v="2024-08-15T00:00:00"/>
    <n v="3"/>
    <x v="21"/>
    <s v="Corporate"/>
    <s v="Marketplace"/>
    <x v="14"/>
    <s v="Printers"/>
    <n v="850.7"/>
    <s v="High"/>
    <n v="1118.56"/>
    <n v="0.18"/>
    <n v="19"/>
    <n v="24777.808799999999"/>
    <n v="16163.300000000001"/>
    <x v="401"/>
    <x v="0"/>
  </r>
  <r>
    <x v="401"/>
    <d v="2024-11-05T00:00:00"/>
    <d v="2024-11-08T00:00:00"/>
    <n v="3"/>
    <x v="18"/>
    <s v="Education"/>
    <s v="Marketplace"/>
    <x v="7"/>
    <s v="Components"/>
    <n v="1020.4"/>
    <s v="High"/>
    <n v="1184.71"/>
    <n v="0.106"/>
    <n v="16"/>
    <n v="5658.8054400000001"/>
    <n v="16326.4"/>
    <x v="402"/>
    <x v="0"/>
  </r>
  <r>
    <x v="402"/>
    <d v="2024-07-24T00:00:00"/>
    <d v="2024-08-08T00:00:00"/>
    <n v="15"/>
    <x v="14"/>
    <s v="Enterprise"/>
    <s v="Marketplace"/>
    <x v="10"/>
    <s v="Laptops"/>
    <n v="501.5"/>
    <s v="High"/>
    <n v="1201.47"/>
    <n v="0.126"/>
    <n v="5"/>
    <n v="9079.5053000000007"/>
    <n v="2507.5"/>
    <x v="403"/>
    <x v="0"/>
  </r>
  <r>
    <x v="403"/>
    <d v="2025-01-20T00:00:00"/>
    <d v="2025-02-03T00:00:00"/>
    <n v="14"/>
    <x v="10"/>
    <s v="Enterprise"/>
    <s v="Marketplace"/>
    <x v="9"/>
    <s v="Components"/>
    <n v="974.11"/>
    <s v="High"/>
    <n v="880.99"/>
    <n v="0.111"/>
    <n v="10"/>
    <n v="11831.2565"/>
    <n v="9741.1"/>
    <x v="404"/>
    <x v="0"/>
  </r>
  <r>
    <x v="404"/>
    <d v="2023-03-06T00:00:00"/>
    <d v="2023-04-04T00:00:00"/>
    <n v="29"/>
    <x v="22"/>
    <s v="Small Business"/>
    <s v="Direct"/>
    <x v="0"/>
    <s v="Monitors"/>
    <n v="1126.29"/>
    <s v="High"/>
    <n v="2050.87"/>
    <n v="6.4000000000000001E-2"/>
    <n v="7"/>
    <n v="18113.986799999999"/>
    <n v="7884.03"/>
    <x v="405"/>
    <x v="0"/>
  </r>
  <r>
    <x v="405"/>
    <d v="2024-12-20T00:00:00"/>
    <d v="2025-01-14T00:00:00"/>
    <n v="25"/>
    <x v="6"/>
    <s v="Small Business"/>
    <s v="Retail"/>
    <x v="12"/>
    <s v="Printers"/>
    <n v="1361.34"/>
    <s v="High"/>
    <n v="1737.9"/>
    <n v="7.6999999999999999E-2"/>
    <n v="14"/>
    <n v="3596.8387000000007"/>
    <n v="19058.759999999998"/>
    <x v="406"/>
    <x v="0"/>
  </r>
  <r>
    <x v="406"/>
    <d v="2025-02-21T00:00:00"/>
    <d v="2025-03-21T00:00:00"/>
    <n v="0"/>
    <x v="26"/>
    <s v="Enterprise"/>
    <s v="Marketplace"/>
    <x v="2"/>
    <s v="Phones"/>
    <n v="1437.39"/>
    <s v="High"/>
    <n v="1388.31"/>
    <n v="0.13800000000000001"/>
    <n v="18"/>
    <n v="15273.329759999999"/>
    <n v="25873.02"/>
    <x v="407"/>
    <x v="0"/>
  </r>
  <r>
    <x v="407"/>
    <d v="2025-03-08T00:00:00"/>
    <d v="2025-03-15T00:00:00"/>
    <n v="7"/>
    <x v="3"/>
    <s v="Corporate"/>
    <s v="Distributor"/>
    <x v="11"/>
    <s v="Laptops"/>
    <n v="475.66"/>
    <s v="High"/>
    <n v="529.14"/>
    <n v="0.19600000000000001"/>
    <n v="11"/>
    <n v="1687.7889600000003"/>
    <n v="5232.26"/>
    <x v="408"/>
    <x v="0"/>
  </r>
  <r>
    <x v="408"/>
    <d v="2023-12-16T00:00:00"/>
    <d v="2023-12-19T00:00:00"/>
    <n v="3"/>
    <x v="4"/>
    <s v="Education"/>
    <s v="Retail"/>
    <x v="8"/>
    <s v="Accessories"/>
    <n v="1415.05"/>
    <s v="High"/>
    <n v="1972.38"/>
    <n v="0"/>
    <n v="12"/>
    <n v="10899.599999999999"/>
    <n v="16980.599999999999"/>
    <x v="409"/>
    <x v="0"/>
  </r>
  <r>
    <x v="409"/>
    <d v="2024-08-30T00:00:00"/>
    <d v="2024-09-05T00:00:00"/>
    <n v="6"/>
    <x v="21"/>
    <s v="Education"/>
    <s v="Online"/>
    <x v="13"/>
    <s v="Laptops"/>
    <n v="466.16"/>
    <s v="High"/>
    <n v="876.81"/>
    <n v="0.24099999999999999"/>
    <n v="8"/>
    <n v="1725.8445600000002"/>
    <n v="3729.28"/>
    <x v="410"/>
    <x v="0"/>
  </r>
  <r>
    <x v="410"/>
    <d v="2024-05-18T00:00:00"/>
    <d v="2024-05-21T00:00:00"/>
    <n v="3"/>
    <x v="7"/>
    <s v="Non-Profit"/>
    <s v="Marketplace"/>
    <x v="14"/>
    <s v="Printers"/>
    <n v="663.66"/>
    <s v="High"/>
    <n v="824.26"/>
    <n v="0.23899999999999999"/>
    <n v="11"/>
    <n v="10290.80514"/>
    <n v="7300.2599999999993"/>
    <x v="411"/>
    <x v="0"/>
  </r>
  <r>
    <x v="411"/>
    <d v="2023-03-17T00:00:00"/>
    <d v="2023-04-06T00:00:00"/>
    <n v="20"/>
    <x v="22"/>
    <s v="Consumer"/>
    <s v="Retail"/>
    <x v="7"/>
    <s v="Phones"/>
    <n v="692.18"/>
    <s v="High"/>
    <n v="1159.3499999999999"/>
    <n v="0.112"/>
    <n v="2"/>
    <n v="2175.1027199999999"/>
    <n v="1384.36"/>
    <x v="412"/>
    <x v="0"/>
  </r>
  <r>
    <x v="412"/>
    <d v="2023-08-25T00:00:00"/>
    <d v="2023-09-16T00:00:00"/>
    <n v="22"/>
    <x v="25"/>
    <s v="Corporate"/>
    <s v="Marketplace"/>
    <x v="4"/>
    <s v="Phones"/>
    <n v="1196.83"/>
    <s v="High"/>
    <n v="2513.5100000000002"/>
    <n v="8.3000000000000004E-2"/>
    <n v="7"/>
    <n v="3118.7353400000002"/>
    <n v="8377.81"/>
    <x v="413"/>
    <x v="0"/>
  </r>
  <r>
    <x v="413"/>
    <d v="2024-06-06T00:00:00"/>
    <d v="2024-06-24T00:00:00"/>
    <n v="18"/>
    <x v="17"/>
    <s v="Small Business"/>
    <s v="Direct"/>
    <x v="10"/>
    <s v="Networking"/>
    <n v="1253.25"/>
    <s v="High"/>
    <n v="3087.13"/>
    <n v="7.1999999999999995E-2"/>
    <n v="11"/>
    <n v="22569.275520000003"/>
    <n v="13785.75"/>
    <x v="414"/>
    <x v="0"/>
  </r>
  <r>
    <x v="414"/>
    <d v="2023-08-29T00:00:00"/>
    <d v="2023-09-13T00:00:00"/>
    <n v="15"/>
    <x v="25"/>
    <s v="Small Business"/>
    <s v="Marketplace"/>
    <x v="7"/>
    <s v="Printers"/>
    <n v="1287.6400000000001"/>
    <s v="High"/>
    <n v="2717.15"/>
    <n v="3.2000000000000001E-2"/>
    <n v="7"/>
    <n v="3875.12664"/>
    <n v="9013.4800000000014"/>
    <x v="415"/>
    <x v="0"/>
  </r>
  <r>
    <x v="415"/>
    <d v="2024-11-30T00:00:00"/>
    <d v="2024-12-10T00:00:00"/>
    <n v="10"/>
    <x v="18"/>
    <s v="Small Business"/>
    <s v="Retail"/>
    <x v="9"/>
    <s v="Accessories"/>
    <n v="851.49"/>
    <s v="High"/>
    <n v="901.79"/>
    <n v="0.245"/>
    <n v="16"/>
    <n v="41052.309600000001"/>
    <n v="13623.84"/>
    <x v="416"/>
    <x v="0"/>
  </r>
  <r>
    <x v="416"/>
    <d v="2025-06-05T00:00:00"/>
    <d v="2025-06-14T00:00:00"/>
    <n v="9"/>
    <x v="16"/>
    <s v="Non-Profit"/>
    <s v="Retail"/>
    <x v="8"/>
    <s v="Accessories"/>
    <n v="618.69000000000005"/>
    <s v="High"/>
    <n v="796.15"/>
    <n v="0.09"/>
    <n v="11"/>
    <n v="1948.1462000000001"/>
    <n v="6805.59"/>
    <x v="417"/>
    <x v="0"/>
  </r>
  <r>
    <x v="417"/>
    <d v="2025-03-14T00:00:00"/>
    <d v="2025-04-08T00:00:00"/>
    <n v="25"/>
    <x v="3"/>
    <s v="Corporate"/>
    <s v="Distributor"/>
    <x v="14"/>
    <s v="Printers"/>
    <n v="80.59"/>
    <s v="Medium"/>
    <n v="157.82"/>
    <n v="0.217"/>
    <n v="6"/>
    <n v="4846.6447200000002"/>
    <n v="483.54"/>
    <x v="418"/>
    <x v="0"/>
  </r>
  <r>
    <x v="418"/>
    <d v="2024-01-16T00:00:00"/>
    <d v="2024-02-11T00:00:00"/>
    <n v="26"/>
    <x v="9"/>
    <s v="Non-Profit"/>
    <s v="Distributor"/>
    <x v="6"/>
    <s v="Monitors"/>
    <n v="504.93"/>
    <s v="High"/>
    <n v="819.06"/>
    <n v="0.22600000000000001"/>
    <n v="15"/>
    <n v="5749.1559000000007"/>
    <n v="7573.95"/>
    <x v="419"/>
    <x v="0"/>
  </r>
  <r>
    <x v="419"/>
    <d v="2023-10-12T00:00:00"/>
    <d v="2023-10-29T00:00:00"/>
    <n v="17"/>
    <x v="32"/>
    <s v="Non-Profit"/>
    <s v="Direct"/>
    <x v="10"/>
    <s v="Phones"/>
    <n v="1102.19"/>
    <s v="High"/>
    <n v="1711.16"/>
    <n v="0.151"/>
    <n v="10"/>
    <n v="11198.649599999999"/>
    <n v="11021.900000000001"/>
    <x v="420"/>
    <x v="0"/>
  </r>
  <r>
    <x v="420"/>
    <d v="2025-02-25T00:00:00"/>
    <d v="2025-03-17T00:00:00"/>
    <n v="20"/>
    <x v="26"/>
    <s v="Non-Profit"/>
    <s v="Marketplace"/>
    <x v="10"/>
    <s v="Phones"/>
    <n v="1205.26"/>
    <s v="High"/>
    <n v="1696.35"/>
    <n v="1.9E-2"/>
    <n v="6"/>
    <n v="1853.32482"/>
    <n v="7231.5599999999995"/>
    <x v="421"/>
    <x v="0"/>
  </r>
  <r>
    <x v="421"/>
    <d v="2025-07-03T00:00:00"/>
    <d v="2025-07-06T00:00:00"/>
    <n v="3"/>
    <x v="13"/>
    <s v="Consumer"/>
    <s v="Online"/>
    <x v="15"/>
    <s v="Laptops"/>
    <n v="1313.3"/>
    <s v="High"/>
    <n v="2884.34"/>
    <n v="0.157"/>
    <n v="42"/>
    <n v="78253.279020000002"/>
    <n v="55158.6"/>
    <x v="422"/>
    <x v="0"/>
  </r>
  <r>
    <x v="422"/>
    <d v="2025-09-15T00:00:00"/>
    <d v="2025-09-25T00:00:00"/>
    <n v="10"/>
    <x v="11"/>
    <s v="Consumer"/>
    <s v="Retail"/>
    <x v="8"/>
    <s v="Phones"/>
    <n v="1488.91"/>
    <s v="High"/>
    <n v="1483.74"/>
    <n v="0.16800000000000001"/>
    <n v="24"/>
    <n v="20866.559999999998"/>
    <n v="35733.840000000004"/>
    <x v="423"/>
    <x v="0"/>
  </r>
  <r>
    <x v="423"/>
    <d v="2024-02-19T00:00:00"/>
    <d v="2024-03-06T00:00:00"/>
    <n v="16"/>
    <x v="31"/>
    <s v="Education"/>
    <s v="Marketplace"/>
    <x v="7"/>
    <s v="Printers"/>
    <n v="1477.84"/>
    <s v="High"/>
    <n v="3197.47"/>
    <n v="0.24299999999999999"/>
    <n v="24"/>
    <n v="38737.627919999999"/>
    <n v="35468.159999999996"/>
    <x v="424"/>
    <x v="0"/>
  </r>
  <r>
    <x v="424"/>
    <d v="2024-02-27T00:00:00"/>
    <d v="2024-03-26T00:00:00"/>
    <n v="28"/>
    <x v="31"/>
    <s v="Education"/>
    <s v="Marketplace"/>
    <x v="3"/>
    <s v="Laptops"/>
    <n v="1035.19"/>
    <s v="High"/>
    <n v="2322.6999999999998"/>
    <n v="0.17299999999999999"/>
    <n v="8"/>
    <n v="13903.854800000001"/>
    <n v="8281.52"/>
    <x v="425"/>
    <x v="0"/>
  </r>
  <r>
    <x v="425"/>
    <d v="2025-08-28T00:00:00"/>
    <d v="2025-09-05T00:00:00"/>
    <n v="8"/>
    <x v="28"/>
    <s v="Small Business"/>
    <s v="Marketplace"/>
    <x v="6"/>
    <s v="Laptops"/>
    <n v="1271.0999999999999"/>
    <s v="High"/>
    <n v="1932.42"/>
    <n v="0.25"/>
    <n v="21"/>
    <n v="33475.68"/>
    <n v="26693.1"/>
    <x v="426"/>
    <x v="0"/>
  </r>
  <r>
    <x v="426"/>
    <d v="2024-08-18T00:00:00"/>
    <d v="2024-09-12T00:00:00"/>
    <n v="25"/>
    <x v="21"/>
    <s v="Consumer"/>
    <s v="Marketplace"/>
    <x v="0"/>
    <s v="Phones"/>
    <n v="1154.03"/>
    <s v="High"/>
    <n v="1590.36"/>
    <n v="0.314"/>
    <n v="18"/>
    <n v="8801.0369999999984"/>
    <n v="20772.54"/>
    <x v="427"/>
    <x v="0"/>
  </r>
  <r>
    <x v="427"/>
    <d v="2024-02-25T00:00:00"/>
    <d v="2024-03-09T00:00:00"/>
    <n v="13"/>
    <x v="31"/>
    <s v="Small Business"/>
    <s v="Distributor"/>
    <x v="6"/>
    <s v="Monitors"/>
    <n v="322.44"/>
    <s v="High"/>
    <n v="395.61"/>
    <n v="0"/>
    <n v="34"/>
    <n v="53340.22"/>
    <n v="10962.96"/>
    <x v="428"/>
    <x v="0"/>
  </r>
  <r>
    <x v="428"/>
    <d v="2025-05-07T00:00:00"/>
    <d v="2025-05-13T00:00:00"/>
    <n v="6"/>
    <x v="8"/>
    <s v="Enterprise"/>
    <s v="Direct"/>
    <x v="1"/>
    <s v="Phones"/>
    <n v="935.98"/>
    <s v="High"/>
    <n v="2077.69"/>
    <n v="0.17499999999999999"/>
    <n v="24"/>
    <n v="41071.932000000001"/>
    <n v="22463.52"/>
    <x v="429"/>
    <x v="0"/>
  </r>
  <r>
    <x v="429"/>
    <d v="2024-11-01T00:00:00"/>
    <d v="2024-11-12T00:00:00"/>
    <n v="11"/>
    <x v="18"/>
    <s v="Consumer"/>
    <s v="Online"/>
    <x v="5"/>
    <s v="Printers"/>
    <n v="599.84"/>
    <s v="High"/>
    <n v="1330.85"/>
    <n v="0.115"/>
    <n v="11"/>
    <n v="4820.6746499999999"/>
    <n v="6598.2400000000007"/>
    <x v="430"/>
    <x v="0"/>
  </r>
  <r>
    <x v="430"/>
    <d v="2024-12-28T00:00:00"/>
    <d v="2025-01-08T00:00:00"/>
    <n v="11"/>
    <x v="6"/>
    <s v="Enterprise"/>
    <s v="Online"/>
    <x v="11"/>
    <s v="Laptops"/>
    <n v="1201.31"/>
    <s v="High"/>
    <n v="2764.65"/>
    <n v="0"/>
    <n v="21"/>
    <n v="15909.390000000001"/>
    <n v="25227.51"/>
    <x v="431"/>
    <x v="0"/>
  </r>
  <r>
    <x v="431"/>
    <d v="2023-10-21T00:00:00"/>
    <d v="2023-10-21T00:00:00"/>
    <n v="0"/>
    <x v="32"/>
    <s v="Enterprise"/>
    <s v="Distributor"/>
    <x v="1"/>
    <s v="Monitors"/>
    <n v="384.19"/>
    <s v="High"/>
    <n v="278.35000000000002"/>
    <n v="5.6000000000000001E-2"/>
    <n v="10"/>
    <n v="3926.6623999999993"/>
    <n v="3841.9"/>
    <x v="432"/>
    <x v="0"/>
  </r>
  <r>
    <x v="432"/>
    <d v="2024-12-10T00:00:00"/>
    <d v="2024-12-19T00:00:00"/>
    <n v="9"/>
    <x v="6"/>
    <s v="Corporate"/>
    <s v="Retail"/>
    <x v="7"/>
    <s v="Monitors"/>
    <n v="488.68"/>
    <s v="High"/>
    <n v="984.36"/>
    <n v="5.8999999999999997E-2"/>
    <n v="14"/>
    <n v="24647.104860000003"/>
    <n v="6841.52"/>
    <x v="433"/>
    <x v="0"/>
  </r>
  <r>
    <x v="433"/>
    <d v="2024-09-07T00:00:00"/>
    <d v="2024-09-18T00:00:00"/>
    <n v="11"/>
    <x v="29"/>
    <s v="Consumer"/>
    <s v="Distributor"/>
    <x v="7"/>
    <s v="Networking"/>
    <n v="181.74"/>
    <s v="Medium"/>
    <n v="190.84"/>
    <n v="0.214"/>
    <n v="13"/>
    <n v="2113.89984"/>
    <n v="2362.62"/>
    <x v="434"/>
    <x v="0"/>
  </r>
  <r>
    <x v="434"/>
    <d v="2023-10-18T00:00:00"/>
    <d v="2023-10-20T00:00:00"/>
    <n v="2"/>
    <x v="32"/>
    <s v="Consumer"/>
    <s v="Retail"/>
    <x v="1"/>
    <s v="Phones"/>
    <n v="774.12"/>
    <s v="High"/>
    <n v="908.3"/>
    <n v="0"/>
    <n v="30"/>
    <n v="1884.6"/>
    <n v="23223.599999999999"/>
    <x v="435"/>
    <x v="0"/>
  </r>
  <r>
    <x v="435"/>
    <d v="2024-12-24T00:00:00"/>
    <d v="2025-01-13T00:00:00"/>
    <n v="20"/>
    <x v="6"/>
    <s v="Corporate"/>
    <s v="Marketplace"/>
    <x v="14"/>
    <s v="Networking"/>
    <n v="126.15"/>
    <s v="High"/>
    <n v="284.23"/>
    <n v="0.113"/>
    <n v="22"/>
    <n v="18664.94586"/>
    <n v="2775.3"/>
    <x v="436"/>
    <x v="0"/>
  </r>
  <r>
    <x v="436"/>
    <d v="2023-04-21T00:00:00"/>
    <d v="2023-04-19T00:00:00"/>
    <n v="2"/>
    <x v="12"/>
    <s v="Small Business"/>
    <s v="Direct"/>
    <x v="12"/>
    <s v="Components"/>
    <n v="607.04"/>
    <s v="High"/>
    <n v="1229.3399999999999"/>
    <n v="0.14699999999999999"/>
    <n v="7"/>
    <n v="989.39469999999983"/>
    <n v="4249.28"/>
    <x v="437"/>
    <x v="0"/>
  </r>
  <r>
    <x v="437"/>
    <d v="2023-12-30T00:00:00"/>
    <d v="2024-01-08T00:00:00"/>
    <n v="9"/>
    <x v="4"/>
    <s v="Consumer"/>
    <s v="Marketplace"/>
    <x v="4"/>
    <s v="Accessories"/>
    <n v="861.1"/>
    <s v="High"/>
    <n v="1224.72"/>
    <n v="0.17399999999999999"/>
    <n v="24"/>
    <n v="12060.128640000001"/>
    <n v="20666.400000000001"/>
    <x v="438"/>
    <x v="0"/>
  </r>
  <r>
    <x v="438"/>
    <d v="2023-02-21T00:00:00"/>
    <d v="2023-03-12T00:00:00"/>
    <n v="19"/>
    <x v="2"/>
    <s v="Corporate"/>
    <s v="Online"/>
    <x v="9"/>
    <s v="Networking"/>
    <n v="352.65"/>
    <s v="High"/>
    <n v="485.86"/>
    <n v="4.1000000000000002E-2"/>
    <n v="6"/>
    <n v="15339.646139999999"/>
    <n v="2115.8999999999996"/>
    <x v="439"/>
    <x v="0"/>
  </r>
  <r>
    <x v="439"/>
    <d v="2023-05-17T00:00:00"/>
    <d v="2023-06-03T00:00:00"/>
    <n v="17"/>
    <x v="15"/>
    <s v="Non-Profit"/>
    <s v="Distributor"/>
    <x v="12"/>
    <s v="Printers"/>
    <n v="979.59"/>
    <s v="High"/>
    <n v="2210.94"/>
    <n v="0.15"/>
    <n v="11"/>
    <n v="5497.3325000000004"/>
    <n v="10775.49"/>
    <x v="440"/>
    <x v="0"/>
  </r>
  <r>
    <x v="440"/>
    <d v="2024-03-23T00:00:00"/>
    <d v="2024-03-26T00:00:00"/>
    <n v="3"/>
    <x v="0"/>
    <s v="Education"/>
    <s v="Direct"/>
    <x v="3"/>
    <s v="Phones"/>
    <n v="382.21"/>
    <s v="High"/>
    <n v="571.89"/>
    <n v="0.14799999999999999"/>
    <n v="26"/>
    <n v="48582.215760000006"/>
    <n v="9937.4599999999991"/>
    <x v="441"/>
    <x v="0"/>
  </r>
  <r>
    <x v="441"/>
    <d v="2023-09-20T00:00:00"/>
    <d v="2023-09-28T00:00:00"/>
    <n v="8"/>
    <x v="27"/>
    <s v="Corporate"/>
    <s v="Not Provided"/>
    <x v="5"/>
    <s v="Accessories"/>
    <n v="1362.06"/>
    <s v="High"/>
    <n v="3398.37"/>
    <n v="0.157"/>
    <n v="11"/>
    <n v="20287.469400000002"/>
    <n v="14982.66"/>
    <x v="442"/>
    <x v="0"/>
  </r>
  <r>
    <x v="442"/>
    <d v="2024-08-22T00:00:00"/>
    <d v="2024-09-04T00:00:00"/>
    <n v="13"/>
    <x v="21"/>
    <s v="Non-Profit"/>
    <s v="Retail"/>
    <x v="4"/>
    <s v="Printers"/>
    <n v="90.04"/>
    <s v="Medium"/>
    <n v="194.62"/>
    <n v="4.2999999999999997E-2"/>
    <n v="32"/>
    <n v="30688.61664"/>
    <n v="2881.28"/>
    <x v="443"/>
    <x v="0"/>
  </r>
  <r>
    <x v="443"/>
    <d v="2024-09-25T00:00:00"/>
    <d v="2024-10-03T00:00:00"/>
    <n v="8"/>
    <x v="29"/>
    <s v="Consumer"/>
    <s v="Online"/>
    <x v="6"/>
    <s v="Printers"/>
    <n v="558.19000000000005"/>
    <s v="High"/>
    <n v="1031.6400000000001"/>
    <n v="0"/>
    <n v="21"/>
    <n v="19189.38"/>
    <n v="11721.990000000002"/>
    <x v="444"/>
    <x v="0"/>
  </r>
  <r>
    <x v="444"/>
    <d v="2023-06-13T00:00:00"/>
    <d v="2023-06-24T00:00:00"/>
    <n v="11"/>
    <x v="23"/>
    <s v="Corporate"/>
    <s v="Online"/>
    <x v="0"/>
    <s v="Printers"/>
    <n v="247.07"/>
    <s v="High"/>
    <n v="495.19"/>
    <n v="2.8000000000000001E-2"/>
    <n v="4"/>
    <n v="7167.5668799999994"/>
    <n v="988.28"/>
    <x v="445"/>
    <x v="0"/>
  </r>
  <r>
    <x v="445"/>
    <d v="2023-12-24T00:00:00"/>
    <d v="2024-01-13T00:00:00"/>
    <n v="20"/>
    <x v="4"/>
    <s v="Education"/>
    <s v="Direct"/>
    <x v="5"/>
    <s v="Laptops"/>
    <n v="625.37"/>
    <s v="High"/>
    <n v="1319.04"/>
    <n v="7.3999999999999996E-2"/>
    <n v="8"/>
    <n v="10249.7088"/>
    <n v="5002.96"/>
    <x v="446"/>
    <x v="0"/>
  </r>
  <r>
    <x v="446"/>
    <d v="2025-03-30T00:00:00"/>
    <d v="2025-04-29T00:00:00"/>
    <n v="30"/>
    <x v="3"/>
    <s v="Consumer"/>
    <s v="Marketplace"/>
    <x v="1"/>
    <s v="Monitors"/>
    <n v="194.6"/>
    <s v="High"/>
    <n v="314.87"/>
    <n v="0.29299999999999998"/>
    <n v="25"/>
    <n v="28077.267750000003"/>
    <n v="4865"/>
    <x v="447"/>
    <x v="0"/>
  </r>
  <r>
    <x v="447"/>
    <d v="2024-06-03T00:00:00"/>
    <d v="2024-06-24T00:00:00"/>
    <n v="21"/>
    <x v="17"/>
    <s v="Small Business"/>
    <s v="Direct"/>
    <x v="3"/>
    <s v="Monitors"/>
    <n v="1205.5"/>
    <s v="High"/>
    <n v="2210.17"/>
    <n v="0.104"/>
    <n v="23"/>
    <n v="27698.182399999998"/>
    <n v="27726.5"/>
    <x v="448"/>
    <x v="0"/>
  </r>
  <r>
    <x v="448"/>
    <d v="2024-06-11T00:00:00"/>
    <d v="2024-07-09T00:00:00"/>
    <n v="28"/>
    <x v="17"/>
    <s v="Corporate"/>
    <s v="Marketplace"/>
    <x v="2"/>
    <s v="Phones"/>
    <n v="895.54"/>
    <s v="High"/>
    <n v="1045"/>
    <n v="0.216"/>
    <n v="15"/>
    <n v="15173.8104"/>
    <n v="13433.099999999999"/>
    <x v="449"/>
    <x v="0"/>
  </r>
  <r>
    <x v="449"/>
    <d v="2023-07-22T00:00:00"/>
    <d v="2023-07-21T00:00:00"/>
    <n v="1"/>
    <x v="24"/>
    <s v="Small Business"/>
    <s v="Distributor"/>
    <x v="6"/>
    <s v="Printers"/>
    <n v="946.99"/>
    <s v="High"/>
    <n v="2132.19"/>
    <n v="0.16500000000000001"/>
    <n v="7"/>
    <n v="1295.1351000000002"/>
    <n v="6628.93"/>
    <x v="450"/>
    <x v="0"/>
  </r>
  <r>
    <x v="450"/>
    <d v="2023-01-19T00:00:00"/>
    <d v="2023-02-03T00:00:00"/>
    <n v="15"/>
    <x v="5"/>
    <s v="Enterprise"/>
    <s v="Distributor"/>
    <x v="3"/>
    <s v="Accessories"/>
    <n v="873.06"/>
    <s v="High"/>
    <n v="2101.5500000000002"/>
    <n v="6.6000000000000003E-2"/>
    <n v="10"/>
    <n v="3365.5755999999997"/>
    <n v="8730.5999999999985"/>
    <x v="451"/>
    <x v="0"/>
  </r>
  <r>
    <x v="451"/>
    <d v="2024-05-01T00:00:00"/>
    <d v="2024-05-16T00:00:00"/>
    <n v="15"/>
    <x v="7"/>
    <s v="Small Business"/>
    <s v="Retail"/>
    <x v="4"/>
    <s v="Components"/>
    <n v="901.19"/>
    <s v="High"/>
    <n v="2125.44"/>
    <n v="7.0999999999999994E-2"/>
    <n v="12"/>
    <n v="28380.689880000002"/>
    <n v="10814.28"/>
    <x v="452"/>
    <x v="0"/>
  </r>
  <r>
    <x v="452"/>
    <d v="2025-06-09T00:00:00"/>
    <d v="2025-06-24T00:00:00"/>
    <n v="15"/>
    <x v="16"/>
    <s v="Corporate"/>
    <s v="Direct"/>
    <x v="5"/>
    <s v="Phones"/>
    <n v="400.39"/>
    <s v="High"/>
    <n v="712.75"/>
    <n v="0.115"/>
    <n v="19"/>
    <n v="11761.58805"/>
    <n v="7607.41"/>
    <x v="453"/>
    <x v="0"/>
  </r>
  <r>
    <x v="453"/>
    <d v="2023-05-24T00:00:00"/>
    <d v="2023-06-21T00:00:00"/>
    <n v="28"/>
    <x v="15"/>
    <s v="Small Business"/>
    <s v="Marketplace"/>
    <x v="3"/>
    <s v="Monitors"/>
    <n v="813.97"/>
    <s v="High"/>
    <n v="1568.83"/>
    <n v="1.7000000000000001E-2"/>
    <n v="15"/>
    <n v="40381.984049999999"/>
    <n v="12209.550000000001"/>
    <x v="454"/>
    <x v="0"/>
  </r>
  <r>
    <x v="454"/>
    <d v="2024-12-27T00:00:00"/>
    <d v="2024-12-29T00:00:00"/>
    <n v="2"/>
    <x v="6"/>
    <s v="Enterprise"/>
    <s v="Marketplace"/>
    <x v="0"/>
    <s v="Accessories"/>
    <n v="1146.72"/>
    <s v="High"/>
    <n v="2074.34"/>
    <n v="0.111"/>
    <n v="8"/>
    <n v="674.07536000000005"/>
    <n v="9173.76"/>
    <x v="455"/>
    <x v="0"/>
  </r>
  <r>
    <x v="455"/>
    <d v="2023-12-05T00:00:00"/>
    <d v="2023-12-12T00:00:00"/>
    <n v="7"/>
    <x v="4"/>
    <s v="Corporate"/>
    <s v="Direct"/>
    <x v="9"/>
    <s v="Phones"/>
    <n v="307.43"/>
    <s v="High"/>
    <n v="495.19"/>
    <n v="0"/>
    <n v="42"/>
    <n v="116648.7"/>
    <n v="12912.06"/>
    <x v="456"/>
    <x v="0"/>
  </r>
  <r>
    <x v="456"/>
    <d v="2023-05-02T00:00:00"/>
    <d v="2023-05-19T00:00:00"/>
    <n v="17"/>
    <x v="15"/>
    <s v="Non-Profit"/>
    <s v="Direct"/>
    <x v="1"/>
    <s v="Monitors"/>
    <n v="714.28"/>
    <s v="High"/>
    <n v="757.59"/>
    <n v="0.13600000000000001"/>
    <n v="12"/>
    <n v="5102.9222399999999"/>
    <n v="8571.36"/>
    <x v="457"/>
    <x v="0"/>
  </r>
  <r>
    <x v="457"/>
    <d v="2023-11-30T00:00:00"/>
    <d v="2023-12-10T00:00:00"/>
    <n v="10"/>
    <x v="30"/>
    <s v="Small Business"/>
    <s v="Direct"/>
    <x v="9"/>
    <s v="Laptops"/>
    <n v="174.74"/>
    <s v="High"/>
    <n v="415.96"/>
    <n v="0.125"/>
    <n v="21"/>
    <n v="35310.318749999999"/>
    <n v="3669.54"/>
    <x v="458"/>
    <x v="0"/>
  </r>
  <r>
    <x v="458"/>
    <d v="2024-05-05T00:00:00"/>
    <d v="2024-05-18T00:00:00"/>
    <n v="13"/>
    <x v="7"/>
    <s v="Corporate"/>
    <s v="Marketplace"/>
    <x v="8"/>
    <s v="Components"/>
    <n v="1264.04"/>
    <s v="High"/>
    <n v="1870.89"/>
    <n v="0"/>
    <n v="13"/>
    <n v="3774.29"/>
    <n v="16432.52"/>
    <x v="459"/>
    <x v="0"/>
  </r>
  <r>
    <x v="459"/>
    <d v="2023-07-09T00:00:00"/>
    <d v="2023-07-19T00:00:00"/>
    <n v="10"/>
    <x v="24"/>
    <s v="Enterprise"/>
    <s v="Distributor"/>
    <x v="13"/>
    <s v="Components"/>
    <n v="141.26"/>
    <s v="High"/>
    <n v="206.88"/>
    <n v="0.107"/>
    <n v="9"/>
    <n v="4845.6680399999996"/>
    <n v="1271.3399999999999"/>
    <x v="460"/>
    <x v="0"/>
  </r>
  <r>
    <x v="460"/>
    <d v="2023-05-17T00:00:00"/>
    <d v="2023-06-15T00:00:00"/>
    <n v="29"/>
    <x v="15"/>
    <s v="Enterprise"/>
    <s v="Retail"/>
    <x v="11"/>
    <s v="Accessories"/>
    <n v="40.89"/>
    <s v="Medium"/>
    <n v="62.82"/>
    <n v="0.129"/>
    <n v="17"/>
    <n v="30761.5425"/>
    <n v="695.13"/>
    <x v="461"/>
    <x v="0"/>
  </r>
  <r>
    <x v="461"/>
    <d v="2024-03-07T00:00:00"/>
    <d v="2024-04-03T00:00:00"/>
    <n v="27"/>
    <x v="0"/>
    <s v="Corporate"/>
    <s v="Direct"/>
    <x v="12"/>
    <s v="Printers"/>
    <n v="738.16"/>
    <s v="High"/>
    <n v="956.49"/>
    <n v="0.152"/>
    <n v="5"/>
    <n v="733.01119999999992"/>
    <n v="3690.7999999999997"/>
    <x v="462"/>
    <x v="0"/>
  </r>
  <r>
    <x v="462"/>
    <d v="2025-04-10T00:00:00"/>
    <d v="2025-04-19T00:00:00"/>
    <n v="9"/>
    <x v="19"/>
    <s v="Enterprise"/>
    <s v="Not Provided"/>
    <x v="3"/>
    <s v="Networking"/>
    <n v="113.74"/>
    <s v="Medium"/>
    <n v="165.7"/>
    <n v="0.124"/>
    <n v="13"/>
    <n v="31644.291119999994"/>
    <n v="1478.62"/>
    <x v="463"/>
    <x v="0"/>
  </r>
  <r>
    <x v="463"/>
    <d v="2025-07-27T00:00:00"/>
    <d v="2025-08-15T00:00:00"/>
    <n v="19"/>
    <x v="13"/>
    <s v="Small Business"/>
    <s v="Marketplace"/>
    <x v="1"/>
    <s v="Components"/>
    <n v="275.43"/>
    <s v="High"/>
    <n v="608.36"/>
    <n v="0.25700000000000001"/>
    <n v="4"/>
    <n v="919.74484000000007"/>
    <n v="1101.72"/>
    <x v="464"/>
    <x v="0"/>
  </r>
  <r>
    <x v="464"/>
    <d v="2024-11-22T00:00:00"/>
    <d v="2024-12-15T00:00:00"/>
    <n v="23"/>
    <x v="18"/>
    <s v="Non-Profit"/>
    <s v="Distributor"/>
    <x v="0"/>
    <s v="Components"/>
    <n v="1335.76"/>
    <s v="High"/>
    <n v="2665.91"/>
    <n v="0.21099999999999999"/>
    <n v="40"/>
    <n v="21031.899600000001"/>
    <n v="53430.400000000001"/>
    <x v="465"/>
    <x v="0"/>
  </r>
  <r>
    <x v="465"/>
    <d v="2024-06-23T00:00:00"/>
    <d v="2024-06-28T00:00:00"/>
    <n v="5"/>
    <x v="17"/>
    <s v="Non-Profit"/>
    <s v="Direct"/>
    <x v="12"/>
    <s v="Accessories"/>
    <n v="242.31"/>
    <s v="High"/>
    <n v="587.95000000000005"/>
    <n v="0.22900000000000001"/>
    <n v="6"/>
    <n v="3442.9930199999999"/>
    <n v="1453.8600000000001"/>
    <x v="466"/>
    <x v="0"/>
  </r>
  <r>
    <x v="466"/>
    <d v="2023-12-18T00:00:00"/>
    <d v="2024-01-14T00:00:00"/>
    <n v="27"/>
    <x v="4"/>
    <s v="Consumer"/>
    <s v="Distributor"/>
    <x v="14"/>
    <s v="Networking"/>
    <n v="1408.3"/>
    <s v="High"/>
    <n v="2193.13"/>
    <n v="7.0999999999999994E-2"/>
    <n v="7"/>
    <n v="82.523070000000004"/>
    <n v="9858.1"/>
    <x v="467"/>
    <x v="0"/>
  </r>
  <r>
    <x v="467"/>
    <d v="2025-06-01T00:00:00"/>
    <d v="2025-06-05T00:00:00"/>
    <n v="4"/>
    <x v="16"/>
    <s v="Enterprise"/>
    <s v="Direct"/>
    <x v="12"/>
    <s v="Components"/>
    <n v="1171.42"/>
    <s v="High"/>
    <n v="2187.8000000000002"/>
    <n v="0.23"/>
    <n v="15"/>
    <n v="7525.518"/>
    <n v="17571.300000000003"/>
    <x v="468"/>
    <x v="0"/>
  </r>
  <r>
    <x v="468"/>
    <d v="2025-03-23T00:00:00"/>
    <d v="2025-04-02T00:00:00"/>
    <n v="10"/>
    <x v="3"/>
    <s v="Enterprise"/>
    <s v="Online"/>
    <x v="6"/>
    <s v="Printers"/>
    <n v="663.61"/>
    <s v="High"/>
    <n v="1002.11"/>
    <n v="4.5999999999999999E-2"/>
    <n v="17"/>
    <n v="12231.93996"/>
    <n v="11281.37"/>
    <x v="469"/>
    <x v="0"/>
  </r>
  <r>
    <x v="469"/>
    <d v="2023-05-14T00:00:00"/>
    <d v="2023-05-22T00:00:00"/>
    <n v="8"/>
    <x v="15"/>
    <s v="Small Business"/>
    <s v="Distributor"/>
    <x v="9"/>
    <s v="Printers"/>
    <n v="432.01"/>
    <s v="High"/>
    <n v="913.78"/>
    <n v="4.9000000000000002E-2"/>
    <n v="12"/>
    <n v="34019.286120000004"/>
    <n v="5184.12"/>
    <x v="470"/>
    <x v="0"/>
  </r>
  <r>
    <x v="470"/>
    <d v="2023-08-29T00:00:00"/>
    <d v="2023-09-19T00:00:00"/>
    <n v="21"/>
    <x v="25"/>
    <s v="Small Business"/>
    <s v="Direct"/>
    <x v="5"/>
    <s v="Printers"/>
    <n v="784.46"/>
    <s v="High"/>
    <n v="1843.51"/>
    <n v="0.13800000000000001"/>
    <n v="23"/>
    <n v="19353.546419999999"/>
    <n v="18042.580000000002"/>
    <x v="471"/>
    <x v="0"/>
  </r>
  <r>
    <x v="471"/>
    <d v="2025-07-03T00:00:00"/>
    <d v="2025-07-23T00:00:00"/>
    <n v="20"/>
    <x v="13"/>
    <s v="Small Business"/>
    <s v="Online"/>
    <x v="12"/>
    <s v="Components"/>
    <n v="647.36"/>
    <s v="High"/>
    <n v="1383.6"/>
    <n v="7.3999999999999996E-2"/>
    <n v="12"/>
    <n v="12733.240800000001"/>
    <n v="7768.32"/>
    <x v="472"/>
    <x v="0"/>
  </r>
  <r>
    <x v="472"/>
    <d v="2024-02-06T00:00:00"/>
    <d v="2024-02-28T00:00:00"/>
    <n v="22"/>
    <x v="31"/>
    <s v="Non-Profit"/>
    <s v="Online"/>
    <x v="11"/>
    <s v="Monitors"/>
    <n v="834.93"/>
    <s v="High"/>
    <n v="1588.53"/>
    <n v="0.126"/>
    <n v="6"/>
    <n v="8549.7651600000008"/>
    <n v="5009.58"/>
    <x v="473"/>
    <x v="0"/>
  </r>
  <r>
    <x v="473"/>
    <d v="2025-08-13T00:00:00"/>
    <d v="2025-09-03T00:00:00"/>
    <n v="21"/>
    <x v="28"/>
    <s v="Education"/>
    <s v="Retail"/>
    <x v="2"/>
    <s v="Phones"/>
    <n v="603.47"/>
    <s v="High"/>
    <n v="1344.05"/>
    <n v="0.20499999999999999"/>
    <n v="18"/>
    <n v="13790.9763"/>
    <n v="10862.460000000001"/>
    <x v="474"/>
    <x v="0"/>
  </r>
  <r>
    <x v="474"/>
    <d v="2023-05-23T00:00:00"/>
    <d v="2023-05-25T00:00:00"/>
    <n v="2"/>
    <x v="15"/>
    <s v="Enterprise"/>
    <s v="Retail"/>
    <x v="12"/>
    <s v="Printers"/>
    <n v="690.49"/>
    <s v="High"/>
    <n v="1290.29"/>
    <n v="4.2000000000000003E-2"/>
    <n v="22"/>
    <n v="18794.101480000001"/>
    <n v="15190.78"/>
    <x v="475"/>
    <x v="0"/>
  </r>
  <r>
    <x v="475"/>
    <d v="2024-05-10T00:00:00"/>
    <d v="2024-05-16T00:00:00"/>
    <n v="6"/>
    <x v="7"/>
    <s v="Non-Profit"/>
    <s v="Direct"/>
    <x v="3"/>
    <s v="Laptops"/>
    <n v="210.76"/>
    <s v="High"/>
    <n v="221.58"/>
    <n v="8.8999999999999996E-2"/>
    <n v="5"/>
    <n v="7596.9201000000003"/>
    <n v="1053.8"/>
    <x v="476"/>
    <x v="0"/>
  </r>
  <r>
    <x v="476"/>
    <d v="2023-03-14T00:00:00"/>
    <d v="2023-03-18T00:00:00"/>
    <n v="4"/>
    <x v="22"/>
    <s v="Enterprise"/>
    <s v="Direct"/>
    <x v="8"/>
    <s v="Components"/>
    <n v="472.33"/>
    <s v="High"/>
    <n v="360.34"/>
    <n v="0.16500000000000001"/>
    <n v="14"/>
    <n v="22462.4519"/>
    <n v="6612.62"/>
    <x v="477"/>
    <x v="0"/>
  </r>
  <r>
    <x v="477"/>
    <d v="2023-07-16T00:00:00"/>
    <d v="2023-08-13T00:00:00"/>
    <n v="28"/>
    <x v="24"/>
    <s v="Non-Profit"/>
    <s v="Online"/>
    <x v="1"/>
    <s v="Laptops"/>
    <n v="1039.03"/>
    <s v="High"/>
    <n v="2545.81"/>
    <n v="0.216"/>
    <n v="21"/>
    <n v="20043.767520000001"/>
    <n v="21819.63"/>
    <x v="478"/>
    <x v="0"/>
  </r>
  <r>
    <x v="478"/>
    <d v="2023-04-16T00:00:00"/>
    <d v="2023-04-19T00:00:00"/>
    <n v="3"/>
    <x v="12"/>
    <s v="Corporate"/>
    <s v="Direct"/>
    <x v="5"/>
    <s v="Accessories"/>
    <n v="553.61"/>
    <s v="High"/>
    <n v="699.47"/>
    <n v="0.02"/>
    <n v="33"/>
    <n v="31378.531800000001"/>
    <n v="18269.13"/>
    <x v="479"/>
    <x v="0"/>
  </r>
  <r>
    <x v="479"/>
    <d v="2024-01-02T00:00:00"/>
    <d v="2024-01-15T00:00:00"/>
    <n v="13"/>
    <x v="9"/>
    <s v="Small Business"/>
    <s v="Marketplace"/>
    <x v="3"/>
    <s v="Networking"/>
    <n v="1219.06"/>
    <s v="High"/>
    <n v="2738.69"/>
    <n v="7.5999999999999998E-2"/>
    <n v="16"/>
    <n v="24019.121280000003"/>
    <n v="19504.96"/>
    <x v="480"/>
    <x v="0"/>
  </r>
  <r>
    <x v="480"/>
    <d v="2024-09-03T00:00:00"/>
    <d v="2024-09-07T00:00:00"/>
    <n v="4"/>
    <x v="29"/>
    <s v="Small Business"/>
    <s v="Distributor"/>
    <x v="13"/>
    <s v="Printers"/>
    <n v="43.23"/>
    <s v="Medium"/>
    <n v="94.78"/>
    <n v="9.0999999999999998E-2"/>
    <n v="55"/>
    <n v="130292.46945000002"/>
    <n v="2377.6499999999996"/>
    <x v="481"/>
    <x v="0"/>
  </r>
  <r>
    <x v="481"/>
    <d v="2025-08-30T00:00:00"/>
    <d v="2025-09-03T00:00:00"/>
    <n v="4"/>
    <x v="28"/>
    <s v="Small Business"/>
    <s v="Marketplace"/>
    <x v="1"/>
    <s v="Laptops"/>
    <n v="1286.56"/>
    <s v="High"/>
    <n v="2777.35"/>
    <n v="0.13200000000000001"/>
    <n v="15"/>
    <n v="5660.0544"/>
    <n v="19298.399999999998"/>
    <x v="482"/>
    <x v="0"/>
  </r>
  <r>
    <x v="482"/>
    <d v="2025-04-28T00:00:00"/>
    <d v="2025-05-19T00:00:00"/>
    <n v="21"/>
    <x v="19"/>
    <s v="Corporate"/>
    <s v="Distributor"/>
    <x v="5"/>
    <s v="Phones"/>
    <n v="350.76"/>
    <s v="High"/>
    <n v="492.18"/>
    <n v="5.2999999999999999E-2"/>
    <n v="11"/>
    <n v="19379.89097"/>
    <n v="3858.3599999999997"/>
    <x v="483"/>
    <x v="0"/>
  </r>
  <r>
    <x v="483"/>
    <d v="2023-08-10T00:00:00"/>
    <d v="2023-08-15T00:00:00"/>
    <n v="5"/>
    <x v="25"/>
    <s v="Education"/>
    <s v="Direct"/>
    <x v="3"/>
    <s v="Networking"/>
    <n v="1307.52"/>
    <s v="High"/>
    <n v="1921.65"/>
    <n v="0.123"/>
    <n v="13"/>
    <n v="9504.8996900000002"/>
    <n v="16997.759999999998"/>
    <x v="484"/>
    <x v="0"/>
  </r>
  <r>
    <x v="484"/>
    <d v="2024-12-08T00:00:00"/>
    <d v="2024-12-08T00:00:00"/>
    <n v="0"/>
    <x v="6"/>
    <s v="Enterprise"/>
    <s v="Retail"/>
    <x v="10"/>
    <s v="Components"/>
    <n v="257.44"/>
    <s v="High"/>
    <n v="290.33"/>
    <n v="9.1999999999999998E-2"/>
    <n v="23"/>
    <n v="6964.3963200000007"/>
    <n v="5921.12"/>
    <x v="485"/>
    <x v="0"/>
  </r>
  <r>
    <x v="485"/>
    <d v="2023-10-25T00:00:00"/>
    <d v="2023-11-24T00:00:00"/>
    <n v="30"/>
    <x v="32"/>
    <s v="Enterprise"/>
    <s v="Distributor"/>
    <x v="0"/>
    <s v="Phones"/>
    <n v="287.85000000000002"/>
    <s v="High"/>
    <n v="602.91999999999996"/>
    <n v="0.222"/>
    <n v="11"/>
    <n v="15273.462600000001"/>
    <n v="3166.3500000000004"/>
    <x v="486"/>
    <x v="0"/>
  </r>
  <r>
    <x v="486"/>
    <d v="2024-11-17T00:00:00"/>
    <d v="2024-11-28T00:00:00"/>
    <n v="11"/>
    <x v="18"/>
    <s v="Consumer"/>
    <s v="Distributor"/>
    <x v="8"/>
    <s v="Printers"/>
    <n v="1008.16"/>
    <s v="High"/>
    <n v="2077.5"/>
    <n v="7.3999999999999996E-2"/>
    <n v="15"/>
    <n v="14894.108099999999"/>
    <n v="15122.4"/>
    <x v="487"/>
    <x v="0"/>
  </r>
  <r>
    <x v="487"/>
    <d v="2024-05-12T00:00:00"/>
    <d v="2024-05-24T00:00:00"/>
    <n v="12"/>
    <x v="7"/>
    <s v="Education"/>
    <s v="Marketplace"/>
    <x v="11"/>
    <s v="Printers"/>
    <n v="111.02"/>
    <s v="Medium"/>
    <n v="172.88"/>
    <n v="0.19700000000000001"/>
    <n v="29"/>
    <n v="70514.200349999999"/>
    <n v="3219.58"/>
    <x v="488"/>
    <x v="0"/>
  </r>
  <r>
    <x v="488"/>
    <d v="2025-05-15T00:00:00"/>
    <d v="2025-06-05T00:00:00"/>
    <n v="21"/>
    <x v="8"/>
    <s v="Enterprise"/>
    <s v="Direct"/>
    <x v="10"/>
    <s v="Phones"/>
    <n v="1466.5"/>
    <s v="High"/>
    <n v="2778.74"/>
    <n v="0.13500000000000001"/>
    <n v="4"/>
    <n v="3415.8503999999998"/>
    <n v="5866"/>
    <x v="489"/>
    <x v="0"/>
  </r>
  <r>
    <x v="489"/>
    <d v="2024-04-21T00:00:00"/>
    <d v="2024-05-19T00:00:00"/>
    <n v="28"/>
    <x v="20"/>
    <s v="Corporate"/>
    <s v="Distributor"/>
    <x v="8"/>
    <s v="Accessories"/>
    <n v="187.22"/>
    <s v="High"/>
    <n v="309.47000000000003"/>
    <n v="0"/>
    <n v="5"/>
    <n v="4877.1499999999996"/>
    <n v="936.1"/>
    <x v="490"/>
    <x v="0"/>
  </r>
  <r>
    <x v="490"/>
    <d v="2024-08-19T00:00:00"/>
    <d v="2024-09-07T00:00:00"/>
    <n v="19"/>
    <x v="21"/>
    <s v="Corporate"/>
    <s v="Direct"/>
    <x v="1"/>
    <s v="Components"/>
    <n v="297.58999999999997"/>
    <s v="High"/>
    <n v="666.41"/>
    <n v="0"/>
    <n v="10"/>
    <n v="1414.3000000000002"/>
    <n v="2975.8999999999996"/>
    <x v="491"/>
    <x v="0"/>
  </r>
  <r>
    <x v="491"/>
    <d v="2025-07-23T00:00:00"/>
    <d v="2025-08-19T00:00:00"/>
    <n v="27"/>
    <x v="13"/>
    <s v="Consumer"/>
    <s v="Marketplace"/>
    <x v="5"/>
    <s v="Accessories"/>
    <n v="896.09"/>
    <s v="High"/>
    <n v="744.27"/>
    <n v="8.3000000000000004E-2"/>
    <n v="11"/>
    <n v="16395.611540000002"/>
    <n v="9856.99"/>
    <x v="492"/>
    <x v="0"/>
  </r>
  <r>
    <x v="492"/>
    <d v="2024-03-01T00:00:00"/>
    <d v="2024-02-29T00:00:00"/>
    <n v="1"/>
    <x v="0"/>
    <s v="Non-Profit"/>
    <s v="Direct"/>
    <x v="2"/>
    <s v="Phones"/>
    <n v="5.34"/>
    <s v="Low"/>
    <n v="12.69"/>
    <n v="0.13200000000000001"/>
    <n v="10"/>
    <n v="2603.4792000000002"/>
    <n v="53.4"/>
    <x v="493"/>
    <x v="0"/>
  </r>
  <r>
    <x v="493"/>
    <d v="2024-05-27T00:00:00"/>
    <d v="2024-06-17T00:00:00"/>
    <n v="21"/>
    <x v="7"/>
    <s v="Small Business"/>
    <s v="Online"/>
    <x v="10"/>
    <s v="Accessories"/>
    <n v="465.02"/>
    <s v="High"/>
    <n v="651.55999999999995"/>
    <n v="4.2000000000000003E-2"/>
    <n v="19"/>
    <n v="27375.07992"/>
    <n v="8835.3799999999992"/>
    <x v="494"/>
    <x v="0"/>
  </r>
  <r>
    <x v="494"/>
    <d v="2024-08-04T00:00:00"/>
    <d v="2024-08-17T00:00:00"/>
    <n v="13"/>
    <x v="21"/>
    <s v="Consumer"/>
    <s v="Retail"/>
    <x v="14"/>
    <s v="Monitors"/>
    <n v="352.79"/>
    <s v="High"/>
    <n v="754.22"/>
    <n v="0.113"/>
    <n v="7"/>
    <n v="19254.791990000002"/>
    <n v="2469.5300000000002"/>
    <x v="495"/>
    <x v="0"/>
  </r>
  <r>
    <x v="495"/>
    <d v="2023-06-20T00:00:00"/>
    <d v="2023-07-04T00:00:00"/>
    <n v="14"/>
    <x v="23"/>
    <s v="Non-Profit"/>
    <s v="Direct"/>
    <x v="0"/>
    <s v="Networking"/>
    <n v="1292.8599999999999"/>
    <s v="High"/>
    <n v="2981.01"/>
    <n v="0.14199999999999999"/>
    <n v="12"/>
    <n v="10084.108319999999"/>
    <n v="15514.32"/>
    <x v="496"/>
    <x v="0"/>
  </r>
  <r>
    <x v="496"/>
    <d v="2024-09-09T00:00:00"/>
    <d v="2024-09-13T00:00:00"/>
    <n v="4"/>
    <x v="29"/>
    <s v="Consumer"/>
    <s v="Marketplace"/>
    <x v="9"/>
    <s v="Networking"/>
    <n v="1133.08"/>
    <s v="High"/>
    <n v="976.17"/>
    <n v="4.2000000000000003E-2"/>
    <n v="27"/>
    <n v="30683.801159999999"/>
    <n v="30593.159999999996"/>
    <x v="497"/>
    <x v="0"/>
  </r>
  <r>
    <x v="497"/>
    <d v="2023-10-25T00:00:00"/>
    <d v="2023-10-28T00:00:00"/>
    <n v="3"/>
    <x v="32"/>
    <s v="Corporate"/>
    <s v="Distributor"/>
    <x v="4"/>
    <s v="Accessories"/>
    <n v="509.31"/>
    <s v="High"/>
    <n v="1145.9000000000001"/>
    <n v="5.7000000000000002E-2"/>
    <n v="8"/>
    <n v="14622.761519999998"/>
    <n v="4074.48"/>
    <x v="498"/>
    <x v="0"/>
  </r>
  <r>
    <x v="498"/>
    <d v="2025-09-08T00:00:00"/>
    <d v="2025-10-05T00:00:00"/>
    <n v="27"/>
    <x v="11"/>
    <s v="Education"/>
    <s v="Online"/>
    <x v="0"/>
    <s v="Monitors"/>
    <n v="660.78"/>
    <s v="High"/>
    <n v="1630.39"/>
    <n v="0.218"/>
    <n v="13"/>
    <n v="8401.8940200000015"/>
    <n v="8590.14"/>
    <x v="499"/>
    <x v="0"/>
  </r>
  <r>
    <x v="499"/>
    <d v="2023-05-02T00:00:00"/>
    <d v="2023-05-16T00:00:00"/>
    <n v="14"/>
    <x v="15"/>
    <s v="Non-Profit"/>
    <s v="Retail"/>
    <x v="4"/>
    <s v="Monitors"/>
    <n v="475.37"/>
    <s v="High"/>
    <n v="963.73"/>
    <n v="4.1000000000000002E-2"/>
    <n v="22"/>
    <n v="2493.1506600000002"/>
    <n v="10458.14"/>
    <x v="500"/>
    <x v="0"/>
  </r>
  <r>
    <x v="500"/>
    <d v="2024-04-26T00:00:00"/>
    <d v="2024-04-24T00:00:00"/>
    <n v="2"/>
    <x v="20"/>
    <s v="Non-Profit"/>
    <s v="Distributor"/>
    <x v="13"/>
    <s v="Phones"/>
    <n v="1232.77"/>
    <s v="High"/>
    <n v="891.73"/>
    <n v="0.16700000000000001"/>
    <n v="10"/>
    <n v="11877.497099999999"/>
    <n v="12327.7"/>
    <x v="501"/>
    <x v="0"/>
  </r>
  <r>
    <x v="501"/>
    <d v="2023-02-23T00:00:00"/>
    <d v="2023-03-18T00:00:00"/>
    <n v="23"/>
    <x v="2"/>
    <s v="Education"/>
    <s v="Distributor"/>
    <x v="11"/>
    <s v="Printers"/>
    <n v="770.11"/>
    <s v="High"/>
    <n v="1667.82"/>
    <n v="6.9000000000000006E-2"/>
    <n v="7"/>
    <n v="10393.181259999999"/>
    <n v="5390.77"/>
    <x v="502"/>
    <x v="0"/>
  </r>
  <r>
    <x v="502"/>
    <d v="2025-03-24T00:00:00"/>
    <d v="2025-03-25T00:00:00"/>
    <n v="1"/>
    <x v="3"/>
    <s v="Non-Profit"/>
    <s v="Online"/>
    <x v="3"/>
    <s v="Networking"/>
    <n v="1133.03"/>
    <s v="High"/>
    <n v="1921.51"/>
    <n v="0.10100000000000001"/>
    <n v="5"/>
    <n v="15022.784449999999"/>
    <n v="5665.15"/>
    <x v="503"/>
    <x v="0"/>
  </r>
  <r>
    <x v="503"/>
    <d v="2025-03-10T00:00:00"/>
    <d v="2025-03-27T00:00:00"/>
    <n v="17"/>
    <x v="3"/>
    <s v="Enterprise"/>
    <s v="Direct"/>
    <x v="9"/>
    <s v="Networking"/>
    <n v="996.73"/>
    <s v="High"/>
    <n v="1217.43"/>
    <n v="7.0000000000000007E-2"/>
    <n v="9"/>
    <n v="8953.9748999999993"/>
    <n v="8970.57"/>
    <x v="504"/>
    <x v="0"/>
  </r>
  <r>
    <x v="504"/>
    <d v="2024-04-05T00:00:00"/>
    <d v="2024-04-09T00:00:00"/>
    <n v="4"/>
    <x v="20"/>
    <s v="Non-Profit"/>
    <s v="Direct"/>
    <x v="11"/>
    <s v="Components"/>
    <n v="395.07"/>
    <s v="High"/>
    <n v="970.27"/>
    <n v="0.123"/>
    <n v="38"/>
    <n v="4692.9673199999997"/>
    <n v="15012.66"/>
    <x v="505"/>
    <x v="0"/>
  </r>
  <r>
    <x v="505"/>
    <d v="2025-04-27T00:00:00"/>
    <d v="2025-05-17T00:00:00"/>
    <n v="20"/>
    <x v="19"/>
    <s v="Corporate"/>
    <s v="Direct"/>
    <x v="13"/>
    <s v="Phones"/>
    <n v="932.26"/>
    <s v="High"/>
    <n v="1624.67"/>
    <n v="0.23499999999999999"/>
    <n v="28"/>
    <n v="1435.9968000000001"/>
    <n v="26103.279999999999"/>
    <x v="506"/>
    <x v="0"/>
  </r>
  <r>
    <x v="506"/>
    <d v="2024-10-24T00:00:00"/>
    <d v="2024-10-28T00:00:00"/>
    <n v="4"/>
    <x v="1"/>
    <s v="Small Business"/>
    <s v="Distributor"/>
    <x v="2"/>
    <s v="Networking"/>
    <n v="1331.77"/>
    <s v="High"/>
    <n v="2606.11"/>
    <n v="0.02"/>
    <n v="6"/>
    <n v="7506.8196000000007"/>
    <n v="7990.62"/>
    <x v="507"/>
    <x v="0"/>
  </r>
  <r>
    <x v="507"/>
    <d v="2023-04-13T00:00:00"/>
    <d v="2023-04-20T00:00:00"/>
    <n v="7"/>
    <x v="12"/>
    <s v="Small Business"/>
    <s v="Online"/>
    <x v="8"/>
    <s v="Laptops"/>
    <n v="227.02"/>
    <s v="High"/>
    <n v="434.72"/>
    <n v="9.8000000000000004E-2"/>
    <n v="10"/>
    <n v="25448.667200000004"/>
    <n v="2270.2000000000003"/>
    <x v="508"/>
    <x v="0"/>
  </r>
  <r>
    <x v="508"/>
    <d v="2024-11-12T00:00:00"/>
    <d v="2024-11-21T00:00:00"/>
    <n v="9"/>
    <x v="18"/>
    <s v="Corporate"/>
    <s v="Direct"/>
    <x v="10"/>
    <s v="Laptops"/>
    <n v="903.41"/>
    <s v="High"/>
    <n v="1860.41"/>
    <n v="0.108"/>
    <n v="5"/>
    <n v="6953.9874000000009"/>
    <n v="4517.05"/>
    <x v="509"/>
    <x v="0"/>
  </r>
  <r>
    <x v="509"/>
    <d v="2023-05-10T00:00:00"/>
    <d v="2023-05-14T00:00:00"/>
    <n v="4"/>
    <x v="15"/>
    <s v="Non-Profit"/>
    <s v="Distributor"/>
    <x v="0"/>
    <s v="Monitors"/>
    <n v="622.6"/>
    <s v="High"/>
    <n v="833.69"/>
    <n v="0.20899999999999999"/>
    <n v="14"/>
    <n v="7271.8528400000005"/>
    <n v="8716.4"/>
    <x v="510"/>
    <x v="0"/>
  </r>
  <r>
    <x v="510"/>
    <d v="2024-03-02T00:00:00"/>
    <d v="2024-03-23T00:00:00"/>
    <n v="21"/>
    <x v="0"/>
    <s v="Small Business"/>
    <s v="Online"/>
    <x v="9"/>
    <s v="Components"/>
    <n v="225.01"/>
    <s v="High"/>
    <n v="333.48"/>
    <n v="0.11899999999999999"/>
    <n v="12"/>
    <n v="28098.68448"/>
    <n v="2700.12"/>
    <x v="511"/>
    <x v="0"/>
  </r>
  <r>
    <x v="511"/>
    <d v="2024-10-10T00:00:00"/>
    <d v="2024-10-11T00:00:00"/>
    <n v="1"/>
    <x v="1"/>
    <s v="Non-Profit"/>
    <s v="Distributor"/>
    <x v="4"/>
    <s v="Components"/>
    <n v="1389.46"/>
    <s v="High"/>
    <n v="1784.7"/>
    <n v="0.14599999999999999"/>
    <n v="33"/>
    <n v="40152.022679999995"/>
    <n v="45852.18"/>
    <x v="512"/>
    <x v="0"/>
  </r>
  <r>
    <x v="512"/>
    <d v="2023-06-01T00:00:00"/>
    <d v="2023-06-08T00:00:00"/>
    <n v="7"/>
    <x v="23"/>
    <s v="Consumer"/>
    <s v="Online"/>
    <x v="8"/>
    <s v="Phones"/>
    <n v="804.17"/>
    <s v="High"/>
    <n v="1072.29"/>
    <n v="3.2000000000000001E-2"/>
    <n v="5"/>
    <n v="11222.701599999999"/>
    <n v="4020.85"/>
    <x v="513"/>
    <x v="0"/>
  </r>
  <r>
    <x v="513"/>
    <d v="2025-01-04T00:00:00"/>
    <d v="2025-01-05T00:00:00"/>
    <n v="1"/>
    <x v="10"/>
    <s v="Education"/>
    <s v="Retail"/>
    <x v="2"/>
    <s v="Components"/>
    <n v="1428.33"/>
    <s v="High"/>
    <n v="3028.05"/>
    <n v="0"/>
    <n v="11"/>
    <n v="4033.7"/>
    <n v="15711.63"/>
    <x v="514"/>
    <x v="0"/>
  </r>
  <r>
    <x v="514"/>
    <d v="2025-08-05T00:00:00"/>
    <d v="2025-08-28T00:00:00"/>
    <n v="23"/>
    <x v="28"/>
    <s v="Non-Profit"/>
    <s v="Distributor"/>
    <x v="13"/>
    <s v="Laptops"/>
    <n v="638.54"/>
    <s v="High"/>
    <n v="987.24"/>
    <n v="0"/>
    <n v="11"/>
    <n v="30771.51"/>
    <n v="7023.94"/>
    <x v="515"/>
    <x v="0"/>
  </r>
  <r>
    <x v="515"/>
    <d v="2023-09-30T00:00:00"/>
    <d v="2023-10-30T00:00:00"/>
    <n v="0"/>
    <x v="27"/>
    <s v="Enterprise"/>
    <s v="Online"/>
    <x v="14"/>
    <s v="Printers"/>
    <n v="649.13"/>
    <s v="High"/>
    <n v="975.43"/>
    <n v="0.157"/>
    <n v="27"/>
    <n v="50294.07125999999"/>
    <n v="17526.509999999998"/>
    <x v="516"/>
    <x v="0"/>
  </r>
  <r>
    <x v="516"/>
    <d v="2025-05-17T00:00:00"/>
    <d v="2025-05-30T00:00:00"/>
    <n v="13"/>
    <x v="8"/>
    <s v="Consumer"/>
    <s v="Distributor"/>
    <x v="9"/>
    <s v="Accessories"/>
    <n v="66.400000000000006"/>
    <s v="Medium"/>
    <n v="141.43"/>
    <n v="0.107"/>
    <n v="8"/>
    <n v="5994.1017599999996"/>
    <n v="531.20000000000005"/>
    <x v="517"/>
    <x v="0"/>
  </r>
  <r>
    <x v="517"/>
    <d v="2024-05-01T00:00:00"/>
    <d v="2024-05-26T00:00:00"/>
    <n v="25"/>
    <x v="7"/>
    <s v="Non-Profit"/>
    <s v="Retail"/>
    <x v="5"/>
    <s v="Networking"/>
    <n v="930.71"/>
    <s v="High"/>
    <n v="1625.42"/>
    <n v="0.13800000000000001"/>
    <n v="7"/>
    <n v="6873.6311000000005"/>
    <n v="6514.97"/>
    <x v="518"/>
    <x v="0"/>
  </r>
  <r>
    <x v="518"/>
    <d v="2023-05-01T00:00:00"/>
    <d v="2023-05-18T00:00:00"/>
    <n v="17"/>
    <x v="15"/>
    <s v="Corporate"/>
    <s v="Direct"/>
    <x v="9"/>
    <s v="Components"/>
    <n v="327.97"/>
    <s v="High"/>
    <n v="299.94"/>
    <n v="4.9000000000000002E-2"/>
    <n v="3"/>
    <n v="4884.4215899999999"/>
    <n v="983.91000000000008"/>
    <x v="519"/>
    <x v="0"/>
  </r>
  <r>
    <x v="519"/>
    <d v="2024-07-09T00:00:00"/>
    <d v="2024-08-08T00:00:00"/>
    <n v="30"/>
    <x v="14"/>
    <s v="Corporate"/>
    <s v="Direct"/>
    <x v="1"/>
    <s v="Components"/>
    <n v="1062.3800000000001"/>
    <s v="High"/>
    <n v="1503.96"/>
    <n v="0.18"/>
    <n v="6"/>
    <n v="5187.1068000000005"/>
    <n v="6374.2800000000007"/>
    <x v="520"/>
    <x v="0"/>
  </r>
  <r>
    <x v="520"/>
    <d v="2023-05-10T00:00:00"/>
    <d v="2023-05-27T00:00:00"/>
    <n v="17"/>
    <x v="15"/>
    <s v="Consumer"/>
    <s v="Retail"/>
    <x v="12"/>
    <s v="Laptops"/>
    <n v="1286.1600000000001"/>
    <s v="High"/>
    <n v="3101.11"/>
    <n v="0.1"/>
    <n v="23"/>
    <n v="50740.254000000001"/>
    <n v="29581.68"/>
    <x v="521"/>
    <x v="0"/>
  </r>
  <r>
    <x v="521"/>
    <d v="2024-07-09T00:00:00"/>
    <d v="2024-07-12T00:00:00"/>
    <n v="3"/>
    <x v="14"/>
    <s v="Small Business"/>
    <s v="Retail"/>
    <x v="14"/>
    <s v="Accessories"/>
    <n v="748.39"/>
    <s v="High"/>
    <n v="979.42"/>
    <n v="0"/>
    <n v="23"/>
    <n v="28777.83"/>
    <n v="17212.97"/>
    <x v="522"/>
    <x v="0"/>
  </r>
  <r>
    <x v="522"/>
    <d v="2024-04-24T00:00:00"/>
    <d v="2024-05-10T00:00:00"/>
    <n v="16"/>
    <x v="20"/>
    <s v="Non-Profit"/>
    <s v="Online"/>
    <x v="13"/>
    <s v="Monitors"/>
    <n v="513.30999999999995"/>
    <s v="High"/>
    <n v="1186.26"/>
    <n v="9.4E-2"/>
    <n v="15"/>
    <n v="15014.232"/>
    <n v="7699.65"/>
    <x v="523"/>
    <x v="0"/>
  </r>
  <r>
    <x v="523"/>
    <d v="2024-01-13T00:00:00"/>
    <d v="2024-01-15T00:00:00"/>
    <n v="2"/>
    <x v="9"/>
    <s v="Non-Profit"/>
    <s v="Direct"/>
    <x v="6"/>
    <s v="Components"/>
    <n v="1061.3699999999999"/>
    <s v="High"/>
    <n v="1938.33"/>
    <n v="0.17"/>
    <n v="4"/>
    <n v="7912.9211999999989"/>
    <n v="4245.4799999999996"/>
    <x v="524"/>
    <x v="0"/>
  </r>
  <r>
    <x v="524"/>
    <d v="2024-04-16T00:00:00"/>
    <d v="2024-04-27T00:00:00"/>
    <n v="11"/>
    <x v="20"/>
    <s v="Enterprise"/>
    <s v="Online"/>
    <x v="14"/>
    <s v="Printers"/>
    <n v="401.3"/>
    <s v="High"/>
    <n v="826.47"/>
    <n v="0.22500000000000001"/>
    <n v="13"/>
    <n v="2146.5795000000003"/>
    <n v="5216.9000000000005"/>
    <x v="525"/>
    <x v="0"/>
  </r>
  <r>
    <x v="525"/>
    <d v="2025-02-07T00:00:00"/>
    <d v="2025-02-16T00:00:00"/>
    <n v="9"/>
    <x v="26"/>
    <s v="Small Business"/>
    <s v="Distributor"/>
    <x v="0"/>
    <s v="Printers"/>
    <n v="90.68"/>
    <s v="Medium"/>
    <n v="118.17"/>
    <n v="0.13500000000000001"/>
    <n v="21"/>
    <n v="36886.575600000004"/>
    <n v="1904.2800000000002"/>
    <x v="526"/>
    <x v="0"/>
  </r>
  <r>
    <x v="526"/>
    <d v="2023-01-12T00:00:00"/>
    <d v="2023-01-26T00:00:00"/>
    <n v="14"/>
    <x v="5"/>
    <s v="Non-Profit"/>
    <s v="Retail"/>
    <x v="12"/>
    <s v="Printers"/>
    <n v="1083.0899999999999"/>
    <s v="High"/>
    <n v="1425.87"/>
    <n v="0"/>
    <n v="8"/>
    <n v="7653.6"/>
    <n v="8664.7199999999993"/>
    <x v="527"/>
    <x v="0"/>
  </r>
  <r>
    <x v="527"/>
    <d v="2024-06-05T00:00:00"/>
    <d v="2024-06-23T00:00:00"/>
    <n v="18"/>
    <x v="17"/>
    <s v="Consumer"/>
    <s v="Distributor"/>
    <x v="14"/>
    <s v="Laptops"/>
    <n v="1208.74"/>
    <s v="High"/>
    <n v="1594.78"/>
    <n v="5.8999999999999997E-2"/>
    <n v="39"/>
    <n v="53128.40832000001"/>
    <n v="47140.86"/>
    <x v="528"/>
    <x v="0"/>
  </r>
  <r>
    <x v="528"/>
    <d v="2023-08-24T00:00:00"/>
    <d v="2023-09-20T00:00:00"/>
    <n v="27"/>
    <x v="25"/>
    <s v="Small Business"/>
    <s v="Marketplace"/>
    <x v="12"/>
    <s v="Printers"/>
    <n v="1399.64"/>
    <s v="High"/>
    <n v="3342.11"/>
    <n v="0"/>
    <n v="10"/>
    <n v="29496.199999999997"/>
    <n v="13996.400000000001"/>
    <x v="529"/>
    <x v="0"/>
  </r>
  <r>
    <x v="529"/>
    <d v="2024-01-25T00:00:00"/>
    <d v="2024-02-08T00:00:00"/>
    <n v="14"/>
    <x v="9"/>
    <s v="Consumer"/>
    <s v="Marketplace"/>
    <x v="2"/>
    <s v="Networking"/>
    <n v="937.16"/>
    <s v="High"/>
    <n v="1069.77"/>
    <n v="3.7999999999999999E-2"/>
    <n v="9"/>
    <n v="22342.575059999999"/>
    <n v="8434.44"/>
    <x v="530"/>
    <x v="0"/>
  </r>
  <r>
    <x v="530"/>
    <d v="2025-03-11T00:00:00"/>
    <d v="2025-03-26T00:00:00"/>
    <n v="15"/>
    <x v="3"/>
    <s v="Small Business"/>
    <s v="Online"/>
    <x v="2"/>
    <s v="Phones"/>
    <n v="116.97"/>
    <s v="Medium"/>
    <n v="140.82"/>
    <n v="0.122"/>
    <n v="5"/>
    <n v="8687.4149000000016"/>
    <n v="584.85"/>
    <x v="531"/>
    <x v="0"/>
  </r>
  <r>
    <x v="531"/>
    <d v="2025-04-22T00:00:00"/>
    <d v="2025-05-12T00:00:00"/>
    <n v="20"/>
    <x v="19"/>
    <s v="Enterprise"/>
    <s v="Marketplace"/>
    <x v="11"/>
    <s v="Monitors"/>
    <n v="59.51"/>
    <s v="Medium"/>
    <n v="67.040000000000006"/>
    <n v="0.114"/>
    <n v="9"/>
    <n v="11813.082300000002"/>
    <n v="535.59"/>
    <x v="532"/>
    <x v="0"/>
  </r>
  <r>
    <x v="532"/>
    <d v="2023-08-17T00:00:00"/>
    <d v="2023-09-03T00:00:00"/>
    <n v="17"/>
    <x v="25"/>
    <s v="Enterprise"/>
    <s v="Retail"/>
    <x v="8"/>
    <s v="Phones"/>
    <n v="676.37"/>
    <s v="High"/>
    <n v="1276.67"/>
    <n v="6.6000000000000003E-2"/>
    <n v="10"/>
    <n v="15494.3128"/>
    <n v="6763.7"/>
    <x v="533"/>
    <x v="0"/>
  </r>
  <r>
    <x v="533"/>
    <d v="2025-06-24T00:00:00"/>
    <d v="2025-07-14T00:00:00"/>
    <n v="20"/>
    <x v="16"/>
    <s v="Enterprise"/>
    <s v="Marketplace"/>
    <x v="1"/>
    <s v="Laptops"/>
    <n v="1151.06"/>
    <s v="High"/>
    <n v="2821.36"/>
    <n v="0.248"/>
    <n v="20"/>
    <n v="9059.1936000000005"/>
    <n v="23021.199999999997"/>
    <x v="534"/>
    <x v="0"/>
  </r>
  <r>
    <x v="534"/>
    <d v="2025-01-10T00:00:00"/>
    <d v="2025-02-06T00:00:00"/>
    <n v="27"/>
    <x v="10"/>
    <s v="Non-Profit"/>
    <s v="Retail"/>
    <x v="5"/>
    <s v="Laptops"/>
    <n v="725.62"/>
    <s v="High"/>
    <n v="1559.19"/>
    <n v="0.19"/>
    <n v="12"/>
    <n v="5128.6608000000006"/>
    <n v="8707.44"/>
    <x v="535"/>
    <x v="0"/>
  </r>
  <r>
    <x v="535"/>
    <d v="2023-07-01T00:00:00"/>
    <d v="2023-07-11T00:00:00"/>
    <n v="10"/>
    <x v="24"/>
    <s v="Corporate"/>
    <s v="Direct"/>
    <x v="9"/>
    <s v="Networking"/>
    <n v="479.5"/>
    <s v="High"/>
    <n v="656.66"/>
    <n v="0.14899999999999999"/>
    <n v="14"/>
    <n v="21944.3966"/>
    <n v="6713"/>
    <x v="536"/>
    <x v="0"/>
  </r>
  <r>
    <x v="536"/>
    <d v="2024-08-16T00:00:00"/>
    <d v="2024-08-26T00:00:00"/>
    <n v="10"/>
    <x v="21"/>
    <s v="Corporate"/>
    <s v="Distributor"/>
    <x v="4"/>
    <s v="Laptops"/>
    <n v="1291.7"/>
    <s v="High"/>
    <n v="2657.84"/>
    <n v="8.6999999999999994E-2"/>
    <n v="21"/>
    <n v="31548.788040000003"/>
    <n v="27125.7"/>
    <x v="537"/>
    <x v="0"/>
  </r>
  <r>
    <x v="537"/>
    <d v="2023-07-07T00:00:00"/>
    <d v="2023-07-13T00:00:00"/>
    <n v="6"/>
    <x v="24"/>
    <s v="Small Business"/>
    <s v="Marketplace"/>
    <x v="5"/>
    <s v="Accessories"/>
    <n v="612.59"/>
    <s v="High"/>
    <n v="1424.74"/>
    <n v="4.3999999999999997E-2"/>
    <n v="15"/>
    <n v="10428.334800000001"/>
    <n v="9188.85"/>
    <x v="538"/>
    <x v="0"/>
  </r>
  <r>
    <x v="538"/>
    <d v="2023-12-28T00:00:00"/>
    <d v="2024-01-01T00:00:00"/>
    <n v="4"/>
    <x v="4"/>
    <s v="Education"/>
    <s v="Distributor"/>
    <x v="8"/>
    <s v="Printers"/>
    <n v="1141.8"/>
    <s v="High"/>
    <n v="2318.7399999999998"/>
    <n v="0.107"/>
    <n v="32"/>
    <n v="35256.783040000002"/>
    <n v="36537.599999999999"/>
    <x v="539"/>
    <x v="0"/>
  </r>
  <r>
    <x v="539"/>
    <d v="2023-01-26T00:00:00"/>
    <d v="2023-02-15T00:00:00"/>
    <n v="20"/>
    <x v="5"/>
    <s v="Small Business"/>
    <s v="Online"/>
    <x v="7"/>
    <s v="Networking"/>
    <n v="492.62"/>
    <s v="High"/>
    <n v="366.7"/>
    <n v="8.8999999999999996E-2"/>
    <n v="10"/>
    <n v="14063.653600000001"/>
    <n v="4926.2"/>
    <x v="540"/>
    <x v="0"/>
  </r>
  <r>
    <x v="540"/>
    <d v="2023-07-08T00:00:00"/>
    <d v="2023-07-09T00:00:00"/>
    <n v="1"/>
    <x v="24"/>
    <s v="Consumer"/>
    <s v="Online"/>
    <x v="14"/>
    <s v="Laptops"/>
    <n v="1258.72"/>
    <s v="High"/>
    <n v="2797.41"/>
    <n v="0"/>
    <n v="7"/>
    <n v="14806.33"/>
    <n v="8811.0400000000009"/>
    <x v="541"/>
    <x v="0"/>
  </r>
  <r>
    <x v="541"/>
    <d v="2024-06-07T00:00:00"/>
    <d v="2024-06-09T00:00:00"/>
    <n v="2"/>
    <x v="17"/>
    <s v="Corporate"/>
    <s v="Retail"/>
    <x v="7"/>
    <s v="Monitors"/>
    <n v="1370.28"/>
    <s v="High"/>
    <n v="2209.66"/>
    <n v="0.13300000000000001"/>
    <n v="16"/>
    <n v="25485.499680000001"/>
    <n v="21924.48"/>
    <x v="542"/>
    <x v="0"/>
  </r>
  <r>
    <x v="542"/>
    <d v="2023-02-11T00:00:00"/>
    <d v="2023-02-12T00:00:00"/>
    <n v="1"/>
    <x v="2"/>
    <s v="Non-Profit"/>
    <s v="Direct"/>
    <x v="14"/>
    <s v="Accessories"/>
    <n v="944.61"/>
    <s v="High"/>
    <n v="839.04"/>
    <n v="5.8999999999999997E-2"/>
    <n v="6"/>
    <n v="16141.518779999999"/>
    <n v="5667.66"/>
    <x v="543"/>
    <x v="0"/>
  </r>
  <r>
    <x v="543"/>
    <d v="2023-07-01T00:00:00"/>
    <d v="2023-07-08T00:00:00"/>
    <n v="7"/>
    <x v="24"/>
    <s v="Small Business"/>
    <s v="Distributor"/>
    <x v="13"/>
    <s v="Laptops"/>
    <n v="460.21"/>
    <s v="High"/>
    <n v="1139.1500000000001"/>
    <n v="0.115"/>
    <n v="14"/>
    <n v="3592.1088"/>
    <n v="6442.94"/>
    <x v="544"/>
    <x v="0"/>
  </r>
  <r>
    <x v="544"/>
    <d v="2025-08-20T00:00:00"/>
    <d v="2025-08-26T00:00:00"/>
    <n v="6"/>
    <x v="28"/>
    <s v="Corporate"/>
    <s v="Retail"/>
    <x v="12"/>
    <s v="Networking"/>
    <n v="1304.95"/>
    <s v="High"/>
    <n v="1712.03"/>
    <n v="0.21199999999999999"/>
    <n v="8"/>
    <n v="6286.3488000000007"/>
    <n v="10439.6"/>
    <x v="545"/>
    <x v="0"/>
  </r>
  <r>
    <x v="545"/>
    <d v="2024-03-04T00:00:00"/>
    <d v="2024-03-16T00:00:00"/>
    <n v="12"/>
    <x v="0"/>
    <s v="Enterprise"/>
    <s v="Distributor"/>
    <x v="12"/>
    <s v="Monitors"/>
    <n v="441.08"/>
    <s v="High"/>
    <n v="1054.29"/>
    <n v="0.23699999999999999"/>
    <n v="6"/>
    <n v="216.49362000000002"/>
    <n v="2646.48"/>
    <x v="546"/>
    <x v="0"/>
  </r>
  <r>
    <x v="546"/>
    <d v="2023-09-08T00:00:00"/>
    <d v="2023-10-02T00:00:00"/>
    <n v="24"/>
    <x v="27"/>
    <s v="Education"/>
    <s v="Direct"/>
    <x v="8"/>
    <s v="Accessories"/>
    <n v="1299.03"/>
    <s v="High"/>
    <n v="2451.2199999999998"/>
    <n v="0.20799999999999999"/>
    <n v="8"/>
    <n v="4778.8646400000007"/>
    <n v="10392.24"/>
    <x v="547"/>
    <x v="0"/>
  </r>
  <r>
    <x v="547"/>
    <d v="2023-02-28T00:00:00"/>
    <d v="2023-03-06T00:00:00"/>
    <n v="6"/>
    <x v="2"/>
    <s v="Small Business"/>
    <s v="Marketplace"/>
    <x v="14"/>
    <s v="Printers"/>
    <n v="880.02"/>
    <s v="High"/>
    <n v="1251.21"/>
    <n v="0.123"/>
    <n v="29"/>
    <n v="22927.340840000001"/>
    <n v="25520.579999999998"/>
    <x v="548"/>
    <x v="0"/>
  </r>
  <r>
    <x v="548"/>
    <d v="2024-07-13T00:00:00"/>
    <d v="2024-08-03T00:00:00"/>
    <n v="21"/>
    <x v="14"/>
    <s v="Corporate"/>
    <s v="Marketplace"/>
    <x v="12"/>
    <s v="Monitors"/>
    <n v="702.98"/>
    <s v="High"/>
    <n v="1104.8"/>
    <n v="0.17499999999999999"/>
    <n v="12"/>
    <n v="1119.492"/>
    <n v="8435.76"/>
    <x v="549"/>
    <x v="0"/>
  </r>
  <r>
    <x v="549"/>
    <d v="2024-12-07T00:00:00"/>
    <d v="2024-12-26T00:00:00"/>
    <n v="19"/>
    <x v="6"/>
    <s v="Enterprise"/>
    <s v="Online"/>
    <x v="14"/>
    <s v="Networking"/>
    <n v="1035.24"/>
    <s v="High"/>
    <n v="2383.41"/>
    <n v="0.17"/>
    <n v="15"/>
    <n v="10814.319"/>
    <n v="15528.6"/>
    <x v="550"/>
    <x v="0"/>
  </r>
  <r>
    <x v="550"/>
    <d v="2025-08-06T00:00:00"/>
    <d v="2025-08-23T00:00:00"/>
    <n v="17"/>
    <x v="28"/>
    <s v="Consumer"/>
    <s v="Distributor"/>
    <x v="8"/>
    <s v="Monitors"/>
    <n v="86.64"/>
    <s v="High"/>
    <n v="213.06"/>
    <n v="0.21199999999999999"/>
    <n v="11"/>
    <n v="3015.5971999999997"/>
    <n v="953.04"/>
    <x v="551"/>
    <x v="0"/>
  </r>
  <r>
    <x v="551"/>
    <d v="2023-03-03T00:00:00"/>
    <d v="2023-03-20T00:00:00"/>
    <n v="17"/>
    <x v="22"/>
    <s v="Small Business"/>
    <s v="Online"/>
    <x v="14"/>
    <s v="Networking"/>
    <n v="1171.17"/>
    <s v="High"/>
    <n v="2030.64"/>
    <n v="0.157"/>
    <n v="11"/>
    <n v="10310.463239999999"/>
    <n v="12882.87"/>
    <x v="552"/>
    <x v="0"/>
  </r>
  <r>
    <x v="552"/>
    <d v="2025-02-16T00:00:00"/>
    <d v="2025-03-17T00:00:00"/>
    <n v="1"/>
    <x v="26"/>
    <s v="Consumer"/>
    <s v="Retail"/>
    <x v="4"/>
    <s v="Accessories"/>
    <n v="730.42"/>
    <s v="High"/>
    <n v="956.7"/>
    <n v="4.2000000000000003E-2"/>
    <n v="22"/>
    <n v="6907.0267199999998"/>
    <n v="16069.24"/>
    <x v="553"/>
    <x v="0"/>
  </r>
  <r>
    <x v="553"/>
    <d v="2025-02-15T00:00:00"/>
    <d v="2025-03-01T00:00:00"/>
    <n v="14"/>
    <x v="26"/>
    <s v="Education"/>
    <s v="Direct"/>
    <x v="4"/>
    <s v="Accessories"/>
    <n v="1162.8599999999999"/>
    <s v="High"/>
    <n v="1447.68"/>
    <n v="8.6999999999999994E-2"/>
    <n v="12"/>
    <n v="5326.0402800000002"/>
    <n v="13954.32"/>
    <x v="554"/>
    <x v="0"/>
  </r>
  <r>
    <x v="554"/>
    <d v="2024-08-31T00:00:00"/>
    <d v="2024-09-26T00:00:00"/>
    <n v="26"/>
    <x v="21"/>
    <s v="Education"/>
    <s v="Online"/>
    <x v="2"/>
    <s v="Phones"/>
    <n v="1189.03"/>
    <s v="High"/>
    <n v="2949.62"/>
    <n v="0.125"/>
    <n v="13"/>
    <n v="23507.575000000001"/>
    <n v="15457.39"/>
    <x v="555"/>
    <x v="0"/>
  </r>
  <r>
    <x v="555"/>
    <d v="2023-05-07T00:00:00"/>
    <d v="2023-05-20T00:00:00"/>
    <n v="13"/>
    <x v="15"/>
    <s v="Enterprise"/>
    <s v="Retail"/>
    <x v="14"/>
    <s v="Accessories"/>
    <n v="1443.28"/>
    <s v="High"/>
    <n v="2580.5700000000002"/>
    <n v="0"/>
    <n v="18"/>
    <n v="1551.6000000000001"/>
    <n v="25979.040000000001"/>
    <x v="556"/>
    <x v="0"/>
  </r>
  <r>
    <x v="556"/>
    <d v="2025-05-14T00:00:00"/>
    <d v="2025-05-12T00:00:00"/>
    <n v="2"/>
    <x v="8"/>
    <s v="Non-Profit"/>
    <s v="Distributor"/>
    <x v="9"/>
    <s v="Printers"/>
    <n v="883.5"/>
    <s v="High"/>
    <n v="1978.91"/>
    <n v="5.3999999999999999E-2"/>
    <n v="27"/>
    <n v="58944.550499999998"/>
    <n v="23854.5"/>
    <x v="557"/>
    <x v="0"/>
  </r>
  <r>
    <x v="557"/>
    <d v="2024-03-11T00:00:00"/>
    <d v="2024-03-29T00:00:00"/>
    <n v="18"/>
    <x v="0"/>
    <s v="Corporate"/>
    <s v="Retail"/>
    <x v="12"/>
    <s v="Monitors"/>
    <n v="710.98"/>
    <s v="High"/>
    <n v="1481.45"/>
    <n v="0.21099999999999999"/>
    <n v="9"/>
    <n v="7902.0638099999996"/>
    <n v="6398.82"/>
    <x v="558"/>
    <x v="0"/>
  </r>
  <r>
    <x v="558"/>
    <d v="2024-05-18T00:00:00"/>
    <d v="2024-05-22T00:00:00"/>
    <n v="4"/>
    <x v="7"/>
    <s v="Corporate"/>
    <s v="Direct"/>
    <x v="10"/>
    <s v="Accessories"/>
    <n v="857.42"/>
    <s v="High"/>
    <n v="1658.92"/>
    <n v="0.122"/>
    <n v="9"/>
    <n v="8897.572979999999"/>
    <n v="7716.78"/>
    <x v="559"/>
    <x v="0"/>
  </r>
  <r>
    <x v="559"/>
    <d v="2024-01-08T00:00:00"/>
    <d v="2024-01-12T00:00:00"/>
    <n v="4"/>
    <x v="9"/>
    <s v="Corporate"/>
    <s v="Direct"/>
    <x v="6"/>
    <s v="Printers"/>
    <n v="802.32"/>
    <s v="High"/>
    <n v="602.34"/>
    <n v="0.12"/>
    <n v="25"/>
    <n v="2719.64"/>
    <n v="20058"/>
    <x v="560"/>
    <x v="0"/>
  </r>
  <r>
    <x v="560"/>
    <d v="2024-10-25T00:00:00"/>
    <d v="2024-11-05T00:00:00"/>
    <n v="11"/>
    <x v="1"/>
    <s v="Corporate"/>
    <s v="Distributor"/>
    <x v="13"/>
    <s v="Components"/>
    <n v="446.66"/>
    <s v="High"/>
    <n v="527.64"/>
    <n v="0.14499999999999999"/>
    <n v="15"/>
    <n v="22209.693749999999"/>
    <n v="6699.9000000000005"/>
    <x v="561"/>
    <x v="0"/>
  </r>
  <r>
    <x v="561"/>
    <d v="2024-11-30T00:00:00"/>
    <d v="2024-12-19T00:00:00"/>
    <n v="19"/>
    <x v="18"/>
    <s v="Corporate"/>
    <s v="Online"/>
    <x v="4"/>
    <s v="Phones"/>
    <n v="1195.98"/>
    <s v="High"/>
    <n v="1841.9"/>
    <n v="5.5E-2"/>
    <n v="19"/>
    <n v="54978.38955"/>
    <n v="22723.62"/>
    <x v="562"/>
    <x v="0"/>
  </r>
  <r>
    <x v="562"/>
    <d v="2023-04-13T00:00:00"/>
    <d v="2023-05-02T00:00:00"/>
    <n v="19"/>
    <x v="12"/>
    <s v="Consumer"/>
    <s v="Distributor"/>
    <x v="6"/>
    <s v="Monitors"/>
    <n v="671.05"/>
    <s v="High"/>
    <n v="1645.48"/>
    <n v="0.13700000000000001"/>
    <n v="6"/>
    <n v="11393.722979999999"/>
    <n v="4026.2999999999997"/>
    <x v="563"/>
    <x v="0"/>
  </r>
  <r>
    <x v="563"/>
    <d v="2025-02-04T00:00:00"/>
    <d v="2025-02-08T00:00:00"/>
    <n v="4"/>
    <x v="26"/>
    <s v="Enterprise"/>
    <s v="Marketplace"/>
    <x v="4"/>
    <s v="Networking"/>
    <n v="586.21"/>
    <s v="High"/>
    <n v="727.22"/>
    <n v="6.8000000000000005E-2"/>
    <n v="15"/>
    <n v="8408.8302000000003"/>
    <n v="8793.1500000000015"/>
    <x v="564"/>
    <x v="0"/>
  </r>
  <r>
    <x v="564"/>
    <d v="2024-01-24T00:00:00"/>
    <d v="2024-02-04T00:00:00"/>
    <n v="11"/>
    <x v="9"/>
    <s v="Consumer"/>
    <s v="Retail"/>
    <x v="5"/>
    <s v="Laptops"/>
    <n v="525.34"/>
    <s v="High"/>
    <n v="1233.79"/>
    <n v="0.14299999999999999"/>
    <n v="4"/>
    <n v="3248.9555599999999"/>
    <n v="2101.36"/>
    <x v="565"/>
    <x v="0"/>
  </r>
  <r>
    <x v="565"/>
    <d v="2024-02-08T00:00:00"/>
    <d v="2024-02-09T00:00:00"/>
    <n v="1"/>
    <x v="31"/>
    <s v="Corporate"/>
    <s v="Direct"/>
    <x v="9"/>
    <s v="Components"/>
    <n v="1233.52"/>
    <s v="High"/>
    <n v="1543.76"/>
    <n v="0.126"/>
    <n v="13"/>
    <n v="26490.27576"/>
    <n v="16035.76"/>
    <x v="566"/>
    <x v="0"/>
  </r>
  <r>
    <x v="566"/>
    <d v="2025-06-26T00:00:00"/>
    <d v="2025-07-11T00:00:00"/>
    <n v="15"/>
    <x v="16"/>
    <s v="Small Business"/>
    <s v="Online"/>
    <x v="8"/>
    <s v="Laptops"/>
    <n v="1170.1500000000001"/>
    <s v="High"/>
    <n v="2115.19"/>
    <n v="9.1999999999999998E-2"/>
    <n v="23"/>
    <n v="29597.640160000003"/>
    <n v="26913.45"/>
    <x v="567"/>
    <x v="0"/>
  </r>
  <r>
    <x v="567"/>
    <d v="2024-11-04T00:00:00"/>
    <d v="2024-11-07T00:00:00"/>
    <n v="3"/>
    <x v="18"/>
    <s v="Corporate"/>
    <s v="Online"/>
    <x v="7"/>
    <s v="Monitors"/>
    <n v="740.68"/>
    <s v="High"/>
    <n v="1837.19"/>
    <n v="0.19700000000000001"/>
    <n v="17"/>
    <n v="9548.8744999999999"/>
    <n v="12591.56"/>
    <x v="568"/>
    <x v="0"/>
  </r>
  <r>
    <x v="568"/>
    <d v="2024-02-20T00:00:00"/>
    <d v="2024-02-20T00:00:00"/>
    <n v="0"/>
    <x v="31"/>
    <s v="Enterprise"/>
    <s v="Online"/>
    <x v="0"/>
    <s v="Networking"/>
    <n v="1407.05"/>
    <s v="High"/>
    <n v="2858.93"/>
    <n v="0"/>
    <n v="12"/>
    <n v="21446.400000000001"/>
    <n v="16884.599999999999"/>
    <x v="569"/>
    <x v="0"/>
  </r>
  <r>
    <x v="569"/>
    <d v="2025-04-13T00:00:00"/>
    <d v="2025-04-14T00:00:00"/>
    <n v="1"/>
    <x v="19"/>
    <s v="Enterprise"/>
    <s v="Online"/>
    <x v="3"/>
    <s v="Components"/>
    <n v="138.9"/>
    <s v="High"/>
    <n v="289.92"/>
    <n v="2.9000000000000001E-2"/>
    <n v="12"/>
    <n v="19793.834999999999"/>
    <n v="1666.8000000000002"/>
    <x v="570"/>
    <x v="0"/>
  </r>
  <r>
    <x v="570"/>
    <d v="2023-06-01T00:00:00"/>
    <d v="2023-06-01T00:00:00"/>
    <n v="0"/>
    <x v="23"/>
    <s v="Corporate"/>
    <s v="Retail"/>
    <x v="6"/>
    <s v="Accessories"/>
    <n v="669.37"/>
    <s v="High"/>
    <n v="997.2"/>
    <n v="8.2000000000000003E-2"/>
    <n v="5"/>
    <n v="3326.373"/>
    <n v="3346.85"/>
    <x v="571"/>
    <x v="0"/>
  </r>
  <r>
    <x v="571"/>
    <d v="2025-03-24T00:00:00"/>
    <d v="2025-04-04T00:00:00"/>
    <n v="11"/>
    <x v="3"/>
    <s v="Education"/>
    <s v="Marketplace"/>
    <x v="1"/>
    <s v="Phones"/>
    <n v="23.83"/>
    <s v="Low"/>
    <n v="47.29"/>
    <n v="6.4000000000000001E-2"/>
    <n v="19"/>
    <n v="24114.036959999998"/>
    <n v="452.77"/>
    <x v="572"/>
    <x v="0"/>
  </r>
  <r>
    <x v="572"/>
    <d v="2024-01-02T00:00:00"/>
    <d v="2024-01-02T00:00:00"/>
    <n v="0"/>
    <x v="9"/>
    <s v="Education"/>
    <s v="Direct"/>
    <x v="8"/>
    <s v="Laptops"/>
    <n v="444.41"/>
    <s v="High"/>
    <n v="754.24"/>
    <n v="0.20699999999999999"/>
    <n v="32"/>
    <n v="6980.1763200000005"/>
    <n v="14221.12"/>
    <x v="573"/>
    <x v="0"/>
  </r>
  <r>
    <x v="573"/>
    <d v="2023-12-19T00:00:00"/>
    <d v="2024-01-01T00:00:00"/>
    <n v="13"/>
    <x v="4"/>
    <s v="Enterprise"/>
    <s v="Retail"/>
    <x v="11"/>
    <s v="Monitors"/>
    <n v="856.1"/>
    <s v="High"/>
    <n v="901.48"/>
    <n v="5.6000000000000001E-2"/>
    <n v="17"/>
    <n v="28925.557119999998"/>
    <n v="14553.7"/>
    <x v="574"/>
    <x v="0"/>
  </r>
  <r>
    <x v="574"/>
    <d v="2023-04-26T00:00:00"/>
    <d v="2023-04-26T00:00:00"/>
    <n v="0"/>
    <x v="12"/>
    <s v="Consumer"/>
    <s v="Direct"/>
    <x v="12"/>
    <s v="Components"/>
    <n v="81.489999999999995"/>
    <s v="Medium"/>
    <n v="113.08"/>
    <n v="0.121"/>
    <n v="5"/>
    <n v="5580.6830999999993"/>
    <n v="407.45"/>
    <x v="575"/>
    <x v="0"/>
  </r>
  <r>
    <x v="575"/>
    <d v="2025-08-03T00:00:00"/>
    <d v="2025-08-16T00:00:00"/>
    <n v="13"/>
    <x v="28"/>
    <s v="Enterprise"/>
    <s v="Distributor"/>
    <x v="7"/>
    <s v="Networking"/>
    <n v="698.66"/>
    <s v="High"/>
    <n v="868.62"/>
    <n v="7.1999999999999995E-2"/>
    <n v="15"/>
    <n v="7960.848"/>
    <n v="10479.9"/>
    <x v="576"/>
    <x v="0"/>
  </r>
  <r>
    <x v="576"/>
    <d v="2023-08-02T00:00:00"/>
    <d v="2023-08-19T00:00:00"/>
    <n v="17"/>
    <x v="25"/>
    <s v="Corporate"/>
    <s v="Online"/>
    <x v="9"/>
    <s v="Networking"/>
    <n v="175.38"/>
    <s v="High"/>
    <n v="347.9"/>
    <n v="7.1999999999999995E-2"/>
    <n v="43"/>
    <n v="109937.11616000001"/>
    <n v="7541.34"/>
    <x v="577"/>
    <x v="0"/>
  </r>
  <r>
    <x v="577"/>
    <d v="2023-06-15T00:00:00"/>
    <d v="2023-07-12T00:00:00"/>
    <n v="27"/>
    <x v="23"/>
    <s v="Consumer"/>
    <s v="Direct"/>
    <x v="2"/>
    <s v="Accessories"/>
    <n v="751.28"/>
    <s v="High"/>
    <n v="1111.8800000000001"/>
    <n v="0.13500000000000001"/>
    <n v="7"/>
    <n v="5827.9980499999992"/>
    <n v="5258.96"/>
    <x v="578"/>
    <x v="0"/>
  </r>
  <r>
    <x v="578"/>
    <d v="2024-11-11T00:00:00"/>
    <d v="2024-11-24T00:00:00"/>
    <n v="13"/>
    <x v="18"/>
    <s v="Corporate"/>
    <s v="Retail"/>
    <x v="6"/>
    <s v="Networking"/>
    <n v="164.53"/>
    <s v="High"/>
    <n v="327.72"/>
    <n v="6.7000000000000004E-2"/>
    <n v="14"/>
    <n v="8728.9427399999986"/>
    <n v="2303.42"/>
    <x v="579"/>
    <x v="0"/>
  </r>
  <r>
    <x v="579"/>
    <d v="2025-07-11T00:00:00"/>
    <d v="2025-08-03T00:00:00"/>
    <n v="23"/>
    <x v="13"/>
    <s v="Small Business"/>
    <s v="Retail"/>
    <x v="0"/>
    <s v="Phones"/>
    <n v="389.93"/>
    <s v="High"/>
    <n v="486.13"/>
    <n v="0.13200000000000001"/>
    <n v="17"/>
    <n v="20722.29348"/>
    <n v="6628.81"/>
    <x v="580"/>
    <x v="0"/>
  </r>
  <r>
    <x v="580"/>
    <d v="2023-06-03T00:00:00"/>
    <d v="2023-07-01T00:00:00"/>
    <n v="28"/>
    <x v="23"/>
    <s v="Small Business"/>
    <s v="Marketplace"/>
    <x v="8"/>
    <s v="Components"/>
    <n v="860.4"/>
    <s v="High"/>
    <n v="2066.6"/>
    <n v="0.01"/>
    <n v="3"/>
    <n v="10661.9733"/>
    <n v="2581.1999999999998"/>
    <x v="581"/>
    <x v="0"/>
  </r>
  <r>
    <x v="581"/>
    <d v="2023-01-29T00:00:00"/>
    <d v="2023-02-06T00:00:00"/>
    <n v="8"/>
    <x v="5"/>
    <s v="Corporate"/>
    <s v="Marketplace"/>
    <x v="14"/>
    <s v="Monitors"/>
    <n v="41.84"/>
    <s v="Medium"/>
    <n v="86.2"/>
    <n v="0.22600000000000001"/>
    <n v="27"/>
    <n v="4879.8919799999994"/>
    <n v="1129.68"/>
    <x v="582"/>
    <x v="0"/>
  </r>
  <r>
    <x v="582"/>
    <d v="2024-09-06T00:00:00"/>
    <d v="2024-09-04T00:00:00"/>
    <n v="2"/>
    <x v="29"/>
    <s v="Corporate"/>
    <s v="Direct"/>
    <x v="8"/>
    <s v="Laptops"/>
    <n v="1368.17"/>
    <s v="High"/>
    <n v="2307.75"/>
    <n v="0.16300000000000001"/>
    <n v="21"/>
    <n v="2183.9422500000001"/>
    <n v="28731.57"/>
    <x v="583"/>
    <x v="0"/>
  </r>
  <r>
    <x v="583"/>
    <d v="2024-08-03T00:00:00"/>
    <d v="2024-08-09T00:00:00"/>
    <n v="6"/>
    <x v="21"/>
    <s v="Consumer"/>
    <s v="Marketplace"/>
    <x v="10"/>
    <s v="Laptops"/>
    <n v="643.21"/>
    <s v="High"/>
    <n v="1112.81"/>
    <n v="0.14099999999999999"/>
    <n v="4"/>
    <n v="4918.1873199999991"/>
    <n v="2572.84"/>
    <x v="584"/>
    <x v="0"/>
  </r>
  <r>
    <x v="584"/>
    <d v="2025-04-17T00:00:00"/>
    <d v="2025-04-17T00:00:00"/>
    <n v="0"/>
    <x v="19"/>
    <s v="Corporate"/>
    <s v="Distributor"/>
    <x v="4"/>
    <s v="Phones"/>
    <n v="719.41"/>
    <s v="High"/>
    <n v="1125.99"/>
    <n v="4.1000000000000002E-2"/>
    <n v="21"/>
    <n v="32132.177279999996"/>
    <n v="15107.609999999999"/>
    <x v="585"/>
    <x v="0"/>
  </r>
  <r>
    <x v="585"/>
    <d v="2023-05-03T00:00:00"/>
    <d v="2023-05-16T00:00:00"/>
    <n v="13"/>
    <x v="15"/>
    <s v="Corporate"/>
    <s v="Marketplace"/>
    <x v="4"/>
    <s v="Phones"/>
    <n v="64.5"/>
    <s v="Medium"/>
    <n v="123.62"/>
    <n v="0"/>
    <n v="3"/>
    <n v="3085.38"/>
    <n v="193.5"/>
    <x v="586"/>
    <x v="0"/>
  </r>
  <r>
    <x v="586"/>
    <d v="2024-03-13T00:00:00"/>
    <d v="2024-04-06T00:00:00"/>
    <n v="24"/>
    <x v="0"/>
    <s v="Consumer"/>
    <s v="Distributor"/>
    <x v="4"/>
    <s v="Components"/>
    <n v="1232.78"/>
    <s v="High"/>
    <n v="1731.75"/>
    <n v="9.2999999999999999E-2"/>
    <n v="16"/>
    <n v="46878.839200000002"/>
    <n v="19724.48"/>
    <x v="587"/>
    <x v="0"/>
  </r>
  <r>
    <x v="587"/>
    <d v="2024-06-16T00:00:00"/>
    <d v="2024-06-21T00:00:00"/>
    <n v="5"/>
    <x v="17"/>
    <s v="Small Business"/>
    <s v="Distributor"/>
    <x v="9"/>
    <s v="Phones"/>
    <n v="1367.13"/>
    <s v="High"/>
    <n v="3062.01"/>
    <n v="0.10299999999999999"/>
    <n v="25"/>
    <n v="62557.004249999998"/>
    <n v="34178.25"/>
    <x v="588"/>
    <x v="0"/>
  </r>
  <r>
    <x v="588"/>
    <d v="2025-02-15T00:00:00"/>
    <d v="2025-02-27T00:00:00"/>
    <n v="12"/>
    <x v="26"/>
    <s v="Non-Profit"/>
    <s v="Direct"/>
    <x v="11"/>
    <s v="Accessories"/>
    <n v="1027.26"/>
    <s v="High"/>
    <n v="2200.41"/>
    <n v="8.7999999999999995E-2"/>
    <n v="6"/>
    <n v="10384.433280000001"/>
    <n v="6163.5599999999995"/>
    <x v="589"/>
    <x v="0"/>
  </r>
  <r>
    <x v="589"/>
    <d v="2023-04-03T00:00:00"/>
    <d v="2023-04-16T00:00:00"/>
    <n v="13"/>
    <x v="12"/>
    <s v="Non-Profit"/>
    <s v="Marketplace"/>
    <x v="12"/>
    <s v="Accessories"/>
    <n v="790.54"/>
    <s v="High"/>
    <n v="601.49"/>
    <n v="0"/>
    <n v="15"/>
    <n v="13537.050000000001"/>
    <n v="11858.099999999999"/>
    <x v="590"/>
    <x v="0"/>
  </r>
  <r>
    <x v="590"/>
    <d v="2025-08-30T00:00:00"/>
    <d v="2025-09-22T00:00:00"/>
    <n v="23"/>
    <x v="28"/>
    <s v="Corporate"/>
    <s v="Direct"/>
    <x v="6"/>
    <s v="Components"/>
    <n v="663.9"/>
    <s v="High"/>
    <n v="947.77"/>
    <n v="0.17399999999999999"/>
    <n v="15"/>
    <n v="-417.04740000000004"/>
    <n v="9958.5"/>
    <x v="591"/>
    <x v="0"/>
  </r>
  <r>
    <x v="591"/>
    <d v="2023-02-27T00:00:00"/>
    <d v="2023-02-26T00:00:00"/>
    <n v="1"/>
    <x v="2"/>
    <s v="Non-Profit"/>
    <s v="Online"/>
    <x v="4"/>
    <s v="Networking"/>
    <n v="1015.91"/>
    <s v="High"/>
    <n v="2331.48"/>
    <n v="0.14599999999999999"/>
    <n v="26"/>
    <n v="24128.64272"/>
    <n v="26413.66"/>
    <x v="592"/>
    <x v="0"/>
  </r>
  <r>
    <x v="592"/>
    <d v="2024-07-31T00:00:00"/>
    <d v="2024-08-15T00:00:00"/>
    <n v="15"/>
    <x v="14"/>
    <s v="Corporate"/>
    <s v="Marketplace"/>
    <x v="9"/>
    <s v="Monitors"/>
    <n v="1252.52"/>
    <s v="High"/>
    <n v="1417.24"/>
    <n v="0.192"/>
    <n v="5"/>
    <n v="4083.4300000000003"/>
    <n v="6262.6"/>
    <x v="593"/>
    <x v="0"/>
  </r>
  <r>
    <x v="593"/>
    <d v="2025-06-15T00:00:00"/>
    <d v="2025-07-12T00:00:00"/>
    <n v="27"/>
    <x v="16"/>
    <s v="Consumer"/>
    <s v="Direct"/>
    <x v="0"/>
    <s v="Accessories"/>
    <n v="318.83"/>
    <s v="High"/>
    <n v="699.5"/>
    <n v="0.08"/>
    <n v="13"/>
    <n v="4921.3008"/>
    <n v="4144.79"/>
    <x v="594"/>
    <x v="0"/>
  </r>
  <r>
    <x v="594"/>
    <d v="2024-06-30T00:00:00"/>
    <d v="2024-07-21T00:00:00"/>
    <n v="21"/>
    <x v="17"/>
    <s v="Small Business"/>
    <s v="Retail"/>
    <x v="11"/>
    <s v="Laptops"/>
    <n v="753.43"/>
    <s v="High"/>
    <n v="1787.2"/>
    <n v="7.2999999999999995E-2"/>
    <n v="9"/>
    <n v="3448.4956200000001"/>
    <n v="6780.87"/>
    <x v="595"/>
    <x v="0"/>
  </r>
  <r>
    <x v="595"/>
    <d v="2025-02-17T00:00:00"/>
    <d v="2025-02-15T00:00:00"/>
    <n v="2"/>
    <x v="26"/>
    <s v="Small Business"/>
    <s v="Retail"/>
    <x v="14"/>
    <s v="Components"/>
    <n v="1133.47"/>
    <s v="High"/>
    <n v="1698.75"/>
    <n v="4.2999999999999997E-2"/>
    <n v="5"/>
    <n v="7459.2886500000004"/>
    <n v="5667.35"/>
    <x v="596"/>
    <x v="0"/>
  </r>
  <r>
    <x v="596"/>
    <d v="2023-01-07T00:00:00"/>
    <d v="2023-01-30T00:00:00"/>
    <n v="23"/>
    <x v="5"/>
    <s v="Consumer"/>
    <s v="Online"/>
    <x v="8"/>
    <s v="Printers"/>
    <n v="299.02"/>
    <s v="High"/>
    <n v="724.7"/>
    <n v="0.14000000000000001"/>
    <n v="5"/>
    <n v="3702.9880000000003"/>
    <n v="1495.1"/>
    <x v="597"/>
    <x v="0"/>
  </r>
  <r>
    <x v="597"/>
    <d v="2025-03-10T00:00:00"/>
    <d v="2025-04-04T00:00:00"/>
    <n v="25"/>
    <x v="3"/>
    <s v="Corporate"/>
    <s v="Direct"/>
    <x v="10"/>
    <s v="Printers"/>
    <n v="783.72"/>
    <s v="High"/>
    <n v="1355.94"/>
    <n v="0.187"/>
    <n v="4"/>
    <n v="7467.4049999999997"/>
    <n v="3134.88"/>
    <x v="598"/>
    <x v="0"/>
  </r>
  <r>
    <x v="598"/>
    <d v="2024-08-17T00:00:00"/>
    <d v="2024-08-15T00:00:00"/>
    <n v="2"/>
    <x v="21"/>
    <s v="Consumer"/>
    <s v="Direct"/>
    <x v="12"/>
    <s v="Monitors"/>
    <n v="165.3"/>
    <s v="High"/>
    <n v="275.07"/>
    <n v="0.13300000000000001"/>
    <n v="25"/>
    <n v="57148.305"/>
    <n v="4132.5"/>
    <x v="599"/>
    <x v="0"/>
  </r>
  <r>
    <x v="599"/>
    <d v="2024-03-09T00:00:00"/>
    <d v="2024-03-22T00:00:00"/>
    <n v="13"/>
    <x v="0"/>
    <s v="Consumer"/>
    <s v="Online"/>
    <x v="6"/>
    <s v="Laptops"/>
    <n v="985.45"/>
    <s v="High"/>
    <n v="1802.44"/>
    <n v="8.9999999999999993E-3"/>
    <n v="19"/>
    <n v="18416.456609999997"/>
    <n v="18723.55"/>
    <x v="600"/>
    <x v="0"/>
  </r>
  <r>
    <x v="600"/>
    <d v="2024-08-19T00:00:00"/>
    <d v="2024-09-02T00:00:00"/>
    <n v="14"/>
    <x v="21"/>
    <s v="Consumer"/>
    <s v="Distributor"/>
    <x v="0"/>
    <s v="Printers"/>
    <n v="1337.01"/>
    <s v="High"/>
    <n v="1269.78"/>
    <n v="0.16"/>
    <n v="7"/>
    <n v="3208.8335999999999"/>
    <n v="9359.07"/>
    <x v="601"/>
    <x v="0"/>
  </r>
  <r>
    <x v="601"/>
    <d v="2025-08-11T00:00:00"/>
    <d v="2025-08-28T00:00:00"/>
    <n v="17"/>
    <x v="28"/>
    <s v="Education"/>
    <s v="Online"/>
    <x v="9"/>
    <s v="Networking"/>
    <n v="416.16"/>
    <s v="High"/>
    <n v="571.9"/>
    <n v="7.0999999999999994E-2"/>
    <n v="2"/>
    <n v="2667.2333200000003"/>
    <n v="832.32"/>
    <x v="602"/>
    <x v="0"/>
  </r>
  <r>
    <x v="602"/>
    <d v="2025-05-16T00:00:00"/>
    <d v="2025-05-18T00:00:00"/>
    <n v="2"/>
    <x v="8"/>
    <s v="Enterprise"/>
    <s v="Retail"/>
    <x v="1"/>
    <s v="Printers"/>
    <n v="1144.3800000000001"/>
    <s v="High"/>
    <n v="2755.04"/>
    <n v="0.15"/>
    <n v="17"/>
    <n v="34640.985000000001"/>
    <n v="19454.460000000003"/>
    <x v="603"/>
    <x v="0"/>
  </r>
  <r>
    <x v="603"/>
    <d v="2023-04-10T00:00:00"/>
    <d v="2023-04-25T00:00:00"/>
    <n v="15"/>
    <x v="12"/>
    <s v="Small Business"/>
    <s v="Retail"/>
    <x v="14"/>
    <s v="Printers"/>
    <n v="405.66"/>
    <s v="High"/>
    <n v="962.51"/>
    <n v="0.19"/>
    <n v="7"/>
    <n v="10511.386199999999"/>
    <n v="2839.6200000000003"/>
    <x v="604"/>
    <x v="0"/>
  </r>
  <r>
    <x v="604"/>
    <d v="2023-09-17T00:00:00"/>
    <d v="2023-10-02T00:00:00"/>
    <n v="15"/>
    <x v="27"/>
    <s v="Small Business"/>
    <s v="Retail"/>
    <x v="5"/>
    <s v="Laptops"/>
    <n v="689.33"/>
    <s v="High"/>
    <n v="668.27"/>
    <n v="0.186"/>
    <n v="13"/>
    <n v="486.56036000000006"/>
    <n v="8961.2900000000009"/>
    <x v="605"/>
    <x v="0"/>
  </r>
  <r>
    <x v="605"/>
    <d v="2023-04-22T00:00:00"/>
    <d v="2023-05-14T00:00:00"/>
    <n v="22"/>
    <x v="12"/>
    <s v="Enterprise"/>
    <s v="Retail"/>
    <x v="8"/>
    <s v="Accessories"/>
    <n v="1209.22"/>
    <s v="High"/>
    <n v="1404.33"/>
    <n v="0.10299999999999999"/>
    <n v="11"/>
    <n v="0"/>
    <n v="13301.42"/>
    <x v="606"/>
    <x v="0"/>
  </r>
  <r>
    <x v="606"/>
    <d v="2025-06-19T00:00:00"/>
    <d v="2025-06-21T00:00:00"/>
    <n v="2"/>
    <x v="16"/>
    <s v="Small Business"/>
    <s v="Not Provided"/>
    <x v="10"/>
    <s v="Phones"/>
    <n v="1466.27"/>
    <s v="High"/>
    <n v="3589.89"/>
    <n v="9.7000000000000003E-2"/>
    <n v="9"/>
    <n v="0"/>
    <n v="13196.43"/>
    <x v="607"/>
    <x v="0"/>
  </r>
  <r>
    <x v="607"/>
    <d v="2024-11-27T00:00:00"/>
    <d v="2024-12-24T00:00:00"/>
    <n v="27"/>
    <x v="18"/>
    <s v="Corporate"/>
    <s v="Distributor"/>
    <x v="5"/>
    <s v="Printers"/>
    <n v="143.33000000000001"/>
    <s v="High"/>
    <n v="233.51"/>
    <n v="0.16300000000000001"/>
    <n v="14"/>
    <n v="0"/>
    <n v="2006.6200000000001"/>
    <x v="608"/>
    <x v="0"/>
  </r>
  <r>
    <x v="608"/>
    <d v="2024-01-28T00:00:00"/>
    <d v="2024-01-27T00:00:00"/>
    <n v="1"/>
    <x v="9"/>
    <s v="Enterprise"/>
    <s v="Direct"/>
    <x v="7"/>
    <s v="Components"/>
    <n v="109.75"/>
    <s v="Medium"/>
    <n v="124.25"/>
    <n v="0.12"/>
    <n v="19"/>
    <n v="0"/>
    <n v="2085.25"/>
    <x v="609"/>
    <x v="0"/>
  </r>
  <r>
    <x v="609"/>
    <d v="2023-04-16T00:00:00"/>
    <d v="2023-04-23T00:00:00"/>
    <n v="7"/>
    <x v="12"/>
    <s v="Corporate"/>
    <s v="Distributor"/>
    <x v="7"/>
    <s v="Printers"/>
    <n v="1099.1500000000001"/>
    <s v="High"/>
    <n v="1431.37"/>
    <n v="0.104"/>
    <n v="8"/>
    <n v="0"/>
    <n v="8793.2000000000007"/>
    <x v="610"/>
    <x v="0"/>
  </r>
  <r>
    <x v="610"/>
    <d v="2024-02-01T00:00:00"/>
    <d v="2024-02-01T00:00:00"/>
    <n v="0"/>
    <x v="31"/>
    <s v="Consumer"/>
    <s v="Distributor"/>
    <x v="10"/>
    <s v="Printers"/>
    <n v="714.43"/>
    <s v="High"/>
    <n v="1595.52"/>
    <n v="0.19400000000000001"/>
    <n v="14"/>
    <n v="0"/>
    <n v="10002.019999999999"/>
    <x v="611"/>
    <x v="0"/>
  </r>
  <r>
    <x v="611"/>
    <d v="2024-10-19T00:00:00"/>
    <d v="2024-11-06T00:00:00"/>
    <n v="18"/>
    <x v="1"/>
    <s v="Education"/>
    <s v="Not Provided"/>
    <x v="0"/>
    <s v="Monitors"/>
    <n v="942.02"/>
    <s v="High"/>
    <n v="1028.46"/>
    <n v="0"/>
    <n v="9"/>
    <n v="0"/>
    <n v="8478.18"/>
    <x v="612"/>
    <x v="0"/>
  </r>
  <r>
    <x v="612"/>
    <d v="2024-06-25T00:00:00"/>
    <d v="2024-06-30T00:00:00"/>
    <n v="5"/>
    <x v="17"/>
    <s v="Education"/>
    <s v="Direct"/>
    <x v="12"/>
    <s v="Networking"/>
    <n v="1323.55"/>
    <s v="High"/>
    <n v="3230.35"/>
    <n v="2.1999999999999999E-2"/>
    <n v="26"/>
    <n v="0"/>
    <n v="34412.299999999996"/>
    <x v="613"/>
    <x v="0"/>
  </r>
  <r>
    <x v="613"/>
    <d v="2023-07-30T00:00:00"/>
    <d v="2023-08-19T00:00:00"/>
    <n v="20"/>
    <x v="24"/>
    <s v="Enterprise"/>
    <s v="Marketplace"/>
    <x v="3"/>
    <s v="Networking"/>
    <n v="1418.51"/>
    <s v="High"/>
    <n v="2789.61"/>
    <n v="0.17100000000000001"/>
    <n v="8"/>
    <n v="0"/>
    <n v="11348.08"/>
    <x v="614"/>
    <x v="0"/>
  </r>
  <r>
    <x v="614"/>
    <d v="2025-03-11T00:00:00"/>
    <d v="2025-03-27T00:00:00"/>
    <n v="16"/>
    <x v="3"/>
    <s v="Enterprise"/>
    <s v="Distributor"/>
    <x v="5"/>
    <s v="Printers"/>
    <n v="1317.58"/>
    <s v="High"/>
    <n v="1897.74"/>
    <n v="8.1000000000000003E-2"/>
    <n v="6"/>
    <n v="0"/>
    <n v="7905.48"/>
    <x v="615"/>
    <x v="0"/>
  </r>
  <r>
    <x v="615"/>
    <d v="2023-10-09T00:00:00"/>
    <d v="2023-10-11T00:00:00"/>
    <n v="2"/>
    <x v="32"/>
    <s v="Education"/>
    <s v="Marketplace"/>
    <x v="11"/>
    <s v="Networking"/>
    <n v="391.16"/>
    <s v="High"/>
    <n v="902.47"/>
    <n v="4.0000000000000001E-3"/>
    <n v="12"/>
    <n v="0"/>
    <n v="4693.92"/>
    <x v="616"/>
    <x v="0"/>
  </r>
  <r>
    <x v="616"/>
    <d v="2024-12-17T00:00:00"/>
    <d v="2025-01-16T00:00:00"/>
    <n v="30"/>
    <x v="6"/>
    <s v="Corporate"/>
    <s v="Retail"/>
    <x v="14"/>
    <s v="Monitors"/>
    <n v="722.87"/>
    <s v="Low"/>
    <n v="-33.659999999999997"/>
    <n v="0.10199999999999999"/>
    <n v="28"/>
    <n v="0"/>
    <n v="20240.36"/>
    <x v="617"/>
    <x v="0"/>
  </r>
  <r>
    <x v="617"/>
    <d v="2025-07-11T00:00:00"/>
    <d v="2025-07-16T00:00:00"/>
    <n v="5"/>
    <x v="13"/>
    <s v="Enterprise"/>
    <s v="Online"/>
    <x v="11"/>
    <s v="Printers"/>
    <n v="930.03"/>
    <s v="High"/>
    <n v="1086.68"/>
    <n v="0.109"/>
    <n v="26"/>
    <n v="0"/>
    <n v="24180.78"/>
    <x v="618"/>
    <x v="0"/>
  </r>
  <r>
    <x v="618"/>
    <d v="2024-10-13T00:00:00"/>
    <d v="2024-10-24T00:00:00"/>
    <n v="11"/>
    <x v="1"/>
    <s v="Education"/>
    <s v="Distributor"/>
    <x v="9"/>
    <s v="Components"/>
    <n v="816.7"/>
    <s v="High"/>
    <n v="1010.75"/>
    <n v="4.7E-2"/>
    <n v="43"/>
    <n v="0"/>
    <n v="35118.1"/>
    <x v="619"/>
    <x v="0"/>
  </r>
  <r>
    <x v="619"/>
    <d v="2023-09-08T00:00:00"/>
    <d v="2023-09-14T00:00:00"/>
    <n v="6"/>
    <x v="27"/>
    <s v="Education"/>
    <s v="Direct"/>
    <x v="2"/>
    <s v="Accessories"/>
    <n v="251.03"/>
    <s v="High"/>
    <n v="411.48"/>
    <n v="0.16500000000000001"/>
    <n v="3"/>
    <n v="0"/>
    <n v="753.09"/>
    <x v="620"/>
    <x v="0"/>
  </r>
  <r>
    <x v="620"/>
    <d v="2025-04-17T00:00:00"/>
    <d v="2025-05-03T00:00:00"/>
    <n v="16"/>
    <x v="19"/>
    <s v="Consumer"/>
    <s v="Marketplace"/>
    <x v="1"/>
    <s v="Networking"/>
    <n v="168.68"/>
    <s v="High"/>
    <n v="413.34"/>
    <n v="0.186"/>
    <n v="7"/>
    <n v="0"/>
    <n v="1180.76"/>
    <x v="621"/>
    <x v="0"/>
  </r>
  <r>
    <x v="621"/>
    <d v="2024-07-28T00:00:00"/>
    <d v="2024-08-23T00:00:00"/>
    <n v="26"/>
    <x v="14"/>
    <s v="Corporate"/>
    <s v="Retail"/>
    <x v="1"/>
    <s v="Networking"/>
    <n v="1339.24"/>
    <s v="High"/>
    <n v="1558.89"/>
    <n v="0.192"/>
    <n v="24"/>
    <n v="0"/>
    <n v="32141.760000000002"/>
    <x v="622"/>
    <x v="0"/>
  </r>
  <r>
    <x v="622"/>
    <d v="2025-07-19T00:00:00"/>
    <d v="2025-07-31T00:00:00"/>
    <n v="12"/>
    <x v="13"/>
    <s v="Small Business"/>
    <s v="Marketplace"/>
    <x v="7"/>
    <s v="Accessories"/>
    <n v="619.64"/>
    <s v="High"/>
    <n v="861.16"/>
    <n v="0.113"/>
    <n v="14"/>
    <n v="0"/>
    <n v="8674.9599999999991"/>
    <x v="623"/>
    <x v="0"/>
  </r>
  <r>
    <x v="623"/>
    <d v="2023-08-03T00:00:00"/>
    <d v="2023-08-02T00:00:00"/>
    <n v="1"/>
    <x v="25"/>
    <s v="Non-Profit"/>
    <s v="Direct"/>
    <x v="1"/>
    <s v="Networking"/>
    <n v="1021.97"/>
    <s v="High"/>
    <n v="2296.25"/>
    <n v="0.161"/>
    <n v="26"/>
    <n v="0"/>
    <n v="26571.22"/>
    <x v="624"/>
    <x v="0"/>
  </r>
  <r>
    <x v="624"/>
    <d v="2023-11-19T00:00:00"/>
    <d v="2023-12-12T00:00:00"/>
    <n v="23"/>
    <x v="30"/>
    <s v="Small Business"/>
    <s v="Direct"/>
    <x v="0"/>
    <s v="Networking"/>
    <n v="1349.04"/>
    <s v="High"/>
    <n v="2636.6"/>
    <n v="0.114"/>
    <n v="14"/>
    <n v="0"/>
    <n v="18886.559999999998"/>
    <x v="625"/>
    <x v="0"/>
  </r>
  <r>
    <x v="625"/>
    <d v="2023-12-22T00:00:00"/>
    <d v="2024-01-16T00:00:00"/>
    <n v="25"/>
    <x v="4"/>
    <s v="Small Business"/>
    <s v="Retail"/>
    <x v="8"/>
    <s v="Components"/>
    <n v="1346.81"/>
    <s v="High"/>
    <n v="978.09"/>
    <n v="0.159"/>
    <n v="17"/>
    <n v="0"/>
    <n v="22895.77"/>
    <x v="626"/>
    <x v="0"/>
  </r>
  <r>
    <x v="626"/>
    <d v="2023-08-03T00:00:00"/>
    <d v="2023-08-30T00:00:00"/>
    <n v="27"/>
    <x v="25"/>
    <s v="Consumer"/>
    <s v="Distributor"/>
    <x v="13"/>
    <s v="Monitors"/>
    <n v="226.04"/>
    <s v="High"/>
    <n v="545.72"/>
    <n v="0.151"/>
    <n v="11"/>
    <n v="0"/>
    <n v="2486.44"/>
    <x v="627"/>
    <x v="0"/>
  </r>
  <r>
    <x v="627"/>
    <d v="2023-06-23T00:00:00"/>
    <d v="2023-07-18T00:00:00"/>
    <n v="25"/>
    <x v="23"/>
    <s v="Enterprise"/>
    <s v="Online"/>
    <x v="13"/>
    <s v="Phones"/>
    <n v="807.02"/>
    <s v="High"/>
    <n v="1435.54"/>
    <n v="0"/>
    <n v="23"/>
    <n v="0"/>
    <n v="18561.46"/>
    <x v="628"/>
    <x v="0"/>
  </r>
  <r>
    <x v="628"/>
    <d v="2023-12-07T00:00:00"/>
    <d v="2024-01-02T00:00:00"/>
    <n v="26"/>
    <x v="4"/>
    <s v="Enterprise"/>
    <s v="Distributor"/>
    <x v="6"/>
    <s v="Components"/>
    <n v="1071.99"/>
    <s v="High"/>
    <n v="2397.3000000000002"/>
    <n v="6.2E-2"/>
    <n v="18"/>
    <n v="0"/>
    <n v="19295.82"/>
    <x v="629"/>
    <x v="0"/>
  </r>
  <r>
    <x v="629"/>
    <d v="2023-11-19T00:00:00"/>
    <d v="2023-12-19T00:00:00"/>
    <n v="0"/>
    <x v="30"/>
    <s v="Consumer"/>
    <s v="Retail"/>
    <x v="15"/>
    <s v="Phones"/>
    <n v="807.11"/>
    <s v="High"/>
    <n v="1853.86"/>
    <n v="0.13900000000000001"/>
    <n v="8"/>
    <n v="0"/>
    <n v="6456.88"/>
    <x v="630"/>
    <x v="0"/>
  </r>
  <r>
    <x v="630"/>
    <d v="2025-02-28T00:00:00"/>
    <d v="2025-03-10T00:00:00"/>
    <n v="10"/>
    <x v="26"/>
    <s v="Education"/>
    <s v="Distributor"/>
    <x v="13"/>
    <s v="Laptops"/>
    <n v="51.86"/>
    <s v="Low"/>
    <n v="45.98"/>
    <n v="0.17299999999999999"/>
    <n v="7"/>
    <n v="0"/>
    <n v="363.02"/>
    <x v="631"/>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3">
  <r>
    <x v="0"/>
    <d v="2024-03-11T00:00:00"/>
    <d v="2024-04-06T00:00:00"/>
    <x v="0"/>
    <s v="Mar-2024"/>
    <s v="Q1-2024"/>
    <s v="Africa"/>
    <x v="0"/>
    <s v="Kisumu"/>
    <s v="Corporate"/>
    <s v="Retail"/>
    <s v="C. Otieno"/>
    <x v="0"/>
    <s v="CMP-8270"/>
    <n v="279.24"/>
    <s v="High"/>
    <n v="608.9"/>
    <n v="0.112"/>
    <n v="9"/>
    <n v="1403.9546399999999"/>
    <n v="2513.16"/>
    <n v="-1109.2053599999999"/>
    <n v="-0.79005783263766982"/>
  </r>
  <r>
    <x v="1"/>
    <d v="2024-10-23T00:00:00"/>
    <d v="2024-10-22T00:00:00"/>
    <x v="1"/>
    <s v="Oct-2024"/>
    <s v="Q4-2024"/>
    <s v="Africa"/>
    <x v="1"/>
    <s v="Port Harcourt"/>
    <s v="Education"/>
    <s v="Online"/>
    <s v="J. Njeri"/>
    <x v="1"/>
    <s v="PRN-9322"/>
    <n v="1084.3900000000001"/>
    <s v="High"/>
    <n v="759.33"/>
    <n v="0.23699999999999999"/>
    <n v="31"/>
    <n v="17934.41419"/>
    <n v="33616.090000000004"/>
    <n v="-15681.675810000004"/>
    <n v="-0.87439018882166253"/>
  </r>
  <r>
    <x v="2"/>
    <d v="2023-02-28T00:00:00"/>
    <d v="2023-03-25T00:00:00"/>
    <x v="2"/>
    <s v="Feb-2023"/>
    <s v="Q1-2023"/>
    <s v="Africa"/>
    <x v="0"/>
    <s v="Nairobi"/>
    <s v="Corporate"/>
    <s v="Retail"/>
    <s v="I. Johnson"/>
    <x v="2"/>
    <s v="NET-9666"/>
    <n v="1460.76"/>
    <s v="Low"/>
    <n v="-30.66"/>
    <n v="0.13100000000000001"/>
    <n v="12"/>
    <n v="4534.0944"/>
    <n v="17529.12"/>
    <n v="-12995.025599999999"/>
    <n v="-2.8660686023652264"/>
  </r>
  <r>
    <x v="3"/>
    <d v="2025-03-29T00:00:00"/>
    <d v="2025-04-02T00:00:00"/>
    <x v="3"/>
    <s v="Mar-2025"/>
    <s v="Q1-2025"/>
    <s v="Africa"/>
    <x v="1"/>
    <s v="Lagos"/>
    <s v="Non-Profit"/>
    <s v="Marketplace"/>
    <s v="G. Dubois"/>
    <x v="3"/>
    <s v="PHN-4556"/>
    <n v="259.93"/>
    <s v="High"/>
    <n v="255.94"/>
    <n v="7.1999999999999995E-2"/>
    <n v="22"/>
    <n v="34016.730880000003"/>
    <n v="5718.46"/>
    <n v="28298.270880000004"/>
    <n v="0.83189272301994943"/>
  </r>
  <r>
    <x v="4"/>
    <d v="2023-12-06T00:00:00"/>
    <d v="2023-12-31T00:00:00"/>
    <x v="2"/>
    <s v="Dec-2023"/>
    <s v="Q4-2023"/>
    <s v="Asia"/>
    <x v="2"/>
    <s v="Osaka"/>
    <s v="Consumer"/>
    <s v="Retail"/>
    <s v="L. Okafor"/>
    <x v="1"/>
    <s v="PRN-8041"/>
    <n v="663.03"/>
    <s v="High"/>
    <n v="813.51"/>
    <n v="0.10199999999999999"/>
    <n v="15"/>
    <n v="8510.0765999999985"/>
    <n v="9945.4499999999989"/>
    <n v="-1435.3734000000004"/>
    <n v="-0.16866750647109341"/>
  </r>
  <r>
    <x v="5"/>
    <d v="2023-01-02T00:00:00"/>
    <d v="2023-01-05T00:00:00"/>
    <x v="4"/>
    <s v="Jan-2023"/>
    <s v="Q1-2023"/>
    <s v="Americas"/>
    <x v="3"/>
    <s v="Toronto"/>
    <s v="Corporate"/>
    <s v="Distributor"/>
    <s v="B. Chen"/>
    <x v="4"/>
    <s v="LAP-8555"/>
    <n v="315.87"/>
    <s v="High"/>
    <n v="591.67999999999995"/>
    <n v="0"/>
    <n v="7"/>
    <n v="12558.49"/>
    <n v="2211.09"/>
    <n v="10347.4"/>
    <n v="0.82393663569425946"/>
  </r>
  <r>
    <x v="6"/>
    <d v="2024-12-27T00:00:00"/>
    <d v="2025-01-14T00:00:00"/>
    <x v="5"/>
    <s v="Dec-2024"/>
    <s v="Q4-2024"/>
    <s v="Asia"/>
    <x v="4"/>
    <s v="Bengaluru"/>
    <s v="Small Business"/>
    <s v="Marketplace"/>
    <s v="E. Garcia"/>
    <x v="5"/>
    <s v="MON-8629"/>
    <n v="586.07000000000005"/>
    <s v="High"/>
    <n v="845.97"/>
    <n v="0.14699999999999999"/>
    <n v="4"/>
    <n v="8983.864239999999"/>
    <n v="2344.2800000000002"/>
    <n v="6639.5842399999983"/>
    <n v="0.73905660889639613"/>
  </r>
  <r>
    <x v="7"/>
    <d v="2023-01-15T00:00:00"/>
    <d v="2023-01-13T00:00:00"/>
    <x v="6"/>
    <s v="Jan-2023"/>
    <s v="Q1-2023"/>
    <s v="Africa"/>
    <x v="1"/>
    <s v="Abuja"/>
    <s v="Education"/>
    <s v="Online"/>
    <s v="O. Wang"/>
    <x v="1"/>
    <s v="PRN-6276"/>
    <n v="28.38"/>
    <s v="Low"/>
    <n v="47.22"/>
    <n v="0.19400000000000001"/>
    <n v="18"/>
    <n v="19177.399799999999"/>
    <n v="510.84"/>
    <n v="18666.559799999999"/>
    <n v="0.97336239504168864"/>
  </r>
  <r>
    <x v="8"/>
    <d v="2024-05-04T00:00:00"/>
    <d v="2024-05-29T00:00:00"/>
    <x v="2"/>
    <s v="May-2024"/>
    <s v="Q2-2024"/>
    <s v="Africa"/>
    <x v="1"/>
    <s v="Abuja"/>
    <s v="Non-Profit"/>
    <s v="Marketplace"/>
    <s v="O. Wang"/>
    <x v="5"/>
    <s v="MON-6892"/>
    <n v="1295.3399999999999"/>
    <s v="High"/>
    <n v="2530.81"/>
    <n v="3.1E-2"/>
    <n v="6"/>
    <n v="17656.36218"/>
    <n v="7772.0399999999991"/>
    <n v="9884.322180000001"/>
    <n v="0.55981646044825306"/>
  </r>
  <r>
    <x v="9"/>
    <d v="2025-05-21T00:00:00"/>
    <d v="2025-06-09T00:00:00"/>
    <x v="7"/>
    <s v="May-2025"/>
    <s v="Q2-2025"/>
    <s v="Americas"/>
    <x v="5"/>
    <s v="São Paulo"/>
    <s v="Non-Profit"/>
    <s v="Online"/>
    <s v="A. Patel"/>
    <x v="0"/>
    <s v="CMP-3731"/>
    <n v="1331.38"/>
    <s v="High"/>
    <n v="2309.56"/>
    <n v="0.14899999999999999"/>
    <n v="31"/>
    <n v="5259.5799699999998"/>
    <n v="41272.780000000006"/>
    <n v="-36013.200030000007"/>
    <n v="-6.8471627459635354"/>
  </r>
  <r>
    <x v="10"/>
    <d v="2024-01-28T00:00:00"/>
    <d v="2024-02-09T00:00:00"/>
    <x v="8"/>
    <s v="Jan-2024"/>
    <s v="Q1-2024"/>
    <s v="Europe"/>
    <x v="6"/>
    <s v="Berlin"/>
    <s v="Corporate"/>
    <s v="Online"/>
    <s v="G. Dubois"/>
    <x v="6"/>
    <s v="ACC-7938"/>
    <n v="644.16999999999996"/>
    <s v="High"/>
    <n v="700.12"/>
    <n v="6.0000000000000001E-3"/>
    <n v="23"/>
    <n v="21204.733619999999"/>
    <n v="14815.91"/>
    <n v="6388.8236199999992"/>
    <n v="0.30129233097152197"/>
  </r>
  <r>
    <x v="11"/>
    <d v="2025-01-03T00:00:00"/>
    <d v="2025-01-23T00:00:00"/>
    <x v="9"/>
    <s v="Jan-2025"/>
    <s v="Q1-2025"/>
    <s v="Asia"/>
    <x v="2"/>
    <s v="Osaka"/>
    <s v="Corporate"/>
    <s v="Distributor"/>
    <s v="F. Müller"/>
    <x v="3"/>
    <s v="PHN-7019"/>
    <n v="908.6"/>
    <s v="High"/>
    <n v="691.37"/>
    <n v="0.25"/>
    <n v="20"/>
    <n v="26031.15"/>
    <n v="18172"/>
    <n v="7859.1500000000015"/>
    <n v="0.30191328466087747"/>
  </r>
  <r>
    <x v="12"/>
    <d v="2025-03-06T00:00:00"/>
    <d v="2025-03-31T00:00:00"/>
    <x v="2"/>
    <s v="Mar-2025"/>
    <s v="Q1-2025"/>
    <s v="Americas"/>
    <x v="5"/>
    <s v="Brasília"/>
    <s v="Non-Profit"/>
    <s v="Online"/>
    <s v="J. Njeri"/>
    <x v="0"/>
    <s v="CMP-3693"/>
    <n v="331.57"/>
    <s v="High"/>
    <n v="548.4"/>
    <n v="9.4E-2"/>
    <n v="10"/>
    <n v="12644.498400000002"/>
    <n v="3315.7"/>
    <n v="9328.7984000000033"/>
    <n v="0.73777528415045723"/>
  </r>
  <r>
    <x v="13"/>
    <d v="2024-01-20T00:00:00"/>
    <d v="2024-02-13T00:00:00"/>
    <x v="10"/>
    <s v="Jan-2024"/>
    <s v="Q1-2024"/>
    <s v="Europe"/>
    <x v="7"/>
    <s v="Marseille"/>
    <s v="Corporate"/>
    <s v="Retail"/>
    <s v="H. Kim"/>
    <x v="1"/>
    <s v="PRN-8392"/>
    <n v="643.53"/>
    <s v="High"/>
    <n v="1439.01"/>
    <n v="0"/>
    <n v="15"/>
    <n v="6816.3"/>
    <n v="9652.9499999999989"/>
    <n v="-2836.6499999999987"/>
    <n v="-0.4161568592931647"/>
  </r>
  <r>
    <x v="14"/>
    <d v="2025-09-01T00:00:00"/>
    <d v="2025-09-30T00:00:00"/>
    <x v="11"/>
    <s v="Sept-2025"/>
    <s v="Q3-2025"/>
    <s v="Americas"/>
    <x v="5"/>
    <s v="Brasília"/>
    <s v="Education"/>
    <s v="Retail"/>
    <s v="K. Singh"/>
    <x v="6"/>
    <s v="ACC-1663"/>
    <n v="780.59"/>
    <s v="High"/>
    <n v="631.57000000000005"/>
    <n v="0"/>
    <n v="12"/>
    <n v="18971.64"/>
    <n v="9367.08"/>
    <n v="9604.56"/>
    <n v="0.50625881579030596"/>
  </r>
  <r>
    <x v="15"/>
    <d v="2023-04-23T00:00:00"/>
    <d v="2023-04-22T00:00:00"/>
    <x v="1"/>
    <s v="Apr-2023"/>
    <s v="Q2-2023"/>
    <s v="Africa"/>
    <x v="0"/>
    <s v="Nairobi"/>
    <s v="Small Business"/>
    <s v="Direct"/>
    <s v="E. Garcia"/>
    <x v="4"/>
    <s v="LAP-1698"/>
    <n v="756.51"/>
    <s v="High"/>
    <n v="850.8"/>
    <n v="7.3999999999999996E-2"/>
    <n v="9"/>
    <n v="14666.089860000002"/>
    <n v="6808.59"/>
    <n v="7857.4998600000017"/>
    <n v="0.53575969702943038"/>
  </r>
  <r>
    <x v="16"/>
    <d v="2024-12-10T00:00:00"/>
    <d v="2025-01-08T00:00:00"/>
    <x v="11"/>
    <s v="Dec-2024"/>
    <s v="Q4-2024"/>
    <s v="Europe"/>
    <x v="7"/>
    <s v="Marseille"/>
    <s v="Small Business"/>
    <s v="Retail"/>
    <s v="K. Singh"/>
    <x v="1"/>
    <s v="PRN-6791"/>
    <n v="891.08"/>
    <s v="High"/>
    <n v="1040.0999999999999"/>
    <n v="0.109"/>
    <n v="28"/>
    <n v="79945.865999999995"/>
    <n v="24950.240000000002"/>
    <n v="54995.625999999989"/>
    <n v="0.68791081705212864"/>
  </r>
  <r>
    <x v="17"/>
    <d v="2025-09-08T00:00:00"/>
    <d v="2025-09-16T00:00:00"/>
    <x v="12"/>
    <s v="Sept-2025"/>
    <s v="Q3-2025"/>
    <s v="Asia"/>
    <x v="2"/>
    <s v="Osaka"/>
    <s v="Corporate"/>
    <s v="Distributor"/>
    <s v="C. Otieno"/>
    <x v="3"/>
    <s v="PHN-1197"/>
    <n v="1225.57"/>
    <s v="High"/>
    <n v="2705.57"/>
    <n v="0.183"/>
    <n v="16"/>
    <n v="14842.34096"/>
    <n v="19609.12"/>
    <n v="-4766.7790399999994"/>
    <n v="-0.32116086356232038"/>
  </r>
  <r>
    <x v="18"/>
    <d v="2025-07-20T00:00:00"/>
    <d v="2025-08-05T00:00:00"/>
    <x v="13"/>
    <s v="Jul-2025"/>
    <s v="Q3-2025"/>
    <s v="Americas"/>
    <x v="5"/>
    <s v="Brasília"/>
    <s v="Enterprise"/>
    <s v="Marketplace"/>
    <s v="G. Dubois"/>
    <x v="6"/>
    <s v="ACC-8098"/>
    <n v="1068.17"/>
    <s v="High"/>
    <n v="2375.37"/>
    <n v="0.109"/>
    <n v="18"/>
    <n v="15979.62168"/>
    <n v="19227.060000000001"/>
    <n v="-3247.4383200000011"/>
    <n v="-0.20322372988745258"/>
  </r>
  <r>
    <x v="19"/>
    <d v="2025-05-21T00:00:00"/>
    <d v="2025-05-19T00:00:00"/>
    <x v="6"/>
    <s v="May-2025"/>
    <s v="Q2-2025"/>
    <s v="Europe"/>
    <x v="8"/>
    <s v="Birmingham"/>
    <s v="Enterprise"/>
    <s v="Online"/>
    <s v="M. Rossi"/>
    <x v="4"/>
    <s v="LAP-3385"/>
    <n v="1015.16"/>
    <s v="High"/>
    <n v="2148.14"/>
    <n v="3.7999999999999999E-2"/>
    <n v="19"/>
    <n v="25535.279900000001"/>
    <n v="19288.04"/>
    <n v="6247.2399000000005"/>
    <n v="0.24465131866441769"/>
  </r>
  <r>
    <x v="20"/>
    <d v="2024-07-25T00:00:00"/>
    <d v="2024-07-24T00:00:00"/>
    <x v="1"/>
    <s v="Jul-2024"/>
    <s v="Q3-2024"/>
    <s v="Africa"/>
    <x v="0"/>
    <s v="Mombasa"/>
    <s v="Non-Profit"/>
    <s v="Direct"/>
    <s v="J. Njeri"/>
    <x v="4"/>
    <s v="LAP-9815"/>
    <n v="1494.4"/>
    <s v="High"/>
    <n v="3661.07"/>
    <n v="7.1999999999999995E-2"/>
    <n v="7"/>
    <n v="3565.5894400000002"/>
    <n v="10460.800000000001"/>
    <n v="-6895.2105600000014"/>
    <n v="-1.9338206700544864"/>
  </r>
  <r>
    <x v="21"/>
    <d v="2023-05-11T00:00:00"/>
    <d v="2023-05-28T00:00:00"/>
    <x v="14"/>
    <s v="May-2023"/>
    <s v="Q2-2023"/>
    <s v="Asia"/>
    <x v="9"/>
    <s v="Shenzhen"/>
    <s v="Enterprise"/>
    <s v="Marketplace"/>
    <s v="E. Garcia"/>
    <x v="2"/>
    <s v="NET-3255"/>
    <n v="1331.19"/>
    <s v="High"/>
    <n v="2903.09"/>
    <n v="0.14299999999999999"/>
    <n v="8"/>
    <n v="24160.543999999998"/>
    <n v="10649.52"/>
    <n v="13511.023999999998"/>
    <n v="0.55921853415221112"/>
  </r>
  <r>
    <x v="22"/>
    <d v="2025-06-14T00:00:00"/>
    <d v="2025-06-29T00:00:00"/>
    <x v="15"/>
    <s v="Jun-2025"/>
    <s v="Q2-2025"/>
    <s v="Africa"/>
    <x v="1"/>
    <s v="Port Harcourt"/>
    <s v="Consumer"/>
    <s v="Marketplace"/>
    <s v="M. Rossi"/>
    <x v="6"/>
    <s v="ACC-3961"/>
    <n v="730.99"/>
    <s v="High"/>
    <n v="1242.8399999999999"/>
    <n v="0.12"/>
    <n v="10"/>
    <n v="16065.367999999999"/>
    <n v="7309.9"/>
    <n v="8755.4679999999989"/>
    <n v="0.54499019256826231"/>
  </r>
  <r>
    <x v="23"/>
    <d v="2024-05-18T00:00:00"/>
    <d v="2024-05-23T00:00:00"/>
    <x v="16"/>
    <s v="May-2024"/>
    <s v="Q2-2024"/>
    <s v="Americas"/>
    <x v="10"/>
    <s v="Chicago"/>
    <s v="Enterprise"/>
    <s v="Retail"/>
    <s v="H. Kim"/>
    <x v="4"/>
    <s v="LAP-4987"/>
    <n v="1274.5899999999999"/>
    <s v="High"/>
    <n v="2553.69"/>
    <n v="0.01"/>
    <n v="8"/>
    <n v="14187.650399999999"/>
    <n v="10196.719999999999"/>
    <n v="3990.9303999999993"/>
    <n v="0.28129607704458237"/>
  </r>
  <r>
    <x v="24"/>
    <d v="2023-02-07T00:00:00"/>
    <d v="2023-02-12T00:00:00"/>
    <x v="16"/>
    <s v="Feb-2023"/>
    <s v="Q1-2023"/>
    <s v="Americas"/>
    <x v="5"/>
    <s v="São Paulo"/>
    <s v="Education"/>
    <s v="Online"/>
    <s v="N. Brown"/>
    <x v="0"/>
    <s v="CMP-2693"/>
    <n v="948.55"/>
    <s v="High"/>
    <n v="2089.16"/>
    <n v="7.0000000000000001E-3"/>
    <n v="12"/>
    <n v="31336.100999999999"/>
    <n v="11382.599999999999"/>
    <n v="19953.501"/>
    <n v="0.63675761703729516"/>
  </r>
  <r>
    <x v="25"/>
    <d v="2024-06-30T00:00:00"/>
    <d v="2024-07-14T00:00:00"/>
    <x v="17"/>
    <s v="Jun-2024"/>
    <s v="Q2-2024"/>
    <s v="Americas"/>
    <x v="5"/>
    <s v="Brasília"/>
    <s v="Education"/>
    <s v="Retail"/>
    <s v="C. Otieno"/>
    <x v="6"/>
    <s v="ACC-8683"/>
    <n v="1491.85"/>
    <s v="High"/>
    <n v="2583.02"/>
    <n v="0.16800000000000001"/>
    <n v="4"/>
    <n v="353.76639999999998"/>
    <n v="5967.4"/>
    <n v="-5613.6335999999992"/>
    <n v="-15.868193248426079"/>
  </r>
  <r>
    <x v="26"/>
    <d v="2024-11-30T00:00:00"/>
    <d v="2024-12-30T00:00:00"/>
    <x v="18"/>
    <s v="Nov-2024"/>
    <s v="Q4-2024"/>
    <s v="Europe"/>
    <x v="7"/>
    <s v="Marseille"/>
    <s v="Consumer"/>
    <s v="Marketplace"/>
    <s v="F. Müller"/>
    <x v="1"/>
    <s v="PRN-4170"/>
    <n v="117.64"/>
    <s v="Medium"/>
    <n v="175.67"/>
    <n v="0"/>
    <n v="10"/>
    <n v="3857.2000000000003"/>
    <n v="1176.4000000000001"/>
    <n v="2680.8"/>
    <n v="0.69501192574924819"/>
  </r>
  <r>
    <x v="27"/>
    <d v="2024-07-19T00:00:00"/>
    <d v="2024-07-19T00:00:00"/>
    <x v="18"/>
    <s v="Jul-2024"/>
    <s v="Q3-2024"/>
    <s v="Africa"/>
    <x v="0"/>
    <s v="Kisumu"/>
    <s v="Small Business"/>
    <s v="Retail"/>
    <s v="A. Patel"/>
    <x v="3"/>
    <s v="PHN-6854"/>
    <n v="857.24"/>
    <s v="High"/>
    <n v="758.23"/>
    <n v="0.125"/>
    <n v="6"/>
    <n v="1243.5675000000001"/>
    <n v="5143.4400000000005"/>
    <n v="-3899.8725000000004"/>
    <n v="-3.1360360414694015"/>
  </r>
  <r>
    <x v="28"/>
    <d v="2023-04-14T00:00:00"/>
    <d v="2023-05-14T00:00:00"/>
    <x v="18"/>
    <s v="Apr-2023"/>
    <s v="Q2-2023"/>
    <s v="Africa"/>
    <x v="0"/>
    <s v="Nakuru"/>
    <s v="Consumer"/>
    <s v="Marketplace"/>
    <s v="M. Rossi"/>
    <x v="3"/>
    <s v="PHN-1784"/>
    <n v="209.25"/>
    <s v="High"/>
    <n v="434.8"/>
    <n v="0"/>
    <n v="9"/>
    <n v="377.09999999999997"/>
    <n v="1883.25"/>
    <n v="-1506.15"/>
    <n v="-3.9940334128878288"/>
  </r>
  <r>
    <x v="29"/>
    <d v="2025-04-07T00:00:00"/>
    <d v="2025-04-11T00:00:00"/>
    <x v="3"/>
    <s v="Apr-2025"/>
    <s v="Q2-2025"/>
    <s v="Europe"/>
    <x v="7"/>
    <s v="Lyon"/>
    <s v="Education"/>
    <s v="Retail"/>
    <s v="E. Garcia"/>
    <x v="2"/>
    <s v="NET-9716"/>
    <n v="754.77"/>
    <s v="High"/>
    <n v="1666.18"/>
    <n v="0.13900000000000001"/>
    <n v="14"/>
    <n v="11781.338519999999"/>
    <n v="10566.779999999999"/>
    <n v="1214.5585200000005"/>
    <n v="0.10309172577786183"/>
  </r>
  <r>
    <x v="30"/>
    <d v="2024-12-27T00:00:00"/>
    <d v="2025-01-15T00:00:00"/>
    <x v="7"/>
    <s v="Dec-2024"/>
    <s v="Q4-2024"/>
    <s v="Asia"/>
    <x v="4"/>
    <s v="Delhi"/>
    <s v="Non-Profit"/>
    <s v="Distributor"/>
    <s v="G. Dubois"/>
    <x v="0"/>
    <s v="CMP-6919"/>
    <n v="495.59"/>
    <s v="High"/>
    <n v="631.78"/>
    <n v="8.6999999999999994E-2"/>
    <n v="17"/>
    <n v="43367.691729999999"/>
    <n v="8425.0299999999988"/>
    <n v="34942.66173"/>
    <n v="0.8057302645376464"/>
  </r>
  <r>
    <x v="31"/>
    <d v="2023-02-23T00:00:00"/>
    <d v="2023-03-25T00:00:00"/>
    <x v="6"/>
    <s v="Feb-2023"/>
    <s v="Q1-2023"/>
    <s v="Americas"/>
    <x v="3"/>
    <s v="Montreal"/>
    <s v="Enterprise"/>
    <s v="Online"/>
    <s v="D. Smith"/>
    <x v="3"/>
    <s v="PHN-4854"/>
    <n v="1242.6600000000001"/>
    <s v="High"/>
    <n v="1794.07"/>
    <n v="8.8999999999999996E-2"/>
    <n v="16"/>
    <n v="10231.623200000002"/>
    <n v="19882.560000000001"/>
    <n v="-9650.9367999999995"/>
    <n v="-0.94324591624914389"/>
  </r>
  <r>
    <x v="32"/>
    <d v="2025-07-24T00:00:00"/>
    <d v="2025-08-06T00:00:00"/>
    <x v="19"/>
    <s v="Jul-2025"/>
    <s v="Q3-2025"/>
    <s v="Africa"/>
    <x v="11"/>
    <s v="Johannesburg"/>
    <s v="Education"/>
    <s v="Marketplace"/>
    <s v="D. Smith"/>
    <x v="2"/>
    <s v="NET-7966"/>
    <n v="1463.9"/>
    <s v="High"/>
    <n v="2633.02"/>
    <n v="8.4000000000000005E-2"/>
    <n v="4"/>
    <n v="-19.309279999999998"/>
    <n v="5855.6"/>
    <n v="-5874.9092800000008"/>
    <n v="304.25315081660227"/>
  </r>
  <r>
    <x v="33"/>
    <d v="2024-04-18T00:00:00"/>
    <d v="2024-05-08T00:00:00"/>
    <x v="9"/>
    <s v="Apr-2024"/>
    <s v="Q2-2024"/>
    <s v="Europe"/>
    <x v="8"/>
    <s v="London"/>
    <s v="Non-Profit"/>
    <s v="Not Provided"/>
    <s v="D. Smith"/>
    <x v="4"/>
    <s v="LAP-9932"/>
    <n v="645.33000000000004"/>
    <s v="High"/>
    <n v="1321.85"/>
    <n v="0"/>
    <n v="10"/>
    <n v="14370.599999999999"/>
    <n v="6453.3"/>
    <n v="7917.2999999999984"/>
    <n v="0.55093733038286496"/>
  </r>
  <r>
    <x v="34"/>
    <d v="2024-08-23T00:00:00"/>
    <d v="2024-08-21T00:00:00"/>
    <x v="6"/>
    <s v="Aug-2024"/>
    <s v="Q3-2024"/>
    <s v="Africa"/>
    <x v="11"/>
    <s v="Johannesburg"/>
    <s v="Education"/>
    <s v="Retail"/>
    <s v="E. Garcia"/>
    <x v="0"/>
    <s v="CMP-1559"/>
    <n v="1432.52"/>
    <s v="High"/>
    <n v="3036.87"/>
    <n v="0"/>
    <n v="9"/>
    <n v="17207.010000000002"/>
    <n v="12892.68"/>
    <n v="4314.3300000000017"/>
    <n v="0.25073095209452434"/>
  </r>
  <r>
    <x v="35"/>
    <d v="2023-03-27T00:00:00"/>
    <d v="2023-04-22T00:00:00"/>
    <x v="0"/>
    <s v="Mar-2023"/>
    <s v="Q1-2023"/>
    <s v="Asia"/>
    <x v="4"/>
    <s v="Delhi"/>
    <s v="Non-Profit"/>
    <s v="Marketplace"/>
    <s v="J. Njeri"/>
    <x v="1"/>
    <s v="PRN-4506"/>
    <n v="178.53"/>
    <s v="Medium"/>
    <n v="199.37"/>
    <n v="0.10100000000000001"/>
    <n v="37"/>
    <n v="86276.904139999999"/>
    <n v="6605.61"/>
    <n v="79671.294139999998"/>
    <n v="0.92343709981432354"/>
  </r>
  <r>
    <x v="36"/>
    <d v="2024-03-07T00:00:00"/>
    <d v="2024-03-25T00:00:00"/>
    <x v="5"/>
    <s v="Mar-2024"/>
    <s v="Q1-2024"/>
    <s v="Europe"/>
    <x v="6"/>
    <s v="Munich"/>
    <s v="Corporate"/>
    <s v="Online"/>
    <s v="B. Chen"/>
    <x v="0"/>
    <s v="CMP-7617"/>
    <n v="712.84"/>
    <s v="High"/>
    <n v="927.51"/>
    <n v="0.24299999999999999"/>
    <n v="27"/>
    <n v="25427.751119999997"/>
    <n v="19246.68"/>
    <n v="6181.0711199999969"/>
    <n v="0.24308367227718869"/>
  </r>
  <r>
    <x v="37"/>
    <d v="2025-06-24T00:00:00"/>
    <d v="2025-07-10T00:00:00"/>
    <x v="13"/>
    <s v="Jun-2025"/>
    <s v="Q2-2025"/>
    <s v="Asia"/>
    <x v="9"/>
    <s v="Shanghai"/>
    <s v="Enterprise"/>
    <s v="Direct"/>
    <s v="N. Brown"/>
    <x v="0"/>
    <s v="CMP-8390"/>
    <n v="757.19"/>
    <s v="High"/>
    <n v="1735.41"/>
    <n v="0.13600000000000001"/>
    <n v="8"/>
    <n v="13219.269119999999"/>
    <n v="6057.52"/>
    <n v="7161.7491199999986"/>
    <n v="0.54176589151700383"/>
  </r>
  <r>
    <x v="38"/>
    <d v="2024-04-19T00:00:00"/>
    <d v="2024-05-06T00:00:00"/>
    <x v="14"/>
    <s v="Apr-2024"/>
    <s v="Q2-2024"/>
    <s v="Africa"/>
    <x v="1"/>
    <s v="Port Harcourt"/>
    <s v="Non-Profit"/>
    <s v="Online"/>
    <s v="A. Patel"/>
    <x v="1"/>
    <s v="PRN-7303"/>
    <n v="865.33"/>
    <s v="High"/>
    <n v="1395.64"/>
    <n v="0.17499999999999999"/>
    <n v="13"/>
    <n v="8106.7057499999992"/>
    <n v="11249.29"/>
    <n v="-3142.5842500000017"/>
    <n v="-0.38765243822991874"/>
  </r>
  <r>
    <x v="39"/>
    <d v="2023-06-17T00:00:00"/>
    <d v="2023-06-24T00:00:00"/>
    <x v="20"/>
    <s v="Jun-2023"/>
    <s v="Q2-2023"/>
    <s v="Americas"/>
    <x v="10"/>
    <s v="San Francisco"/>
    <s v="Corporate"/>
    <s v="Retail"/>
    <s v="I. Johnson"/>
    <x v="1"/>
    <s v="PRN-6536"/>
    <n v="313.99"/>
    <s v="High"/>
    <n v="454.42"/>
    <n v="0.129"/>
    <n v="9"/>
    <n v="8980.9071300000014"/>
    <n v="2825.91"/>
    <n v="6154.9971300000016"/>
    <n v="0.68534247608904963"/>
  </r>
  <r>
    <x v="40"/>
    <d v="2024-08-27T00:00:00"/>
    <d v="2024-09-19T00:00:00"/>
    <x v="21"/>
    <s v="Aug-2024"/>
    <s v="Q3-2024"/>
    <s v="Europe"/>
    <x v="6"/>
    <s v="Berlin"/>
    <s v="Small Business"/>
    <s v="Direct"/>
    <s v="D. Smith"/>
    <x v="5"/>
    <s v="MON-9967"/>
    <n v="1024.01"/>
    <s v="High"/>
    <n v="1580.97"/>
    <n v="3.6999999999999998E-2"/>
    <n v="27"/>
    <n v="32087.834099999996"/>
    <n v="27648.27"/>
    <n v="4439.564099999996"/>
    <n v="0.13835661472707492"/>
  </r>
  <r>
    <x v="41"/>
    <d v="2024-01-11T00:00:00"/>
    <d v="2024-02-02T00:00:00"/>
    <x v="22"/>
    <s v="Jan-2024"/>
    <s v="Q1-2024"/>
    <s v="Africa"/>
    <x v="11"/>
    <s v="Durban"/>
    <s v="Consumer"/>
    <s v="Online"/>
    <s v="K. Singh"/>
    <x v="2"/>
    <s v="NET-1412"/>
    <n v="1206.2"/>
    <s v="High"/>
    <n v="1759.79"/>
    <n v="0"/>
    <n v="6"/>
    <n v="7368.0599999999995"/>
    <n v="7237.2000000000007"/>
    <n v="130.85999999999876"/>
    <n v="1.7760441690214082E-2"/>
  </r>
  <r>
    <x v="42"/>
    <d v="2024-10-25T00:00:00"/>
    <d v="2024-11-14T00:00:00"/>
    <x v="9"/>
    <s v="Oct-2024"/>
    <s v="Q4-2024"/>
    <s v="Africa"/>
    <x v="0"/>
    <s v="Mombasa"/>
    <s v="Corporate"/>
    <s v="Direct"/>
    <s v="H. Kim"/>
    <x v="1"/>
    <s v="PRN-3143"/>
    <n v="1396.48"/>
    <s v="High"/>
    <n v="3204.5"/>
    <n v="0.318"/>
    <n v="14"/>
    <n v="5778.7360400000007"/>
    <n v="19550.72"/>
    <n v="-13771.983960000001"/>
    <n v="-2.3832173445319715"/>
  </r>
  <r>
    <x v="43"/>
    <d v="2025-05-29T00:00:00"/>
    <d v="2025-06-20T00:00:00"/>
    <x v="22"/>
    <s v="May-2025"/>
    <s v="Q2-2025"/>
    <s v="Europe"/>
    <x v="6"/>
    <s v="Berlin"/>
    <s v="Corporate"/>
    <s v="Direct"/>
    <s v="A. Patel"/>
    <x v="1"/>
    <s v="PRN-9787"/>
    <n v="483.47"/>
    <s v="High"/>
    <n v="1135.43"/>
    <n v="0.14599999999999999"/>
    <n v="11"/>
    <n v="17662.129100000002"/>
    <n v="5318.17"/>
    <n v="12343.959100000002"/>
    <n v="0.6988941723905755"/>
  </r>
  <r>
    <x v="44"/>
    <d v="2024-05-20T00:00:00"/>
    <d v="2024-06-02T00:00:00"/>
    <x v="19"/>
    <s v="May-2024"/>
    <s v="Q2-2024"/>
    <s v="Americas"/>
    <x v="3"/>
    <s v="Vancouver"/>
    <s v="Enterprise"/>
    <s v="Marketplace"/>
    <s v="K. Singh"/>
    <x v="0"/>
    <s v="CMP-5946"/>
    <n v="675.43"/>
    <s v="High"/>
    <n v="996.36"/>
    <n v="0.182"/>
    <n v="22"/>
    <n v="22844.122400000004"/>
    <n v="14859.46"/>
    <n v="7984.6624000000047"/>
    <n v="0.34952808692707771"/>
  </r>
  <r>
    <x v="45"/>
    <d v="2023-04-19T00:00:00"/>
    <d v="2023-04-30T00:00:00"/>
    <x v="23"/>
    <s v="Apr-2023"/>
    <s v="Q2-2023"/>
    <s v="Asia"/>
    <x v="4"/>
    <s v="Delhi"/>
    <s v="Small Business"/>
    <s v="Retail"/>
    <s v="A. Patel"/>
    <x v="2"/>
    <s v="NET-2062"/>
    <n v="826.55"/>
    <s v="High"/>
    <n v="1397.05"/>
    <n v="0.16900000000000001"/>
    <n v="28"/>
    <n v="14447.799239999997"/>
    <n v="23143.399999999998"/>
    <n v="-8695.6007600000012"/>
    <n v="-0.6018633437212686"/>
  </r>
  <r>
    <x v="46"/>
    <d v="2023-06-23T00:00:00"/>
    <d v="2023-07-03T00:00:00"/>
    <x v="24"/>
    <s v="Jun-2023"/>
    <s v="Q2-2023"/>
    <s v="Africa"/>
    <x v="1"/>
    <s v="Abuja"/>
    <s v="Consumer"/>
    <s v="Online"/>
    <s v="J. Njeri"/>
    <x v="1"/>
    <s v="PRN-2542"/>
    <n v="337.75"/>
    <s v="High"/>
    <n v="548.89"/>
    <n v="0"/>
    <n v="13"/>
    <n v="18926.830000000002"/>
    <n v="4390.75"/>
    <n v="14536.080000000002"/>
    <n v="0.76801450639119173"/>
  </r>
  <r>
    <x v="47"/>
    <d v="2024-05-14T00:00:00"/>
    <d v="2024-05-28T00:00:00"/>
    <x v="17"/>
    <s v="May-2024"/>
    <s v="Q2-2024"/>
    <s v="Europe"/>
    <x v="8"/>
    <s v="Birmingham"/>
    <s v="Consumer"/>
    <s v="Retail"/>
    <s v="B. Chen"/>
    <x v="2"/>
    <s v="NET-2365"/>
    <n v="1421.14"/>
    <s v="High"/>
    <n v="3524"/>
    <n v="0"/>
    <n v="31"/>
    <n v="16939.329999999998"/>
    <n v="44055.340000000004"/>
    <n v="-27116.010000000006"/>
    <n v="-1.6007722855626527"/>
  </r>
  <r>
    <x v="48"/>
    <d v="2024-10-14T00:00:00"/>
    <d v="2024-11-08T00:00:00"/>
    <x v="2"/>
    <s v="Oct-2024"/>
    <s v="Q4-2024"/>
    <s v="Africa"/>
    <x v="1"/>
    <s v="Lagos"/>
    <s v="Enterprise"/>
    <s v="Online"/>
    <s v="O. Wang"/>
    <x v="2"/>
    <s v="NET-5268"/>
    <n v="859.35"/>
    <s v="High"/>
    <n v="1825.61"/>
    <n v="0.187"/>
    <n v="24"/>
    <n v="26300.615040000001"/>
    <n v="20624.400000000001"/>
    <n v="5676.2150399999991"/>
    <n v="0.21582061983596865"/>
  </r>
  <r>
    <x v="49"/>
    <d v="2023-07-10T00:00:00"/>
    <d v="2023-08-01T00:00:00"/>
    <x v="22"/>
    <s v="Jul-2023"/>
    <s v="Q3-2023"/>
    <s v="Europe"/>
    <x v="7"/>
    <s v="Marseille"/>
    <s v="Consumer"/>
    <s v="Marketplace"/>
    <s v="B. Chen"/>
    <x v="1"/>
    <s v="PRN-1504"/>
    <n v="1303.56"/>
    <s v="High"/>
    <n v="1791.37"/>
    <n v="0.126"/>
    <n v="22"/>
    <n v="21312.892040000002"/>
    <n v="28678.32"/>
    <n v="-7365.4279599999973"/>
    <n v="-0.34558557075110097"/>
  </r>
  <r>
    <x v="50"/>
    <d v="2024-11-06T00:00:00"/>
    <d v="2024-11-22T00:00:00"/>
    <x v="13"/>
    <s v="Nov-2024"/>
    <s v="Q4-2024"/>
    <s v="Americas"/>
    <x v="3"/>
    <s v="Toronto"/>
    <s v="Non-Profit"/>
    <s v="Distributor"/>
    <s v="D. Smith"/>
    <x v="6"/>
    <s v="ACC-6348"/>
    <n v="1454.11"/>
    <s v="High"/>
    <n v="2629.75"/>
    <n v="0.29199999999999998"/>
    <n v="8"/>
    <n v="17808.182399999998"/>
    <n v="11632.88"/>
    <n v="6175.3023999999987"/>
    <n v="0.34676769707839467"/>
  </r>
  <r>
    <x v="51"/>
    <d v="2024-10-17T00:00:00"/>
    <d v="2024-11-06T00:00:00"/>
    <x v="9"/>
    <s v="Oct-2024"/>
    <s v="Q4-2024"/>
    <s v="Asia"/>
    <x v="4"/>
    <s v="Bengaluru"/>
    <s v="Enterprise"/>
    <s v="Distributor"/>
    <s v="O. Wang"/>
    <x v="5"/>
    <s v="MON-4330"/>
    <n v="72.94"/>
    <s v="Medium"/>
    <n v="106.3"/>
    <n v="0.29499999999999998"/>
    <n v="8"/>
    <n v="11819.917200000002"/>
    <n v="583.52"/>
    <n v="11236.397200000001"/>
    <n v="0.95063247989588284"/>
  </r>
  <r>
    <x v="52"/>
    <d v="2023-03-31T00:00:00"/>
    <d v="2023-04-05T00:00:00"/>
    <x v="16"/>
    <s v="Mar-2023"/>
    <s v="Q1-2023"/>
    <s v="Africa"/>
    <x v="0"/>
    <s v="Nakuru"/>
    <s v="Education"/>
    <s v="Marketplace"/>
    <s v="B. Chen"/>
    <x v="4"/>
    <s v="LAP-7819"/>
    <n v="533.26"/>
    <s v="High"/>
    <n v="385.72"/>
    <n v="0"/>
    <n v="15"/>
    <n v="10554.3"/>
    <n v="7998.9"/>
    <n v="2555.3999999999996"/>
    <n v="0.24211932577243397"/>
  </r>
  <r>
    <x v="53"/>
    <d v="2025-01-21T00:00:00"/>
    <d v="2025-02-16T00:00:00"/>
    <x v="0"/>
    <s v="Jan-2025"/>
    <s v="Q1-2025"/>
    <s v="Europe"/>
    <x v="7"/>
    <s v="Lyon"/>
    <s v="Corporate"/>
    <s v="Distributor"/>
    <s v="O. Wang"/>
    <x v="4"/>
    <s v="LAP-3779"/>
    <n v="204.11"/>
    <s v="High"/>
    <n v="236.87"/>
    <n v="0.182"/>
    <n v="13"/>
    <n v="21238.118460000002"/>
    <n v="2653.4300000000003"/>
    <n v="18584.688460000001"/>
    <n v="0.87506284961177294"/>
  </r>
  <r>
    <x v="54"/>
    <d v="2023-08-30T00:00:00"/>
    <d v="2023-09-01T00:00:00"/>
    <x v="6"/>
    <s v="Aug-2023"/>
    <s v="Q3-2023"/>
    <s v="Europe"/>
    <x v="6"/>
    <s v="Munich"/>
    <s v="Corporate"/>
    <s v="Direct"/>
    <s v="N. Brown"/>
    <x v="2"/>
    <s v="NET-9989"/>
    <n v="44.42"/>
    <s v="Low"/>
    <n v="41.9"/>
    <n v="0.14399999999999999"/>
    <n v="6"/>
    <n v="14195.647199999998"/>
    <n v="266.52"/>
    <n v="13929.127199999997"/>
    <n v="0.9812252307876459"/>
  </r>
  <r>
    <x v="55"/>
    <d v="2025-04-06T00:00:00"/>
    <d v="2025-04-30T00:00:00"/>
    <x v="10"/>
    <s v="Apr-2025"/>
    <s v="Q2-2025"/>
    <s v="Americas"/>
    <x v="5"/>
    <s v="Brasília"/>
    <s v="Education"/>
    <s v="Online"/>
    <s v="K. Singh"/>
    <x v="5"/>
    <s v="MON-4925"/>
    <n v="855.78"/>
    <s v="High"/>
    <n v="977.38"/>
    <n v="0.14699999999999999"/>
    <n v="38"/>
    <n v="48735.421419999999"/>
    <n v="32519.64"/>
    <n v="16215.781419999999"/>
    <n v="0.33273091619036216"/>
  </r>
  <r>
    <x v="56"/>
    <d v="2025-02-09T00:00:00"/>
    <d v="2025-03-01T00:00:00"/>
    <x v="9"/>
    <s v="Feb-2025"/>
    <s v="Q1-2025"/>
    <s v="Americas"/>
    <x v="5"/>
    <s v="São Paulo"/>
    <s v="Corporate"/>
    <s v="Distributor"/>
    <s v="B. Chen"/>
    <x v="4"/>
    <s v="LAP-6989"/>
    <n v="1154.6400000000001"/>
    <s v="High"/>
    <n v="2794.13"/>
    <n v="3.5000000000000003E-2"/>
    <n v="11"/>
    <n v="4119.0446000000002"/>
    <n v="12701.04"/>
    <n v="-8581.9953999999998"/>
    <n v="-2.0834917398078185"/>
  </r>
  <r>
    <x v="57"/>
    <d v="2024-12-17T00:00:00"/>
    <d v="2024-12-18T00:00:00"/>
    <x v="1"/>
    <s v="Dec-2024"/>
    <s v="Q4-2024"/>
    <s v="Europe"/>
    <x v="6"/>
    <s v="Munich"/>
    <s v="Education"/>
    <s v="Retail"/>
    <s v="L. Okafor"/>
    <x v="6"/>
    <s v="ACC-5780"/>
    <n v="346.82"/>
    <s v="High"/>
    <n v="701.95"/>
    <n v="0.14699999999999999"/>
    <n v="8"/>
    <n v="304.14567999999997"/>
    <n v="2774.56"/>
    <n v="-2470.4143199999999"/>
    <n v="-8.122470521363315"/>
  </r>
  <r>
    <x v="58"/>
    <d v="2025-06-09T00:00:00"/>
    <d v="2025-06-18T00:00:00"/>
    <x v="25"/>
    <s v="Jun-2025"/>
    <s v="Q2-2025"/>
    <s v="Europe"/>
    <x v="7"/>
    <s v="Marseille"/>
    <s v="Small Business"/>
    <s v="Marketplace"/>
    <s v="H. Kim"/>
    <x v="6"/>
    <s v="ACC-1770"/>
    <n v="1225.5"/>
    <s v="Low"/>
    <n v="-5.27"/>
    <n v="7.4999999999999997E-2"/>
    <n v="56"/>
    <n v="93667.868000000002"/>
    <n v="68628"/>
    <n v="25039.868000000002"/>
    <n v="0.2673261229774121"/>
  </r>
  <r>
    <x v="59"/>
    <d v="2025-05-02T00:00:00"/>
    <d v="2025-05-13T00:00:00"/>
    <x v="23"/>
    <s v="May-2025"/>
    <s v="Q2-2025"/>
    <s v="Africa"/>
    <x v="0"/>
    <s v="Nakuru"/>
    <s v="Small Business"/>
    <s v="Online"/>
    <s v="A. Patel"/>
    <x v="6"/>
    <s v="ACC-2252"/>
    <n v="1057.5999999999999"/>
    <s v="High"/>
    <n v="1437.06"/>
    <n v="0.20499999999999999"/>
    <n v="4"/>
    <n v="4086.5861999999997"/>
    <n v="4230.3999999999996"/>
    <n v="-143.8137999999999"/>
    <n v="-3.5191671718560573E-2"/>
  </r>
  <r>
    <x v="60"/>
    <d v="2024-03-10T00:00:00"/>
    <d v="2024-04-09T00:00:00"/>
    <x v="26"/>
    <s v="Mar-2024"/>
    <s v="Q1-2024"/>
    <s v="Europe"/>
    <x v="7"/>
    <s v="Lyon"/>
    <s v="Corporate"/>
    <s v="Direct"/>
    <s v="I. Johnson"/>
    <x v="0"/>
    <s v="CMP-8002"/>
    <n v="1176.56"/>
    <s v="High"/>
    <n v="1911.89"/>
    <n v="0.11899999999999999"/>
    <n v="20"/>
    <n v="29568.826800000003"/>
    <n v="23531.199999999997"/>
    <n v="6037.6268000000055"/>
    <n v="0.20418891966319086"/>
  </r>
  <r>
    <x v="61"/>
    <d v="2025-09-10T00:00:00"/>
    <d v="2025-09-12T00:00:00"/>
    <x v="6"/>
    <s v="Sept-2025"/>
    <s v="Q3-2025"/>
    <s v="Asia"/>
    <x v="2"/>
    <s v="Tokyo"/>
    <s v="Consumer"/>
    <s v="Online"/>
    <s v="O. Wang"/>
    <x v="0"/>
    <s v="CMP-6971"/>
    <n v="1470.15"/>
    <s v="High"/>
    <n v="2593.7800000000002"/>
    <n v="0.11"/>
    <n v="12"/>
    <n v="7255.4580000000005"/>
    <n v="17641.800000000003"/>
    <n v="-10386.342000000002"/>
    <n v="-1.4315212078961799"/>
  </r>
  <r>
    <x v="62"/>
    <d v="2025-04-27T00:00:00"/>
    <d v="2025-05-25T00:00:00"/>
    <x v="27"/>
    <s v="Apr-2025"/>
    <s v="Q2-2025"/>
    <s v="Europe"/>
    <x v="7"/>
    <s v="Paris"/>
    <s v="Small Business"/>
    <s v="Marketplace"/>
    <s v="I. Johnson"/>
    <x v="3"/>
    <s v="PHN-8350"/>
    <n v="603.45000000000005"/>
    <s v="High"/>
    <n v="1244.08"/>
    <n v="0.2"/>
    <n v="11"/>
    <n v="9767.2960000000003"/>
    <n v="6637.9500000000007"/>
    <n v="3129.3459999999995"/>
    <n v="0.32039020830330106"/>
  </r>
  <r>
    <x v="63"/>
    <d v="2024-11-02T00:00:00"/>
    <d v="2024-11-18T00:00:00"/>
    <x v="13"/>
    <s v="Nov-2024"/>
    <s v="Q4-2024"/>
    <s v="Asia"/>
    <x v="4"/>
    <s v="Mumbai"/>
    <s v="Small Business"/>
    <s v="Distributor"/>
    <s v="O. Wang"/>
    <x v="5"/>
    <s v="MON-5188"/>
    <n v="1233.58"/>
    <s v="High"/>
    <n v="1912.51"/>
    <n v="0.255"/>
    <n v="51"/>
    <n v="3175.2421499999996"/>
    <n v="62912.579999999994"/>
    <n v="-59737.337849999996"/>
    <n v="-18.813474698299782"/>
  </r>
  <r>
    <x v="64"/>
    <d v="2023-02-15T00:00:00"/>
    <d v="2023-02-26T00:00:00"/>
    <x v="23"/>
    <s v="Feb-2023"/>
    <s v="Q1-2023"/>
    <s v="Africa"/>
    <x v="11"/>
    <s v="Johannesburg"/>
    <s v="Non-Profit"/>
    <s v="Retail"/>
    <s v="K. Singh"/>
    <x v="4"/>
    <s v="LAP-3393"/>
    <n v="498.5"/>
    <s v="High"/>
    <n v="755.87"/>
    <n v="0.13"/>
    <n v="40"/>
    <n v="44693.64"/>
    <n v="19940"/>
    <n v="24753.64"/>
    <n v="0.55385150996875621"/>
  </r>
  <r>
    <x v="65"/>
    <d v="2023-12-03T00:00:00"/>
    <d v="2023-12-26T00:00:00"/>
    <x v="21"/>
    <s v="Dec-2023"/>
    <s v="Q4-2023"/>
    <s v="Americas"/>
    <x v="5"/>
    <s v="Rio de Janeiro"/>
    <s v="Education"/>
    <s v="Retail"/>
    <s v="O. Wang"/>
    <x v="3"/>
    <s v="PHN-4644"/>
    <n v="1303.1099999999999"/>
    <s v="High"/>
    <n v="1145.67"/>
    <n v="0.184"/>
    <n v="13"/>
    <n v="9671.5257600000004"/>
    <n v="16940.43"/>
    <n v="-7268.9042399999998"/>
    <n v="-0.75157781929952694"/>
  </r>
  <r>
    <x v="66"/>
    <d v="2023-03-19T00:00:00"/>
    <d v="2023-04-09T00:00:00"/>
    <x v="28"/>
    <s v="Mar-2023"/>
    <s v="Q1-2023"/>
    <s v="Europe"/>
    <x v="8"/>
    <s v="Manchester"/>
    <s v="Consumer"/>
    <s v="Retail"/>
    <s v="L. Okafor"/>
    <x v="6"/>
    <s v="ACC-9150"/>
    <n v="1082.17"/>
    <s v="High"/>
    <n v="1234.0999999999999"/>
    <n v="0.189"/>
    <n v="16"/>
    <n v="18232.188319999997"/>
    <n v="17314.72"/>
    <n v="917.46831999999631"/>
    <n v="5.0321349467061474E-2"/>
  </r>
  <r>
    <x v="67"/>
    <d v="2024-05-22T00:00:00"/>
    <d v="2024-06-06T00:00:00"/>
    <x v="15"/>
    <s v="May-2024"/>
    <s v="Q2-2024"/>
    <s v="Asia"/>
    <x v="2"/>
    <s v="Nagoya"/>
    <s v="Corporate"/>
    <s v="Distributor"/>
    <s v="C. Otieno"/>
    <x v="5"/>
    <s v="MON-6870"/>
    <n v="673.88"/>
    <s v="High"/>
    <n v="1228.01"/>
    <n v="0.105"/>
    <n v="13"/>
    <n v="11273.616900000001"/>
    <n v="8760.44"/>
    <n v="2513.1769000000004"/>
    <n v="0.22292551913840536"/>
  </r>
  <r>
    <x v="68"/>
    <d v="2023-08-19T00:00:00"/>
    <d v="2023-09-07T00:00:00"/>
    <x v="7"/>
    <s v="Aug-2023"/>
    <s v="Q3-2023"/>
    <s v="Africa"/>
    <x v="11"/>
    <s v="Johannesburg"/>
    <s v="Enterprise"/>
    <s v="Retail"/>
    <s v="D. Smith"/>
    <x v="5"/>
    <s v="MON-2296"/>
    <n v="494.61"/>
    <s v="High"/>
    <n v="605.23"/>
    <n v="0.20399999999999999"/>
    <n v="18"/>
    <n v="15600.46968"/>
    <n v="8902.98"/>
    <n v="6697.4896800000006"/>
    <n v="0.42931333590464055"/>
  </r>
  <r>
    <x v="69"/>
    <d v="2023-04-21T00:00:00"/>
    <d v="2023-05-10T00:00:00"/>
    <x v="7"/>
    <s v="Apr-2023"/>
    <s v="Q2-2023"/>
    <s v="Asia"/>
    <x v="9"/>
    <s v="Shanghai"/>
    <s v="Corporate"/>
    <s v="Retail"/>
    <s v="A. Patel"/>
    <x v="0"/>
    <s v="CMP-7371"/>
    <n v="882.33"/>
    <s v="High"/>
    <n v="1880.15"/>
    <n v="0.05"/>
    <n v="5"/>
    <n v="11803.702499999998"/>
    <n v="4411.6500000000005"/>
    <n v="7392.0524999999971"/>
    <n v="0.6262486283435218"/>
  </r>
  <r>
    <x v="70"/>
    <d v="2024-03-18T00:00:00"/>
    <d v="2024-03-21T00:00:00"/>
    <x v="4"/>
    <s v="Mar-2024"/>
    <s v="Q1-2024"/>
    <s v="Europe"/>
    <x v="6"/>
    <s v="Munich"/>
    <s v="Small Business"/>
    <s v="Online"/>
    <s v="M. Rossi"/>
    <x v="6"/>
    <s v="ACC-2761"/>
    <n v="910.63"/>
    <s v="High"/>
    <n v="1269.4000000000001"/>
    <n v="6.8000000000000005E-2"/>
    <n v="9"/>
    <n v="240.65172000000001"/>
    <n v="8195.67"/>
    <n v="-7955.0182800000002"/>
    <n v="-33.05614553679483"/>
  </r>
  <r>
    <x v="71"/>
    <d v="2025-04-09T00:00:00"/>
    <d v="2025-05-06T00:00:00"/>
    <x v="29"/>
    <s v="Apr-2025"/>
    <s v="Q2-2025"/>
    <s v="Americas"/>
    <x v="5"/>
    <s v="Brasília"/>
    <s v="Enterprise"/>
    <s v="Marketplace"/>
    <s v="F. Müller"/>
    <x v="4"/>
    <s v="LAP-4517"/>
    <n v="264.19"/>
    <s v="High"/>
    <n v="620.92999999999995"/>
    <n v="0.14199999999999999"/>
    <n v="12"/>
    <n v="19527.59952"/>
    <n v="3170.2799999999997"/>
    <n v="16357.319520000001"/>
    <n v="0.83765132028885447"/>
  </r>
  <r>
    <x v="72"/>
    <d v="2024-04-12T00:00:00"/>
    <d v="2024-05-07T00:00:00"/>
    <x v="2"/>
    <s v="Apr-2024"/>
    <s v="Q2-2024"/>
    <s v="Africa"/>
    <x v="11"/>
    <s v="Johannesburg"/>
    <s v="Education"/>
    <s v="Distributor"/>
    <s v="A. Patel"/>
    <x v="4"/>
    <s v="LAP-8489"/>
    <n v="1376.51"/>
    <s v="High"/>
    <n v="1455.91"/>
    <n v="0.185"/>
    <n v="17"/>
    <n v="5807.6003499999997"/>
    <n v="23400.67"/>
    <n v="-17593.069649999998"/>
    <n v="-3.0293182364037841"/>
  </r>
  <r>
    <x v="73"/>
    <d v="2024-12-15T00:00:00"/>
    <d v="2024-12-20T00:00:00"/>
    <x v="16"/>
    <s v="Dec-2024"/>
    <s v="Q4-2024"/>
    <s v="Asia"/>
    <x v="9"/>
    <s v="Shenzhen"/>
    <s v="Small Business"/>
    <s v="Direct"/>
    <s v="J. Njeri"/>
    <x v="2"/>
    <s v="NET-1846"/>
    <n v="717.55"/>
    <s v="High"/>
    <n v="546.42999999999995"/>
    <n v="4.7E-2"/>
    <n v="18"/>
    <n v="34328.070179999995"/>
    <n v="12915.9"/>
    <n v="21412.170179999994"/>
    <n v="0.62375106050893059"/>
  </r>
  <r>
    <x v="74"/>
    <d v="2023-05-20T00:00:00"/>
    <d v="2023-05-18T00:00:00"/>
    <x v="6"/>
    <s v="May-2023"/>
    <s v="Q2-2023"/>
    <s v="Africa"/>
    <x v="11"/>
    <s v="Durban"/>
    <s v="Corporate"/>
    <s v="Distributor"/>
    <s v="A. Patel"/>
    <x v="0"/>
    <s v="CMP-5208"/>
    <n v="917.88"/>
    <s v="High"/>
    <n v="1347.92"/>
    <n v="0.34300000000000003"/>
    <n v="5"/>
    <n v="10198.97235"/>
    <n v="4589.3999999999996"/>
    <n v="5609.5723500000004"/>
    <n v="0.55001348738826616"/>
  </r>
  <r>
    <x v="75"/>
    <d v="2023-09-18T00:00:00"/>
    <d v="2023-10-08T00:00:00"/>
    <x v="9"/>
    <s v="Sept-2023"/>
    <s v="Q3-2023"/>
    <s v="Asia"/>
    <x v="4"/>
    <s v="Delhi"/>
    <s v="Small Business"/>
    <s v="Direct"/>
    <s v="B. Chen"/>
    <x v="0"/>
    <s v="CMP-1009"/>
    <n v="825.64"/>
    <s v="High"/>
    <n v="1108.43"/>
    <n v="0.114"/>
    <n v="7"/>
    <n v="2073.2045600000001"/>
    <n v="5779.48"/>
    <n v="-3706.2754399999994"/>
    <n v="-1.7877036890175464"/>
  </r>
  <r>
    <x v="76"/>
    <d v="2024-08-28T00:00:00"/>
    <d v="2024-09-25T00:00:00"/>
    <x v="27"/>
    <s v="Aug-2024"/>
    <s v="Q3-2024"/>
    <s v="Americas"/>
    <x v="5"/>
    <s v="Rio de Janeiro"/>
    <s v="Non-Profit"/>
    <s v="Online"/>
    <s v="Not Provided"/>
    <x v="6"/>
    <s v="ACC-4490"/>
    <n v="1394.65"/>
    <s v="High"/>
    <n v="3144.1"/>
    <n v="0.13400000000000001"/>
    <n v="13"/>
    <n v="21984.960139999999"/>
    <n v="18130.45"/>
    <n v="3854.5101399999985"/>
    <n v="0.17532486370020767"/>
  </r>
  <r>
    <x v="77"/>
    <d v="2024-06-30T00:00:00"/>
    <d v="2024-06-28T00:00:00"/>
    <x v="6"/>
    <s v="Jun-2024"/>
    <s v="Q2-2024"/>
    <s v="Americas"/>
    <x v="5"/>
    <s v="Rio de Janeiro"/>
    <s v="Small Business"/>
    <s v="Direct"/>
    <s v="L. Okafor"/>
    <x v="6"/>
    <s v="ACC-9162"/>
    <n v="1112.98"/>
    <s v="High"/>
    <n v="2095.73"/>
    <n v="7.1999999999999995E-2"/>
    <n v="17"/>
    <n v="3822.3670400000005"/>
    <n v="18920.66"/>
    <n v="-15098.292959999999"/>
    <n v="-3.9499851275402365"/>
  </r>
  <r>
    <x v="78"/>
    <d v="2023-06-14T00:00:00"/>
    <d v="2023-06-16T00:00:00"/>
    <x v="6"/>
    <s v="Jun-2023"/>
    <s v="Q2-2023"/>
    <s v="Europe"/>
    <x v="8"/>
    <s v="Manchester"/>
    <s v="Non-Profit"/>
    <s v="Direct"/>
    <s v="K. Singh"/>
    <x v="0"/>
    <s v="CMP-5820"/>
    <n v="357.36"/>
    <s v="High"/>
    <n v="703.62"/>
    <n v="0.25700000000000001"/>
    <n v="20"/>
    <n v="44117.408199999998"/>
    <n v="7147.2000000000007"/>
    <n v="36970.208199999994"/>
    <n v="0.83799592288832592"/>
  </r>
  <r>
    <x v="79"/>
    <d v="2024-11-21T00:00:00"/>
    <d v="2024-12-21T00:00:00"/>
    <x v="18"/>
    <s v="Nov-2024"/>
    <s v="Q4-2024"/>
    <s v="Europe"/>
    <x v="7"/>
    <s v="Marseille"/>
    <s v="Small Business"/>
    <s v="Direct"/>
    <s v="I. Johnson"/>
    <x v="5"/>
    <s v="MON-7943"/>
    <n v="1122.68"/>
    <s v="High"/>
    <n v="1997.19"/>
    <n v="0.186"/>
    <n v="3"/>
    <n v="3404.8806"/>
    <n v="3368.04"/>
    <n v="36.840599999999995"/>
    <n v="1.081993888420052E-2"/>
  </r>
  <r>
    <x v="80"/>
    <d v="2023-02-08T00:00:00"/>
    <d v="2023-02-11T00:00:00"/>
    <x v="4"/>
    <s v="Feb-2023"/>
    <s v="Q1-2023"/>
    <s v="Africa"/>
    <x v="11"/>
    <s v="Cape Town"/>
    <s v="Corporate"/>
    <s v="Direct"/>
    <s v="M. Rossi"/>
    <x v="2"/>
    <s v="NET-5018"/>
    <n v="1410.05"/>
    <s v="High"/>
    <n v="2763.95"/>
    <n v="0.161"/>
    <n v="26"/>
    <n v="336.15374000000003"/>
    <n v="36661.299999999996"/>
    <n v="-36325.146259999994"/>
    <n v="-108.06110995522462"/>
  </r>
  <r>
    <x v="81"/>
    <d v="2023-08-19T00:00:00"/>
    <d v="2023-09-12T00:00:00"/>
    <x v="10"/>
    <s v="Aug-2023"/>
    <s v="Q3-2023"/>
    <s v="Americas"/>
    <x v="3"/>
    <s v="Vancouver"/>
    <s v="Enterprise"/>
    <s v="Retail"/>
    <s v="I. Johnson"/>
    <x v="1"/>
    <s v="PRN-9669"/>
    <n v="1183.95"/>
    <s v="High"/>
    <n v="1503.53"/>
    <n v="0.24099999999999999"/>
    <n v="16"/>
    <n v="27333.836640000001"/>
    <n v="18943.2"/>
    <n v="8390.6366400000006"/>
    <n v="0.30696885879976488"/>
  </r>
  <r>
    <x v="82"/>
    <d v="2025-05-14T00:00:00"/>
    <d v="2025-05-24T00:00:00"/>
    <x v="24"/>
    <s v="May-2025"/>
    <s v="Q2-2025"/>
    <s v="Europe"/>
    <x v="7"/>
    <s v="Paris"/>
    <s v="Small Business"/>
    <s v="Marketplace"/>
    <s v="K. Singh"/>
    <x v="0"/>
    <s v="CMP-2865"/>
    <n v="170.39"/>
    <s v="High"/>
    <n v="388.04"/>
    <n v="8.4000000000000005E-2"/>
    <n v="15"/>
    <n v="2281.3896"/>
    <n v="2555.85"/>
    <n v="-274.46039999999994"/>
    <n v="-0.12030404627074653"/>
  </r>
  <r>
    <x v="83"/>
    <d v="2025-04-23T00:00:00"/>
    <d v="2025-04-22T00:00:00"/>
    <x v="1"/>
    <s v="Apr-2025"/>
    <s v="Q2-2025"/>
    <s v="Americas"/>
    <x v="10"/>
    <s v="San Francisco"/>
    <s v="Non-Profit"/>
    <s v="Distributor"/>
    <s v="D. Smith"/>
    <x v="5"/>
    <s v="MON-3371"/>
    <n v="23.24"/>
    <s v="Low"/>
    <n v="44.57"/>
    <n v="0.215"/>
    <n v="15"/>
    <n v="4198.3762500000003"/>
    <n v="348.59999999999997"/>
    <n v="3849.7762500000003"/>
    <n v="0.91696789919674304"/>
  </r>
  <r>
    <x v="84"/>
    <d v="2025-03-25T00:00:00"/>
    <d v="2025-04-17T00:00:00"/>
    <x v="21"/>
    <s v="Mar-2025"/>
    <s v="Q1-2025"/>
    <s v="Europe"/>
    <x v="8"/>
    <s v="London"/>
    <s v="Consumer"/>
    <s v="Retail"/>
    <s v="H. Kim"/>
    <x v="2"/>
    <s v="NET-7166"/>
    <n v="1421.19"/>
    <s v="High"/>
    <n v="1808.26"/>
    <n v="0.104"/>
    <n v="13"/>
    <n v="11939.7824"/>
    <n v="18475.47"/>
    <n v="-6535.6876000000011"/>
    <n v="-0.54738749677716081"/>
  </r>
  <r>
    <x v="85"/>
    <d v="2023-12-22T00:00:00"/>
    <d v="2023-12-23T00:00:00"/>
    <x v="1"/>
    <s v="Dec-2023"/>
    <s v="Q4-2023"/>
    <s v="Africa"/>
    <x v="11"/>
    <s v="Cape Town"/>
    <s v="Non-Profit"/>
    <s v="Marketplace"/>
    <s v="D. Smith"/>
    <x v="0"/>
    <s v="CMP-4531"/>
    <n v="1186.18"/>
    <s v="High"/>
    <n v="1285.0899999999999"/>
    <n v="7.0000000000000007E-2"/>
    <n v="11"/>
    <n v="18364.589100000001"/>
    <n v="13047.980000000001"/>
    <n v="5316.6090999999997"/>
    <n v="0.28950329740838032"/>
  </r>
  <r>
    <x v="86"/>
    <d v="2024-04-06T00:00:00"/>
    <d v="2024-04-25T00:00:00"/>
    <x v="7"/>
    <s v="Apr-2024"/>
    <s v="Q2-2024"/>
    <s v="Asia"/>
    <x v="9"/>
    <s v="Shanghai"/>
    <s v="Corporate"/>
    <s v="Retail"/>
    <s v="K. Singh"/>
    <x v="0"/>
    <s v="CMP-8196"/>
    <n v="1366.48"/>
    <s v="High"/>
    <n v="1678.14"/>
    <n v="0.154"/>
    <n v="10"/>
    <n v="36.970199999999998"/>
    <n v="13664.8"/>
    <n v="-13627.8298"/>
    <n v="-368.61661013464897"/>
  </r>
  <r>
    <x v="87"/>
    <d v="2025-08-07T00:00:00"/>
    <d v="2025-08-19T00:00:00"/>
    <x v="8"/>
    <s v="Aug-2025"/>
    <s v="Q3-2025"/>
    <s v="Africa"/>
    <x v="0"/>
    <s v="Nakuru"/>
    <s v="Corporate"/>
    <s v="Not Provided"/>
    <s v="M. Rossi"/>
    <x v="0"/>
    <s v="CMP-2854"/>
    <n v="601.51"/>
    <s v="High"/>
    <n v="679.35"/>
    <n v="0.188"/>
    <n v="3"/>
    <n v="532.26600000000008"/>
    <n v="1804.53"/>
    <n v="-1272.2639999999999"/>
    <n v="-2.3902785449380568"/>
  </r>
  <r>
    <x v="88"/>
    <d v="2024-01-21T00:00:00"/>
    <d v="2024-01-25T00:00:00"/>
    <x v="3"/>
    <s v="Jan-2024"/>
    <s v="Q1-2024"/>
    <s v="Asia"/>
    <x v="4"/>
    <s v="Delhi"/>
    <s v="Consumer"/>
    <s v="Direct"/>
    <s v="C. Otieno"/>
    <x v="5"/>
    <s v="MON-8973"/>
    <n v="523.70000000000005"/>
    <s v="High"/>
    <n v="1109.92"/>
    <n v="0.03"/>
    <n v="11"/>
    <n v="2666.1129000000001"/>
    <n v="5760.7000000000007"/>
    <n v="-3094.5871000000006"/>
    <n v="-1.160711198689298"/>
  </r>
  <r>
    <x v="89"/>
    <d v="2023-06-29T00:00:00"/>
    <d v="2023-07-02T00:00:00"/>
    <x v="4"/>
    <s v="Jun-2023"/>
    <s v="Q2-2023"/>
    <s v="Asia"/>
    <x v="2"/>
    <s v="Nagoya"/>
    <s v="Education"/>
    <s v="Marketplace"/>
    <s v="F. Müller"/>
    <x v="5"/>
    <s v="MON-2990"/>
    <n v="55.65"/>
    <s v="Medium"/>
    <n v="83.57"/>
    <n v="6.6000000000000003E-2"/>
    <n v="8"/>
    <n v="25677.677439999999"/>
    <n v="445.2"/>
    <n v="25232.477439999999"/>
    <n v="0.98266198331059018"/>
  </r>
  <r>
    <x v="90"/>
    <d v="2025-04-28T00:00:00"/>
    <d v="2025-05-15T00:00:00"/>
    <x v="14"/>
    <s v="Apr-2025"/>
    <s v="Q2-2025"/>
    <s v="Asia"/>
    <x v="2"/>
    <s v="Nagoya"/>
    <s v="Education"/>
    <s v="Direct"/>
    <s v="N. Brown"/>
    <x v="2"/>
    <s v="NET-1966"/>
    <n v="691.19"/>
    <s v="High"/>
    <n v="1284.3"/>
    <n v="7.3999999999999996E-2"/>
    <n v="7"/>
    <n v="346.46290000000005"/>
    <n v="4838.33"/>
    <n v="-4491.8670999999995"/>
    <n v="-12.964929578318483"/>
  </r>
  <r>
    <x v="91"/>
    <d v="2025-06-09T00:00:00"/>
    <d v="2025-06-25T00:00:00"/>
    <x v="13"/>
    <s v="Jun-2025"/>
    <s v="Q2-2025"/>
    <s v="Asia"/>
    <x v="4"/>
    <s v="Hyderabad"/>
    <s v="Enterprise"/>
    <s v="Distributor"/>
    <s v="M. Rossi"/>
    <x v="3"/>
    <s v="PHN-3482"/>
    <n v="527.33000000000004"/>
    <s v="High"/>
    <n v="911.72"/>
    <n v="0.14399999999999999"/>
    <n v="25"/>
    <n v="74251.58"/>
    <n v="13183.250000000002"/>
    <n v="61068.33"/>
    <n v="0.82245158958233622"/>
  </r>
  <r>
    <x v="92"/>
    <d v="2023-06-24T00:00:00"/>
    <d v="2023-06-23T00:00:00"/>
    <x v="1"/>
    <s v="Jun-2023"/>
    <s v="Q2-2023"/>
    <s v="Americas"/>
    <x v="5"/>
    <s v="Rio de Janeiro"/>
    <s v="Non-Profit"/>
    <s v="Retail"/>
    <s v="E. Garcia"/>
    <x v="1"/>
    <s v="PRN-6490"/>
    <n v="804.01"/>
    <s v="High"/>
    <n v="1405.07"/>
    <n v="9.6000000000000002E-2"/>
    <n v="8"/>
    <n v="4491.2166399999996"/>
    <n v="6432.08"/>
    <n v="-1940.8633600000003"/>
    <n v="-0.43214645731273393"/>
  </r>
  <r>
    <x v="93"/>
    <d v="2024-10-04T00:00:00"/>
    <d v="2024-11-02T00:00:00"/>
    <x v="11"/>
    <s v="Oct-2024"/>
    <s v="Q4-2024"/>
    <s v="Africa"/>
    <x v="1"/>
    <s v="Abuja"/>
    <s v="Corporate"/>
    <s v="Distributor"/>
    <s v="F. Müller"/>
    <x v="6"/>
    <s v="ACC-9038"/>
    <n v="412.09"/>
    <s v="High"/>
    <n v="968.94"/>
    <n v="9.9000000000000005E-2"/>
    <n v="23"/>
    <n v="1834.19273"/>
    <n v="9478.07"/>
    <n v="-7643.87727"/>
    <n v="-4.1674340678473847"/>
  </r>
  <r>
    <x v="94"/>
    <d v="2025-09-10T00:00:00"/>
    <d v="2025-09-30T00:00:00"/>
    <x v="9"/>
    <s v="Sept-2025"/>
    <s v="Q3-2025"/>
    <s v="Africa"/>
    <x v="0"/>
    <s v="Mombasa"/>
    <s v="Corporate"/>
    <s v="Direct"/>
    <s v="L. Okafor"/>
    <x v="3"/>
    <s v="PHN-6954"/>
    <n v="1009.48"/>
    <s v="High"/>
    <n v="1088.81"/>
    <n v="0.16"/>
    <n v="6"/>
    <n v="9873.8135999999995"/>
    <n v="6056.88"/>
    <n v="3816.9335999999994"/>
    <n v="0.38657136488782812"/>
  </r>
  <r>
    <x v="95"/>
    <d v="2023-04-06T00:00:00"/>
    <d v="2023-04-27T00:00:00"/>
    <x v="28"/>
    <s v="Apr-2023"/>
    <s v="Q2-2023"/>
    <s v="Europe"/>
    <x v="8"/>
    <s v="Manchester"/>
    <s v="Enterprise"/>
    <s v="Distributor"/>
    <s v="I. Johnson"/>
    <x v="1"/>
    <s v="PRN-8970"/>
    <n v="1084.79"/>
    <s v="High"/>
    <n v="2484.9899999999998"/>
    <n v="3.4000000000000002E-2"/>
    <n v="18"/>
    <n v="47694.762360000001"/>
    <n v="19526.22"/>
    <n v="28168.542359999999"/>
    <n v="0.59060032939013052"/>
  </r>
  <r>
    <x v="96"/>
    <d v="2025-08-01T00:00:00"/>
    <d v="2025-08-16T00:00:00"/>
    <x v="15"/>
    <s v="Aug-2025"/>
    <s v="Q3-2025"/>
    <s v="Asia"/>
    <x v="4"/>
    <s v="Not Provided"/>
    <s v="Enterprise"/>
    <s v="Direct"/>
    <s v="O. Wang"/>
    <x v="5"/>
    <s v="MON-1822"/>
    <n v="24.44"/>
    <s v="Low"/>
    <n v="28.69"/>
    <n v="0.14599999999999999"/>
    <n v="6"/>
    <n v="8605.3480799999998"/>
    <n v="146.64000000000001"/>
    <n v="8458.7080800000003"/>
    <n v="0.98295943422197984"/>
  </r>
  <r>
    <x v="97"/>
    <d v="2024-05-28T00:00:00"/>
    <d v="2024-05-26T00:00:00"/>
    <x v="6"/>
    <s v="May-2024"/>
    <s v="Q2-2024"/>
    <s v="Africa"/>
    <x v="1"/>
    <s v="Abuja"/>
    <s v="Enterprise"/>
    <s v="Online"/>
    <s v="F. Müller"/>
    <x v="6"/>
    <s v="ACC-5177"/>
    <n v="1227.08"/>
    <s v="High"/>
    <n v="1896.62"/>
    <n v="0"/>
    <n v="18"/>
    <n v="25810.2"/>
    <n v="22087.439999999999"/>
    <n v="3722.760000000002"/>
    <n v="0.14423599972104059"/>
  </r>
  <r>
    <x v="98"/>
    <d v="2025-07-22T00:00:00"/>
    <d v="2025-08-18T00:00:00"/>
    <x v="29"/>
    <s v="Jul-2025"/>
    <s v="Q3-2025"/>
    <s v="Asia"/>
    <x v="9"/>
    <s v="Shenzhen"/>
    <s v="Non-Profit"/>
    <s v="Marketplace"/>
    <s v="M. Rossi"/>
    <x v="2"/>
    <s v="NET-1804"/>
    <n v="547.32000000000005"/>
    <s v="High"/>
    <n v="419.17"/>
    <n v="9.1999999999999998E-2"/>
    <n v="14"/>
    <n v="3615.67416"/>
    <n v="7662.4800000000005"/>
    <n v="-4046.8058400000004"/>
    <n v="-1.1192396385630061"/>
  </r>
  <r>
    <x v="99"/>
    <d v="2023-02-28T00:00:00"/>
    <d v="2023-03-20T00:00:00"/>
    <x v="9"/>
    <s v="Feb-2023"/>
    <s v="Q1-2023"/>
    <s v="Europe"/>
    <x v="6"/>
    <s v="Berlin"/>
    <s v="Small Business"/>
    <s v="Direct"/>
    <s v="H. Kim"/>
    <x v="4"/>
    <s v="LAP-3679"/>
    <n v="1200.78"/>
    <s v="High"/>
    <n v="2001.17"/>
    <n v="0.29199999999999998"/>
    <n v="18"/>
    <n v="8854.276319999999"/>
    <n v="21614.04"/>
    <n v="-12759.763680000002"/>
    <n v="-1.4410848745682701"/>
  </r>
  <r>
    <x v="100"/>
    <d v="2025-01-27T00:00:00"/>
    <d v="2025-02-15T00:00:00"/>
    <x v="7"/>
    <s v="Jan-2025"/>
    <s v="Q1-2025"/>
    <s v="Asia"/>
    <x v="9"/>
    <s v="Shenzhen"/>
    <s v="Non-Profit"/>
    <s v="Direct"/>
    <s v="L. Okafor"/>
    <x v="3"/>
    <s v="PHN-8368"/>
    <n v="1253.22"/>
    <s v="High"/>
    <n v="3104.71"/>
    <n v="0"/>
    <n v="17"/>
    <n v="31422.63"/>
    <n v="21304.74"/>
    <n v="10117.89"/>
    <n v="0.3219937350883742"/>
  </r>
  <r>
    <x v="101"/>
    <d v="2024-01-13T00:00:00"/>
    <d v="2024-01-22T00:00:00"/>
    <x v="25"/>
    <s v="Jan-2024"/>
    <s v="Q1-2024"/>
    <s v="Asia"/>
    <x v="4"/>
    <s v="Mumbai"/>
    <s v="Enterprise"/>
    <s v="Marketplace"/>
    <s v="J. Njeri"/>
    <x v="0"/>
    <s v="CMP-8141"/>
    <n v="313.60000000000002"/>
    <s v="High"/>
    <n v="334.28"/>
    <n v="0.14000000000000001"/>
    <n v="22"/>
    <n v="854.99479999999994"/>
    <n v="6899.2000000000007"/>
    <n v="-6044.2052000000003"/>
    <n v="-7.0692888424584579"/>
  </r>
  <r>
    <x v="102"/>
    <d v="2025-03-31T00:00:00"/>
    <d v="2025-04-04T00:00:00"/>
    <x v="3"/>
    <s v="Mar-2025"/>
    <s v="Q1-2025"/>
    <s v="Africa"/>
    <x v="0"/>
    <s v="Nakuru"/>
    <s v="Corporate"/>
    <s v="Direct"/>
    <s v="C. Otieno"/>
    <x v="4"/>
    <s v="LAP-7136"/>
    <n v="862.08"/>
    <s v="High"/>
    <n v="1952.83"/>
    <n v="0"/>
    <n v="7"/>
    <n v="2527.7000000000003"/>
    <n v="6034.56"/>
    <n v="-3506.86"/>
    <n v="-1.3873719191359732"/>
  </r>
  <r>
    <x v="103"/>
    <d v="2024-12-05T00:00:00"/>
    <d v="2024-12-28T00:00:00"/>
    <x v="21"/>
    <s v="Dec-2024"/>
    <s v="Q4-2024"/>
    <s v="Americas"/>
    <x v="3"/>
    <s v="Vancouver"/>
    <s v="Corporate"/>
    <s v="Direct"/>
    <s v="F. Müller"/>
    <x v="6"/>
    <s v="ACC-2386"/>
    <n v="107.03"/>
    <s v="High"/>
    <n v="242.29"/>
    <n v="0.18"/>
    <n v="30"/>
    <n v="24706.764000000003"/>
    <n v="3210.9"/>
    <n v="21495.864000000001"/>
    <n v="0.87003963772835646"/>
  </r>
  <r>
    <x v="104"/>
    <d v="2024-09-14T00:00:00"/>
    <d v="2024-10-05T00:00:00"/>
    <x v="28"/>
    <s v="Sept-2024"/>
    <s v="Q3-2024"/>
    <s v="Asia"/>
    <x v="9"/>
    <s v="Shanghai"/>
    <s v="Small Business"/>
    <s v="Online"/>
    <s v="H. Kim"/>
    <x v="4"/>
    <s v="LAP-5150"/>
    <n v="1405.56"/>
    <s v="High"/>
    <n v="2968.87"/>
    <n v="0.16900000000000001"/>
    <n v="5"/>
    <n v="4270.2181499999997"/>
    <n v="7027.7999999999993"/>
    <n v="-2757.5818499999996"/>
    <n v="-0.64577072016800818"/>
  </r>
  <r>
    <x v="105"/>
    <d v="2024-05-21T00:00:00"/>
    <d v="2024-05-27T00:00:00"/>
    <x v="30"/>
    <s v="May-2024"/>
    <s v="Q2-2024"/>
    <s v="Africa"/>
    <x v="11"/>
    <s v="Johannesburg"/>
    <s v="Non-Profit"/>
    <s v="Online"/>
    <s v="M. Rossi"/>
    <x v="0"/>
    <s v="CMP-8101"/>
    <n v="1157.51"/>
    <s v="High"/>
    <n v="1394.3"/>
    <n v="0.27800000000000002"/>
    <n v="12"/>
    <n v="4055.5317599999998"/>
    <n v="13890.119999999999"/>
    <n v="-9834.5882399999991"/>
    <n v="-2.4249811916156712"/>
  </r>
  <r>
    <x v="106"/>
    <d v="2023-05-11T00:00:00"/>
    <d v="2023-06-07T00:00:00"/>
    <x v="29"/>
    <s v="May-2023"/>
    <s v="Q2-2023"/>
    <s v="Africa"/>
    <x v="0"/>
    <s v="Mombasa"/>
    <s v="Corporate"/>
    <s v="Online"/>
    <s v="J. Njeri"/>
    <x v="3"/>
    <s v="PHN-8970"/>
    <n v="12.85"/>
    <s v="Low"/>
    <n v="15.41"/>
    <n v="0.13700000000000001"/>
    <n v="39"/>
    <n v="22483.549139999999"/>
    <n v="501.15"/>
    <n v="21982.399139999998"/>
    <n v="0.97771036961827273"/>
  </r>
  <r>
    <x v="107"/>
    <d v="2024-08-14T00:00:00"/>
    <d v="2024-09-04T00:00:00"/>
    <x v="28"/>
    <s v="Aug-2024"/>
    <s v="Q3-2024"/>
    <s v="Europe"/>
    <x v="8"/>
    <s v="Manchester"/>
    <s v="Non-Profit"/>
    <s v="Online"/>
    <s v="J. Njeri"/>
    <x v="3"/>
    <s v="PHN-2341"/>
    <n v="1138.8"/>
    <s v="High"/>
    <n v="2250.81"/>
    <n v="0.123"/>
    <n v="12"/>
    <n v="5654.22948"/>
    <n v="13665.599999999999"/>
    <n v="-8011.3705199999986"/>
    <n v="-1.4168810353979475"/>
  </r>
  <r>
    <x v="108"/>
    <d v="2024-10-16T00:00:00"/>
    <d v="2024-11-08T00:00:00"/>
    <x v="21"/>
    <s v="Oct-2024"/>
    <s v="Q4-2024"/>
    <s v="Asia"/>
    <x v="2"/>
    <s v="Osaka"/>
    <s v="Small Business"/>
    <s v="Retail"/>
    <s v="J. Njeri"/>
    <x v="2"/>
    <s v="NET-6387"/>
    <n v="82.14"/>
    <s v="Medium"/>
    <n v="166.04"/>
    <n v="0"/>
    <n v="10"/>
    <n v="5727.1"/>
    <n v="821.4"/>
    <n v="4905.7000000000007"/>
    <n v="0.85657662691414516"/>
  </r>
  <r>
    <x v="109"/>
    <d v="2024-06-02T00:00:00"/>
    <d v="2024-06-08T00:00:00"/>
    <x v="30"/>
    <s v="Jun-2024"/>
    <s v="Q2-2024"/>
    <s v="Africa"/>
    <x v="0"/>
    <s v="Kisumu"/>
    <s v="Consumer"/>
    <s v="Marketplace"/>
    <s v="A. Patel"/>
    <x v="6"/>
    <s v="ACC-9820"/>
    <n v="292.94"/>
    <s v="High"/>
    <n v="356.55"/>
    <n v="0.22900000000000001"/>
    <n v="2"/>
    <n v="3583.4075399999997"/>
    <n v="585.88"/>
    <n v="2997.5275399999996"/>
    <n v="0.83650199050482543"/>
  </r>
  <r>
    <x v="110"/>
    <d v="2024-06-09T00:00:00"/>
    <d v="2024-07-07T00:00:00"/>
    <x v="27"/>
    <s v="Jun-2024"/>
    <s v="Q2-2024"/>
    <s v="Asia"/>
    <x v="9"/>
    <s v="Shenzhen"/>
    <s v="Corporate"/>
    <s v="Online"/>
    <s v="J. Njeri"/>
    <x v="0"/>
    <s v="CMP-6392"/>
    <n v="550.22"/>
    <s v="High"/>
    <n v="1025.05"/>
    <n v="0"/>
    <n v="27"/>
    <n v="44038.080000000002"/>
    <n v="14855.94"/>
    <n v="29182.14"/>
    <n v="0.66265695507161071"/>
  </r>
  <r>
    <x v="111"/>
    <d v="2024-06-10T00:00:00"/>
    <d v="2024-06-11T00:00:00"/>
    <x v="1"/>
    <s v="Jun-2024"/>
    <s v="Q2-2024"/>
    <s v="Europe"/>
    <x v="8"/>
    <s v="Birmingham"/>
    <s v="Small Business"/>
    <s v="Marketplace"/>
    <s v="M. Rossi"/>
    <x v="4"/>
    <s v="LAP-9230"/>
    <n v="1187.1300000000001"/>
    <s v="High"/>
    <n v="1795.17"/>
    <n v="1.2E-2"/>
    <n v="17"/>
    <n v="6606.0347600000005"/>
    <n v="20181.210000000003"/>
    <n v="-13575.175240000002"/>
    <n v="-2.0549657598229172"/>
  </r>
  <r>
    <x v="112"/>
    <d v="2024-06-29T00:00:00"/>
    <d v="2024-07-26T00:00:00"/>
    <x v="29"/>
    <s v="Jun-2024"/>
    <s v="Q2-2024"/>
    <s v="Africa"/>
    <x v="11"/>
    <s v="Durban"/>
    <s v="Enterprise"/>
    <s v="Distributor"/>
    <s v="B. Chen"/>
    <x v="2"/>
    <s v="NET-4241"/>
    <n v="5.36"/>
    <s v="Low"/>
    <n v="4.37"/>
    <n v="0.11799999999999999"/>
    <n v="9"/>
    <n v="14734.198080000002"/>
    <n v="48.24"/>
    <n v="14685.958080000002"/>
    <n v="0.99672598401771995"/>
  </r>
  <r>
    <x v="113"/>
    <d v="2025-01-17T00:00:00"/>
    <d v="2025-01-24T00:00:00"/>
    <x v="20"/>
    <s v="Jan-2025"/>
    <s v="Q1-2025"/>
    <s v="Americas"/>
    <x v="10"/>
    <s v="Austin"/>
    <s v="Enterprise"/>
    <s v="Online"/>
    <s v="G. Dubois"/>
    <x v="6"/>
    <s v="ACC-4511"/>
    <n v="142.09"/>
    <s v="High"/>
    <n v="218.5"/>
    <n v="0.11899999999999999"/>
    <n v="11"/>
    <n v="822.7659000000001"/>
    <n v="1562.99"/>
    <n v="-740.22409999999991"/>
    <n v="-0.89967766043779862"/>
  </r>
  <r>
    <x v="114"/>
    <d v="2023-11-20T00:00:00"/>
    <d v="2023-12-05T00:00:00"/>
    <x v="15"/>
    <s v="Nov-2023"/>
    <s v="Q4-2023"/>
    <s v="Asia"/>
    <x v="2"/>
    <s v="Tokyo"/>
    <s v="Enterprise"/>
    <s v="Retail"/>
    <s v="L. Okafor"/>
    <x v="2"/>
    <s v="NET-3033"/>
    <n v="354.24"/>
    <s v="High"/>
    <n v="249.87"/>
    <n v="0"/>
    <n v="6"/>
    <n v="13513.439999999999"/>
    <n v="2125.44"/>
    <n v="11387.999999999998"/>
    <n v="0.84271658437821895"/>
  </r>
  <r>
    <x v="115"/>
    <d v="2023-03-02T00:00:00"/>
    <d v="2023-03-05T00:00:00"/>
    <x v="4"/>
    <s v="Mar-2023"/>
    <s v="Q1-2023"/>
    <s v="Americas"/>
    <x v="5"/>
    <s v="Brasília"/>
    <s v="Enterprise"/>
    <s v="Direct"/>
    <s v="G. Dubois"/>
    <x v="5"/>
    <s v="MON-2828"/>
    <n v="1473.58"/>
    <s v="High"/>
    <n v="3436.52"/>
    <n v="0.108"/>
    <n v="8"/>
    <n v="6576.6803200000004"/>
    <n v="11788.64"/>
    <n v="-5211.959679999999"/>
    <n v="-0.79249095689662452"/>
  </r>
  <r>
    <x v="116"/>
    <d v="2025-06-03T00:00:00"/>
    <d v="2025-06-10T00:00:00"/>
    <x v="20"/>
    <s v="Jun-2025"/>
    <s v="Q2-2025"/>
    <s v="Americas"/>
    <x v="3"/>
    <s v="Toronto"/>
    <s v="Consumer"/>
    <s v="Distributor"/>
    <s v="O. Wang"/>
    <x v="1"/>
    <s v="PRN-6429"/>
    <n v="75.180000000000007"/>
    <s v="Medium"/>
    <n v="53.45"/>
    <n v="0.157"/>
    <n v="17"/>
    <n v="23548.41258"/>
    <n v="1278.0600000000002"/>
    <n v="22270.352579999999"/>
    <n v="0.94572627791117114"/>
  </r>
  <r>
    <x v="117"/>
    <d v="2024-12-27T00:00:00"/>
    <d v="2025-01-02T00:00:00"/>
    <x v="30"/>
    <s v="Dec-2024"/>
    <s v="Q4-2024"/>
    <s v="Europe"/>
    <x v="6"/>
    <s v="Frankfurt"/>
    <s v="Education"/>
    <s v="Direct"/>
    <s v="F. Müller"/>
    <x v="4"/>
    <s v="LAP-8214"/>
    <n v="1391.99"/>
    <s v="High"/>
    <n v="3469.7"/>
    <n v="0.184"/>
    <n v="23"/>
    <n v="27535.846560000005"/>
    <n v="32015.77"/>
    <n v="-4479.923439999995"/>
    <n v="-0.16269423314218215"/>
  </r>
  <r>
    <x v="118"/>
    <d v="2023-06-09T00:00:00"/>
    <d v="2023-06-19T00:00:00"/>
    <x v="24"/>
    <s v="Jun-2023"/>
    <s v="Q2-2023"/>
    <s v="Asia"/>
    <x v="9"/>
    <s v="Beijing"/>
    <s v="Enterprise"/>
    <s v="Retail"/>
    <s v="F. Müller"/>
    <x v="5"/>
    <s v="MON-9194"/>
    <n v="339.61"/>
    <s v="High"/>
    <n v="621.02"/>
    <n v="7.0999999999999994E-2"/>
    <n v="10"/>
    <n v="9278.4804000000004"/>
    <n v="3396.1000000000004"/>
    <n v="5882.3804"/>
    <n v="0.63398101266668616"/>
  </r>
  <r>
    <x v="119"/>
    <d v="2025-07-09T00:00:00"/>
    <d v="2025-07-18T00:00:00"/>
    <x v="25"/>
    <s v="Jul-2025"/>
    <s v="Q3-2025"/>
    <s v="Americas"/>
    <x v="3"/>
    <s v="Vancouver"/>
    <s v="Education"/>
    <s v="Distributor"/>
    <s v="I. Johnson"/>
    <x v="4"/>
    <s v="LAP-2218"/>
    <n v="57.96"/>
    <s v="Medium"/>
    <n v="88.51"/>
    <n v="4.2999999999999997E-2"/>
    <n v="7"/>
    <n v="4225.1932799999995"/>
    <n v="405.72"/>
    <n v="3819.4732799999992"/>
    <n v="0.90397599041907017"/>
  </r>
  <r>
    <x v="120"/>
    <d v="2025-06-19T00:00:00"/>
    <d v="2025-07-12T00:00:00"/>
    <x v="21"/>
    <s v="Jun-2025"/>
    <s v="Q2-2025"/>
    <s v="Europe"/>
    <x v="8"/>
    <s v="Not Provided"/>
    <s v="Non-Profit"/>
    <s v="Direct"/>
    <s v="Not Provided"/>
    <x v="2"/>
    <s v="NET-6370"/>
    <n v="801.24"/>
    <s v="High"/>
    <n v="1959.09"/>
    <n v="0.123"/>
    <n v="23"/>
    <n v="14696.792309999999"/>
    <n v="18428.52"/>
    <n v="-3731.7276900000015"/>
    <n v="-0.25391443325091134"/>
  </r>
  <r>
    <x v="121"/>
    <d v="2023-11-19T00:00:00"/>
    <d v="2023-12-13T00:00:00"/>
    <x v="10"/>
    <s v="Nov-2023"/>
    <s v="Q4-2023"/>
    <s v="Europe"/>
    <x v="7"/>
    <s v="Lyon"/>
    <s v="Non-Profit"/>
    <s v="Direct"/>
    <s v="H. Kim"/>
    <x v="5"/>
    <s v="MON-3745"/>
    <n v="1297.42"/>
    <s v="High"/>
    <n v="2742.97"/>
    <n v="6.9000000000000006E-2"/>
    <n v="9"/>
    <n v="7972.7022900000002"/>
    <n v="11676.78"/>
    <n v="-3704.0777100000005"/>
    <n v="-0.46459501123551927"/>
  </r>
  <r>
    <x v="122"/>
    <d v="2023-12-29T00:00:00"/>
    <d v="2024-01-20T00:00:00"/>
    <x v="22"/>
    <s v="Dec-2023"/>
    <s v="Q4-2023"/>
    <s v="Africa"/>
    <x v="0"/>
    <s v="Kisumu"/>
    <s v="Corporate"/>
    <s v="Direct"/>
    <s v="L. Okafor"/>
    <x v="3"/>
    <s v="PHN-7924"/>
    <n v="1395.49"/>
    <s v="High"/>
    <n v="1679.42"/>
    <n v="0.20300000000000001"/>
    <n v="12"/>
    <n v="7009.2643199999993"/>
    <n v="16745.88"/>
    <n v="-9736.6156800000026"/>
    <n v="-1.3891066502111884"/>
  </r>
  <r>
    <x v="123"/>
    <d v="2024-11-02T00:00:00"/>
    <d v="2024-11-29T00:00:00"/>
    <x v="29"/>
    <s v="Nov-2024"/>
    <s v="Q4-2024"/>
    <s v="Americas"/>
    <x v="5"/>
    <s v="Brasília"/>
    <s v="Small Business"/>
    <s v="Direct"/>
    <s v="I. Johnson"/>
    <x v="2"/>
    <s v="NET-8561"/>
    <n v="1363.51"/>
    <s v="High"/>
    <n v="1433.9"/>
    <n v="5.7000000000000002E-2"/>
    <n v="8"/>
    <n v="18192.506879999997"/>
    <n v="10908.08"/>
    <n v="7284.4268799999973"/>
    <n v="0.4004080871343883"/>
  </r>
  <r>
    <x v="124"/>
    <d v="2023-08-21T00:00:00"/>
    <d v="2023-09-04T00:00:00"/>
    <x v="17"/>
    <s v="Aug-2023"/>
    <s v="Q3-2023"/>
    <s v="Americas"/>
    <x v="3"/>
    <s v="Montreal"/>
    <s v="Education"/>
    <s v="Distributor"/>
    <s v="F. Müller"/>
    <x v="0"/>
    <s v="CMP-2136"/>
    <n v="178.19"/>
    <s v="High"/>
    <n v="284.43"/>
    <n v="8.8999999999999996E-2"/>
    <n v="8"/>
    <n v="4141.6975199999997"/>
    <n v="1425.52"/>
    <n v="2716.1775199999997"/>
    <n v="0.65581262438498888"/>
  </r>
  <r>
    <x v="125"/>
    <d v="2023-08-12T00:00:00"/>
    <d v="2023-09-06T00:00:00"/>
    <x v="2"/>
    <s v="Aug-2023"/>
    <s v="Q3-2023"/>
    <s v="Asia"/>
    <x v="9"/>
    <s v="Shanghai"/>
    <s v="Small Business"/>
    <s v="Retail"/>
    <s v="B. Chen"/>
    <x v="0"/>
    <s v="CMP-6352"/>
    <n v="950.77"/>
    <s v="High"/>
    <n v="694.78"/>
    <n v="8.4000000000000005E-2"/>
    <n v="14"/>
    <n v="16093.478800000001"/>
    <n v="13310.779999999999"/>
    <n v="2782.6988000000019"/>
    <n v="0.17290847023081185"/>
  </r>
  <r>
    <x v="126"/>
    <d v="2024-06-07T00:00:00"/>
    <d v="2024-06-26T00:00:00"/>
    <x v="7"/>
    <s v="Jun-2024"/>
    <s v="Q2-2024"/>
    <s v="Europe"/>
    <x v="6"/>
    <s v="Berlin"/>
    <s v="Non-Profit"/>
    <s v="Marketplace"/>
    <s v="M. Rossi"/>
    <x v="0"/>
    <s v="CMP-2040"/>
    <n v="1064.32"/>
    <s v="High"/>
    <n v="1848.39"/>
    <n v="7.2999999999999995E-2"/>
    <n v="38"/>
    <n v="29785.344300000001"/>
    <n v="40444.159999999996"/>
    <n v="-10658.815699999996"/>
    <n v="-0.35785437269563458"/>
  </r>
  <r>
    <x v="127"/>
    <d v="2025-08-05T00:00:00"/>
    <d v="2025-08-14T00:00:00"/>
    <x v="25"/>
    <s v="Aug-2025"/>
    <s v="Q3-2025"/>
    <s v="Europe"/>
    <x v="8"/>
    <s v="London"/>
    <s v="Non-Profit"/>
    <s v="Direct"/>
    <s v="E. Garcia"/>
    <x v="0"/>
    <s v="CMP-6346"/>
    <n v="41.76"/>
    <s v="Low"/>
    <n v="45.19"/>
    <n v="0.17899999999999999"/>
    <n v="23"/>
    <n v="40507.245110000003"/>
    <n v="960.4799999999999"/>
    <n v="39546.76511"/>
    <n v="0.97628868619942533"/>
  </r>
  <r>
    <x v="128"/>
    <d v="2024-05-30T00:00:00"/>
    <d v="2024-06-13T00:00:00"/>
    <x v="17"/>
    <s v="May-2024"/>
    <s v="Q2-2024"/>
    <s v="Americas"/>
    <x v="10"/>
    <s v="San Francisco"/>
    <s v="Small Business"/>
    <s v="Retail"/>
    <s v="F. Müller"/>
    <x v="3"/>
    <s v="PHN-4356"/>
    <n v="157.78"/>
    <s v="High"/>
    <n v="361.1"/>
    <n v="0.187"/>
    <n v="9"/>
    <n v="9877.5109800000009"/>
    <n v="1420.02"/>
    <n v="8457.4909800000005"/>
    <n v="0.85623706185948478"/>
  </r>
  <r>
    <x v="129"/>
    <d v="2023-01-22T00:00:00"/>
    <d v="2023-01-30T00:00:00"/>
    <x v="12"/>
    <s v="Jan-2023"/>
    <s v="Q1-2023"/>
    <s v="Americas"/>
    <x v="10"/>
    <s v="San Francisco"/>
    <s v="Small Business"/>
    <s v="Online"/>
    <s v="A. Patel"/>
    <x v="2"/>
    <s v="NET-4155"/>
    <n v="413.52"/>
    <s v="High"/>
    <n v="1004.34"/>
    <n v="0.111"/>
    <n v="18"/>
    <n v="8440.7349599999998"/>
    <n v="7443.36"/>
    <n v="997.3749600000001"/>
    <n v="0.11816209900281008"/>
  </r>
  <r>
    <x v="130"/>
    <d v="2025-02-12T00:00:00"/>
    <d v="2025-02-28T00:00:00"/>
    <x v="13"/>
    <s v="Feb-2025"/>
    <s v="Q1-2025"/>
    <s v="Americas"/>
    <x v="5"/>
    <s v="São Paulo"/>
    <s v="Non-Profit"/>
    <s v="Direct"/>
    <s v="B. Chen"/>
    <x v="5"/>
    <s v="MON-5179"/>
    <n v="414.95"/>
    <s v="High"/>
    <n v="1027.73"/>
    <n v="6.3E-2"/>
    <n v="8"/>
    <n v="10997.906320000002"/>
    <n v="3319.6"/>
    <n v="7678.3063200000015"/>
    <n v="0.69816073137818835"/>
  </r>
  <r>
    <x v="131"/>
    <d v="2025-03-03T00:00:00"/>
    <d v="2025-03-24T00:00:00"/>
    <x v="28"/>
    <s v="Mar-2025"/>
    <s v="Q1-2025"/>
    <s v="Africa"/>
    <x v="1"/>
    <s v="Abuja"/>
    <s v="Enterprise"/>
    <s v="Direct"/>
    <s v="H. Kim"/>
    <x v="6"/>
    <s v="ACC-4056"/>
    <n v="555.95000000000005"/>
    <s v="High"/>
    <n v="468.09"/>
    <n v="0.14199999999999999"/>
    <n v="11"/>
    <n v="15583.45932"/>
    <n v="6115.4500000000007"/>
    <n v="9468.0093199999992"/>
    <n v="0.60756787858063332"/>
  </r>
  <r>
    <x v="132"/>
    <d v="2023-01-27T00:00:00"/>
    <d v="2023-01-31T00:00:00"/>
    <x v="3"/>
    <s v="Jan-2023"/>
    <s v="Q1-2023"/>
    <s v="Europe"/>
    <x v="8"/>
    <s v="Manchester"/>
    <s v="Enterprise"/>
    <s v="Online"/>
    <s v="N. Brown"/>
    <x v="4"/>
    <s v="LAP-9782"/>
    <n v="941.2"/>
    <s v="High"/>
    <n v="668.02"/>
    <n v="0.22"/>
    <n v="16"/>
    <n v="24737.606400000001"/>
    <n v="15059.2"/>
    <n v="9678.4063999999998"/>
    <n v="0.3912426385763822"/>
  </r>
  <r>
    <x v="133"/>
    <d v="2025-01-09T00:00:00"/>
    <d v="2025-01-15T00:00:00"/>
    <x v="30"/>
    <s v="Jan-2025"/>
    <s v="Q1-2025"/>
    <s v="Asia"/>
    <x v="9"/>
    <s v="Beijing"/>
    <s v="Education"/>
    <s v="Online"/>
    <s v="C. Otieno"/>
    <x v="3"/>
    <s v="PHN-2875"/>
    <n v="304.77999999999997"/>
    <s v="High"/>
    <n v="537.27"/>
    <n v="0.187"/>
    <n v="8"/>
    <n v="16599.638879999999"/>
    <n v="2438.2399999999998"/>
    <n v="14161.398879999999"/>
    <n v="0.85311487691833454"/>
  </r>
  <r>
    <x v="134"/>
    <d v="2024-12-21T00:00:00"/>
    <d v="2024-12-26T00:00:00"/>
    <x v="16"/>
    <s v="Dec-2024"/>
    <s v="Q4-2024"/>
    <s v="Americas"/>
    <x v="10"/>
    <s v="San Francisco"/>
    <s v="Consumer"/>
    <s v="Marketplace"/>
    <s v="M. Rossi"/>
    <x v="1"/>
    <s v="PRN-4788"/>
    <n v="699.57"/>
    <s v="High"/>
    <n v="572.71"/>
    <n v="0.192"/>
    <n v="26"/>
    <n v="10987.39408"/>
    <n v="18188.82"/>
    <n v="-7201.4259199999997"/>
    <n v="-0.65542619729172391"/>
  </r>
  <r>
    <x v="135"/>
    <d v="2023-04-12T00:00:00"/>
    <d v="2023-04-17T00:00:00"/>
    <x v="16"/>
    <s v="Apr-2023"/>
    <s v="Q2-2023"/>
    <s v="Europe"/>
    <x v="7"/>
    <s v="Lyon"/>
    <s v="Enterprise"/>
    <s v="Direct"/>
    <s v="E. Garcia"/>
    <x v="5"/>
    <s v="MON-3043"/>
    <n v="1087.81"/>
    <s v="High"/>
    <n v="2323.87"/>
    <n v="9.4E-2"/>
    <n v="13"/>
    <n v="14342.18838"/>
    <n v="14141.529999999999"/>
    <n v="200.65838000000076"/>
    <n v="1.399077844213902E-2"/>
  </r>
  <r>
    <x v="136"/>
    <d v="2024-12-14T00:00:00"/>
    <d v="2025-01-12T00:00:00"/>
    <x v="11"/>
    <s v="Dec-2024"/>
    <s v="Q4-2024"/>
    <s v="Asia"/>
    <x v="9"/>
    <s v="Shenzhen"/>
    <s v="Education"/>
    <s v="Online"/>
    <s v="J. Njeri"/>
    <x v="0"/>
    <s v="CMP-3720"/>
    <n v="1412.15"/>
    <s v="High"/>
    <n v="1631.04"/>
    <n v="8.9999999999999993E-3"/>
    <n v="6"/>
    <n v="7989.2834400000002"/>
    <n v="8472.9000000000015"/>
    <n v="-483.6165600000013"/>
    <n v="-6.0533158403002073E-2"/>
  </r>
  <r>
    <x v="137"/>
    <d v="2023-03-31T00:00:00"/>
    <d v="2023-04-12T00:00:00"/>
    <x v="8"/>
    <s v="Mar-2023"/>
    <s v="Q1-2023"/>
    <s v="Africa"/>
    <x v="0"/>
    <s v="Mombasa"/>
    <s v="Small Business"/>
    <s v="Online"/>
    <s v="C. Otieno"/>
    <x v="3"/>
    <s v="PHN-8014"/>
    <n v="304.22000000000003"/>
    <s v="High"/>
    <n v="393.31"/>
    <n v="0.26500000000000001"/>
    <n v="15"/>
    <n v="3326.2424999999998"/>
    <n v="4563.3"/>
    <n v="-1237.0575000000003"/>
    <n v="-0.3719083921271526"/>
  </r>
  <r>
    <x v="138"/>
    <d v="2024-11-20T00:00:00"/>
    <d v="2024-12-15T00:00:00"/>
    <x v="2"/>
    <s v="Nov-2024"/>
    <s v="Q4-2024"/>
    <s v="Europe"/>
    <x v="7"/>
    <s v="Paris"/>
    <s v="Corporate"/>
    <s v="Online"/>
    <s v="G. Dubois"/>
    <x v="1"/>
    <s v="PRN-4911"/>
    <n v="1203.58"/>
    <s v="High"/>
    <n v="1856.16"/>
    <n v="0.129"/>
    <n v="22"/>
    <n v="28967.387020000002"/>
    <n v="26478.76"/>
    <n v="2488.6270200000035"/>
    <n v="8.591133947572753E-2"/>
  </r>
  <r>
    <x v="139"/>
    <d v="2024-02-14T00:00:00"/>
    <d v="2024-02-14T00:00:00"/>
    <x v="18"/>
    <s v="Feb-2024"/>
    <s v="Q1-2024"/>
    <s v="Asia"/>
    <x v="9"/>
    <s v="Beijing"/>
    <s v="Corporate"/>
    <s v="Distributor"/>
    <s v="L. Okafor"/>
    <x v="6"/>
    <s v="ACC-1021"/>
    <n v="65.930000000000007"/>
    <s v="Medium"/>
    <n v="84.9"/>
    <n v="0.25900000000000001"/>
    <n v="23"/>
    <n v="35027.455319999994"/>
    <n v="1516.39"/>
    <n v="33511.065319999994"/>
    <n v="0.95670853088964847"/>
  </r>
  <r>
    <x v="140"/>
    <d v="2023-05-02T00:00:00"/>
    <d v="2023-05-18T00:00:00"/>
    <x v="13"/>
    <s v="May-2023"/>
    <s v="Q2-2023"/>
    <s v="Asia"/>
    <x v="4"/>
    <s v="Delhi"/>
    <s v="Small Business"/>
    <s v="Marketplace"/>
    <s v="K. Singh"/>
    <x v="5"/>
    <s v="MON-2266"/>
    <n v="1463.92"/>
    <s v="High"/>
    <n v="2252.2399999999998"/>
    <n v="0.11799999999999999"/>
    <n v="44"/>
    <n v="15179.749199999998"/>
    <n v="64412.480000000003"/>
    <n v="-49232.730800000005"/>
    <n v="-3.2433164837795876"/>
  </r>
  <r>
    <x v="141"/>
    <d v="2024-12-23T00:00:00"/>
    <d v="2025-01-11T00:00:00"/>
    <x v="7"/>
    <s v="Dec-2024"/>
    <s v="Q4-2024"/>
    <s v="Europe"/>
    <x v="6"/>
    <s v="Berlin"/>
    <s v="Education"/>
    <s v="Retail"/>
    <s v="K. Singh"/>
    <x v="3"/>
    <s v="PHN-8057"/>
    <n v="501.81"/>
    <s v="High"/>
    <n v="921.62"/>
    <n v="0.01"/>
    <n v="9"/>
    <n v="16474.322700000001"/>
    <n v="4516.29"/>
    <n v="11958.0327"/>
    <n v="0.72585883606614066"/>
  </r>
  <r>
    <x v="142"/>
    <d v="2023-07-26T00:00:00"/>
    <d v="2023-08-25T00:00:00"/>
    <x v="26"/>
    <s v="Jul-2023"/>
    <s v="Q3-2023"/>
    <s v="Americas"/>
    <x v="10"/>
    <s v="New York"/>
    <s v="Consumer"/>
    <s v="Retail"/>
    <s v="M. Rossi"/>
    <x v="6"/>
    <s v="ACC-7078"/>
    <n v="1261.48"/>
    <s v="High"/>
    <n v="1643.18"/>
    <n v="0.151"/>
    <n v="23"/>
    <n v="27251.100119999996"/>
    <n v="29014.04"/>
    <n v="-1762.9398800000054"/>
    <n v="-6.4692429745475011E-2"/>
  </r>
  <r>
    <x v="143"/>
    <d v="2024-06-15T00:00:00"/>
    <d v="2024-07-06T00:00:00"/>
    <x v="28"/>
    <s v="Jun-2024"/>
    <s v="Q2-2024"/>
    <s v="Americas"/>
    <x v="3"/>
    <s v="Toronto"/>
    <s v="Enterprise"/>
    <s v="Distributor"/>
    <s v="L. Okafor"/>
    <x v="1"/>
    <s v="PRN-4453"/>
    <n v="817.23"/>
    <s v="High"/>
    <n v="1467.17"/>
    <n v="0.245"/>
    <n v="9"/>
    <n v="3655.9817999999996"/>
    <n v="7355.07"/>
    <n v="-3699.0882000000001"/>
    <n v="-1.0117906495048745"/>
  </r>
  <r>
    <x v="144"/>
    <d v="2023-07-05T00:00:00"/>
    <d v="2023-07-14T00:00:00"/>
    <x v="25"/>
    <s v="Jul-2023"/>
    <s v="Q3-2023"/>
    <s v="Americas"/>
    <x v="5"/>
    <s v="Brasília"/>
    <s v="Enterprise"/>
    <s v="Direct"/>
    <s v="B. Chen"/>
    <x v="2"/>
    <s v="NET-2394"/>
    <n v="578.85"/>
    <s v="High"/>
    <n v="998.76"/>
    <n v="8.2000000000000003E-2"/>
    <n v="28"/>
    <n v="31331.119680000003"/>
    <n v="16207.800000000001"/>
    <n v="15123.319680000002"/>
    <n v="0.4826932402819254"/>
  </r>
  <r>
    <x v="145"/>
    <d v="2023-11-30T00:00:00"/>
    <d v="2023-11-29T00:00:00"/>
    <x v="1"/>
    <s v="Nov-2023"/>
    <s v="Q4-2023"/>
    <s v="Africa"/>
    <x v="11"/>
    <s v="Durban"/>
    <s v="Small Business"/>
    <s v="Marketplace"/>
    <s v="E. Garcia"/>
    <x v="4"/>
    <s v="LAP-1525"/>
    <n v="275.56"/>
    <s v="High"/>
    <n v="630.72"/>
    <n v="0.107"/>
    <n v="23"/>
    <n v="42353.882679999995"/>
    <n v="6337.88"/>
    <n v="36016.002679999998"/>
    <n v="0.85035893762361436"/>
  </r>
  <r>
    <x v="146"/>
    <d v="2025-09-11T00:00:00"/>
    <d v="2025-09-28T00:00:00"/>
    <x v="14"/>
    <s v="Sept-2025"/>
    <s v="Q3-2025"/>
    <s v="Africa"/>
    <x v="0"/>
    <s v="Nairobi"/>
    <s v="Non-Profit"/>
    <s v="Distributor"/>
    <s v="J. Njeri"/>
    <x v="4"/>
    <s v="LAP-3278"/>
    <n v="891.46"/>
    <s v="High"/>
    <n v="728.61"/>
    <n v="0.185"/>
    <n v="6"/>
    <n v="49.780199999999994"/>
    <n v="5348.76"/>
    <n v="-5298.9798000000001"/>
    <n v="-106.44753938312824"/>
  </r>
  <r>
    <x v="147"/>
    <d v="2024-04-04T00:00:00"/>
    <d v="2024-04-24T00:00:00"/>
    <x v="9"/>
    <s v="Apr-2024"/>
    <s v="Q2-2024"/>
    <s v="Europe"/>
    <x v="6"/>
    <s v="Frankfurt"/>
    <s v="Non-Profit"/>
    <s v="Direct"/>
    <s v="O. Wang"/>
    <x v="6"/>
    <s v="ACC-6543"/>
    <n v="683.42"/>
    <s v="High"/>
    <n v="951.51"/>
    <n v="0"/>
    <n v="14"/>
    <n v="31944.079999999998"/>
    <n v="9567.8799999999992"/>
    <n v="22376.199999999997"/>
    <n v="0.7004803393930894"/>
  </r>
  <r>
    <x v="148"/>
    <d v="2023-09-14T00:00:00"/>
    <d v="2023-09-16T00:00:00"/>
    <x v="6"/>
    <s v="Sept-2023"/>
    <s v="Q3-2023"/>
    <s v="Europe"/>
    <x v="7"/>
    <s v="Lyon"/>
    <s v="Non-Profit"/>
    <s v="Direct"/>
    <s v="B. Chen"/>
    <x v="1"/>
    <s v="PRN-4432"/>
    <n v="376.83"/>
    <s v="High"/>
    <n v="732.88"/>
    <n v="0.188"/>
    <n v="25"/>
    <n v="5066.2710000000006"/>
    <n v="9420.75"/>
    <n v="-4354.4789999999994"/>
    <n v="-0.85950376519534755"/>
  </r>
  <r>
    <x v="149"/>
    <d v="2024-09-23T00:00:00"/>
    <d v="2024-10-18T00:00:00"/>
    <x v="2"/>
    <s v="Sept-2024"/>
    <s v="Q3-2024"/>
    <s v="Americas"/>
    <x v="3"/>
    <s v="Vancouver"/>
    <s v="Small Business"/>
    <s v="Online"/>
    <s v="N. Brown"/>
    <x v="3"/>
    <s v="PHN-4568"/>
    <n v="1297"/>
    <s v="High"/>
    <n v="2411.52"/>
    <n v="2.1000000000000001E-2"/>
    <n v="18"/>
    <n v="57712.049999999996"/>
    <n v="23346"/>
    <n v="34366.049999999996"/>
    <n v="0.59547442865051581"/>
  </r>
  <r>
    <x v="150"/>
    <d v="2025-04-16T00:00:00"/>
    <d v="2025-05-16T00:00:00"/>
    <x v="18"/>
    <s v="Apr-2025"/>
    <s v="Q2-2025"/>
    <s v="Americas"/>
    <x v="3"/>
    <s v="Montreal"/>
    <s v="Enterprise"/>
    <s v="Distributor"/>
    <s v="K. Singh"/>
    <x v="1"/>
    <s v="PRN-6178"/>
    <n v="763.32"/>
    <s v="High"/>
    <n v="568.29"/>
    <n v="0.13100000000000001"/>
    <n v="16"/>
    <n v="26608.919040000001"/>
    <n v="12213.12"/>
    <n v="14395.79904"/>
    <n v="0.54101404940048248"/>
  </r>
  <r>
    <x v="151"/>
    <d v="2023-07-03T00:00:00"/>
    <d v="2023-07-23T00:00:00"/>
    <x v="9"/>
    <s v="Jul-2023"/>
    <s v="Q3-2023"/>
    <s v="Africa"/>
    <x v="11"/>
    <s v="Johannesburg"/>
    <s v="Small Business"/>
    <s v="Distributor"/>
    <s v="F. Müller"/>
    <x v="4"/>
    <s v="LAP-6342"/>
    <n v="1001.96"/>
    <s v="High"/>
    <n v="1254.95"/>
    <n v="4.4999999999999998E-2"/>
    <n v="18"/>
    <n v="517.24709999999993"/>
    <n v="18035.28"/>
    <n v="-17518.032899999998"/>
    <n v="-33.867822361884677"/>
  </r>
  <r>
    <x v="152"/>
    <d v="2023-12-07T00:00:00"/>
    <d v="2023-12-05T00:00:00"/>
    <x v="6"/>
    <s v="Dec-2023"/>
    <s v="Q4-2023"/>
    <s v="Asia"/>
    <x v="2"/>
    <s v="Tokyo"/>
    <s v="Non-Profit"/>
    <s v="Marketplace"/>
    <s v="H. Kim"/>
    <x v="1"/>
    <s v="PRN-8175"/>
    <n v="1097.5899999999999"/>
    <s v="High"/>
    <n v="845.55"/>
    <n v="0.184"/>
    <n v="6"/>
    <n v="2454.4137600000004"/>
    <n v="6585.5399999999991"/>
    <n v="-4131.1262399999987"/>
    <n v="-1.6831417372757875"/>
  </r>
  <r>
    <x v="153"/>
    <d v="2024-02-18T00:00:00"/>
    <d v="2024-03-04T00:00:00"/>
    <x v="15"/>
    <s v="Feb-2024"/>
    <s v="Q1-2024"/>
    <s v="Africa"/>
    <x v="0"/>
    <s v="Kisumu"/>
    <s v="Education"/>
    <s v="Direct"/>
    <s v="K. Singh"/>
    <x v="1"/>
    <s v="PRN-7089"/>
    <n v="928.68"/>
    <s v="High"/>
    <n v="2145.17"/>
    <n v="0.13600000000000001"/>
    <n v="16"/>
    <n v="5684.1523200000001"/>
    <n v="14858.88"/>
    <n v="-9174.72768"/>
    <n v="-1.6140889904934848"/>
  </r>
  <r>
    <x v="154"/>
    <d v="2023-10-31T00:00:00"/>
    <d v="2023-11-02T00:00:00"/>
    <x v="6"/>
    <s v="Oct-2023"/>
    <s v="Q4-2023"/>
    <s v="Africa"/>
    <x v="0"/>
    <s v="Kisumu"/>
    <s v="Education"/>
    <s v="Retail"/>
    <s v="O. Wang"/>
    <x v="6"/>
    <s v="ACC-4124"/>
    <n v="867.89"/>
    <s v="High"/>
    <n v="1349.94"/>
    <n v="0.184"/>
    <n v="10"/>
    <n v="48.307200000000009"/>
    <n v="8678.9"/>
    <n v="-8630.5928000000004"/>
    <n v="-178.66058889772123"/>
  </r>
  <r>
    <x v="155"/>
    <d v="2024-08-07T00:00:00"/>
    <d v="2024-08-17T00:00:00"/>
    <x v="24"/>
    <s v="Aug-2024"/>
    <s v="Q3-2024"/>
    <s v="Asia"/>
    <x v="2"/>
    <s v="Osaka"/>
    <s v="Consumer"/>
    <s v="Online"/>
    <s v="K. Singh"/>
    <x v="2"/>
    <s v="NET-7924"/>
    <n v="436.58"/>
    <s v="High"/>
    <n v="527.48"/>
    <n v="0.111"/>
    <n v="19"/>
    <n v="37272.187330000001"/>
    <n v="8295.02"/>
    <n v="28977.16733"/>
    <n v="0.77744745897101064"/>
  </r>
  <r>
    <x v="156"/>
    <d v="2024-02-01T00:00:00"/>
    <d v="2024-02-21T00:00:00"/>
    <x v="9"/>
    <s v="Feb-2024"/>
    <s v="Q1-2024"/>
    <s v="Europe"/>
    <x v="7"/>
    <s v="Paris"/>
    <s v="Small Business"/>
    <s v="Marketplace"/>
    <s v="A. Patel"/>
    <x v="2"/>
    <s v="NET-8761"/>
    <n v="656.2"/>
    <s v="High"/>
    <n v="1467.17"/>
    <n v="1.7999999999999999E-2"/>
    <n v="5"/>
    <n v="9391.848"/>
    <n v="3281"/>
    <n v="6110.848"/>
    <n v="0.65065448248310664"/>
  </r>
  <r>
    <x v="157"/>
    <d v="2024-08-27T00:00:00"/>
    <d v="2024-09-18T00:00:00"/>
    <x v="22"/>
    <s v="Aug-2024"/>
    <s v="Q3-2024"/>
    <s v="Asia"/>
    <x v="4"/>
    <s v="Delhi"/>
    <s v="Consumer"/>
    <s v="Direct"/>
    <s v="B. Chen"/>
    <x v="0"/>
    <s v="CMP-3875"/>
    <n v="896.75"/>
    <s v="High"/>
    <n v="1651.14"/>
    <n v="2.5000000000000001E-2"/>
    <n v="15"/>
    <n v="20216.283749999999"/>
    <n v="13451.25"/>
    <n v="6765.0337499999987"/>
    <n v="0.3346329045267778"/>
  </r>
  <r>
    <x v="158"/>
    <d v="2025-02-15T00:00:00"/>
    <d v="2025-02-15T00:00:00"/>
    <x v="18"/>
    <s v="Feb-2025"/>
    <s v="Q1-2025"/>
    <s v="Europe"/>
    <x v="6"/>
    <s v="Frankfurt"/>
    <s v="Small Business"/>
    <s v="Marketplace"/>
    <s v="L. Okafor"/>
    <x v="6"/>
    <s v="ACC-3989"/>
    <n v="815.83"/>
    <s v="High"/>
    <n v="1982.18"/>
    <n v="0.127"/>
    <n v="6"/>
    <n v="7100.6851799999995"/>
    <n v="4894.9800000000005"/>
    <n v="2205.705179999999"/>
    <n v="0.31063272403804826"/>
  </r>
  <r>
    <x v="159"/>
    <d v="2025-08-01T00:00:00"/>
    <d v="2025-08-21T00:00:00"/>
    <x v="9"/>
    <s v="Aug-2025"/>
    <s v="Q3-2025"/>
    <s v="Asia"/>
    <x v="9"/>
    <s v="Shanghai"/>
    <s v="Corporate"/>
    <s v="Direct"/>
    <s v="I. Johnson"/>
    <x v="3"/>
    <s v="PHN-9234"/>
    <n v="1220.4100000000001"/>
    <s v="High"/>
    <n v="2552.2199999999998"/>
    <n v="0.18099999999999999"/>
    <n v="14"/>
    <n v="10180.661399999999"/>
    <n v="17085.740000000002"/>
    <n v="-6905.0786000000026"/>
    <n v="-0.6782544206803699"/>
  </r>
  <r>
    <x v="160"/>
    <d v="2023-02-20T00:00:00"/>
    <d v="2023-03-04T00:00:00"/>
    <x v="8"/>
    <s v="Feb-2023"/>
    <s v="Q1-2023"/>
    <s v="Asia"/>
    <x v="4"/>
    <s v="Delhi"/>
    <s v="Consumer"/>
    <s v="Distributor"/>
    <s v="M. Rossi"/>
    <x v="5"/>
    <s v="MON-9906"/>
    <n v="299.75"/>
    <s v="High"/>
    <n v="523.01"/>
    <n v="0.157"/>
    <n v="50"/>
    <n v="43022.083500000001"/>
    <n v="14987.5"/>
    <n v="28034.583500000001"/>
    <n v="0.65163239943969709"/>
  </r>
  <r>
    <x v="161"/>
    <d v="2024-10-30T00:00:00"/>
    <d v="2024-11-24T00:00:00"/>
    <x v="2"/>
    <s v="Oct-2024"/>
    <s v="Q4-2024"/>
    <s v="Asia"/>
    <x v="9"/>
    <s v="Shenzhen"/>
    <s v="Small Business"/>
    <s v="Online"/>
    <s v="E. Garcia"/>
    <x v="0"/>
    <s v="CMP-4610"/>
    <n v="811.05"/>
    <s v="High"/>
    <n v="1217.71"/>
    <n v="7.1999999999999995E-2"/>
    <n v="5"/>
    <n v="6475.2592000000004"/>
    <n v="4055.25"/>
    <n v="2420.0092000000004"/>
    <n v="0.37373163378540897"/>
  </r>
  <r>
    <x v="162"/>
    <d v="2024-04-03T00:00:00"/>
    <d v="2024-04-07T00:00:00"/>
    <x v="3"/>
    <s v="Apr-2024"/>
    <s v="Q2-2024"/>
    <s v="Americas"/>
    <x v="5"/>
    <s v="Brasília"/>
    <s v="Non-Profit"/>
    <s v="Direct"/>
    <s v="N. Brown"/>
    <x v="3"/>
    <s v="PHN-5445"/>
    <n v="1023.27"/>
    <s v="High"/>
    <n v="1343.64"/>
    <n v="0.13300000000000001"/>
    <n v="7"/>
    <n v="13797.385980000001"/>
    <n v="7162.8899999999994"/>
    <n v="6634.4959800000015"/>
    <n v="0.48085166201895302"/>
  </r>
  <r>
    <x v="163"/>
    <d v="2023-03-25T00:00:00"/>
    <d v="2023-03-26T00:00:00"/>
    <x v="1"/>
    <s v="Mar-2023"/>
    <s v="Q1-2023"/>
    <s v="Asia"/>
    <x v="2"/>
    <s v="Osaka"/>
    <s v="Small Business"/>
    <s v="Distributor"/>
    <s v="I. Johnson"/>
    <x v="5"/>
    <s v="MON-9227"/>
    <n v="135.12"/>
    <s v="High"/>
    <n v="301.7"/>
    <n v="0.14000000000000001"/>
    <n v="47"/>
    <n v="50207.703000000001"/>
    <n v="6350.64"/>
    <n v="43857.063000000002"/>
    <n v="0.87351263609888707"/>
  </r>
  <r>
    <x v="164"/>
    <d v="2024-06-04T00:00:00"/>
    <d v="2024-06-16T00:00:00"/>
    <x v="8"/>
    <s v="Jun-2024"/>
    <s v="Q2-2024"/>
    <s v="Asia"/>
    <x v="9"/>
    <s v="Shanghai"/>
    <s v="Corporate"/>
    <s v="Retail"/>
    <s v="J. Njeri"/>
    <x v="1"/>
    <s v="PRN-4097"/>
    <n v="918.42"/>
    <s v="High"/>
    <n v="1511.71"/>
    <n v="0.02"/>
    <n v="8"/>
    <n v="10272.6736"/>
    <n v="7347.36"/>
    <n v="2925.3136000000004"/>
    <n v="0.28476652855007489"/>
  </r>
  <r>
    <x v="165"/>
    <d v="2023-02-19T00:00:00"/>
    <d v="2023-03-12T00:00:00"/>
    <x v="28"/>
    <s v="Feb-2023"/>
    <s v="Q1-2023"/>
    <s v="Europe"/>
    <x v="6"/>
    <s v="Berlin"/>
    <s v="Small Business"/>
    <s v="Direct"/>
    <s v="L. Okafor"/>
    <x v="5"/>
    <s v="MON-6699"/>
    <n v="1234.81"/>
    <s v="High"/>
    <n v="2055.2399999999998"/>
    <n v="5.2999999999999999E-2"/>
    <n v="44"/>
    <n v="40303.373"/>
    <n v="54331.64"/>
    <n v="-14028.267"/>
    <n v="-0.34806682309195314"/>
  </r>
  <r>
    <x v="166"/>
    <d v="2023-04-18T00:00:00"/>
    <d v="2023-05-18T00:00:00"/>
    <x v="18"/>
    <s v="Apr-2023"/>
    <s v="Q2-2023"/>
    <s v="Asia"/>
    <x v="9"/>
    <s v="Shenzhen"/>
    <s v="Non-Profit"/>
    <s v="Retail"/>
    <s v="H. Kim"/>
    <x v="4"/>
    <s v="LAP-1482"/>
    <n v="329.03"/>
    <s v="High"/>
    <n v="391.15"/>
    <n v="0.19700000000000001"/>
    <n v="46"/>
    <n v="32735.194359999998"/>
    <n v="15135.38"/>
    <n v="17599.814359999997"/>
    <n v="0.53764196926552166"/>
  </r>
  <r>
    <x v="167"/>
    <d v="2024-05-23T00:00:00"/>
    <d v="2024-06-14T00:00:00"/>
    <x v="22"/>
    <s v="May-2024"/>
    <s v="Q2-2024"/>
    <s v="Europe"/>
    <x v="7"/>
    <s v="Marseille"/>
    <s v="Small Business"/>
    <s v="Online"/>
    <s v="N. Brown"/>
    <x v="5"/>
    <s v="MON-2100"/>
    <n v="1481.74"/>
    <s v="High"/>
    <n v="1848.97"/>
    <n v="0.254"/>
    <n v="9"/>
    <n v="5308.1555399999997"/>
    <n v="13335.66"/>
    <n v="-8027.5044600000001"/>
    <n v="-1.5122963898680333"/>
  </r>
  <r>
    <x v="168"/>
    <d v="2023-10-07T00:00:00"/>
    <d v="2023-10-23T00:00:00"/>
    <x v="13"/>
    <s v="Oct-2023"/>
    <s v="Q4-2023"/>
    <s v="Asia"/>
    <x v="4"/>
    <s v="Hyderabad"/>
    <s v="Consumer"/>
    <s v="Retail"/>
    <s v="G. Dubois"/>
    <x v="5"/>
    <s v="MON-7602"/>
    <n v="906.81"/>
    <s v="High"/>
    <n v="1395.56"/>
    <n v="0.185"/>
    <n v="6"/>
    <n v="1766.9036999999998"/>
    <n v="5440.86"/>
    <n v="-3673.9562999999998"/>
    <n v="-2.079318923832691"/>
  </r>
  <r>
    <x v="169"/>
    <d v="2024-10-09T00:00:00"/>
    <d v="2024-11-08T00:00:00"/>
    <x v="26"/>
    <s v="Oct-2024"/>
    <s v="Q4-2024"/>
    <s v="Europe"/>
    <x v="8"/>
    <s v="Manchester"/>
    <s v="Small Business"/>
    <s v="Distributor"/>
    <s v="J. Njeri"/>
    <x v="0"/>
    <s v="CMP-1072"/>
    <n v="343.85"/>
    <s v="High"/>
    <n v="538.04"/>
    <n v="0.13900000000000001"/>
    <n v="5"/>
    <n v="8403.5321999999996"/>
    <n v="1719.25"/>
    <n v="6684.2821999999996"/>
    <n v="0.79541340961363838"/>
  </r>
  <r>
    <x v="170"/>
    <d v="2024-07-15T00:00:00"/>
    <d v="2024-07-15T00:00:00"/>
    <x v="18"/>
    <s v="Jul-2024"/>
    <s v="Q3-2024"/>
    <s v="Asia"/>
    <x v="2"/>
    <s v="Tokyo"/>
    <s v="Small Business"/>
    <s v="Marketplace"/>
    <s v="G. Dubois"/>
    <x v="6"/>
    <s v="ACC-2735"/>
    <n v="801.77"/>
    <s v="High"/>
    <n v="1218.92"/>
    <n v="0.254"/>
    <n v="16"/>
    <n v="18676.97536"/>
    <n v="12828.32"/>
    <n v="5848.6553600000007"/>
    <n v="0.31314788648947495"/>
  </r>
  <r>
    <x v="171"/>
    <d v="2023-09-21T00:00:00"/>
    <d v="2023-10-10T00:00:00"/>
    <x v="7"/>
    <s v="Sept-2023"/>
    <s v="Q3-2023"/>
    <s v="Asia"/>
    <x v="2"/>
    <s v="Tokyo"/>
    <s v="Education"/>
    <s v="Online"/>
    <s v="D. Smith"/>
    <x v="0"/>
    <s v="CMP-5211"/>
    <n v="845.63"/>
    <s v="High"/>
    <n v="2062.12"/>
    <n v="0.13400000000000001"/>
    <n v="5"/>
    <n v="3691.4982"/>
    <n v="4228.1499999999996"/>
    <n v="-536.65179999999964"/>
    <n v="-0.1453750674996942"/>
  </r>
  <r>
    <x v="172"/>
    <d v="2023-02-24T00:00:00"/>
    <d v="2023-03-09T00:00:00"/>
    <x v="19"/>
    <s v="Feb-2023"/>
    <s v="Q1-2023"/>
    <s v="Americas"/>
    <x v="10"/>
    <s v="New York"/>
    <s v="Enterprise"/>
    <s v="Online"/>
    <s v="M. Rossi"/>
    <x v="0"/>
    <s v="CMP-1632"/>
    <n v="6.85"/>
    <s v="Low"/>
    <n v="10.18"/>
    <n v="4.7E-2"/>
    <n v="10"/>
    <n v="13964.213699999998"/>
    <n v="68.5"/>
    <n v="13895.713699999998"/>
    <n v="0.99509460385871928"/>
  </r>
  <r>
    <x v="173"/>
    <d v="2025-05-21T00:00:00"/>
    <d v="2025-05-19T00:00:00"/>
    <x v="6"/>
    <s v="May-2025"/>
    <s v="Q2-2025"/>
    <s v="Africa"/>
    <x v="11"/>
    <s v="Johannesburg"/>
    <s v="Non-Profit"/>
    <s v="Distributor"/>
    <s v="O. Wang"/>
    <x v="4"/>
    <s v="LAP-7099"/>
    <n v="1263.8399999999999"/>
    <s v="High"/>
    <n v="2281.7199999999998"/>
    <n v="7.8E-2"/>
    <n v="15"/>
    <n v="36583.530899999998"/>
    <n v="18957.599999999999"/>
    <n v="17625.930899999999"/>
    <n v="0.48179960945213191"/>
  </r>
  <r>
    <x v="174"/>
    <d v="2024-05-23T00:00:00"/>
    <d v="2024-06-03T00:00:00"/>
    <x v="23"/>
    <s v="May-2024"/>
    <s v="Q2-2024"/>
    <s v="Africa"/>
    <x v="11"/>
    <s v="Johannesburg"/>
    <s v="Small Business"/>
    <s v="Distributor"/>
    <s v="F. Müller"/>
    <x v="1"/>
    <s v="PRN-3785"/>
    <n v="180.89"/>
    <s v="High"/>
    <n v="249.57"/>
    <n v="2.1999999999999999E-2"/>
    <n v="8"/>
    <n v="6897.4036800000003"/>
    <n v="1447.12"/>
    <n v="5450.2836800000005"/>
    <n v="0.79019351815000627"/>
  </r>
  <r>
    <x v="175"/>
    <d v="2025-04-14T00:00:00"/>
    <d v="2025-05-04T00:00:00"/>
    <x v="9"/>
    <s v="Apr-2025"/>
    <s v="Q2-2025"/>
    <s v="Europe"/>
    <x v="8"/>
    <s v="Birmingham"/>
    <s v="Enterprise"/>
    <s v="Marketplace"/>
    <s v="K. Singh"/>
    <x v="5"/>
    <s v="MON-6962"/>
    <n v="1413.87"/>
    <s v="High"/>
    <n v="3275"/>
    <n v="0.255"/>
    <n v="38"/>
    <n v="17694.882399999999"/>
    <n v="53727.06"/>
    <n v="-36032.177599999995"/>
    <n v="-2.0363050053387188"/>
  </r>
  <r>
    <x v="176"/>
    <d v="2023-08-27T00:00:00"/>
    <d v="2023-09-11T00:00:00"/>
    <x v="15"/>
    <s v="Aug-2023"/>
    <s v="Q3-2023"/>
    <s v="Europe"/>
    <x v="8"/>
    <s v="London"/>
    <s v="Consumer"/>
    <s v="Marketplace"/>
    <s v="N. Brown"/>
    <x v="1"/>
    <s v="PRN-5107"/>
    <n v="943.79"/>
    <s v="High"/>
    <n v="1913.76"/>
    <n v="9.0999999999999998E-2"/>
    <n v="9"/>
    <n v="7960.4402400000008"/>
    <n v="8494.11"/>
    <n v="-533.66975999999977"/>
    <n v="-6.7040231935715122E-2"/>
  </r>
  <r>
    <x v="177"/>
    <d v="2024-02-03T00:00:00"/>
    <d v="2024-02-21T00:00:00"/>
    <x v="5"/>
    <s v="Feb-2024"/>
    <s v="Q1-2024"/>
    <s v="Europe"/>
    <x v="6"/>
    <s v="Frankfurt"/>
    <s v="Corporate"/>
    <s v="Retail"/>
    <s v="H. Kim"/>
    <x v="0"/>
    <s v="CMP-9264"/>
    <n v="39.229999999999997"/>
    <s v="Low"/>
    <n v="30.09"/>
    <n v="0.17699999999999999"/>
    <n v="13"/>
    <n v="16533.592659999998"/>
    <n v="509.98999999999995"/>
    <n v="16023.602659999999"/>
    <n v="0.96915431446222655"/>
  </r>
  <r>
    <x v="178"/>
    <d v="2023-04-05T00:00:00"/>
    <d v="2023-04-16T00:00:00"/>
    <x v="23"/>
    <s v="Apr-2023"/>
    <s v="Q2-2023"/>
    <s v="Americas"/>
    <x v="3"/>
    <s v="Vancouver"/>
    <s v="Non-Profit"/>
    <s v="Online"/>
    <s v="O. Wang"/>
    <x v="5"/>
    <s v="MON-5259"/>
    <n v="213.1"/>
    <s v="High"/>
    <n v="501.31"/>
    <n v="5.6000000000000001E-2"/>
    <n v="15"/>
    <n v="31908.427200000002"/>
    <n v="3196.5"/>
    <n v="28711.927200000002"/>
    <n v="0.89982270263700115"/>
  </r>
  <r>
    <x v="179"/>
    <d v="2025-08-21T00:00:00"/>
    <d v="2025-09-12T00:00:00"/>
    <x v="22"/>
    <s v="Aug-2025"/>
    <s v="Q3-2025"/>
    <s v="Asia"/>
    <x v="9"/>
    <s v="Shenzhen"/>
    <s v="Education"/>
    <s v="Retail"/>
    <s v="B. Chen"/>
    <x v="1"/>
    <s v="PRN-8137"/>
    <n v="352.66"/>
    <s v="High"/>
    <n v="411.18"/>
    <n v="0.17299999999999999"/>
    <n v="13"/>
    <n v="26302.966559999997"/>
    <n v="4584.58"/>
    <n v="21718.386559999999"/>
    <n v="0.82570102921501043"/>
  </r>
  <r>
    <x v="180"/>
    <d v="2025-09-15T00:00:00"/>
    <d v="2025-09-18T00:00:00"/>
    <x v="4"/>
    <s v="Sept-2025"/>
    <s v="Q3-2025"/>
    <s v="Americas"/>
    <x v="5"/>
    <s v="Rio de Janeiro"/>
    <s v="Non-Profit"/>
    <s v="Direct"/>
    <s v="L. Okafor"/>
    <x v="6"/>
    <s v="ACC-6777"/>
    <n v="5.5"/>
    <s v="Low"/>
    <n v="5.92"/>
    <n v="0.21199999999999999"/>
    <n v="4"/>
    <n v="593.52160000000003"/>
    <n v="22"/>
    <n v="571.52160000000003"/>
    <n v="0.96293310976382329"/>
  </r>
  <r>
    <x v="181"/>
    <d v="2024-10-03T00:00:00"/>
    <d v="2024-10-11T00:00:00"/>
    <x v="12"/>
    <s v="Oct-2024"/>
    <s v="Q4-2024"/>
    <s v="Asia"/>
    <x v="9"/>
    <s v="Beijing"/>
    <s v="Enterprise"/>
    <s v="Direct"/>
    <s v="B. Chen"/>
    <x v="3"/>
    <s v="PHN-7488"/>
    <n v="1132.6099999999999"/>
    <s v="High"/>
    <n v="2206.63"/>
    <n v="6.3E-2"/>
    <n v="20"/>
    <n v="48027.621600000006"/>
    <n v="22652.199999999997"/>
    <n v="25375.421600000009"/>
    <n v="0.52835057732694402"/>
  </r>
  <r>
    <x v="182"/>
    <d v="2025-02-02T00:00:00"/>
    <d v="2025-03-04T00:00:00"/>
    <x v="6"/>
    <s v="Feb-2025"/>
    <s v="Q1-2025"/>
    <s v="Asia"/>
    <x v="2"/>
    <s v="Osaka"/>
    <s v="Education"/>
    <s v="Distributor"/>
    <s v="L. Okafor"/>
    <x v="6"/>
    <s v="ACC-9591"/>
    <n v="766.59"/>
    <s v="High"/>
    <n v="1912.8"/>
    <n v="0.19600000000000001"/>
    <n v="5"/>
    <n v="7256.5421999999999"/>
    <n v="3832.9500000000003"/>
    <n v="3423.5921999999996"/>
    <n v="0.47179388001078526"/>
  </r>
  <r>
    <x v="183"/>
    <d v="2023-08-19T00:00:00"/>
    <d v="2023-08-23T00:00:00"/>
    <x v="3"/>
    <s v="Aug-2023"/>
    <s v="Q3-2023"/>
    <s v="Africa"/>
    <x v="1"/>
    <s v="Abuja"/>
    <s v="Small Business"/>
    <s v="Online"/>
    <s v="J. Njeri"/>
    <x v="5"/>
    <s v="MON-5517"/>
    <n v="790.63"/>
    <s v="High"/>
    <n v="1382.31"/>
    <n v="0.10100000000000001"/>
    <n v="7"/>
    <n v="12999.63889"/>
    <n v="5534.41"/>
    <n v="7465.2288900000003"/>
    <n v="0.57426432789164961"/>
  </r>
  <r>
    <x v="184"/>
    <d v="2024-10-22T00:00:00"/>
    <d v="2024-10-29T00:00:00"/>
    <x v="20"/>
    <s v="Oct-2024"/>
    <s v="Q4-2024"/>
    <s v="Africa"/>
    <x v="1"/>
    <s v="Port Harcourt"/>
    <s v="Enterprise"/>
    <s v="Distributor"/>
    <s v="M. Rossi"/>
    <x v="5"/>
    <s v="MON-8758"/>
    <n v="1023.06"/>
    <s v="High"/>
    <n v="1355.61"/>
    <n v="0.153"/>
    <n v="23"/>
    <n v="46101.981310000003"/>
    <n v="23530.379999999997"/>
    <n v="22571.601310000005"/>
    <n v="0.4896015457171683"/>
  </r>
  <r>
    <x v="185"/>
    <d v="2023-06-22T00:00:00"/>
    <d v="2023-07-21T00:00:00"/>
    <x v="11"/>
    <s v="Jun-2023"/>
    <s v="Q2-2023"/>
    <s v="Europe"/>
    <x v="7"/>
    <s v="Lyon"/>
    <s v="Corporate"/>
    <s v="Retail"/>
    <s v="J. Njeri"/>
    <x v="6"/>
    <s v="ACC-3385"/>
    <n v="734.34"/>
    <s v="High"/>
    <n v="887.9"/>
    <n v="2.5000000000000001E-2"/>
    <n v="12"/>
    <n v="1541.5919999999999"/>
    <n v="8812.08"/>
    <n v="-7270.4880000000003"/>
    <n v="-4.7162206342534221"/>
  </r>
  <r>
    <x v="186"/>
    <d v="2025-01-13T00:00:00"/>
    <d v="2025-02-08T00:00:00"/>
    <x v="0"/>
    <s v="Jan-2025"/>
    <s v="Q1-2025"/>
    <s v="Europe"/>
    <x v="7"/>
    <s v="Paris"/>
    <s v="Non-Profit"/>
    <s v="Not Provided"/>
    <s v="E. Garcia"/>
    <x v="5"/>
    <s v="MON-1593"/>
    <n v="594.74"/>
    <s v="High"/>
    <n v="1020.69"/>
    <n v="0.21099999999999999"/>
    <n v="6"/>
    <n v="6319.9846800000005"/>
    <n v="3568.44"/>
    <n v="2751.5446800000004"/>
    <n v="0.43537204903477711"/>
  </r>
  <r>
    <x v="129"/>
    <d v="2023-01-29T00:00:00"/>
    <d v="2023-02-28T00:00:00"/>
    <x v="26"/>
    <s v="Jan-2023"/>
    <s v="Q1-2023"/>
    <s v="Asia"/>
    <x v="4"/>
    <s v="Bengaluru"/>
    <s v="Non-Profit"/>
    <s v="Retail"/>
    <s v="B. Chen"/>
    <x v="6"/>
    <s v="ACC-4631"/>
    <n v="1262.0999999999999"/>
    <s v="High"/>
    <n v="1395.53"/>
    <n v="0.23300000000000001"/>
    <n v="25"/>
    <n v="51608.553749999999"/>
    <n v="31552.499999999996"/>
    <n v="20056.053750000003"/>
    <n v="0.38861879073679723"/>
  </r>
  <r>
    <x v="187"/>
    <d v="2023-07-19T00:00:00"/>
    <d v="2023-07-31T00:00:00"/>
    <x v="8"/>
    <s v="Jul-2023"/>
    <s v="Q3-2023"/>
    <s v="Americas"/>
    <x v="5"/>
    <s v="Rio de Janeiro"/>
    <s v="Corporate"/>
    <s v="Retail"/>
    <s v="C. Otieno"/>
    <x v="5"/>
    <s v="MON-7869"/>
    <n v="1334.64"/>
    <s v="High"/>
    <n v="2273.42"/>
    <n v="0.11799999999999999"/>
    <n v="14"/>
    <n v="9587.7280800000008"/>
    <n v="18684.960000000003"/>
    <n v="-9097.231920000002"/>
    <n v="-0.94884125249409468"/>
  </r>
  <r>
    <x v="188"/>
    <d v="2024-05-19T00:00:00"/>
    <d v="2024-06-08T00:00:00"/>
    <x v="9"/>
    <s v="May-2024"/>
    <s v="Q2-2024"/>
    <s v="Americas"/>
    <x v="5"/>
    <s v="Brasília"/>
    <s v="Small Business"/>
    <s v="Retail"/>
    <s v="E. Garcia"/>
    <x v="5"/>
    <s v="MON-4271"/>
    <n v="1075.9000000000001"/>
    <s v="High"/>
    <n v="1242.1500000000001"/>
    <n v="1.2E-2"/>
    <n v="7"/>
    <n v="2200.4637200000002"/>
    <n v="7531.3000000000011"/>
    <n v="-5330.8362800000014"/>
    <n v="-2.4225967606500691"/>
  </r>
  <r>
    <x v="189"/>
    <d v="2024-02-03T00:00:00"/>
    <d v="2024-02-19T00:00:00"/>
    <x v="13"/>
    <s v="Feb-2024"/>
    <s v="Q1-2024"/>
    <s v="Asia"/>
    <x v="9"/>
    <s v="Shenzhen"/>
    <s v="Small Business"/>
    <s v="Online"/>
    <s v="H. Kim"/>
    <x v="4"/>
    <s v="LAP-5531"/>
    <n v="993.75"/>
    <s v="High"/>
    <n v="1310.29"/>
    <n v="0.215"/>
    <n v="19"/>
    <n v="18590.205150000002"/>
    <n v="18881.25"/>
    <n v="-291.04484999999841"/>
    <n v="-1.5655817009636301E-2"/>
  </r>
  <r>
    <x v="190"/>
    <d v="2023-08-08T00:00:00"/>
    <d v="2023-08-22T00:00:00"/>
    <x v="17"/>
    <s v="Aug-2023"/>
    <s v="Q3-2023"/>
    <s v="Europe"/>
    <x v="8"/>
    <s v="Birmingham"/>
    <s v="Non-Profit"/>
    <s v="Direct"/>
    <s v="N. Brown"/>
    <x v="5"/>
    <s v="MON-7511"/>
    <n v="446.69"/>
    <s v="High"/>
    <n v="967.25"/>
    <n v="9.4E-2"/>
    <n v="10"/>
    <n v="3143.4576000000002"/>
    <n v="4466.8999999999996"/>
    <n v="-1323.4423999999995"/>
    <n v="-0.42101487228585471"/>
  </r>
  <r>
    <x v="191"/>
    <d v="2024-08-12T00:00:00"/>
    <d v="2024-09-03T00:00:00"/>
    <x v="22"/>
    <s v="Aug-2024"/>
    <s v="Q3-2024"/>
    <s v="Americas"/>
    <x v="10"/>
    <s v="Austin"/>
    <s v="Consumer"/>
    <s v="Distributor"/>
    <s v="I. Johnson"/>
    <x v="4"/>
    <s v="LAP-7979"/>
    <n v="797.8"/>
    <s v="High"/>
    <n v="886.22"/>
    <n v="0.23599999999999999"/>
    <n v="36"/>
    <n v="13882.919040000001"/>
    <n v="28720.799999999999"/>
    <n v="-14837.880959999999"/>
    <n v="-1.06878682482038"/>
  </r>
  <r>
    <x v="192"/>
    <d v="2023-10-15T00:00:00"/>
    <d v="2023-11-13T00:00:00"/>
    <x v="11"/>
    <s v="Oct-2023"/>
    <s v="Q4-2023"/>
    <s v="Asia"/>
    <x v="9"/>
    <s v="Shenzhen"/>
    <s v="Non-Profit"/>
    <s v="Distributor"/>
    <s v="J. Njeri"/>
    <x v="1"/>
    <s v="PRN-4983"/>
    <n v="986.44"/>
    <s v="High"/>
    <n v="790.61"/>
    <n v="7.1999999999999995E-2"/>
    <n v="6"/>
    <n v="5219.7772800000002"/>
    <n v="5918.64"/>
    <n v="-698.86272000000008"/>
    <n v="-0.13388745965804888"/>
  </r>
  <r>
    <x v="193"/>
    <d v="2023-05-04T00:00:00"/>
    <d v="2023-05-26T00:00:00"/>
    <x v="22"/>
    <s v="May-2023"/>
    <s v="Q2-2023"/>
    <s v="Americas"/>
    <x v="10"/>
    <s v="San Francisco"/>
    <s v="Enterprise"/>
    <s v="Online"/>
    <s v="J. Njeri"/>
    <x v="2"/>
    <s v="NET-5941"/>
    <n v="249.71"/>
    <s v="High"/>
    <n v="361.33"/>
    <n v="9.4E-2"/>
    <n v="12"/>
    <n v="14139.90576"/>
    <n v="2996.52"/>
    <n v="11143.385759999999"/>
    <n v="0.7880806243789279"/>
  </r>
  <r>
    <x v="194"/>
    <d v="2024-09-22T00:00:00"/>
    <d v="2024-10-01T00:00:00"/>
    <x v="25"/>
    <s v="Sept-2024"/>
    <s v="Q3-2024"/>
    <s v="Americas"/>
    <x v="5"/>
    <s v="São Paulo"/>
    <s v="Non-Profit"/>
    <s v="Online"/>
    <s v="K. Singh"/>
    <x v="5"/>
    <s v="MON-6341"/>
    <n v="1378.8"/>
    <s v="High"/>
    <n v="1952.04"/>
    <n v="0.159"/>
    <n v="19"/>
    <n v="3645.6088500000001"/>
    <n v="26197.200000000001"/>
    <n v="-22551.59115"/>
    <n v="-6.1859601723317077"/>
  </r>
  <r>
    <x v="195"/>
    <d v="2024-10-23T00:00:00"/>
    <d v="2024-11-14T00:00:00"/>
    <x v="22"/>
    <s v="Oct-2024"/>
    <s v="Q4-2024"/>
    <s v="Asia"/>
    <x v="2"/>
    <s v="Osaka"/>
    <s v="Non-Profit"/>
    <s v="Direct"/>
    <s v="B. Chen"/>
    <x v="3"/>
    <s v="PHN-9789"/>
    <n v="1406.4"/>
    <s v="High"/>
    <n v="1564.76"/>
    <n v="0.185"/>
    <n v="17"/>
    <n v="6879.2846"/>
    <n v="23908.800000000003"/>
    <n v="-17029.515400000004"/>
    <n v="-2.4754776681284567"/>
  </r>
  <r>
    <x v="196"/>
    <d v="2024-02-11T00:00:00"/>
    <d v="2024-03-03T00:00:00"/>
    <x v="28"/>
    <s v="Feb-2024"/>
    <s v="Q1-2024"/>
    <s v="Africa"/>
    <x v="0"/>
    <s v="Kisumu"/>
    <s v="Enterprise"/>
    <s v="Online"/>
    <s v="B. Chen"/>
    <x v="3"/>
    <s v="PHN-5082"/>
    <n v="516.86"/>
    <s v="High"/>
    <n v="852.54"/>
    <n v="5.0999999999999997E-2"/>
    <n v="14"/>
    <n v="39076.783199999991"/>
    <n v="7236.04"/>
    <n v="31840.74319999999"/>
    <n v="0.81482508519278518"/>
  </r>
  <r>
    <x v="197"/>
    <d v="2023-01-30T00:00:00"/>
    <d v="2023-02-21T00:00:00"/>
    <x v="22"/>
    <s v="Jan-2023"/>
    <s v="Q1-2023"/>
    <s v="Europe"/>
    <x v="6"/>
    <s v="Munich"/>
    <s v="Small Business"/>
    <s v="Marketplace"/>
    <s v="G. Dubois"/>
    <x v="2"/>
    <s v="NET-3460"/>
    <n v="1142.8800000000001"/>
    <s v="High"/>
    <n v="1465.29"/>
    <n v="0.186"/>
    <n v="7"/>
    <n v="6200.5636000000013"/>
    <n v="8000.1600000000008"/>
    <n v="-1799.5963999999994"/>
    <n v="-0.29023110092766391"/>
  </r>
  <r>
    <x v="198"/>
    <d v="2023-04-14T00:00:00"/>
    <d v="2023-05-13T00:00:00"/>
    <x v="11"/>
    <s v="Apr-2023"/>
    <s v="Q2-2023"/>
    <s v="Europe"/>
    <x v="6"/>
    <s v="Frankfurt"/>
    <s v="Consumer"/>
    <s v="Direct"/>
    <s v="J. Njeri"/>
    <x v="1"/>
    <s v="PRN-7019"/>
    <n v="1320.33"/>
    <s v="High"/>
    <n v="2645.23"/>
    <n v="0.155"/>
    <n v="25"/>
    <n v="53428.293749999997"/>
    <n v="33008.25"/>
    <n v="20420.043749999997"/>
    <n v="0.38219531856189959"/>
  </r>
  <r>
    <x v="199"/>
    <d v="2023-01-13T00:00:00"/>
    <d v="2023-01-19T00:00:00"/>
    <x v="30"/>
    <s v="Jan-2023"/>
    <s v="Q1-2023"/>
    <s v="Americas"/>
    <x v="10"/>
    <s v="Chicago"/>
    <s v="Corporate"/>
    <s v="Direct"/>
    <s v="H. Kim"/>
    <x v="3"/>
    <s v="PHN-3159"/>
    <n v="833.57"/>
    <s v="High"/>
    <n v="881.57"/>
    <n v="5.7000000000000002E-2"/>
    <n v="18"/>
    <n v="45796.021740000004"/>
    <n v="15004.26"/>
    <n v="30791.761740000002"/>
    <n v="0.67236761120464961"/>
  </r>
  <r>
    <x v="200"/>
    <d v="2024-01-12T00:00:00"/>
    <d v="2024-01-29T00:00:00"/>
    <x v="14"/>
    <s v="Jan-2024"/>
    <s v="Q1-2024"/>
    <s v="Americas"/>
    <x v="10"/>
    <s v="Chicago"/>
    <s v="Education"/>
    <s v="Distributor"/>
    <s v="A. Patel"/>
    <x v="1"/>
    <s v="PRN-8604"/>
    <n v="493.76"/>
    <s v="High"/>
    <n v="625.04"/>
    <n v="0.25800000000000001"/>
    <n v="10"/>
    <n v="11002.004999999999"/>
    <n v="4937.6000000000004"/>
    <n v="6064.4049999999988"/>
    <n v="0.55120907507313432"/>
  </r>
  <r>
    <x v="201"/>
    <d v="2023-08-15T00:00:00"/>
    <d v="2023-09-07T00:00:00"/>
    <x v="21"/>
    <s v="Aug-2023"/>
    <s v="Q3-2023"/>
    <s v="Americas"/>
    <x v="10"/>
    <s v="New York"/>
    <s v="Enterprise"/>
    <s v="Online"/>
    <s v="K. Singh"/>
    <x v="3"/>
    <s v="PHN-2013"/>
    <n v="590.33000000000004"/>
    <s v="High"/>
    <n v="973.04"/>
    <n v="0"/>
    <n v="26"/>
    <n v="37877.06"/>
    <n v="15348.580000000002"/>
    <n v="22528.479999999996"/>
    <n v="0.59477900343902079"/>
  </r>
  <r>
    <x v="202"/>
    <d v="2023-01-20T00:00:00"/>
    <d v="2023-02-03T00:00:00"/>
    <x v="17"/>
    <s v="Jan-2023"/>
    <s v="Q1-2023"/>
    <s v="Africa"/>
    <x v="0"/>
    <s v="Kisumu"/>
    <s v="Corporate"/>
    <s v="Retail"/>
    <s v="M. Rossi"/>
    <x v="2"/>
    <s v="NET-6036"/>
    <n v="884.36"/>
    <s v="High"/>
    <n v="1545.34"/>
    <n v="0.24299999999999999"/>
    <n v="41"/>
    <n v="28497.86303"/>
    <n v="36258.76"/>
    <n v="-7760.8969700000016"/>
    <n v="-0.27233259426610423"/>
  </r>
  <r>
    <x v="203"/>
    <d v="2025-02-04T00:00:00"/>
    <d v="2025-02-25T00:00:00"/>
    <x v="28"/>
    <s v="Feb-2025"/>
    <s v="Q1-2025"/>
    <s v="Europe"/>
    <x v="8"/>
    <s v="Birmingham"/>
    <s v="Corporate"/>
    <s v="Marketplace"/>
    <s v="D. Smith"/>
    <x v="5"/>
    <s v="MON-4959"/>
    <n v="1016.32"/>
    <s v="High"/>
    <n v="2253.42"/>
    <n v="5.5E-2"/>
    <n v="12"/>
    <n v="554.97959999999989"/>
    <n v="12195.84"/>
    <n v="-11640.8604"/>
    <n v="-20.97529422703105"/>
  </r>
  <r>
    <x v="204"/>
    <d v="2023-04-19T00:00:00"/>
    <d v="2023-04-28T00:00:00"/>
    <x v="25"/>
    <s v="Apr-2023"/>
    <s v="Q2-2023"/>
    <s v="Europe"/>
    <x v="6"/>
    <s v="Berlin"/>
    <s v="Education"/>
    <s v="Online"/>
    <s v="E. Garcia"/>
    <x v="5"/>
    <s v="MON-1663"/>
    <n v="1178.42"/>
    <s v="High"/>
    <n v="2446.56"/>
    <n v="2.9000000000000001E-2"/>
    <n v="11"/>
    <n v="9957.7894899999992"/>
    <n v="12962.62"/>
    <n v="-3004.8305100000016"/>
    <n v="-0.30175678176542792"/>
  </r>
  <r>
    <x v="205"/>
    <d v="2023-07-02T00:00:00"/>
    <d v="2023-08-01T00:00:00"/>
    <x v="26"/>
    <s v="Jul-2023"/>
    <s v="Q3-2023"/>
    <s v="Europe"/>
    <x v="8"/>
    <s v="Birmingham"/>
    <s v="Small Business"/>
    <s v="Retail"/>
    <s v="B. Chen"/>
    <x v="0"/>
    <s v="CMP-7256"/>
    <n v="137.46"/>
    <s v="Medium"/>
    <n v="188.3"/>
    <n v="3.7999999999999999E-2"/>
    <n v="37"/>
    <n v="11596.169260000001"/>
    <n v="5086.0200000000004"/>
    <n v="6510.1492600000001"/>
    <n v="0.56140516010370822"/>
  </r>
  <r>
    <x v="206"/>
    <d v="2025-01-21T00:00:00"/>
    <d v="2025-02-14T00:00:00"/>
    <x v="10"/>
    <s v="Jan-2025"/>
    <s v="Q1-2025"/>
    <s v="Africa"/>
    <x v="0"/>
    <s v="Nairobi"/>
    <s v="Small Business"/>
    <s v="Retail"/>
    <s v="J. Njeri"/>
    <x v="6"/>
    <s v="ACC-1659"/>
    <n v="1030.44"/>
    <s v="High"/>
    <n v="2562.84"/>
    <n v="0.14799999999999999"/>
    <n v="13"/>
    <n v="4496.5237200000001"/>
    <n v="13395.720000000001"/>
    <n v="-8899.1962800000001"/>
    <n v="-1.9791280629561541"/>
  </r>
  <r>
    <x v="207"/>
    <d v="2024-09-10T00:00:00"/>
    <d v="2024-10-07T00:00:00"/>
    <x v="29"/>
    <s v="Sept-2024"/>
    <s v="Q3-2024"/>
    <s v="Africa"/>
    <x v="0"/>
    <s v="Kisumu"/>
    <s v="Consumer"/>
    <s v="Retail"/>
    <s v="L. Okafor"/>
    <x v="1"/>
    <s v="PRN-6068"/>
    <n v="1248.3900000000001"/>
    <s v="High"/>
    <n v="1805.11"/>
    <n v="0.20300000000000001"/>
    <n v="11"/>
    <n v="13931.376689999999"/>
    <n v="13732.29"/>
    <n v="199.08668999999827"/>
    <n v="1.4290525224467122E-2"/>
  </r>
  <r>
    <x v="208"/>
    <d v="2025-07-21T00:00:00"/>
    <d v="2025-08-07T00:00:00"/>
    <x v="14"/>
    <s v="Jul-2025"/>
    <s v="Q3-2025"/>
    <s v="Africa"/>
    <x v="1"/>
    <s v="Lagos"/>
    <s v="Enterprise"/>
    <s v="Direct"/>
    <s v="M. Rossi"/>
    <x v="6"/>
    <s v="ACC-8999"/>
    <n v="1204.95"/>
    <s v="High"/>
    <n v="2065.73"/>
    <n v="0.13600000000000001"/>
    <n v="10"/>
    <n v="12379.392"/>
    <n v="12049.5"/>
    <n v="329.89199999999983"/>
    <n v="2.6648481605558643E-2"/>
  </r>
  <r>
    <x v="209"/>
    <d v="2024-10-02T00:00:00"/>
    <d v="2024-10-23T00:00:00"/>
    <x v="28"/>
    <s v="Oct-2024"/>
    <s v="Q4-2024"/>
    <s v="Africa"/>
    <x v="11"/>
    <s v="Durban"/>
    <s v="Corporate"/>
    <s v="Marketplace"/>
    <s v="A. Patel"/>
    <x v="0"/>
    <s v="CMP-3978"/>
    <n v="1095.6099999999999"/>
    <s v="High"/>
    <n v="2366.5100000000002"/>
    <n v="0.152"/>
    <n v="9"/>
    <n v="13476.28032"/>
    <n v="9860.49"/>
    <n v="3615.7903200000001"/>
    <n v="0.26830774027710341"/>
  </r>
  <r>
    <x v="210"/>
    <d v="2025-07-14T00:00:00"/>
    <d v="2025-08-04T00:00:00"/>
    <x v="28"/>
    <s v="Jul-2025"/>
    <s v="Q3-2025"/>
    <s v="Americas"/>
    <x v="3"/>
    <s v="Montreal"/>
    <s v="Consumer"/>
    <s v="Online"/>
    <s v="H. Kim"/>
    <x v="5"/>
    <s v="MON-7868"/>
    <n v="90.3"/>
    <s v="Medium"/>
    <n v="131.76"/>
    <n v="0.10199999999999999"/>
    <n v="15"/>
    <n v="37144.063799999996"/>
    <n v="1354.5"/>
    <n v="35789.563799999996"/>
    <n v="0.96353387697982573"/>
  </r>
  <r>
    <x v="211"/>
    <d v="2024-09-09T00:00:00"/>
    <d v="2024-10-01T00:00:00"/>
    <x v="22"/>
    <s v="Sept-2024"/>
    <s v="Q3-2024"/>
    <s v="Asia"/>
    <x v="9"/>
    <s v="Shenzhen"/>
    <s v="Consumer"/>
    <s v="Direct"/>
    <s v="L. Okafor"/>
    <x v="1"/>
    <s v="PRN-3014"/>
    <n v="1166.18"/>
    <s v="High"/>
    <n v="1335.02"/>
    <n v="0.128"/>
    <n v="6"/>
    <n v="4571.46"/>
    <n v="6997.08"/>
    <n v="-2425.62"/>
    <n v="-0.53060072712000106"/>
  </r>
  <r>
    <x v="212"/>
    <d v="2025-01-29T00:00:00"/>
    <d v="2025-02-06T00:00:00"/>
    <x v="12"/>
    <s v="Jan-2025"/>
    <s v="Q1-2025"/>
    <s v="Africa"/>
    <x v="0"/>
    <s v="Kisumu"/>
    <s v="Education"/>
    <s v="Retail"/>
    <s v="B. Chen"/>
    <x v="3"/>
    <s v="PHN-1671"/>
    <n v="1445.27"/>
    <s v="High"/>
    <n v="2691.45"/>
    <n v="0"/>
    <n v="9"/>
    <n v="2326.6799999999998"/>
    <n v="13007.43"/>
    <n v="-10680.75"/>
    <n v="-4.5905539223270928"/>
  </r>
  <r>
    <x v="213"/>
    <d v="2023-11-10T00:00:00"/>
    <d v="2023-11-28T00:00:00"/>
    <x v="5"/>
    <s v="Nov-2023"/>
    <s v="Q4-2023"/>
    <s v="Americas"/>
    <x v="5"/>
    <s v="Brasília"/>
    <s v="Education"/>
    <s v="Marketplace"/>
    <s v="L. Okafor"/>
    <x v="6"/>
    <s v="ACC-5260"/>
    <n v="388.51"/>
    <s v="High"/>
    <n v="776.46"/>
    <n v="0.157"/>
    <n v="12"/>
    <n v="6137.98416"/>
    <n v="4662.12"/>
    <n v="1475.8641600000001"/>
    <n v="0.24044769773403912"/>
  </r>
  <r>
    <x v="214"/>
    <d v="2024-02-29T00:00:00"/>
    <d v="2024-03-30T00:00:00"/>
    <x v="1"/>
    <s v="Feb-2024"/>
    <s v="Q1-2024"/>
    <s v="Asia"/>
    <x v="2"/>
    <s v="Nagoya"/>
    <s v="Small Business"/>
    <s v="Direct"/>
    <s v="I. Johnson"/>
    <x v="2"/>
    <s v="NET-7588"/>
    <n v="231.11"/>
    <s v="High"/>
    <n v="318.17"/>
    <n v="0.20100000000000001"/>
    <n v="60"/>
    <n v="64128.8586"/>
    <n v="13866.6"/>
    <n v="50262.258600000001"/>
    <n v="0.7837697363913475"/>
  </r>
  <r>
    <x v="215"/>
    <d v="2023-12-20T00:00:00"/>
    <d v="2024-01-14T00:00:00"/>
    <x v="2"/>
    <s v="Dec-2023"/>
    <s v="Q4-2023"/>
    <s v="Asia"/>
    <x v="4"/>
    <s v="Mumbai"/>
    <s v="Non-Profit"/>
    <s v="Marketplace"/>
    <s v="L. Okafor"/>
    <x v="5"/>
    <s v="MON-1572"/>
    <n v="1085.6099999999999"/>
    <s v="High"/>
    <n v="1246.4100000000001"/>
    <n v="0.113"/>
    <n v="7"/>
    <n v="11133.23372"/>
    <n v="7599.2699999999995"/>
    <n v="3533.9637200000006"/>
    <n v="0.31742473111397151"/>
  </r>
  <r>
    <x v="216"/>
    <d v="2023-01-22T00:00:00"/>
    <d v="2023-01-21T00:00:00"/>
    <x v="1"/>
    <s v="Jan-2023"/>
    <s v="Q1-2023"/>
    <s v="Europe"/>
    <x v="6"/>
    <s v="Munich"/>
    <s v="Corporate"/>
    <s v="Direct"/>
    <s v="F. Müller"/>
    <x v="5"/>
    <s v="MON-2537"/>
    <n v="150.86000000000001"/>
    <s v="High"/>
    <n v="346.96"/>
    <n v="0.19600000000000001"/>
    <n v="8"/>
    <n v="789.46368000000007"/>
    <n v="1206.8800000000001"/>
    <n v="-417.41632000000004"/>
    <n v="-0.52873403878440617"/>
  </r>
  <r>
    <x v="217"/>
    <d v="2024-10-11T00:00:00"/>
    <d v="2024-11-09T00:00:00"/>
    <x v="11"/>
    <s v="Oct-2024"/>
    <s v="Q4-2024"/>
    <s v="Asia"/>
    <x v="9"/>
    <s v="Shanghai"/>
    <s v="Non-Profit"/>
    <s v="Online"/>
    <s v="F. Müller"/>
    <x v="1"/>
    <s v="PRN-5666"/>
    <n v="391.64"/>
    <s v="High"/>
    <n v="504.76"/>
    <n v="4.0000000000000001E-3"/>
    <n v="13"/>
    <n v="12014.83764"/>
    <n v="5091.32"/>
    <n v="6923.51764"/>
    <n v="0.57624729084562143"/>
  </r>
  <r>
    <x v="218"/>
    <d v="2024-09-19T00:00:00"/>
    <d v="2024-10-14T00:00:00"/>
    <x v="2"/>
    <s v="Sept-2024"/>
    <s v="Q3-2024"/>
    <s v="Americas"/>
    <x v="5"/>
    <s v="Rio de Janeiro"/>
    <s v="Small Business"/>
    <s v="Retail"/>
    <s v="K. Singh"/>
    <x v="1"/>
    <s v="PRN-2749"/>
    <n v="386.96"/>
    <s v="High"/>
    <n v="937.46"/>
    <n v="0.26600000000000001"/>
    <n v="41"/>
    <n v="4570.6767199999995"/>
    <n v="15865.359999999999"/>
    <n v="-11294.683279999999"/>
    <n v="-2.4711183861631763"/>
  </r>
  <r>
    <x v="219"/>
    <d v="2025-08-25T00:00:00"/>
    <d v="2025-09-24T00:00:00"/>
    <x v="26"/>
    <s v="Aug-2025"/>
    <s v="Q3-2025"/>
    <s v="Africa"/>
    <x v="0"/>
    <s v="Nairobi"/>
    <s v="Consumer"/>
    <s v="Direct"/>
    <s v="B. Chen"/>
    <x v="0"/>
    <s v="CMP-4970"/>
    <n v="589.14"/>
    <s v="High"/>
    <n v="1300.58"/>
    <n v="5.5E-2"/>
    <n v="11"/>
    <n v="22977.108"/>
    <n v="6480.54"/>
    <n v="16496.567999999999"/>
    <n v="0.71795667235406646"/>
  </r>
  <r>
    <x v="220"/>
    <d v="2023-09-25T00:00:00"/>
    <d v="2023-10-02T00:00:00"/>
    <x v="20"/>
    <s v="Sept-2023"/>
    <s v="Q3-2023"/>
    <s v="Americas"/>
    <x v="10"/>
    <s v="New York"/>
    <s v="Education"/>
    <s v="Marketplace"/>
    <s v="I. Johnson"/>
    <x v="6"/>
    <s v="ACC-3551"/>
    <n v="145.58000000000001"/>
    <s v="High"/>
    <n v="228.15"/>
    <n v="0.20399999999999999"/>
    <n v="5"/>
    <n v="158.16520000000003"/>
    <n v="727.90000000000009"/>
    <n v="-569.73480000000006"/>
    <n v="-3.602150156924532"/>
  </r>
  <r>
    <x v="221"/>
    <d v="2023-08-26T00:00:00"/>
    <d v="2023-09-10T00:00:00"/>
    <x v="15"/>
    <s v="Aug-2023"/>
    <s v="Q3-2023"/>
    <s v="Africa"/>
    <x v="11"/>
    <s v="Cape Town"/>
    <s v="Non-Profit"/>
    <s v="Direct"/>
    <s v="N. Brown"/>
    <x v="0"/>
    <s v="CMP-7063"/>
    <n v="241.14"/>
    <s v="High"/>
    <n v="496.52"/>
    <n v="9.2999999999999999E-2"/>
    <n v="10"/>
    <n v="9151.630000000001"/>
    <n v="2411.3999999999996"/>
    <n v="6740.2300000000014"/>
    <n v="0.73650595576962796"/>
  </r>
  <r>
    <x v="222"/>
    <d v="2025-07-16T00:00:00"/>
    <d v="2025-07-17T00:00:00"/>
    <x v="1"/>
    <s v="Jul-2025"/>
    <s v="Q3-2025"/>
    <s v="Africa"/>
    <x v="11"/>
    <s v="Durban"/>
    <s v="Small Business"/>
    <s v="Distributor"/>
    <s v="B. Chen"/>
    <x v="2"/>
    <s v="NET-1612"/>
    <n v="1198.9000000000001"/>
    <s v="High"/>
    <n v="2941.2"/>
    <n v="5.0999999999999997E-2"/>
    <n v="24"/>
    <n v="37663.304640000002"/>
    <n v="28773.600000000002"/>
    <n v="8889.7046399999999"/>
    <n v="0.23603092519286697"/>
  </r>
  <r>
    <x v="223"/>
    <d v="2023-04-19T00:00:00"/>
    <d v="2023-05-07T00:00:00"/>
    <x v="5"/>
    <s v="Apr-2023"/>
    <s v="Q2-2023"/>
    <s v="Europe"/>
    <x v="8"/>
    <s v="Birmingham"/>
    <s v="Enterprise"/>
    <s v="Retail"/>
    <s v="N. Brown"/>
    <x v="4"/>
    <s v="LAP-9766"/>
    <n v="1089.1500000000001"/>
    <s v="High"/>
    <n v="1088.2"/>
    <n v="5.0999999999999997E-2"/>
    <n v="15"/>
    <n v="14458.4895"/>
    <n v="16337.250000000002"/>
    <n v="-1878.7605000000021"/>
    <n v="-0.12994168581718044"/>
  </r>
  <r>
    <x v="224"/>
    <d v="2023-12-19T00:00:00"/>
    <d v="2023-12-20T00:00:00"/>
    <x v="1"/>
    <s v="Dec-2023"/>
    <s v="Q4-2023"/>
    <s v="Americas"/>
    <x v="5"/>
    <s v="Rio de Janeiro"/>
    <s v="Consumer"/>
    <s v="Distributor"/>
    <s v="J. Njeri"/>
    <x v="3"/>
    <s v="PHN-7274"/>
    <n v="1080.43"/>
    <s v="High"/>
    <n v="2529.15"/>
    <n v="0.14699999999999999"/>
    <n v="10"/>
    <n v="7783.1984999999995"/>
    <n v="10804.300000000001"/>
    <n v="-3021.1015000000016"/>
    <n v="-0.38815680982567796"/>
  </r>
  <r>
    <x v="225"/>
    <d v="2023-07-30T00:00:00"/>
    <d v="2023-08-07T00:00:00"/>
    <x v="12"/>
    <s v="Jul-2023"/>
    <s v="Q3-2023"/>
    <s v="Asia"/>
    <x v="2"/>
    <s v="Nagoya"/>
    <s v="Education"/>
    <s v="Marketplace"/>
    <s v="A. Patel"/>
    <x v="2"/>
    <s v="NET-1645"/>
    <n v="1352.44"/>
    <s v="High"/>
    <n v="2698.01"/>
    <n v="0.13100000000000001"/>
    <n v="13"/>
    <n v="9209.201430000001"/>
    <n v="17581.72"/>
    <n v="-8372.5185700000002"/>
    <n v="-0.90914707791335603"/>
  </r>
  <r>
    <x v="226"/>
    <d v="2023-10-04T00:00:00"/>
    <d v="2023-10-29T00:00:00"/>
    <x v="2"/>
    <s v="Oct-2023"/>
    <s v="Q4-2023"/>
    <s v="Americas"/>
    <x v="10"/>
    <s v="San Francisco"/>
    <s v="Small Business"/>
    <s v="Distributor"/>
    <s v="O. Wang"/>
    <x v="6"/>
    <s v="ACC-5079"/>
    <n v="1239.8399999999999"/>
    <s v="High"/>
    <n v="1482.75"/>
    <n v="6.7000000000000004E-2"/>
    <n v="4"/>
    <n v="6770.0719200000003"/>
    <n v="4959.3599999999997"/>
    <n v="1810.7119200000006"/>
    <n v="0.26745829902498297"/>
  </r>
  <r>
    <x v="227"/>
    <d v="2025-08-10T00:00:00"/>
    <d v="2025-08-30T00:00:00"/>
    <x v="9"/>
    <s v="Aug-2025"/>
    <s v="Q3-2025"/>
    <s v="Americas"/>
    <x v="10"/>
    <s v="San Francisco"/>
    <s v="Corporate"/>
    <s v="Marketplace"/>
    <s v="K. Singh"/>
    <x v="1"/>
    <s v="PRN-2098"/>
    <n v="933.29"/>
    <s v="High"/>
    <n v="1456.81"/>
    <n v="0.123"/>
    <n v="13"/>
    <n v="8652.4469199999985"/>
    <n v="12132.77"/>
    <n v="-3480.3230800000019"/>
    <n v="-0.4022357042093247"/>
  </r>
  <r>
    <x v="228"/>
    <d v="2023-03-07T00:00:00"/>
    <d v="2023-04-01T00:00:00"/>
    <x v="2"/>
    <s v="Mar-2023"/>
    <s v="Q1-2023"/>
    <s v="Africa"/>
    <x v="0"/>
    <s v="Nairobi"/>
    <s v="Consumer"/>
    <s v="Marketplace"/>
    <s v="D. Smith"/>
    <x v="1"/>
    <s v="PRN-7049"/>
    <n v="1024.0999999999999"/>
    <s v="High"/>
    <n v="918.19"/>
    <n v="0.189"/>
    <n v="10"/>
    <n v="13522.938400000001"/>
    <n v="10241"/>
    <n v="3281.9384000000009"/>
    <n v="0.24269417658517181"/>
  </r>
  <r>
    <x v="229"/>
    <d v="2023-05-23T00:00:00"/>
    <d v="2023-06-10T00:00:00"/>
    <x v="5"/>
    <s v="May-2023"/>
    <s v="Q2-2023"/>
    <s v="Asia"/>
    <x v="9"/>
    <s v="Shanghai"/>
    <s v="Corporate"/>
    <s v="Distributor"/>
    <s v="E. Garcia"/>
    <x v="0"/>
    <s v="CMP-6925"/>
    <n v="54.62"/>
    <s v="Low"/>
    <n v="48.94"/>
    <n v="0.14799999999999999"/>
    <n v="16"/>
    <n v="34932.681600000004"/>
    <n v="873.92"/>
    <n v="34058.761600000005"/>
    <n v="0.9749827393726338"/>
  </r>
  <r>
    <x v="230"/>
    <d v="2025-04-24T00:00:00"/>
    <d v="2025-05-06T00:00:00"/>
    <x v="8"/>
    <s v="Apr-2025"/>
    <s v="Q2-2025"/>
    <s v="Americas"/>
    <x v="5"/>
    <s v="Brasília"/>
    <s v="Consumer"/>
    <s v="Online"/>
    <s v="C. Otieno"/>
    <x v="3"/>
    <s v="PHN-2787"/>
    <n v="394.13"/>
    <s v="High"/>
    <n v="932.29"/>
    <n v="0.109"/>
    <n v="7"/>
    <n v="4648.9350599999998"/>
    <n v="2758.91"/>
    <n v="1890.0250599999999"/>
    <n v="0.40655010999443819"/>
  </r>
  <r>
    <x v="231"/>
    <d v="2024-09-03T00:00:00"/>
    <d v="2024-09-08T00:00:00"/>
    <x v="16"/>
    <s v="Sept-2024"/>
    <s v="Q3-2024"/>
    <s v="Africa"/>
    <x v="1"/>
    <s v="Lagos"/>
    <s v="Small Business"/>
    <s v="Direct"/>
    <s v="K. Singh"/>
    <x v="1"/>
    <s v="PRN-1141"/>
    <n v="197.63"/>
    <s v="High"/>
    <n v="325.79000000000002"/>
    <n v="0.11600000000000001"/>
    <n v="10"/>
    <n v="6081.4780000000001"/>
    <n v="1976.3"/>
    <n v="4105.1779999999999"/>
    <n v="0.67502965561990025"/>
  </r>
  <r>
    <x v="232"/>
    <d v="2024-09-05T00:00:00"/>
    <d v="2024-09-25T00:00:00"/>
    <x v="9"/>
    <s v="Sept-2024"/>
    <s v="Q3-2024"/>
    <s v="Asia"/>
    <x v="2"/>
    <s v="Osaka"/>
    <s v="Enterprise"/>
    <s v="Distributor"/>
    <s v="D. Smith"/>
    <x v="5"/>
    <s v="MON-5249"/>
    <n v="195.54"/>
    <s v="High"/>
    <n v="405.97"/>
    <n v="0.187"/>
    <n v="16"/>
    <n v="7155.3105599999999"/>
    <n v="3128.64"/>
    <n v="4026.67056"/>
    <n v="0.56275273116866642"/>
  </r>
  <r>
    <x v="233"/>
    <d v="2023-03-14T00:00:00"/>
    <d v="2023-03-30T00:00:00"/>
    <x v="13"/>
    <s v="Mar-2023"/>
    <s v="Q1-2023"/>
    <s v="Africa"/>
    <x v="11"/>
    <s v="Cape Town"/>
    <s v="Consumer"/>
    <s v="Distributor"/>
    <s v="K. Singh"/>
    <x v="0"/>
    <s v="CMP-8230"/>
    <n v="1309.77"/>
    <s v="High"/>
    <n v="1589.07"/>
    <n v="0.10199999999999999"/>
    <n v="10"/>
    <n v="18572.525799999999"/>
    <n v="13097.7"/>
    <n v="5474.8257999999987"/>
    <n v="0.29478089619883574"/>
  </r>
  <r>
    <x v="234"/>
    <d v="2024-01-11T00:00:00"/>
    <d v="2024-02-02T00:00:00"/>
    <x v="22"/>
    <s v="Jan-2024"/>
    <s v="Q1-2024"/>
    <s v="Asia"/>
    <x v="2"/>
    <s v="Nagoya"/>
    <s v="Small Business"/>
    <s v="Online"/>
    <s v="Not Provided"/>
    <x v="1"/>
    <s v="PRN-7816"/>
    <n v="1237.68"/>
    <s v="High"/>
    <n v="1432.8"/>
    <n v="6.8000000000000005E-2"/>
    <n v="13"/>
    <n v="31218.691400000003"/>
    <n v="16089.84"/>
    <n v="15128.851400000003"/>
    <n v="0.48460876230065175"/>
  </r>
  <r>
    <x v="235"/>
    <d v="2024-09-13T00:00:00"/>
    <d v="2024-10-02T00:00:00"/>
    <x v="7"/>
    <s v="Sept-2024"/>
    <s v="Q3-2024"/>
    <s v="Africa"/>
    <x v="0"/>
    <s v="Mombasa"/>
    <s v="Small Business"/>
    <s v="Retail"/>
    <s v="M. Rossi"/>
    <x v="3"/>
    <s v="PHN-8804"/>
    <n v="1338.99"/>
    <s v="High"/>
    <n v="1765.76"/>
    <n v="0.126"/>
    <n v="24"/>
    <n v="21901.880639999999"/>
    <n v="32135.760000000002"/>
    <n v="-10233.879360000003"/>
    <n v="-0.46726030189889678"/>
  </r>
  <r>
    <x v="236"/>
    <d v="2025-07-17T00:00:00"/>
    <d v="2025-07-23T00:00:00"/>
    <x v="30"/>
    <s v="Jul-2025"/>
    <s v="Q3-2025"/>
    <s v="Americas"/>
    <x v="3"/>
    <s v="Vancouver"/>
    <s v="Consumer"/>
    <s v="Online"/>
    <s v="H. Kim"/>
    <x v="0"/>
    <s v="CMP-8851"/>
    <n v="1364.89"/>
    <s v="High"/>
    <n v="2757.54"/>
    <n v="0.17199999999999999"/>
    <n v="61"/>
    <n v="5002.3123200000009"/>
    <n v="83258.290000000008"/>
    <n v="-78255.977680000011"/>
    <n v="-15.643960767327698"/>
  </r>
  <r>
    <x v="237"/>
    <d v="2023-11-28T00:00:00"/>
    <d v="2023-12-07T00:00:00"/>
    <x v="25"/>
    <s v="Nov-2023"/>
    <s v="Q4-2023"/>
    <s v="Asia"/>
    <x v="4"/>
    <s v="Delhi"/>
    <s v="Enterprise"/>
    <s v="Marketplace"/>
    <s v="L. Okafor"/>
    <x v="3"/>
    <s v="PHN-2447"/>
    <n v="699.33"/>
    <s v="High"/>
    <n v="873.75"/>
    <n v="0.23499999999999999"/>
    <n v="10"/>
    <n v="15275.5965"/>
    <n v="6993.3"/>
    <n v="8282.2965000000004"/>
    <n v="0.5421913638527962"/>
  </r>
  <r>
    <x v="238"/>
    <d v="2024-03-30T00:00:00"/>
    <d v="2024-04-24T00:00:00"/>
    <x v="2"/>
    <s v="Mar-2024"/>
    <s v="Q1-2024"/>
    <s v="Americas"/>
    <x v="10"/>
    <s v="Austin"/>
    <s v="Non-Profit"/>
    <s v="Online"/>
    <s v="G. Dubois"/>
    <x v="4"/>
    <s v="LAP-2846"/>
    <n v="160.82"/>
    <s v="High"/>
    <n v="258.52"/>
    <n v="0.13"/>
    <n v="17"/>
    <n v="13631.647199999999"/>
    <n v="2733.94"/>
    <n v="10897.707199999999"/>
    <n v="0.79944169916604058"/>
  </r>
  <r>
    <x v="239"/>
    <d v="2023-09-19T00:00:00"/>
    <d v="2023-10-08T00:00:00"/>
    <x v="7"/>
    <s v="Sept-2023"/>
    <s v="Q3-2023"/>
    <s v="Asia"/>
    <x v="4"/>
    <s v="Bengaluru"/>
    <s v="Education"/>
    <s v="Direct"/>
    <s v="J. Njeri"/>
    <x v="1"/>
    <s v="PRN-5005"/>
    <n v="385.32"/>
    <s v="High"/>
    <n v="606.76"/>
    <n v="8.5999999999999993E-2"/>
    <n v="8"/>
    <n v="18307.712480000002"/>
    <n v="3082.56"/>
    <n v="15225.152480000002"/>
    <n v="0.8316250594732959"/>
  </r>
  <r>
    <x v="240"/>
    <d v="2025-05-16T00:00:00"/>
    <d v="2025-05-27T00:00:00"/>
    <x v="23"/>
    <s v="May-2025"/>
    <s v="Q2-2025"/>
    <s v="Asia"/>
    <x v="9"/>
    <s v="Beijing"/>
    <s v="Enterprise"/>
    <s v="Online"/>
    <s v="F. Müller"/>
    <x v="3"/>
    <s v="PHN-3800"/>
    <n v="918.12"/>
    <s v="High"/>
    <n v="1337.69"/>
    <n v="9.5000000000000001E-2"/>
    <n v="8"/>
    <n v="17830.4548"/>
    <n v="7344.96"/>
    <n v="10485.4948"/>
    <n v="0.58806659267042372"/>
  </r>
  <r>
    <x v="241"/>
    <d v="2025-08-02T00:00:00"/>
    <d v="2025-08-08T00:00:00"/>
    <x v="30"/>
    <s v="Aug-2025"/>
    <s v="Q3-2025"/>
    <s v="Asia"/>
    <x v="2"/>
    <s v="Osaka"/>
    <s v="Consumer"/>
    <s v="Direct"/>
    <s v="N. Brown"/>
    <x v="4"/>
    <s v="LAP-4828"/>
    <n v="1225.94"/>
    <s v="High"/>
    <n v="1793.08"/>
    <n v="0.13600000000000001"/>
    <n v="22"/>
    <n v="9431.7695999999996"/>
    <n v="26970.68"/>
    <n v="-17538.910400000001"/>
    <n v="-1.8595567050323198"/>
  </r>
  <r>
    <x v="242"/>
    <d v="2024-12-04T00:00:00"/>
    <d v="2024-12-12T00:00:00"/>
    <x v="12"/>
    <s v="Dec-2024"/>
    <s v="Q4-2024"/>
    <s v="Europe"/>
    <x v="6"/>
    <s v="Frankfurt"/>
    <s v="Enterprise"/>
    <s v="Marketplace"/>
    <s v="B. Chen"/>
    <x v="1"/>
    <s v="PRN-5492"/>
    <n v="72.06"/>
    <s v="Medium"/>
    <n v="122.74"/>
    <n v="0.23799999999999999"/>
    <n v="8"/>
    <n v="5532.6686399999999"/>
    <n v="576.48"/>
    <n v="4956.1886400000003"/>
    <n v="0.89580435093615152"/>
  </r>
  <r>
    <x v="243"/>
    <d v="2023-04-19T00:00:00"/>
    <d v="2023-04-28T00:00:00"/>
    <x v="25"/>
    <s v="Apr-2023"/>
    <s v="Q2-2023"/>
    <s v="Americas"/>
    <x v="5"/>
    <s v="Rio de Janeiro"/>
    <s v="Corporate"/>
    <s v="Distributor"/>
    <s v="M. Rossi"/>
    <x v="3"/>
    <s v="PHN-7132"/>
    <n v="1013.54"/>
    <s v="High"/>
    <n v="927.93"/>
    <n v="0.17499999999999999"/>
    <n v="16"/>
    <n v="4411.308"/>
    <n v="16216.64"/>
    <n v="-11805.331999999999"/>
    <n v="-2.6761522886182507"/>
  </r>
  <r>
    <x v="244"/>
    <d v="2024-03-06T00:00:00"/>
    <d v="2024-03-26T00:00:00"/>
    <x v="9"/>
    <s v="Mar-2024"/>
    <s v="Q1-2024"/>
    <s v="Africa"/>
    <x v="1"/>
    <s v="Port Harcourt"/>
    <s v="Consumer"/>
    <s v="Marketplace"/>
    <s v="I. Johnson"/>
    <x v="3"/>
    <s v="PHN-4741"/>
    <n v="65.64"/>
    <s v="Medium"/>
    <n v="151.88"/>
    <n v="0.16700000000000001"/>
    <n v="23"/>
    <n v="10322.677609999999"/>
    <n v="1509.72"/>
    <n v="8812.9576099999995"/>
    <n v="0.8537472488206479"/>
  </r>
  <r>
    <x v="245"/>
    <d v="2024-02-16T00:00:00"/>
    <d v="2024-03-04T00:00:00"/>
    <x v="14"/>
    <s v="Feb-2024"/>
    <s v="Q1-2024"/>
    <s v="Americas"/>
    <x v="3"/>
    <s v="Montreal"/>
    <s v="Non-Profit"/>
    <s v="Retail"/>
    <s v="D. Smith"/>
    <x v="4"/>
    <s v="LAP-2774"/>
    <n v="1350.98"/>
    <s v="High"/>
    <n v="2210.4"/>
    <n v="0.26300000000000001"/>
    <n v="6"/>
    <n v="6352.3798799999995"/>
    <n v="8105.88"/>
    <n v="-1753.5001200000006"/>
    <n v="-0.27603829637468102"/>
  </r>
  <r>
    <x v="246"/>
    <d v="2025-04-22T00:00:00"/>
    <d v="2025-05-02T00:00:00"/>
    <x v="24"/>
    <s v="Apr-2025"/>
    <s v="Q2-2025"/>
    <s v="Europe"/>
    <x v="6"/>
    <s v="Berlin"/>
    <s v="Corporate"/>
    <s v="Marketplace"/>
    <s v="C. Otieno"/>
    <x v="5"/>
    <s v="MON-2842"/>
    <n v="20.149999999999999"/>
    <s v="Low"/>
    <n v="39.74"/>
    <n v="0.151"/>
    <n v="18"/>
    <n v="26996.417099999999"/>
    <n v="362.7"/>
    <n v="26633.717099999998"/>
    <n v="0.98656488382675045"/>
  </r>
  <r>
    <x v="247"/>
    <d v="2024-11-08T00:00:00"/>
    <d v="2024-11-08T00:00:00"/>
    <x v="18"/>
    <s v="Nov-2024"/>
    <s v="Q4-2024"/>
    <s v="Africa"/>
    <x v="0"/>
    <s v="Nakuru"/>
    <s v="Enterprise"/>
    <s v="Marketplace"/>
    <s v="M. Rossi"/>
    <x v="2"/>
    <s v="NET-2628"/>
    <n v="803.28"/>
    <s v="High"/>
    <n v="1009"/>
    <n v="0.11"/>
    <n v="4"/>
    <n v="2237.6023999999998"/>
    <n v="3213.12"/>
    <n v="-975.51760000000013"/>
    <n v="-0.43596556743056775"/>
  </r>
  <r>
    <x v="248"/>
    <d v="2025-09-12T00:00:00"/>
    <d v="2025-09-30T00:00:00"/>
    <x v="5"/>
    <s v="Sept-2025"/>
    <s v="Q3-2025"/>
    <s v="Asia"/>
    <x v="2"/>
    <s v="Nagoya"/>
    <s v="Non-Profit"/>
    <s v="Marketplace"/>
    <s v="F. Müller"/>
    <x v="5"/>
    <s v="MON-2998"/>
    <n v="1212.99"/>
    <s v="High"/>
    <n v="1653.64"/>
    <n v="0.107"/>
    <n v="8"/>
    <n v="11792.958000000001"/>
    <n v="9703.92"/>
    <n v="2089.0380000000005"/>
    <n v="0.17714283388442495"/>
  </r>
  <r>
    <x v="249"/>
    <d v="2024-09-02T00:00:00"/>
    <d v="2024-09-08T00:00:00"/>
    <x v="30"/>
    <s v="Sept-2024"/>
    <s v="Q3-2024"/>
    <s v="Americas"/>
    <x v="10"/>
    <s v="Austin"/>
    <s v="Consumer"/>
    <s v="Direct"/>
    <s v="H. Kim"/>
    <x v="0"/>
    <s v="CMP-7563"/>
    <n v="462.94"/>
    <s v="High"/>
    <n v="1015.7"/>
    <n v="0.14299999999999999"/>
    <n v="14"/>
    <n v="26961.185719999998"/>
    <n v="6481.16"/>
    <n v="20480.025719999998"/>
    <n v="0.75961146266678359"/>
  </r>
  <r>
    <x v="250"/>
    <d v="2023-03-04T00:00:00"/>
    <d v="2023-03-24T00:00:00"/>
    <x v="9"/>
    <s v="Mar-2023"/>
    <s v="Q1-2023"/>
    <s v="Americas"/>
    <x v="3"/>
    <s v="Montreal"/>
    <s v="Consumer"/>
    <s v="Distributor"/>
    <s v="I. Johnson"/>
    <x v="4"/>
    <s v="LAP-6160"/>
    <n v="481.71"/>
    <s v="High"/>
    <n v="912.45"/>
    <n v="0.20300000000000001"/>
    <n v="24"/>
    <n v="17084.938320000001"/>
    <n v="11561.039999999999"/>
    <n v="5523.8983200000021"/>
    <n v="0.3233197695266834"/>
  </r>
  <r>
    <x v="251"/>
    <d v="2024-03-15T00:00:00"/>
    <d v="2024-04-09T00:00:00"/>
    <x v="2"/>
    <s v="Mar-2024"/>
    <s v="Q1-2024"/>
    <s v="Americas"/>
    <x v="3"/>
    <s v="Vancouver"/>
    <s v="Consumer"/>
    <s v="Online"/>
    <s v="F. Müller"/>
    <x v="5"/>
    <s v="MON-4361"/>
    <n v="648.64"/>
    <s v="High"/>
    <n v="815.19"/>
    <n v="0.22500000000000001"/>
    <n v="28"/>
    <n v="50537.130000000005"/>
    <n v="18161.919999999998"/>
    <n v="32375.210000000006"/>
    <n v="0.64062225140208795"/>
  </r>
  <r>
    <x v="252"/>
    <d v="2024-07-29T00:00:00"/>
    <d v="2024-07-31T00:00:00"/>
    <x v="6"/>
    <s v="Jul-2024"/>
    <s v="Q3-2024"/>
    <s v="Americas"/>
    <x v="10"/>
    <s v="New York"/>
    <s v="Education"/>
    <s v="Marketplace"/>
    <s v="I. Johnson"/>
    <x v="1"/>
    <s v="PRN-2829"/>
    <n v="798.97"/>
    <s v="High"/>
    <n v="1814.06"/>
    <n v="0.122"/>
    <n v="16"/>
    <n v="29033.704000000002"/>
    <n v="12783.52"/>
    <n v="16250.184000000001"/>
    <n v="0.55970068441835741"/>
  </r>
  <r>
    <x v="253"/>
    <d v="2024-10-27T00:00:00"/>
    <d v="2024-11-20T00:00:00"/>
    <x v="10"/>
    <s v="Oct-2024"/>
    <s v="Q4-2024"/>
    <s v="Asia"/>
    <x v="2"/>
    <s v="Nagoya"/>
    <s v="Non-Profit"/>
    <s v="Online"/>
    <s v="H. Kim"/>
    <x v="5"/>
    <s v="MON-8939"/>
    <n v="317.25"/>
    <s v="High"/>
    <n v="758.92"/>
    <n v="5.2999999999999999E-2"/>
    <n v="9"/>
    <n v="18599.828130000002"/>
    <n v="2855.25"/>
    <n v="15744.578130000002"/>
    <n v="0.84649051700672895"/>
  </r>
  <r>
    <x v="254"/>
    <d v="2024-04-29T00:00:00"/>
    <d v="2024-05-19T00:00:00"/>
    <x v="9"/>
    <s v="Apr-2024"/>
    <s v="Q2-2024"/>
    <s v="Europe"/>
    <x v="6"/>
    <s v="Frankfurt"/>
    <s v="Enterprise"/>
    <s v="Marketplace"/>
    <s v="C. Otieno"/>
    <x v="4"/>
    <s v="LAP-5009"/>
    <n v="668.97"/>
    <s v="High"/>
    <n v="1667.44"/>
    <n v="3.4000000000000002E-2"/>
    <n v="15"/>
    <n v="39508.723799999992"/>
    <n v="10034.550000000001"/>
    <n v="29474.17379999999"/>
    <n v="0.74601685311839905"/>
  </r>
  <r>
    <x v="255"/>
    <d v="2023-10-05T00:00:00"/>
    <d v="2023-10-06T00:00:00"/>
    <x v="1"/>
    <s v="Oct-2023"/>
    <s v="Q4-2023"/>
    <s v="Asia"/>
    <x v="4"/>
    <s v="Bengaluru"/>
    <s v="Non-Profit"/>
    <s v="Online"/>
    <s v="I. Johnson"/>
    <x v="0"/>
    <s v="CMP-4807"/>
    <n v="1470.26"/>
    <s v="High"/>
    <n v="2562.5500000000002"/>
    <n v="0.17299999999999999"/>
    <n v="9"/>
    <n v="828.33146999999997"/>
    <n v="13232.34"/>
    <n v="-12404.008530000001"/>
    <n v="-14.974691870634834"/>
  </r>
  <r>
    <x v="256"/>
    <d v="2023-04-19T00:00:00"/>
    <d v="2023-05-07T00:00:00"/>
    <x v="5"/>
    <s v="Apr-2023"/>
    <s v="Q2-2023"/>
    <s v="Europe"/>
    <x v="8"/>
    <s v="London"/>
    <s v="Non-Profit"/>
    <s v="Direct"/>
    <s v="H. Kim"/>
    <x v="2"/>
    <s v="NET-2439"/>
    <n v="516.96"/>
    <s v="High"/>
    <n v="745.38"/>
    <n v="0.19700000000000001"/>
    <n v="4"/>
    <n v="3533.4890799999994"/>
    <n v="2067.84"/>
    <n v="1465.6490799999992"/>
    <n v="0.41478805985159561"/>
  </r>
  <r>
    <x v="257"/>
    <d v="2025-06-27T00:00:00"/>
    <d v="2025-07-05T00:00:00"/>
    <x v="12"/>
    <s v="Jun-2025"/>
    <s v="Q2-2025"/>
    <s v="Europe"/>
    <x v="6"/>
    <s v="Munich"/>
    <s v="Small Business"/>
    <s v="Direct"/>
    <s v="G. Dubois"/>
    <x v="5"/>
    <s v="MON-7626"/>
    <n v="314.93"/>
    <s v="High"/>
    <n v="687.95"/>
    <n v="0.20499999999999999"/>
    <n v="8"/>
    <n v="9725.3304000000007"/>
    <n v="2519.44"/>
    <n v="7205.8904000000002"/>
    <n v="0.74094042090333501"/>
  </r>
  <r>
    <x v="258"/>
    <d v="2023-10-11T00:00:00"/>
    <d v="2023-10-13T00:00:00"/>
    <x v="6"/>
    <s v="Oct-2023"/>
    <s v="Q4-2023"/>
    <s v="Americas"/>
    <x v="5"/>
    <s v="Brasília"/>
    <s v="Consumer"/>
    <s v="Distributor"/>
    <s v="Not Provided"/>
    <x v="6"/>
    <s v="ACC-3567"/>
    <n v="715.94"/>
    <s v="High"/>
    <n v="550.07000000000005"/>
    <n v="0.14000000000000001"/>
    <n v="16"/>
    <n v="10026.7744"/>
    <n v="11455.04"/>
    <n v="-1428.2656000000006"/>
    <n v="-0.14244517159975201"/>
  </r>
  <r>
    <x v="259"/>
    <d v="2023-05-20T00:00:00"/>
    <d v="2023-06-07T00:00:00"/>
    <x v="5"/>
    <s v="May-2023"/>
    <s v="Q2-2023"/>
    <s v="Africa"/>
    <x v="1"/>
    <s v="Port Harcourt"/>
    <s v="Enterprise"/>
    <s v="Distributor"/>
    <s v="E. Garcia"/>
    <x v="0"/>
    <s v="CMP-4630"/>
    <n v="1120.06"/>
    <s v="High"/>
    <n v="2068.21"/>
    <n v="7.8E-2"/>
    <n v="12"/>
    <n v="69.481920000000002"/>
    <n v="13440.72"/>
    <n v="-13371.238079999999"/>
    <n v="-192.44197742376721"/>
  </r>
  <r>
    <x v="260"/>
    <d v="2023-05-27T00:00:00"/>
    <d v="2023-06-19T00:00:00"/>
    <x v="21"/>
    <s v="May-2023"/>
    <s v="Q2-2023"/>
    <s v="Europe"/>
    <x v="6"/>
    <s v="Berlin"/>
    <s v="Education"/>
    <s v="Retail"/>
    <s v="O. Wang"/>
    <x v="6"/>
    <s v="ACC-1882"/>
    <n v="1471.58"/>
    <s v="High"/>
    <n v="2576.65"/>
    <n v="4.0000000000000001E-3"/>
    <n v="7"/>
    <n v="17916.436439999998"/>
    <n v="10301.06"/>
    <n v="7615.3764399999982"/>
    <n v="0.42504972824830334"/>
  </r>
  <r>
    <x v="261"/>
    <d v="2023-08-04T00:00:00"/>
    <d v="2023-08-24T00:00:00"/>
    <x v="9"/>
    <s v="Aug-2023"/>
    <s v="Q3-2023"/>
    <s v="Americas"/>
    <x v="5"/>
    <s v="Brasília"/>
    <s v="Non-Profit"/>
    <s v="Direct"/>
    <s v="Not Provided"/>
    <x v="2"/>
    <s v="NET-9125"/>
    <n v="582.88"/>
    <s v="High"/>
    <n v="1044.1400000000001"/>
    <n v="0.216"/>
    <n v="10"/>
    <n v="12481.436800000001"/>
    <n v="5828.8"/>
    <n v="6652.6368000000011"/>
    <n v="0.53300248253470306"/>
  </r>
  <r>
    <x v="262"/>
    <d v="2025-06-21T00:00:00"/>
    <d v="2025-06-27T00:00:00"/>
    <x v="30"/>
    <s v="Jun-2025"/>
    <s v="Q2-2025"/>
    <s v="Africa"/>
    <x v="11"/>
    <s v="Durban"/>
    <s v="Enterprise"/>
    <s v="Distributor"/>
    <s v="N. Brown"/>
    <x v="3"/>
    <s v="PHN-3819"/>
    <n v="93.91"/>
    <s v="Medium"/>
    <n v="99.04"/>
    <n v="5.7000000000000002E-2"/>
    <n v="6"/>
    <n v="5632.3692599999995"/>
    <n v="563.46"/>
    <n v="5068.9092599999994"/>
    <n v="0.89996039428707486"/>
  </r>
  <r>
    <x v="263"/>
    <d v="2025-04-16T00:00:00"/>
    <d v="2025-04-26T00:00:00"/>
    <x v="24"/>
    <s v="Apr-2025"/>
    <s v="Q2-2025"/>
    <s v="Africa"/>
    <x v="1"/>
    <s v="Port Harcourt"/>
    <s v="Enterprise"/>
    <s v="Marketplace"/>
    <s v="F. Müller"/>
    <x v="4"/>
    <s v="LAP-3490"/>
    <n v="1457.44"/>
    <s v="High"/>
    <n v="1996.81"/>
    <n v="0.126"/>
    <n v="23"/>
    <n v="24932.711619999998"/>
    <n v="33521.120000000003"/>
    <n v="-8588.4083800000044"/>
    <n v="-0.3444634707566559"/>
  </r>
  <r>
    <x v="264"/>
    <d v="2025-09-02T00:00:00"/>
    <d v="2025-09-11T00:00:00"/>
    <x v="25"/>
    <s v="Sept-2025"/>
    <s v="Q3-2025"/>
    <s v="Americas"/>
    <x v="3"/>
    <s v="Toronto"/>
    <s v="Corporate"/>
    <s v="Distributor"/>
    <s v="M. Rossi"/>
    <x v="1"/>
    <s v="PRN-1276"/>
    <n v="1207.6300000000001"/>
    <s v="High"/>
    <n v="921.68"/>
    <n v="0.19600000000000001"/>
    <n v="17"/>
    <n v="1617.8811600000001"/>
    <n v="20529.710000000003"/>
    <n v="-18911.828840000002"/>
    <n v="-11.689257102171831"/>
  </r>
  <r>
    <x v="265"/>
    <d v="2024-10-08T00:00:00"/>
    <d v="2024-10-08T00:00:00"/>
    <x v="18"/>
    <s v="Oct-2024"/>
    <s v="Q4-2024"/>
    <s v="Europe"/>
    <x v="8"/>
    <s v="London"/>
    <s v="Corporate"/>
    <s v="Online"/>
    <s v="E. Garcia"/>
    <x v="5"/>
    <s v="MON-9733"/>
    <n v="1108.1099999999999"/>
    <s v="High"/>
    <n v="2503.79"/>
    <n v="0.184"/>
    <n v="19"/>
    <n v="32644.137120000007"/>
    <n v="21054.089999999997"/>
    <n v="11590.04712000001"/>
    <n v="0.35504222633898824"/>
  </r>
  <r>
    <x v="266"/>
    <d v="2023-05-07T00:00:00"/>
    <d v="2023-05-05T00:00:00"/>
    <x v="6"/>
    <s v="May-2023"/>
    <s v="Q2-2023"/>
    <s v="Africa"/>
    <x v="1"/>
    <s v="Port Harcourt"/>
    <s v="Non-Profit"/>
    <s v="Marketplace"/>
    <s v="A. Patel"/>
    <x v="0"/>
    <s v="CMP-9392"/>
    <n v="1269.6500000000001"/>
    <s v="High"/>
    <n v="2462.77"/>
    <n v="0.107"/>
    <n v="8"/>
    <n v="3736.3119999999999"/>
    <n v="10157.200000000001"/>
    <n v="-6420.8880000000008"/>
    <n v="-1.7185095891349547"/>
  </r>
  <r>
    <x v="267"/>
    <d v="2023-12-24T00:00:00"/>
    <d v="2024-01-01T00:00:00"/>
    <x v="12"/>
    <s v="Dec-2023"/>
    <s v="Q4-2023"/>
    <s v="Americas"/>
    <x v="5"/>
    <s v="São Paulo"/>
    <s v="Education"/>
    <s v="Direct"/>
    <s v="C. Otieno"/>
    <x v="3"/>
    <s v="PHN-3014"/>
    <n v="526.49"/>
    <s v="High"/>
    <n v="496.2"/>
    <n v="0"/>
    <n v="14"/>
    <n v="15054.199999999999"/>
    <n v="7370.8600000000006"/>
    <n v="7683.3399999999983"/>
    <n v="0.51037849902352828"/>
  </r>
  <r>
    <x v="268"/>
    <d v="2024-01-10T00:00:00"/>
    <d v="2024-01-23T00:00:00"/>
    <x v="19"/>
    <s v="Jan-2024"/>
    <s v="Q1-2024"/>
    <s v="Europe"/>
    <x v="7"/>
    <s v="Marseille"/>
    <s v="Corporate"/>
    <s v="Direct"/>
    <s v="A. Patel"/>
    <x v="1"/>
    <s v="PRN-6776"/>
    <n v="720"/>
    <s v="High"/>
    <n v="907.59"/>
    <n v="0.154"/>
    <n v="10"/>
    <n v="27872.062200000004"/>
    <n v="7200"/>
    <n v="20672.062200000004"/>
    <n v="0.7416768106954067"/>
  </r>
  <r>
    <x v="269"/>
    <d v="2023-08-03T00:00:00"/>
    <d v="2023-08-14T00:00:00"/>
    <x v="23"/>
    <s v="Aug-2023"/>
    <s v="Q3-2023"/>
    <s v="Americas"/>
    <x v="5"/>
    <s v="Brasília"/>
    <s v="Corporate"/>
    <s v="Direct"/>
    <s v="J. Njeri"/>
    <x v="6"/>
    <s v="ACC-3951"/>
    <n v="232.73"/>
    <s v="High"/>
    <n v="334.19"/>
    <n v="0.13400000000000001"/>
    <n v="25"/>
    <n v="10046.682500000001"/>
    <n v="5818.25"/>
    <n v="4228.4325000000008"/>
    <n v="0.42087848401698774"/>
  </r>
  <r>
    <x v="270"/>
    <d v="2025-02-19T00:00:00"/>
    <d v="2025-03-09T00:00:00"/>
    <x v="5"/>
    <s v="Feb-2025"/>
    <s v="Q1-2025"/>
    <s v="Asia"/>
    <x v="4"/>
    <s v="Delhi"/>
    <s v="Small Business"/>
    <s v="Direct"/>
    <s v="O. Wang"/>
    <x v="5"/>
    <s v="MON-1436"/>
    <n v="325.87"/>
    <s v="High"/>
    <n v="538.79"/>
    <n v="0.17399999999999999"/>
    <n v="16"/>
    <n v="6753.7724800000005"/>
    <n v="5213.92"/>
    <n v="1539.8524800000005"/>
    <n v="0.22799886797489516"/>
  </r>
  <r>
    <x v="271"/>
    <d v="2024-03-31T00:00:00"/>
    <d v="2024-04-17T00:00:00"/>
    <x v="14"/>
    <s v="Mar-2024"/>
    <s v="Q1-2024"/>
    <s v="Europe"/>
    <x v="6"/>
    <s v="Frankfurt"/>
    <s v="Education"/>
    <s v="Direct"/>
    <s v="H. Kim"/>
    <x v="5"/>
    <s v="MON-8651"/>
    <n v="1025.51"/>
    <s v="High"/>
    <n v="1436.54"/>
    <n v="0.13900000000000001"/>
    <n v="28"/>
    <n v="101.73576"/>
    <n v="28714.28"/>
    <n v="-28612.544239999999"/>
    <n v="-281.24372629643699"/>
  </r>
  <r>
    <x v="272"/>
    <d v="2023-07-24T00:00:00"/>
    <d v="2023-08-13T00:00:00"/>
    <x v="9"/>
    <s v="Jul-2023"/>
    <s v="Q3-2023"/>
    <s v="Americas"/>
    <x v="3"/>
    <s v="Montreal"/>
    <s v="Education"/>
    <s v="Direct"/>
    <s v="C. Otieno"/>
    <x v="5"/>
    <s v="MON-3307"/>
    <n v="1082.3800000000001"/>
    <s v="High"/>
    <n v="1766.55"/>
    <n v="0.16400000000000001"/>
    <n v="20"/>
    <n v="9651.4527999999991"/>
    <n v="21647.600000000002"/>
    <n v="-11996.147200000003"/>
    <n v="-1.242936938986015"/>
  </r>
  <r>
    <x v="273"/>
    <d v="2024-03-16T00:00:00"/>
    <d v="2024-04-13T00:00:00"/>
    <x v="27"/>
    <s v="Mar-2024"/>
    <s v="Q1-2024"/>
    <s v="Europe"/>
    <x v="7"/>
    <s v="Paris"/>
    <s v="Small Business"/>
    <s v="Online"/>
    <s v="K. Singh"/>
    <x v="1"/>
    <s v="PRN-8758"/>
    <n v="287.61"/>
    <s v="High"/>
    <n v="628.54"/>
    <n v="0.13500000000000001"/>
    <n v="21"/>
    <n v="25903.83495"/>
    <n v="6039.81"/>
    <n v="19864.024949999999"/>
    <n v="0.76683722654741504"/>
  </r>
  <r>
    <x v="274"/>
    <d v="2024-01-25T00:00:00"/>
    <d v="2024-01-27T00:00:00"/>
    <x v="6"/>
    <s v="Jan-2024"/>
    <s v="Q1-2024"/>
    <s v="Americas"/>
    <x v="5"/>
    <s v="São Paulo"/>
    <s v="Non-Profit"/>
    <s v="Marketplace"/>
    <s v="N. Brown"/>
    <x v="4"/>
    <s v="LAP-7056"/>
    <n v="1410.97"/>
    <s v="High"/>
    <n v="1650.75"/>
    <n v="0.13500000000000001"/>
    <n v="6"/>
    <n v="7059.0227999999997"/>
    <n v="8465.82"/>
    <n v="-1406.7972"/>
    <n v="-0.19929064402511917"/>
  </r>
  <r>
    <x v="275"/>
    <d v="2024-03-27T00:00:00"/>
    <d v="2024-04-11T00:00:00"/>
    <x v="15"/>
    <s v="Mar-2024"/>
    <s v="Q1-2024"/>
    <s v="Americas"/>
    <x v="10"/>
    <s v="San Francisco"/>
    <s v="Small Business"/>
    <s v="Direct"/>
    <s v="O. Wang"/>
    <x v="2"/>
    <s v="NET-5523"/>
    <n v="1338.35"/>
    <s v="High"/>
    <n v="2247.14"/>
    <n v="0.115"/>
    <n v="40"/>
    <n v="73316.94"/>
    <n v="53534"/>
    <n v="19782.940000000002"/>
    <n v="0.26982768238827209"/>
  </r>
  <r>
    <x v="276"/>
    <d v="2025-06-24T00:00:00"/>
    <d v="2025-07-14T00:00:00"/>
    <x v="9"/>
    <s v="Jun-2025"/>
    <s v="Q2-2025"/>
    <s v="Europe"/>
    <x v="6"/>
    <s v="Berlin"/>
    <s v="Corporate"/>
    <s v="Direct"/>
    <s v="O. Wang"/>
    <x v="6"/>
    <s v="ACC-8094"/>
    <n v="385.08"/>
    <s v="High"/>
    <n v="893.19"/>
    <n v="0.151"/>
    <n v="8"/>
    <n v="6655.0732799999996"/>
    <n v="3080.64"/>
    <n v="3574.4332799999997"/>
    <n v="0.53709901147775185"/>
  </r>
  <r>
    <x v="277"/>
    <d v="2024-06-16T00:00:00"/>
    <d v="2024-07-03T00:00:00"/>
    <x v="14"/>
    <s v="Jun-2024"/>
    <s v="Q2-2024"/>
    <s v="Africa"/>
    <x v="11"/>
    <s v="Johannesburg"/>
    <s v="Enterprise"/>
    <s v="Marketplace"/>
    <s v="F. Müller"/>
    <x v="3"/>
    <s v="PHN-6832"/>
    <n v="1173.83"/>
    <s v="High"/>
    <n v="2328.9"/>
    <n v="0.12"/>
    <n v="17"/>
    <n v="8039.3543999999993"/>
    <n v="19955.11"/>
    <n v="-11915.7556"/>
    <n v="-1.4821781709237749"/>
  </r>
  <r>
    <x v="278"/>
    <d v="2023-10-30T00:00:00"/>
    <d v="2023-11-14T00:00:00"/>
    <x v="15"/>
    <s v="Oct-2023"/>
    <s v="Q4-2023"/>
    <s v="Asia"/>
    <x v="4"/>
    <s v="Bengaluru"/>
    <s v="Corporate"/>
    <s v="Online"/>
    <s v="F. Müller"/>
    <x v="4"/>
    <s v="LAP-2378"/>
    <n v="953.46"/>
    <s v="High"/>
    <n v="2066.75"/>
    <n v="0.13800000000000001"/>
    <n v="5"/>
    <n v="919.40919999999994"/>
    <n v="4767.3"/>
    <n v="-3847.8908000000001"/>
    <n v="-4.1851776118838062"/>
  </r>
  <r>
    <x v="279"/>
    <d v="2023-06-15T00:00:00"/>
    <d v="2023-06-23T00:00:00"/>
    <x v="12"/>
    <s v="Jun-2023"/>
    <s v="Q2-2023"/>
    <s v="Americas"/>
    <x v="10"/>
    <s v="San Francisco"/>
    <s v="Consumer"/>
    <s v="Distributor"/>
    <s v="O. Wang"/>
    <x v="5"/>
    <s v="MON-5424"/>
    <n v="1097.0899999999999"/>
    <s v="High"/>
    <n v="2182.31"/>
    <n v="0.112"/>
    <n v="9"/>
    <n v="15941.402639999998"/>
    <n v="9873.81"/>
    <n v="6067.5926399999989"/>
    <n v="0.38061849242646062"/>
  </r>
  <r>
    <x v="280"/>
    <d v="2025-03-14T00:00:00"/>
    <d v="2025-03-29T00:00:00"/>
    <x v="15"/>
    <s v="Mar-2025"/>
    <s v="Q1-2025"/>
    <s v="Asia"/>
    <x v="2"/>
    <s v="Tokyo"/>
    <s v="Non-Profit"/>
    <s v="Direct"/>
    <s v="H. Kim"/>
    <x v="2"/>
    <s v="NET-8430"/>
    <n v="1106.96"/>
    <s v="High"/>
    <n v="2726.62"/>
    <n v="0.317"/>
    <n v="7"/>
    <n v="2643.1280400000001"/>
    <n v="7748.72"/>
    <n v="-5105.5919599999997"/>
    <n v="-1.9316476094741137"/>
  </r>
  <r>
    <x v="281"/>
    <d v="2023-08-15T00:00:00"/>
    <d v="2023-08-25T00:00:00"/>
    <x v="24"/>
    <s v="Aug-2023"/>
    <s v="Q3-2023"/>
    <s v="Africa"/>
    <x v="0"/>
    <s v="Nairobi"/>
    <s v="Small Business"/>
    <s v="Retail"/>
    <s v="N. Brown"/>
    <x v="3"/>
    <s v="PHN-1234"/>
    <n v="91.85"/>
    <s v="Medium"/>
    <n v="111.29"/>
    <n v="0"/>
    <n v="6"/>
    <n v="1349.6999999999998"/>
    <n v="551.09999999999991"/>
    <n v="798.59999999999991"/>
    <n v="0.59168704156479224"/>
  </r>
  <r>
    <x v="282"/>
    <d v="2025-05-17T00:00:00"/>
    <d v="2025-05-28T00:00:00"/>
    <x v="23"/>
    <s v="May-2025"/>
    <s v="Q2-2025"/>
    <s v="Asia"/>
    <x v="4"/>
    <s v="Bengaluru"/>
    <s v="Corporate"/>
    <s v="Distributor"/>
    <s v="B. Chen"/>
    <x v="4"/>
    <s v="LAP-9016"/>
    <n v="623.4"/>
    <s v="High"/>
    <n v="1100.0899999999999"/>
    <n v="0.114"/>
    <n v="12"/>
    <n v="8208.8608800000002"/>
    <n v="7480.7999999999993"/>
    <n v="728.06088000000091"/>
    <n v="8.8692071974790357E-2"/>
  </r>
  <r>
    <x v="283"/>
    <d v="2024-01-13T00:00:00"/>
    <d v="2024-02-05T00:00:00"/>
    <x v="21"/>
    <s v="Jan-2024"/>
    <s v="Q1-2024"/>
    <s v="Europe"/>
    <x v="6"/>
    <s v="Frankfurt"/>
    <s v="Education"/>
    <s v="Direct"/>
    <s v="B. Chen"/>
    <x v="4"/>
    <s v="LAP-9931"/>
    <n v="1017.93"/>
    <s v="High"/>
    <n v="1529.14"/>
    <n v="0.155"/>
    <n v="12"/>
    <n v="31932.989400000002"/>
    <n v="12215.16"/>
    <n v="19717.829400000002"/>
    <n v="0.61747521201381794"/>
  </r>
  <r>
    <x v="284"/>
    <d v="2023-06-24T00:00:00"/>
    <d v="2023-07-21T00:00:00"/>
    <x v="29"/>
    <s v="Jun-2023"/>
    <s v="Q2-2023"/>
    <s v="Asia"/>
    <x v="2"/>
    <s v="Nagoya"/>
    <s v="Consumer"/>
    <s v="Marketplace"/>
    <s v="J. Njeri"/>
    <x v="3"/>
    <s v="PHN-6818"/>
    <n v="554.76"/>
    <s v="High"/>
    <n v="728.69"/>
    <n v="0.22"/>
    <n v="7"/>
    <n v="314.11380000000003"/>
    <n v="3883.3199999999997"/>
    <n v="-3569.2061999999996"/>
    <n v="-11.362780622818862"/>
  </r>
  <r>
    <x v="285"/>
    <d v="2025-04-04T00:00:00"/>
    <d v="2025-04-13T00:00:00"/>
    <x v="25"/>
    <s v="Apr-2025"/>
    <s v="Q2-2025"/>
    <s v="Europe"/>
    <x v="6"/>
    <s v="Munich"/>
    <s v="Consumer"/>
    <s v="Marketplace"/>
    <s v="F. Müller"/>
    <x v="3"/>
    <s v="PHN-3803"/>
    <n v="7.02"/>
    <s v="Low"/>
    <n v="6.28"/>
    <n v="0.13400000000000001"/>
    <n v="14"/>
    <n v="9999.9964400000008"/>
    <n v="98.28"/>
    <n v="9901.7164400000001"/>
    <n v="0.99017199650123067"/>
  </r>
  <r>
    <x v="286"/>
    <d v="2024-09-07T00:00:00"/>
    <d v="2024-09-07T00:00:00"/>
    <x v="18"/>
    <s v="Sept-2024"/>
    <s v="Q3-2024"/>
    <s v="Asia"/>
    <x v="4"/>
    <s v="Mumbai"/>
    <s v="Education"/>
    <s v="Distributor"/>
    <s v="B. Chen"/>
    <x v="2"/>
    <s v="NET-9835"/>
    <n v="1066.6500000000001"/>
    <s v="High"/>
    <n v="2569.77"/>
    <n v="0.13400000000000001"/>
    <n v="9"/>
    <n v="11640.572819999999"/>
    <n v="9599.85"/>
    <n v="2040.722819999999"/>
    <n v="0.17531120259767416"/>
  </r>
  <r>
    <x v="287"/>
    <d v="2024-01-28T00:00:00"/>
    <d v="2024-01-30T00:00:00"/>
    <x v="6"/>
    <s v="Jan-2024"/>
    <s v="Q1-2024"/>
    <s v="Africa"/>
    <x v="11"/>
    <s v="Cape Town"/>
    <s v="Consumer"/>
    <s v="Direct"/>
    <s v="F. Müller"/>
    <x v="6"/>
    <s v="ACC-6223"/>
    <n v="798.45"/>
    <s v="High"/>
    <n v="1592.02"/>
    <n v="6.6000000000000003E-2"/>
    <n v="18"/>
    <n v="12473.159039999999"/>
    <n v="14372.1"/>
    <n v="-1898.9409600000017"/>
    <n v="-0.15224218290733843"/>
  </r>
  <r>
    <x v="288"/>
    <d v="2023-07-18T00:00:00"/>
    <d v="2023-08-10T00:00:00"/>
    <x v="21"/>
    <s v="Jul-2023"/>
    <s v="Q3-2023"/>
    <s v="Africa"/>
    <x v="11"/>
    <s v="Johannesburg"/>
    <s v="Small Business"/>
    <s v="Retail"/>
    <s v="L. Okafor"/>
    <x v="0"/>
    <s v="CMP-8659"/>
    <n v="1271.56"/>
    <s v="High"/>
    <n v="995.47"/>
    <n v="0.192"/>
    <n v="13"/>
    <n v="7796.3839200000002"/>
    <n v="16530.28"/>
    <n v="-8733.8960799999986"/>
    <n v="-1.1202496143878966"/>
  </r>
  <r>
    <x v="289"/>
    <d v="2025-08-28T00:00:00"/>
    <d v="2025-08-26T00:00:00"/>
    <x v="6"/>
    <s v="Aug-2025"/>
    <s v="Q3-2025"/>
    <s v="Africa"/>
    <x v="1"/>
    <s v="Port Harcourt"/>
    <s v="Small Business"/>
    <s v="Retail"/>
    <s v="A. Patel"/>
    <x v="6"/>
    <s v="ACC-4483"/>
    <n v="521.05999999999995"/>
    <s v="High"/>
    <n v="1240.31"/>
    <n v="0.14599999999999999"/>
    <n v="18"/>
    <n v="7371.4888800000008"/>
    <n v="9379.0799999999981"/>
    <n v="-2007.5911199999973"/>
    <n v="-0.27234540439271437"/>
  </r>
  <r>
    <x v="290"/>
    <d v="2025-03-30T00:00:00"/>
    <d v="2025-04-07T00:00:00"/>
    <x v="12"/>
    <s v="Mar-2025"/>
    <s v="Q1-2025"/>
    <s v="Americas"/>
    <x v="5"/>
    <s v="São Paulo"/>
    <s v="Non-Profit"/>
    <s v="Direct"/>
    <s v="L. Okafor"/>
    <x v="1"/>
    <s v="PRN-8763"/>
    <n v="71.62"/>
    <s v="Medium"/>
    <n v="118.37"/>
    <n v="0.156"/>
    <n v="11"/>
    <n v="10911.020999999999"/>
    <n v="787.82"/>
    <n v="10123.200999999999"/>
    <n v="0.92779594136973986"/>
  </r>
  <r>
    <x v="291"/>
    <d v="2023-10-21T00:00:00"/>
    <d v="2023-11-09T00:00:00"/>
    <x v="7"/>
    <s v="Oct-2023"/>
    <s v="Q4-2023"/>
    <s v="Europe"/>
    <x v="8"/>
    <s v="London"/>
    <s v="Non-Profit"/>
    <s v="Direct"/>
    <s v="A. Patel"/>
    <x v="6"/>
    <s v="ACC-8557"/>
    <n v="1142.48"/>
    <s v="High"/>
    <n v="2105.5300000000002"/>
    <n v="0.20699999999999999"/>
    <n v="14"/>
    <n v="2525.1498999999999"/>
    <n v="15994.720000000001"/>
    <n v="-13469.570100000001"/>
    <n v="-5.3341665379944381"/>
  </r>
  <r>
    <x v="292"/>
    <d v="2023-08-23T00:00:00"/>
    <d v="2023-09-22T00:00:00"/>
    <x v="26"/>
    <s v="Aug-2023"/>
    <s v="Q3-2023"/>
    <s v="Europe"/>
    <x v="8"/>
    <s v="London"/>
    <s v="Consumer"/>
    <s v="Distributor"/>
    <s v="O. Wang"/>
    <x v="6"/>
    <s v="ACC-1492"/>
    <n v="209.81"/>
    <s v="High"/>
    <n v="523"/>
    <n v="5.8999999999999997E-2"/>
    <n v="15"/>
    <n v="16636.221300000001"/>
    <n v="3147.15"/>
    <n v="13489.071300000001"/>
    <n v="0.81082543065233215"/>
  </r>
  <r>
    <x v="293"/>
    <d v="2025-04-11T00:00:00"/>
    <d v="2025-05-04T00:00:00"/>
    <x v="21"/>
    <s v="Apr-2025"/>
    <s v="Q2-2025"/>
    <s v="Asia"/>
    <x v="2"/>
    <s v="Osaka"/>
    <s v="Small Business"/>
    <s v="Online"/>
    <s v="M. Rossi"/>
    <x v="0"/>
    <s v="CMP-3743"/>
    <n v="786.2"/>
    <s v="High"/>
    <n v="1075.3"/>
    <n v="0.08"/>
    <n v="9"/>
    <n v="20054.987999999998"/>
    <n v="7075.8"/>
    <n v="12979.187999999998"/>
    <n v="0.64718004318925548"/>
  </r>
  <r>
    <x v="294"/>
    <d v="2025-06-01T00:00:00"/>
    <d v="2025-06-27T00:00:00"/>
    <x v="0"/>
    <s v="Jun-2025"/>
    <s v="Q2-2025"/>
    <s v="Europe"/>
    <x v="6"/>
    <s v="Munich"/>
    <s v="Consumer"/>
    <s v="Distributor"/>
    <s v="E. Garcia"/>
    <x v="4"/>
    <s v="LAP-1619"/>
    <n v="1362.31"/>
    <s v="High"/>
    <n v="3294.57"/>
    <n v="0.113"/>
    <n v="7"/>
    <n v="2693.96092"/>
    <n v="9536.17"/>
    <n v="-6842.2090800000005"/>
    <n v="-2.5398323447097373"/>
  </r>
  <r>
    <x v="295"/>
    <d v="2024-03-02T00:00:00"/>
    <d v="2024-03-16T00:00:00"/>
    <x v="17"/>
    <s v="Mar-2024"/>
    <s v="Q1-2024"/>
    <s v="Americas"/>
    <x v="3"/>
    <s v="Vancouver"/>
    <s v="Non-Profit"/>
    <s v="Direct"/>
    <s v="O. Wang"/>
    <x v="1"/>
    <s v="PRN-7976"/>
    <n v="248.24"/>
    <s v="High"/>
    <n v="464.05"/>
    <n v="0.16900000000000001"/>
    <n v="11"/>
    <n v="28786.197329999999"/>
    <n v="2730.6400000000003"/>
    <n v="26055.55733"/>
    <n v="0.90514064887777934"/>
  </r>
  <r>
    <x v="296"/>
    <d v="2023-06-20T00:00:00"/>
    <d v="2023-07-08T00:00:00"/>
    <x v="5"/>
    <s v="Jun-2023"/>
    <s v="Q2-2023"/>
    <s v="Americas"/>
    <x v="10"/>
    <s v="Austin"/>
    <s v="Non-Profit"/>
    <s v="Direct"/>
    <s v="F. Müller"/>
    <x v="5"/>
    <s v="MON-4326"/>
    <n v="337"/>
    <s v="High"/>
    <n v="511.03"/>
    <n v="0.108"/>
    <n v="7"/>
    <n v="409.91860000000008"/>
    <n v="2359"/>
    <n v="-1949.0814"/>
    <n v="-4.7548010751402829"/>
  </r>
  <r>
    <x v="297"/>
    <d v="2024-03-26T00:00:00"/>
    <d v="2024-04-05T00:00:00"/>
    <x v="24"/>
    <s v="Mar-2024"/>
    <s v="Q1-2024"/>
    <s v="Americas"/>
    <x v="10"/>
    <s v="Austin"/>
    <s v="Consumer"/>
    <s v="Direct"/>
    <s v="J. Njeri"/>
    <x v="5"/>
    <s v="MON-5444"/>
    <n v="5.66"/>
    <s v="Low"/>
    <n v="4.22"/>
    <n v="0.11899999999999999"/>
    <n v="18"/>
    <n v="39520.356119999997"/>
    <n v="101.88"/>
    <n v="39418.476119999999"/>
    <n v="0.99742208800723742"/>
  </r>
  <r>
    <x v="298"/>
    <d v="2025-01-22T00:00:00"/>
    <d v="2025-01-22T00:00:00"/>
    <x v="18"/>
    <s v="Jan-2025"/>
    <s v="Q1-2025"/>
    <s v="Europe"/>
    <x v="7"/>
    <s v="Lyon"/>
    <s v="Small Business"/>
    <s v="Online"/>
    <s v="B. Chen"/>
    <x v="6"/>
    <s v="ACC-5422"/>
    <n v="591.72"/>
    <s v="High"/>
    <n v="577.24"/>
    <n v="0"/>
    <n v="22"/>
    <n v="20500.48"/>
    <n v="13017.84"/>
    <n v="7482.6399999999994"/>
    <n v="0.36499828296703296"/>
  </r>
  <r>
    <x v="299"/>
    <d v="2025-05-10T00:00:00"/>
    <d v="2025-05-27T00:00:00"/>
    <x v="14"/>
    <s v="May-2025"/>
    <s v="Q2-2025"/>
    <s v="Americas"/>
    <x v="3"/>
    <s v="Vancouver"/>
    <s v="Education"/>
    <s v="Direct"/>
    <s v="C. Otieno"/>
    <x v="0"/>
    <s v="CMP-9307"/>
    <n v="862.89"/>
    <s v="High"/>
    <n v="1426.03"/>
    <n v="5.6000000000000001E-2"/>
    <n v="19"/>
    <n v="11111.531359999999"/>
    <n v="16394.91"/>
    <n v="-5283.3786400000008"/>
    <n v="-0.4754860935747745"/>
  </r>
  <r>
    <x v="300"/>
    <d v="2023-10-05T00:00:00"/>
    <d v="2023-10-31T00:00:00"/>
    <x v="0"/>
    <s v="Oct-2023"/>
    <s v="Q4-2023"/>
    <s v="Asia"/>
    <x v="9"/>
    <s v="Shanghai"/>
    <s v="Consumer"/>
    <s v="Not Provided"/>
    <s v="J. Njeri"/>
    <x v="1"/>
    <s v="PRN-6520"/>
    <n v="649.91"/>
    <s v="High"/>
    <n v="1360.12"/>
    <n v="0.19400000000000001"/>
    <n v="9"/>
    <n v="10311.923699999999"/>
    <n v="5849.19"/>
    <n v="4462.7336999999998"/>
    <n v="0.43277411953697836"/>
  </r>
  <r>
    <x v="301"/>
    <d v="2023-07-18T00:00:00"/>
    <d v="2023-07-22T00:00:00"/>
    <x v="3"/>
    <s v="Jul-2023"/>
    <s v="Q3-2023"/>
    <s v="Americas"/>
    <x v="5"/>
    <s v="São Paulo"/>
    <s v="Consumer"/>
    <s v="Direct"/>
    <s v="F. Müller"/>
    <x v="2"/>
    <s v="NET-1699"/>
    <n v="1269.55"/>
    <s v="High"/>
    <n v="2071.1"/>
    <n v="0.129"/>
    <n v="22"/>
    <n v="18252.954719999998"/>
    <n v="27930.1"/>
    <n v="-9677.1452800000006"/>
    <n v="-0.53016870027057195"/>
  </r>
  <r>
    <x v="302"/>
    <d v="2025-06-22T00:00:00"/>
    <d v="2025-07-08T00:00:00"/>
    <x v="13"/>
    <s v="Jun-2025"/>
    <s v="Q2-2025"/>
    <s v="Europe"/>
    <x v="8"/>
    <s v="London"/>
    <s v="Education"/>
    <s v="Direct"/>
    <s v="A. Patel"/>
    <x v="3"/>
    <s v="PHN-5316"/>
    <n v="892.73"/>
    <s v="High"/>
    <n v="979.84"/>
    <n v="0.17399999999999999"/>
    <n v="10"/>
    <n v="26053.196400000001"/>
    <n v="8927.2999999999993"/>
    <n v="17125.896400000001"/>
    <n v="0.65734338839129935"/>
  </r>
  <r>
    <x v="303"/>
    <d v="2024-06-19T00:00:00"/>
    <d v="2024-06-20T00:00:00"/>
    <x v="1"/>
    <s v="Jun-2024"/>
    <s v="Q2-2024"/>
    <s v="Africa"/>
    <x v="0"/>
    <s v="Kisumu"/>
    <s v="Small Business"/>
    <s v="Direct"/>
    <s v="J. Njeri"/>
    <x v="4"/>
    <s v="LAP-4607"/>
    <n v="231.63"/>
    <s v="High"/>
    <n v="537.39"/>
    <n v="0.08"/>
    <n v="12"/>
    <n v="2496.5855999999999"/>
    <n v="2779.56"/>
    <n v="-282.97440000000006"/>
    <n v="-0.11334456146827093"/>
  </r>
  <r>
    <x v="304"/>
    <d v="2025-04-09T00:00:00"/>
    <d v="2025-04-12T00:00:00"/>
    <x v="4"/>
    <s v="Apr-2025"/>
    <s v="Q2-2025"/>
    <s v="Europe"/>
    <x v="7"/>
    <s v="Lyon"/>
    <s v="Small Business"/>
    <s v="Distributor"/>
    <s v="H. Kim"/>
    <x v="5"/>
    <s v="MON-5276"/>
    <n v="86.68"/>
    <s v="High"/>
    <n v="213.32"/>
    <n v="3.7999999999999999E-2"/>
    <n v="8"/>
    <n v="6818.0403199999992"/>
    <n v="693.44"/>
    <n v="6124.6003199999996"/>
    <n v="0.89829335594190218"/>
  </r>
  <r>
    <x v="305"/>
    <d v="2025-03-25T00:00:00"/>
    <d v="2025-03-26T00:00:00"/>
    <x v="1"/>
    <s v="Mar-2025"/>
    <s v="Q1-2025"/>
    <s v="Africa"/>
    <x v="1"/>
    <s v="Lagos"/>
    <s v="Education"/>
    <s v="Distributor"/>
    <s v="G. Dubois"/>
    <x v="6"/>
    <s v="ACC-9533"/>
    <n v="1450.43"/>
    <s v="High"/>
    <n v="1994.67"/>
    <n v="0.1"/>
    <n v="24"/>
    <n v="52560.144000000008"/>
    <n v="34810.32"/>
    <n v="17749.824000000008"/>
    <n v="0.33770501085385163"/>
  </r>
  <r>
    <x v="306"/>
    <d v="2025-05-18T00:00:00"/>
    <d v="2025-06-09T00:00:00"/>
    <x v="22"/>
    <s v="May-2025"/>
    <s v="Q2-2025"/>
    <s v="Americas"/>
    <x v="10"/>
    <s v="New York"/>
    <s v="Consumer"/>
    <s v="Retail"/>
    <s v="H. Kim"/>
    <x v="2"/>
    <s v="NET-3749"/>
    <n v="382.96"/>
    <s v="High"/>
    <n v="552.84"/>
    <n v="0.17599999999999999"/>
    <n v="8"/>
    <n v="7609.4092799999999"/>
    <n v="3063.68"/>
    <n v="4545.7292799999996"/>
    <n v="0.59738267620164065"/>
  </r>
  <r>
    <x v="307"/>
    <d v="2025-01-22T00:00:00"/>
    <d v="2025-02-04T00:00:00"/>
    <x v="19"/>
    <s v="Jan-2025"/>
    <s v="Q1-2025"/>
    <s v="Asia"/>
    <x v="2"/>
    <s v="Tokyo"/>
    <s v="Small Business"/>
    <s v="Distributor"/>
    <s v="L. Okafor"/>
    <x v="1"/>
    <s v="PRN-2991"/>
    <n v="122.29"/>
    <s v="High"/>
    <n v="224.95"/>
    <n v="0.153"/>
    <n v="28"/>
    <n v="26941.13884"/>
    <n v="3424.1200000000003"/>
    <n v="23517.018840000001"/>
    <n v="0.8729036652705956"/>
  </r>
  <r>
    <x v="308"/>
    <d v="2023-01-10T00:00:00"/>
    <d v="2023-01-29T00:00:00"/>
    <x v="7"/>
    <s v="Jan-2023"/>
    <s v="Q1-2023"/>
    <s v="Europe"/>
    <x v="7"/>
    <s v="Lyon"/>
    <s v="Non-Profit"/>
    <s v="Direct"/>
    <s v="D. Smith"/>
    <x v="4"/>
    <s v="LAP-4551"/>
    <n v="401.66"/>
    <s v="High"/>
    <n v="772.09"/>
    <n v="8.8999999999999996E-2"/>
    <n v="14"/>
    <n v="35096.967360000002"/>
    <n v="5623.2400000000007"/>
    <n v="29473.727360000001"/>
    <n v="0.83977988917615698"/>
  </r>
  <r>
    <x v="309"/>
    <d v="2024-12-29T00:00:00"/>
    <d v="2025-01-12T00:00:00"/>
    <x v="17"/>
    <s v="Dec-2024"/>
    <s v="Q4-2024"/>
    <s v="Europe"/>
    <x v="8"/>
    <s v="Manchester"/>
    <s v="Corporate"/>
    <s v="Direct"/>
    <s v="B. Chen"/>
    <x v="5"/>
    <s v="MON-6310"/>
    <n v="1399.72"/>
    <s v="High"/>
    <n v="3149.21"/>
    <n v="0.185"/>
    <n v="12"/>
    <n v="13444.761599999998"/>
    <n v="16796.64"/>
    <n v="-3351.8784000000014"/>
    <n v="-0.24930738823959525"/>
  </r>
  <r>
    <x v="310"/>
    <d v="2024-05-23T00:00:00"/>
    <d v="2024-06-06T00:00:00"/>
    <x v="17"/>
    <s v="May-2024"/>
    <s v="Q2-2024"/>
    <s v="Americas"/>
    <x v="5"/>
    <s v="Rio de Janeiro"/>
    <s v="Non-Profit"/>
    <s v="Online"/>
    <s v="I. Johnson"/>
    <x v="2"/>
    <s v="NET-1166"/>
    <n v="51.13"/>
    <s v="Medium"/>
    <n v="57.53"/>
    <n v="4.4999999999999998E-2"/>
    <n v="16"/>
    <n v="20144.693599999999"/>
    <n v="818.08"/>
    <n v="19326.613599999997"/>
    <n v="0.95938980178879452"/>
  </r>
  <r>
    <x v="311"/>
    <d v="2023-06-24T00:00:00"/>
    <d v="2023-06-22T00:00:00"/>
    <x v="6"/>
    <s v="Jun-2023"/>
    <s v="Q2-2023"/>
    <s v="Americas"/>
    <x v="3"/>
    <s v="Toronto"/>
    <s v="Non-Profit"/>
    <s v="Retail"/>
    <s v="M. Rossi"/>
    <x v="6"/>
    <s v="ACC-2903"/>
    <n v="471.42"/>
    <s v="High"/>
    <n v="824.81"/>
    <n v="8.7999999999999995E-2"/>
    <n v="15"/>
    <n v="6043.0032000000001"/>
    <n v="7071.3"/>
    <n v="-1028.2968000000001"/>
    <n v="-0.17016320626803574"/>
  </r>
  <r>
    <x v="312"/>
    <d v="2024-11-04T00:00:00"/>
    <d v="2024-11-05T00:00:00"/>
    <x v="1"/>
    <s v="Nov-2024"/>
    <s v="Q4-2024"/>
    <s v="Europe"/>
    <x v="8"/>
    <s v="London"/>
    <s v="Corporate"/>
    <s v="Retail"/>
    <s v="M. Rossi"/>
    <x v="1"/>
    <s v="PRN-2293"/>
    <n v="840.68"/>
    <s v="High"/>
    <n v="1493.53"/>
    <n v="0"/>
    <n v="27"/>
    <n v="35911.89"/>
    <n v="22698.359999999997"/>
    <n v="13213.530000000002"/>
    <n v="0.36794304059184862"/>
  </r>
  <r>
    <x v="313"/>
    <d v="2024-06-08T00:00:00"/>
    <d v="2024-06-24T00:00:00"/>
    <x v="13"/>
    <s v="Jun-2024"/>
    <s v="Q2-2024"/>
    <s v="Africa"/>
    <x v="11"/>
    <s v="Durban"/>
    <s v="Education"/>
    <s v="Distributor"/>
    <s v="H. Kim"/>
    <x v="5"/>
    <s v="MON-1389"/>
    <n v="597.85"/>
    <s v="High"/>
    <n v="741.92"/>
    <n v="3.1E-2"/>
    <n v="7"/>
    <n v="11089.255379999999"/>
    <n v="4184.95"/>
    <n v="6904.3053799999989"/>
    <n v="0.62261217217995024"/>
  </r>
  <r>
    <x v="314"/>
    <d v="2025-06-01T00:00:00"/>
    <d v="2025-06-06T00:00:00"/>
    <x v="16"/>
    <s v="Jun-2025"/>
    <s v="Q2-2025"/>
    <s v="Europe"/>
    <x v="7"/>
    <s v="Paris"/>
    <s v="Consumer"/>
    <s v="Distributor"/>
    <s v="G. Dubois"/>
    <x v="0"/>
    <s v="CMP-4093"/>
    <n v="379.45"/>
    <s v="High"/>
    <n v="742.23"/>
    <n v="0.09"/>
    <n v="13"/>
    <n v="835.19799999999998"/>
    <n v="4932.8499999999995"/>
    <n v="-4097.6519999999991"/>
    <n v="-4.9062042773090919"/>
  </r>
  <r>
    <x v="315"/>
    <d v="2023-05-06T00:00:00"/>
    <d v="2023-05-14T00:00:00"/>
    <x v="12"/>
    <s v="May-2023"/>
    <s v="Q2-2023"/>
    <s v="Asia"/>
    <x v="2"/>
    <s v="Osaka"/>
    <s v="Enterprise"/>
    <s v="Marketplace"/>
    <s v="B. Chen"/>
    <x v="3"/>
    <s v="PHN-6131"/>
    <n v="291.18"/>
    <s v="High"/>
    <n v="479.54"/>
    <n v="0.14099999999999999"/>
    <n v="22"/>
    <n v="34451.80992"/>
    <n v="6405.96"/>
    <n v="28045.849920000001"/>
    <n v="0.81406027680765747"/>
  </r>
  <r>
    <x v="316"/>
    <d v="2023-11-14T00:00:00"/>
    <d v="2023-11-30T00:00:00"/>
    <x v="13"/>
    <s v="Nov-2023"/>
    <s v="Q4-2023"/>
    <s v="Americas"/>
    <x v="5"/>
    <s v="São Paulo"/>
    <s v="Enterprise"/>
    <s v="Direct"/>
    <s v="K. Singh"/>
    <x v="2"/>
    <s v="NET-4104"/>
    <n v="1017.92"/>
    <s v="High"/>
    <n v="1175.25"/>
    <n v="7.4999999999999997E-2"/>
    <n v="15"/>
    <n v="27971.861250000002"/>
    <n v="15268.8"/>
    <n v="12703.061250000002"/>
    <n v="0.45413714648681097"/>
  </r>
  <r>
    <x v="317"/>
    <d v="2025-04-01T00:00:00"/>
    <d v="2025-04-27T00:00:00"/>
    <x v="0"/>
    <s v="Apr-2025"/>
    <s v="Q2-2025"/>
    <s v="Americas"/>
    <x v="10"/>
    <s v="San Francisco"/>
    <s v="Corporate"/>
    <s v="Direct"/>
    <s v="I. Johnson"/>
    <x v="5"/>
    <s v="MON-9319"/>
    <n v="156.55000000000001"/>
    <s v="High"/>
    <n v="227.45"/>
    <n v="1.4E-2"/>
    <n v="13"/>
    <n v="3129.2583399999999"/>
    <n v="2035.15"/>
    <n v="1094.1083399999998"/>
    <n v="0.34963822769583153"/>
  </r>
  <r>
    <x v="318"/>
    <d v="2023-03-23T00:00:00"/>
    <d v="2023-04-15T00:00:00"/>
    <x v="21"/>
    <s v="Mar-2023"/>
    <s v="Q1-2023"/>
    <s v="Africa"/>
    <x v="0"/>
    <s v="Mombasa"/>
    <s v="Small Business"/>
    <s v="Retail"/>
    <s v="C. Otieno"/>
    <x v="6"/>
    <s v="ACC-2988"/>
    <n v="875.36"/>
    <s v="High"/>
    <n v="1178.6199999999999"/>
    <n v="0.151"/>
    <n v="53"/>
    <n v="125232.05063999999"/>
    <n v="46394.080000000002"/>
    <n v="78837.970639999985"/>
    <n v="0.62953509295022747"/>
  </r>
  <r>
    <x v="319"/>
    <d v="2024-05-28T00:00:00"/>
    <d v="2024-06-18T00:00:00"/>
    <x v="28"/>
    <s v="May-2024"/>
    <s v="Q2-2024"/>
    <s v="Europe"/>
    <x v="6"/>
    <s v="Frankfurt"/>
    <s v="Small Business"/>
    <s v="Online"/>
    <s v="E. Garcia"/>
    <x v="3"/>
    <s v="PHN-9399"/>
    <n v="986.85"/>
    <s v="High"/>
    <n v="2422.1"/>
    <n v="7.5999999999999998E-2"/>
    <n v="10"/>
    <n v="18944.864399999999"/>
    <n v="9868.5"/>
    <n v="9076.3643999999986"/>
    <n v="0.47909365875429538"/>
  </r>
  <r>
    <x v="320"/>
    <d v="2024-01-02T00:00:00"/>
    <d v="2024-01-01T00:00:00"/>
    <x v="1"/>
    <s v="Jan-2024"/>
    <s v="Q1-2024"/>
    <s v="Americas"/>
    <x v="10"/>
    <s v="Chicago"/>
    <s v="Education"/>
    <s v="Marketplace"/>
    <s v="B. Chen"/>
    <x v="2"/>
    <s v="NET-4554"/>
    <n v="404.77"/>
    <s v="High"/>
    <n v="433.88"/>
    <n v="0.215"/>
    <n v="22"/>
    <n v="2540.7624000000005"/>
    <n v="8904.9399999999987"/>
    <n v="-6364.1775999999982"/>
    <n v="-2.504829888855407"/>
  </r>
  <r>
    <x v="321"/>
    <d v="2023-02-28T00:00:00"/>
    <d v="2023-02-27T00:00:00"/>
    <x v="1"/>
    <s v="Feb-2023"/>
    <s v="Q1-2023"/>
    <s v="Europe"/>
    <x v="7"/>
    <s v="Marseille"/>
    <s v="Corporate"/>
    <s v="Retail"/>
    <s v="K. Singh"/>
    <x v="2"/>
    <s v="NET-5195"/>
    <n v="1299.81"/>
    <s v="High"/>
    <n v="3149.13"/>
    <n v="0.10299999999999999"/>
    <n v="14"/>
    <n v="24902.262840000003"/>
    <n v="18197.34"/>
    <n v="6704.9228400000029"/>
    <n v="0.26924954101881943"/>
  </r>
  <r>
    <x v="322"/>
    <d v="2024-02-18T00:00:00"/>
    <d v="2024-03-11T00:00:00"/>
    <x v="22"/>
    <s v="Feb-2024"/>
    <s v="Q1-2024"/>
    <s v="Americas"/>
    <x v="5"/>
    <s v="São Paulo"/>
    <s v="Consumer"/>
    <s v="Online"/>
    <s v="A. Patel"/>
    <x v="0"/>
    <s v="CMP-9801"/>
    <n v="80.48"/>
    <s v="Medium"/>
    <n v="65.650000000000006"/>
    <n v="0.17599999999999999"/>
    <n v="13"/>
    <n v="24630.101600000002"/>
    <n v="1046.24"/>
    <n v="23583.8616"/>
    <n v="0.95752189670220433"/>
  </r>
  <r>
    <x v="323"/>
    <d v="2024-09-09T00:00:00"/>
    <d v="2024-10-08T00:00:00"/>
    <x v="11"/>
    <s v="Sept-2024"/>
    <s v="Q3-2024"/>
    <s v="Americas"/>
    <x v="5"/>
    <s v="São Paulo"/>
    <s v="Education"/>
    <s v="Direct"/>
    <s v="J. Njeri"/>
    <x v="0"/>
    <s v="CMP-3093"/>
    <n v="1010.33"/>
    <s v="High"/>
    <n v="2492.14"/>
    <n v="5.0999999999999997E-2"/>
    <n v="11"/>
    <n v="4829.1857899999995"/>
    <n v="11113.630000000001"/>
    <n v="-6284.4442100000015"/>
    <n v="-1.3013465381707756"/>
  </r>
  <r>
    <x v="324"/>
    <d v="2023-05-07T00:00:00"/>
    <d v="2023-05-29T00:00:00"/>
    <x v="22"/>
    <s v="May-2023"/>
    <s v="Q2-2023"/>
    <s v="Africa"/>
    <x v="11"/>
    <s v="Durban"/>
    <s v="Education"/>
    <s v="Distributor"/>
    <s v="K. Singh"/>
    <x v="6"/>
    <s v="ACC-2364"/>
    <n v="653.86"/>
    <s v="High"/>
    <n v="931.84"/>
    <n v="0.121"/>
    <n v="12"/>
    <n v="11533.077720000001"/>
    <n v="7846.32"/>
    <n v="3686.7577200000014"/>
    <n v="0.3196681587956906"/>
  </r>
  <r>
    <x v="325"/>
    <d v="2024-01-12T00:00:00"/>
    <d v="2024-01-29T00:00:00"/>
    <x v="14"/>
    <s v="Jan-2024"/>
    <s v="Q1-2024"/>
    <s v="Asia"/>
    <x v="4"/>
    <s v="Hyderabad"/>
    <s v="Small Business"/>
    <s v="Direct"/>
    <s v="B. Chen"/>
    <x v="0"/>
    <s v="CMP-5138"/>
    <n v="310.02"/>
    <s v="High"/>
    <n v="619.51"/>
    <n v="4.2000000000000003E-2"/>
    <n v="4"/>
    <n v="5572.5710399999998"/>
    <n v="1240.08"/>
    <n v="4332.4910399999999"/>
    <n v="0.77746717070115634"/>
  </r>
  <r>
    <x v="326"/>
    <d v="2023-06-10T00:00:00"/>
    <d v="2023-06-18T00:00:00"/>
    <x v="12"/>
    <s v="Jun-2023"/>
    <s v="Q2-2023"/>
    <s v="Africa"/>
    <x v="0"/>
    <s v="Nakuru"/>
    <s v="Enterprise"/>
    <s v="Direct"/>
    <s v="H. Kim"/>
    <x v="3"/>
    <s v="PHN-2337"/>
    <n v="894.23"/>
    <s v="High"/>
    <n v="1421.55"/>
    <n v="0.109"/>
    <n v="3"/>
    <n v="5667.829200000001"/>
    <n v="2682.69"/>
    <n v="2985.139200000001"/>
    <n v="0.52668122038681064"/>
  </r>
  <r>
    <x v="327"/>
    <d v="2025-05-19T00:00:00"/>
    <d v="2025-05-17T00:00:00"/>
    <x v="6"/>
    <s v="May-2025"/>
    <s v="Q2-2025"/>
    <s v="Americas"/>
    <x v="5"/>
    <s v="São Paulo"/>
    <s v="Small Business"/>
    <s v="Distributor"/>
    <s v="L. Okafor"/>
    <x v="5"/>
    <s v="MON-2993"/>
    <n v="383.77"/>
    <s v="High"/>
    <n v="952.56"/>
    <n v="0.34599999999999997"/>
    <n v="10"/>
    <n v="841.56720000000018"/>
    <n v="3837.7"/>
    <n v="-2996.1327999999994"/>
    <n v="-3.5601824785946965"/>
  </r>
  <r>
    <x v="328"/>
    <d v="2023-10-22T00:00:00"/>
    <d v="2023-11-16T00:00:00"/>
    <x v="2"/>
    <s v="Oct-2023"/>
    <s v="Q4-2023"/>
    <s v="Americas"/>
    <x v="3"/>
    <s v="Toronto"/>
    <s v="Small Business"/>
    <s v="Marketplace"/>
    <s v="I. Johnson"/>
    <x v="4"/>
    <s v="LAP-9024"/>
    <n v="1373.31"/>
    <s v="High"/>
    <n v="3154.14"/>
    <n v="0.2"/>
    <n v="11"/>
    <n v="11668.448000000002"/>
    <n v="15106.41"/>
    <n v="-3437.9619999999977"/>
    <n v="-0.29463747021026249"/>
  </r>
  <r>
    <x v="329"/>
    <d v="2025-01-11T00:00:00"/>
    <d v="2025-01-23T00:00:00"/>
    <x v="8"/>
    <s v="Jan-2025"/>
    <s v="Q1-2025"/>
    <s v="Americas"/>
    <x v="10"/>
    <s v="Austin"/>
    <s v="Consumer"/>
    <s v="Distributor"/>
    <s v="H. Kim"/>
    <x v="3"/>
    <s v="PHN-6307"/>
    <n v="100.69"/>
    <s v="High"/>
    <n v="226.14"/>
    <n v="6.5000000000000002E-2"/>
    <n v="12"/>
    <n v="27369.282600000002"/>
    <n v="1208.28"/>
    <n v="26161.002600000003"/>
    <n v="0.95585269743241286"/>
  </r>
  <r>
    <x v="330"/>
    <d v="2025-09-14T00:00:00"/>
    <d v="2025-09-26T00:00:00"/>
    <x v="8"/>
    <s v="Sept-2025"/>
    <s v="Q3-2025"/>
    <s v="Europe"/>
    <x v="8"/>
    <s v="London"/>
    <s v="Small Business"/>
    <s v="Direct"/>
    <s v="N. Brown"/>
    <x v="2"/>
    <s v="NET-9003"/>
    <n v="425.15"/>
    <s v="High"/>
    <n v="885.92"/>
    <n v="0.23899999999999999"/>
    <n v="13"/>
    <n v="21779.835220000001"/>
    <n v="5526.95"/>
    <n v="16252.88522"/>
    <n v="0.74623545384196899"/>
  </r>
  <r>
    <x v="331"/>
    <d v="2023-08-30T00:00:00"/>
    <d v="2023-09-03T00:00:00"/>
    <x v="3"/>
    <s v="Aug-2023"/>
    <s v="Q3-2023"/>
    <s v="Asia"/>
    <x v="4"/>
    <s v="Delhi"/>
    <s v="Small Business"/>
    <s v="Marketplace"/>
    <s v="L. Okafor"/>
    <x v="6"/>
    <s v="ACC-3068"/>
    <n v="1082.25"/>
    <s v="High"/>
    <n v="2433.34"/>
    <n v="0.27"/>
    <n v="4"/>
    <n v="2377.9312"/>
    <n v="4329"/>
    <n v="-1951.0688"/>
    <n v="-0.82049001249489473"/>
  </r>
  <r>
    <x v="332"/>
    <d v="2023-11-15T00:00:00"/>
    <d v="2023-12-06T00:00:00"/>
    <x v="28"/>
    <s v="Nov-2023"/>
    <s v="Q4-2023"/>
    <s v="Europe"/>
    <x v="8"/>
    <s v="Manchester"/>
    <s v="Education"/>
    <s v="Direct"/>
    <s v="H. Kim"/>
    <x v="6"/>
    <s v="ACC-1060"/>
    <n v="1184.99"/>
    <s v="High"/>
    <n v="1154.3399999999999"/>
    <n v="2.8000000000000001E-2"/>
    <n v="5"/>
    <n v="6720.9426000000003"/>
    <n v="5924.95"/>
    <n v="795.99260000000049"/>
    <n v="0.11843466718492737"/>
  </r>
  <r>
    <x v="333"/>
    <d v="2025-04-27T00:00:00"/>
    <d v="2025-05-27T00:00:00"/>
    <x v="18"/>
    <s v="Apr-2025"/>
    <s v="Q2-2025"/>
    <s v="Asia"/>
    <x v="4"/>
    <s v="Not Provided"/>
    <s v="Enterprise"/>
    <s v="Marketplace"/>
    <s v="H. Kim"/>
    <x v="3"/>
    <s v="PHN-3854"/>
    <n v="481.32"/>
    <s v="High"/>
    <n v="1135.99"/>
    <n v="0.14499999999999999"/>
    <n v="5"/>
    <n v="7038.4882499999994"/>
    <n v="2406.6"/>
    <n v="4631.88825"/>
    <n v="0.65807998613906904"/>
  </r>
  <r>
    <x v="334"/>
    <d v="2024-04-09T00:00:00"/>
    <d v="2024-04-18T00:00:00"/>
    <x v="25"/>
    <s v="Apr-2024"/>
    <s v="Q2-2024"/>
    <s v="Europe"/>
    <x v="7"/>
    <s v="Lyon"/>
    <s v="Consumer"/>
    <s v="Online"/>
    <s v="E. Garcia"/>
    <x v="1"/>
    <s v="PRN-1086"/>
    <n v="1288.8499999999999"/>
    <s v="High"/>
    <n v="2751.84"/>
    <n v="0.158"/>
    <n v="7"/>
    <n v="2362.5509599999996"/>
    <n v="9021.9499999999989"/>
    <n v="-6659.3990399999993"/>
    <n v="-2.8187324433416667"/>
  </r>
  <r>
    <x v="335"/>
    <d v="2024-07-11T00:00:00"/>
    <d v="2024-07-31T00:00:00"/>
    <x v="9"/>
    <s v="Jul-2024"/>
    <s v="Q3-2024"/>
    <s v="Asia"/>
    <x v="9"/>
    <s v="Shenzhen"/>
    <s v="Consumer"/>
    <s v="Online"/>
    <s v="G. Dubois"/>
    <x v="3"/>
    <s v="PHN-7815"/>
    <n v="647.26"/>
    <s v="High"/>
    <n v="1374.72"/>
    <n v="6.6000000000000003E-2"/>
    <n v="22"/>
    <n v="36586.946879999996"/>
    <n v="14239.72"/>
    <n v="22347.226879999995"/>
    <n v="0.6107978059305067"/>
  </r>
  <r>
    <x v="336"/>
    <d v="2024-02-18T00:00:00"/>
    <d v="2024-03-03T00:00:00"/>
    <x v="17"/>
    <s v="Feb-2024"/>
    <s v="Q1-2024"/>
    <s v="Americas"/>
    <x v="5"/>
    <s v="Not Provided"/>
    <s v="Enterprise"/>
    <s v="Distributor"/>
    <s v="A. Patel"/>
    <x v="1"/>
    <s v="PRN-5384"/>
    <n v="624.23"/>
    <s v="High"/>
    <n v="1318.37"/>
    <n v="0.21"/>
    <n v="37"/>
    <n v="32691.708900000005"/>
    <n v="23096.510000000002"/>
    <n v="9595.1989000000031"/>
    <n v="0.29350557749521627"/>
  </r>
  <r>
    <x v="337"/>
    <d v="2023-07-25T00:00:00"/>
    <d v="2023-08-10T00:00:00"/>
    <x v="13"/>
    <s v="Jul-2023"/>
    <s v="Q3-2023"/>
    <s v="Africa"/>
    <x v="1"/>
    <s v="Port Harcourt"/>
    <s v="Corporate"/>
    <s v="Distributor"/>
    <s v="I. Johnson"/>
    <x v="6"/>
    <s v="ACC-8178"/>
    <n v="506.83"/>
    <s v="High"/>
    <n v="441.74"/>
    <n v="0.24"/>
    <n v="9"/>
    <n v="5274.4607999999998"/>
    <n v="4561.47"/>
    <n v="712.99079999999958"/>
    <n v="0.1351779503224291"/>
  </r>
  <r>
    <x v="338"/>
    <d v="2023-07-14T00:00:00"/>
    <d v="2023-07-21T00:00:00"/>
    <x v="20"/>
    <s v="Jul-2023"/>
    <s v="Q3-2023"/>
    <s v="Africa"/>
    <x v="11"/>
    <s v="Durban"/>
    <s v="Enterprise"/>
    <s v="Marketplace"/>
    <s v="Not Provided"/>
    <x v="5"/>
    <s v="MON-1018"/>
    <n v="620.74"/>
    <s v="High"/>
    <n v="1330.07"/>
    <n v="0.29899999999999999"/>
    <n v="28"/>
    <n v="23750.665119999998"/>
    <n v="17380.72"/>
    <n v="6369.9451199999967"/>
    <n v="0.26820070460409901"/>
  </r>
  <r>
    <x v="339"/>
    <d v="2023-07-24T00:00:00"/>
    <d v="2023-08-19T00:00:00"/>
    <x v="0"/>
    <s v="Jul-2023"/>
    <s v="Q3-2023"/>
    <s v="Africa"/>
    <x v="0"/>
    <s v="Nairobi"/>
    <s v="Enterprise"/>
    <s v="Distributor"/>
    <s v="M. Rossi"/>
    <x v="6"/>
    <s v="ACC-1238"/>
    <n v="661.45"/>
    <s v="High"/>
    <n v="1634.86"/>
    <n v="0.56499999999999995"/>
    <n v="24"/>
    <n v="31570.873200000005"/>
    <n v="15874.800000000001"/>
    <n v="15696.073200000004"/>
    <n v="0.49716943527555019"/>
  </r>
  <r>
    <x v="340"/>
    <d v="2023-04-13T00:00:00"/>
    <d v="2023-04-11T00:00:00"/>
    <x v="6"/>
    <s v="Apr-2023"/>
    <s v="Q2-2023"/>
    <s v="Americas"/>
    <x v="10"/>
    <s v="San Francisco"/>
    <s v="Education"/>
    <s v="Marketplace"/>
    <s v="G. Dubois"/>
    <x v="2"/>
    <s v="NET-1816"/>
    <n v="32.1"/>
    <s v="Medium"/>
    <n v="70.599999999999994"/>
    <n v="0.28199999999999997"/>
    <n v="22"/>
    <n v="36385.454160000001"/>
    <n v="706.2"/>
    <n v="35679.254160000004"/>
    <n v="0.98059114510720191"/>
  </r>
  <r>
    <x v="341"/>
    <d v="2024-10-29T00:00:00"/>
    <d v="2024-11-04T00:00:00"/>
    <x v="30"/>
    <s v="Oct-2024"/>
    <s v="Q4-2024"/>
    <s v="Africa"/>
    <x v="0"/>
    <s v="Nairobi"/>
    <s v="Corporate"/>
    <s v="Distributor"/>
    <s v="M. Rossi"/>
    <x v="1"/>
    <s v="PRN-4893"/>
    <n v="805.81"/>
    <s v="High"/>
    <n v="1823.04"/>
    <n v="0"/>
    <n v="11"/>
    <n v="33921.800000000003"/>
    <n v="8863.91"/>
    <n v="25057.890000000003"/>
    <n v="0.73869576496530254"/>
  </r>
  <r>
    <x v="342"/>
    <d v="2024-02-17T00:00:00"/>
    <d v="2024-03-04T00:00:00"/>
    <x v="13"/>
    <s v="Feb-2024"/>
    <s v="Q1-2024"/>
    <s v="Asia"/>
    <x v="4"/>
    <s v="Delhi"/>
    <s v="Small Business"/>
    <s v="Marketplace"/>
    <s v="F. Müller"/>
    <x v="3"/>
    <s v="PHN-1717"/>
    <n v="1231.8"/>
    <s v="High"/>
    <n v="2015.99"/>
    <n v="0.26100000000000001"/>
    <n v="6"/>
    <n v="1430.8961399999998"/>
    <n v="7390.7999999999993"/>
    <n v="-5959.9038599999994"/>
    <n v="-4.1651547539991265"/>
  </r>
  <r>
    <x v="343"/>
    <d v="2024-07-13T00:00:00"/>
    <d v="2024-07-12T00:00:00"/>
    <x v="1"/>
    <s v="Jul-2024"/>
    <s v="Q3-2024"/>
    <s v="Asia"/>
    <x v="2"/>
    <s v="Nagoya"/>
    <s v="Small Business"/>
    <s v="Marketplace"/>
    <s v="F. Müller"/>
    <x v="2"/>
    <s v="NET-9575"/>
    <n v="105.13"/>
    <s v="High"/>
    <n v="244.13"/>
    <n v="7.0999999999999994E-2"/>
    <n v="14"/>
    <n v="9511.1577400000006"/>
    <n v="1471.82"/>
    <n v="8039.3377400000008"/>
    <n v="0.84525332874986048"/>
  </r>
  <r>
    <x v="344"/>
    <d v="2023-12-01T00:00:00"/>
    <d v="2023-12-18T00:00:00"/>
    <x v="14"/>
    <s v="Dec-2023"/>
    <s v="Q4-2023"/>
    <s v="Asia"/>
    <x v="2"/>
    <s v="Nagoya"/>
    <s v="Small Business"/>
    <s v="Direct"/>
    <s v="N. Brown"/>
    <x v="4"/>
    <s v="LAP-3604"/>
    <n v="1495.79"/>
    <s v="High"/>
    <n v="2783.12"/>
    <n v="0.02"/>
    <n v="5"/>
    <n v="7516.3549999999996"/>
    <n v="7478.95"/>
    <n v="37.404999999999745"/>
    <n v="4.9764812864745937E-3"/>
  </r>
  <r>
    <x v="345"/>
    <d v="2024-07-25T00:00:00"/>
    <d v="2024-08-02T00:00:00"/>
    <x v="12"/>
    <s v="Jul-2024"/>
    <s v="Q3-2024"/>
    <s v="Americas"/>
    <x v="3"/>
    <s v="Montreal"/>
    <s v="Consumer"/>
    <s v="Direct"/>
    <s v="J. Njeri"/>
    <x v="6"/>
    <s v="ACC-6626"/>
    <n v="986.81"/>
    <s v="High"/>
    <n v="2050.31"/>
    <n v="0.10299999999999999"/>
    <n v="43"/>
    <n v="60620.497860000003"/>
    <n v="42432.829999999994"/>
    <n v="18187.667860000009"/>
    <n v="0.30002504931588508"/>
  </r>
  <r>
    <x v="346"/>
    <d v="2023-05-04T00:00:00"/>
    <d v="2023-05-16T00:00:00"/>
    <x v="8"/>
    <s v="May-2023"/>
    <s v="Q2-2023"/>
    <s v="Africa"/>
    <x v="1"/>
    <s v="Abuja"/>
    <s v="Small Business"/>
    <s v="Marketplace"/>
    <s v="J. Njeri"/>
    <x v="3"/>
    <s v="PHN-1670"/>
    <n v="77.739999999999995"/>
    <s v="Medium"/>
    <n v="147.12"/>
    <n v="0"/>
    <n v="15"/>
    <n v="3760.95"/>
    <n v="1166.0999999999999"/>
    <n v="2594.85"/>
    <n v="0.68994535955011371"/>
  </r>
  <r>
    <x v="347"/>
    <d v="2023-12-21T00:00:00"/>
    <d v="2024-01-06T00:00:00"/>
    <x v="13"/>
    <s v="Dec-2023"/>
    <s v="Q4-2023"/>
    <s v="Africa"/>
    <x v="1"/>
    <s v="Not Provided"/>
    <s v="Corporate"/>
    <s v="Marketplace"/>
    <s v="K. Singh"/>
    <x v="0"/>
    <s v="CMP-4792"/>
    <n v="932.61"/>
    <s v="High"/>
    <n v="1982.98"/>
    <n v="0.14399999999999999"/>
    <n v="16"/>
    <n v="47563.605759999999"/>
    <n v="14921.76"/>
    <n v="32641.845759999997"/>
    <n v="0.68627777979463256"/>
  </r>
  <r>
    <x v="348"/>
    <d v="2025-06-17T00:00:00"/>
    <d v="2025-07-05T00:00:00"/>
    <x v="5"/>
    <s v="Jun-2025"/>
    <s v="Q2-2025"/>
    <s v="Asia"/>
    <x v="4"/>
    <s v="Delhi"/>
    <s v="Consumer"/>
    <s v="Marketplace"/>
    <s v="L. Okafor"/>
    <x v="4"/>
    <s v="LAP-1990"/>
    <n v="982.93"/>
    <s v="High"/>
    <n v="2299.3000000000002"/>
    <n v="0.113"/>
    <n v="6"/>
    <n v="6418.5448799999995"/>
    <n v="5897.58"/>
    <n v="520.96487999999954"/>
    <n v="8.1165574088811171E-2"/>
  </r>
  <r>
    <x v="349"/>
    <d v="2023-02-23T00:00:00"/>
    <d v="2023-03-08T00:00:00"/>
    <x v="19"/>
    <s v="Feb-2023"/>
    <s v="Q1-2023"/>
    <s v="Europe"/>
    <x v="8"/>
    <s v="Manchester"/>
    <s v="Small Business"/>
    <s v="Direct"/>
    <s v="C. Otieno"/>
    <x v="1"/>
    <s v="PRN-7410"/>
    <n v="307.37"/>
    <s v="High"/>
    <n v="462.61"/>
    <n v="0.188"/>
    <n v="11"/>
    <n v="19625.658360000001"/>
    <n v="3381.07"/>
    <n v="16244.588360000002"/>
    <n v="0.82772195775652957"/>
  </r>
  <r>
    <x v="350"/>
    <d v="2023-12-02T00:00:00"/>
    <d v="2023-12-16T00:00:00"/>
    <x v="17"/>
    <s v="Dec-2023"/>
    <s v="Q4-2023"/>
    <s v="Europe"/>
    <x v="6"/>
    <s v="Frankfurt"/>
    <s v="Education"/>
    <s v="Direct"/>
    <s v="N. Brown"/>
    <x v="5"/>
    <s v="MON-4278"/>
    <n v="879.08"/>
    <s v="High"/>
    <n v="1093.3900000000001"/>
    <n v="0.113"/>
    <n v="17"/>
    <n v="24437.027399999999"/>
    <n v="14944.36"/>
    <n v="9492.6673999999985"/>
    <n v="0.38845426019369272"/>
  </r>
  <r>
    <x v="351"/>
    <d v="2023-07-14T00:00:00"/>
    <d v="2023-07-14T00:00:00"/>
    <x v="18"/>
    <s v="Jul-2023"/>
    <s v="Q3-2023"/>
    <s v="Africa"/>
    <x v="1"/>
    <s v="Lagos"/>
    <s v="Education"/>
    <s v="Retail"/>
    <s v="I. Johnson"/>
    <x v="6"/>
    <s v="ACC-5334"/>
    <n v="956.38"/>
    <s v="High"/>
    <n v="1454.22"/>
    <n v="3.9E-2"/>
    <n v="19"/>
    <n v="18891.856940000001"/>
    <n v="18171.22"/>
    <n v="720.63694000000032"/>
    <n v="3.8145373548440616E-2"/>
  </r>
  <r>
    <x v="352"/>
    <d v="2024-08-08T00:00:00"/>
    <d v="2024-08-20T00:00:00"/>
    <x v="8"/>
    <s v="Aug-2024"/>
    <s v="Q3-2024"/>
    <s v="Asia"/>
    <x v="2"/>
    <s v="Osaka"/>
    <s v="Small Business"/>
    <s v="Retail"/>
    <s v="H. Kim"/>
    <x v="2"/>
    <s v="NET-8957"/>
    <n v="1233.3599999999999"/>
    <s v="High"/>
    <n v="2120.4"/>
    <n v="0.17899999999999999"/>
    <n v="20"/>
    <n v="31286.9964"/>
    <n v="24667.199999999997"/>
    <n v="6619.7964000000029"/>
    <n v="0.21158299490838958"/>
  </r>
  <r>
    <x v="353"/>
    <d v="2024-11-07T00:00:00"/>
    <d v="2024-11-26T00:00:00"/>
    <x v="7"/>
    <s v="Nov-2024"/>
    <s v="Q4-2024"/>
    <s v="Americas"/>
    <x v="5"/>
    <s v="Rio de Janeiro"/>
    <s v="Non-Profit"/>
    <s v="Distributor"/>
    <s v="J. Njeri"/>
    <x v="1"/>
    <s v="PRN-9960"/>
    <n v="55.35"/>
    <s v="Medium"/>
    <n v="128.68"/>
    <n v="0.128"/>
    <n v="10"/>
    <n v="4722.4031999999997"/>
    <n v="553.5"/>
    <n v="4168.9031999999997"/>
    <n v="0.88279272722837387"/>
  </r>
  <r>
    <x v="354"/>
    <d v="2024-01-01T00:00:00"/>
    <d v="2024-01-27T00:00:00"/>
    <x v="0"/>
    <s v="Jan-2024"/>
    <s v="Q1-2024"/>
    <s v="Europe"/>
    <x v="8"/>
    <s v="Manchester"/>
    <s v="Education"/>
    <s v="Distributor"/>
    <s v="D. Smith"/>
    <x v="6"/>
    <s v="ACC-3103"/>
    <n v="657.45"/>
    <s v="High"/>
    <n v="1325.96"/>
    <n v="0.16700000000000001"/>
    <n v="21"/>
    <n v="19532.683799999999"/>
    <n v="13806.45"/>
    <n v="5726.2337999999982"/>
    <n v="0.29316164939914702"/>
  </r>
  <r>
    <x v="355"/>
    <d v="2025-08-14T00:00:00"/>
    <d v="2025-09-11T00:00:00"/>
    <x v="27"/>
    <s v="Aug-2025"/>
    <s v="Q3-2025"/>
    <s v="Americas"/>
    <x v="5"/>
    <s v="São Paulo"/>
    <s v="Non-Profit"/>
    <s v="Direct"/>
    <s v="F. Müller"/>
    <x v="1"/>
    <s v="PRN-9490"/>
    <n v="1203.02"/>
    <s v="High"/>
    <n v="2439.33"/>
    <n v="0"/>
    <n v="18"/>
    <n v="26190"/>
    <n v="21654.36"/>
    <n v="4535.6399999999994"/>
    <n v="0.17318213058419241"/>
  </r>
  <r>
    <x v="356"/>
    <d v="2024-04-03T00:00:00"/>
    <d v="2024-04-21T00:00:00"/>
    <x v="5"/>
    <s v="Apr-2024"/>
    <s v="Q2-2024"/>
    <s v="Americas"/>
    <x v="5"/>
    <s v="Brasília"/>
    <s v="Small Business"/>
    <s v="Distributor"/>
    <s v="B. Chen"/>
    <x v="2"/>
    <s v="NET-3850"/>
    <n v="1176.69"/>
    <s v="High"/>
    <n v="2201.54"/>
    <n v="0.17"/>
    <n v="27"/>
    <n v="28646.702999999998"/>
    <n v="31770.63"/>
    <n v="-3123.9270000000033"/>
    <n v="-0.1090501409533936"/>
  </r>
  <r>
    <x v="357"/>
    <d v="2024-11-25T00:00:00"/>
    <d v="2024-12-07T00:00:00"/>
    <x v="8"/>
    <s v="Nov-2024"/>
    <s v="Q4-2024"/>
    <s v="Asia"/>
    <x v="9"/>
    <s v="Shanghai"/>
    <s v="Corporate"/>
    <s v="Distributor"/>
    <s v="A. Patel"/>
    <x v="6"/>
    <s v="ACC-7047"/>
    <n v="769.9"/>
    <s v="High"/>
    <n v="814.36"/>
    <n v="0"/>
    <n v="5"/>
    <n v="4499.1500000000005"/>
    <n v="3849.5"/>
    <n v="649.65000000000055"/>
    <n v="0.14439394107775924"/>
  </r>
  <r>
    <x v="358"/>
    <d v="2024-01-18T00:00:00"/>
    <d v="2024-02-03T00:00:00"/>
    <x v="13"/>
    <s v="Jan-2024"/>
    <s v="Q1-2024"/>
    <s v="Africa"/>
    <x v="11"/>
    <s v="Cape Town"/>
    <s v="Non-Profit"/>
    <s v="Distributor"/>
    <s v="L. Okafor"/>
    <x v="1"/>
    <s v="PRN-6660"/>
    <n v="666.23"/>
    <s v="High"/>
    <n v="1382.91"/>
    <n v="0.17599999999999999"/>
    <n v="13"/>
    <n v="9412.9557600000007"/>
    <n v="8660.99"/>
    <n v="751.96576000000096"/>
    <n v="7.9886252434697616E-2"/>
  </r>
  <r>
    <x v="359"/>
    <d v="2024-06-23T00:00:00"/>
    <d v="2024-06-25T00:00:00"/>
    <x v="6"/>
    <s v="Jun-2024"/>
    <s v="Q2-2024"/>
    <s v="Europe"/>
    <x v="8"/>
    <s v="Birmingham"/>
    <s v="Small Business"/>
    <s v="Marketplace"/>
    <s v="L. Okafor"/>
    <x v="6"/>
    <s v="ACC-7838"/>
    <n v="951.44"/>
    <s v="High"/>
    <n v="1646.43"/>
    <n v="0.11"/>
    <n v="24"/>
    <n v="12696.811199999998"/>
    <n v="22834.560000000001"/>
    <n v="-10137.748800000003"/>
    <n v="-0.79844841671741995"/>
  </r>
  <r>
    <x v="360"/>
    <d v="2025-06-25T00:00:00"/>
    <d v="2025-07-10T00:00:00"/>
    <x v="15"/>
    <s v="Jun-2025"/>
    <s v="Q2-2025"/>
    <s v="Europe"/>
    <x v="8"/>
    <s v="Birmingham"/>
    <s v="Non-Profit"/>
    <s v="Marketplace"/>
    <s v="D. Smith"/>
    <x v="3"/>
    <s v="PHN-5383"/>
    <n v="546.83000000000004"/>
    <s v="High"/>
    <n v="400.84"/>
    <n v="7.8E-2"/>
    <n v="13"/>
    <n v="19391.5501"/>
    <n v="7108.7900000000009"/>
    <n v="12282.7601"/>
    <n v="0.63340785221703344"/>
  </r>
  <r>
    <x v="361"/>
    <d v="2023-07-01T00:00:00"/>
    <d v="2023-07-08T00:00:00"/>
    <x v="20"/>
    <s v="Jul-2023"/>
    <s v="Q3-2023"/>
    <s v="Africa"/>
    <x v="1"/>
    <s v="Port Harcourt"/>
    <s v="Corporate"/>
    <s v="Retail"/>
    <s v="A. Patel"/>
    <x v="4"/>
    <s v="LAP-3904"/>
    <n v="834.26"/>
    <s v="High"/>
    <n v="1780.56"/>
    <n v="1.4E-2"/>
    <n v="47"/>
    <n v="45086.595219999996"/>
    <n v="39210.22"/>
    <n v="5876.3752199999944"/>
    <n v="0.13033530678744376"/>
  </r>
  <r>
    <x v="362"/>
    <d v="2024-03-09T00:00:00"/>
    <d v="2024-03-26T00:00:00"/>
    <x v="14"/>
    <s v="Mar-2024"/>
    <s v="Q1-2024"/>
    <s v="Asia"/>
    <x v="9"/>
    <s v="Shenzhen"/>
    <s v="Enterprise"/>
    <s v="Online"/>
    <s v="K. Singh"/>
    <x v="5"/>
    <s v="MON-5749"/>
    <n v="1029.67"/>
    <s v="High"/>
    <n v="1118.43"/>
    <n v="0.27200000000000002"/>
    <n v="9"/>
    <n v="278.85311999999999"/>
    <n v="9267.0300000000007"/>
    <n v="-8988.1768800000009"/>
    <n v="-32.232656676030743"/>
  </r>
  <r>
    <x v="363"/>
    <d v="2023-06-05T00:00:00"/>
    <d v="2023-06-28T00:00:00"/>
    <x v="21"/>
    <s v="Jun-2023"/>
    <s v="Q2-2023"/>
    <s v="Europe"/>
    <x v="8"/>
    <s v="Birmingham"/>
    <s v="Corporate"/>
    <s v="Direct"/>
    <s v="K. Singh"/>
    <x v="1"/>
    <s v="PRN-3690"/>
    <n v="605.82000000000005"/>
    <s v="High"/>
    <n v="771.12"/>
    <n v="0.13200000000000001"/>
    <n v="19"/>
    <n v="24421.848359999996"/>
    <n v="11510.580000000002"/>
    <n v="12911.268359999995"/>
    <n v="0.52867695227962652"/>
  </r>
  <r>
    <x v="364"/>
    <d v="2025-03-21T00:00:00"/>
    <d v="2025-04-09T00:00:00"/>
    <x v="7"/>
    <s v="Mar-2025"/>
    <s v="Q1-2025"/>
    <s v="Asia"/>
    <x v="2"/>
    <s v="Tokyo"/>
    <s v="Small Business"/>
    <s v="Distributor"/>
    <s v="E. Garcia"/>
    <x v="0"/>
    <s v="CMP-7055"/>
    <n v="1055.45"/>
    <s v="High"/>
    <n v="1210.04"/>
    <n v="8.9999999999999993E-3"/>
    <n v="18"/>
    <n v="10065.26988"/>
    <n v="18998.100000000002"/>
    <n v="-8932.8301200000024"/>
    <n v="-0.887490372985409"/>
  </r>
  <r>
    <x v="365"/>
    <d v="2024-06-02T00:00:00"/>
    <d v="2024-06-15T00:00:00"/>
    <x v="19"/>
    <s v="Jun-2024"/>
    <s v="Q2-2024"/>
    <s v="Africa"/>
    <x v="0"/>
    <s v="Mombasa"/>
    <s v="Education"/>
    <s v="Online"/>
    <s v="O. Wang"/>
    <x v="3"/>
    <s v="PHN-6866"/>
    <n v="1295.18"/>
    <s v="High"/>
    <n v="3024.03"/>
    <n v="0.192"/>
    <n v="8"/>
    <n v="13814.925440000001"/>
    <n v="10361.44"/>
    <n v="3453.4854400000004"/>
    <n v="0.24998219896292109"/>
  </r>
  <r>
    <x v="366"/>
    <d v="2025-03-15T00:00:00"/>
    <d v="2025-03-29T00:00:00"/>
    <x v="17"/>
    <s v="Mar-2025"/>
    <s v="Q1-2025"/>
    <s v="Asia"/>
    <x v="4"/>
    <s v="Mumbai"/>
    <s v="Enterprise"/>
    <s v="Direct"/>
    <s v="C. Otieno"/>
    <x v="0"/>
    <s v="CMP-3259"/>
    <n v="935.83"/>
    <s v="High"/>
    <n v="2303.46"/>
    <n v="0.105"/>
    <n v="9"/>
    <n v="13539.891150000001"/>
    <n v="8422.4700000000012"/>
    <n v="5117.4211500000001"/>
    <n v="0.37795142466858012"/>
  </r>
  <r>
    <x v="367"/>
    <d v="2023-09-25T00:00:00"/>
    <d v="2023-10-09T00:00:00"/>
    <x v="17"/>
    <s v="Sept-2023"/>
    <s v="Q3-2023"/>
    <s v="Americas"/>
    <x v="10"/>
    <s v="New York"/>
    <s v="Small Business"/>
    <s v="Marketplace"/>
    <s v="J. Njeri"/>
    <x v="4"/>
    <s v="LAP-6750"/>
    <n v="1279.56"/>
    <s v="High"/>
    <n v="3083.8"/>
    <n v="0.106"/>
    <n v="5"/>
    <n v="12985.618199999999"/>
    <n v="6397.7999999999993"/>
    <n v="6587.8181999999997"/>
    <n v="0.50731648648040495"/>
  </r>
  <r>
    <x v="368"/>
    <d v="2025-06-24T00:00:00"/>
    <d v="2025-07-23T00:00:00"/>
    <x v="11"/>
    <s v="Jun-2025"/>
    <s v="Q2-2025"/>
    <s v="Americas"/>
    <x v="3"/>
    <s v="Vancouver"/>
    <s v="Non-Profit"/>
    <s v="Marketplace"/>
    <s v="I. Johnson"/>
    <x v="1"/>
    <s v="PRN-3775"/>
    <n v="255.4"/>
    <s v="High"/>
    <n v="322.70999999999998"/>
    <n v="0.115"/>
    <n v="16"/>
    <n v="11923.994400000001"/>
    <n v="4086.4"/>
    <n v="7837.5944000000018"/>
    <n v="0.65729604837788258"/>
  </r>
  <r>
    <x v="369"/>
    <d v="2023-12-26T00:00:00"/>
    <d v="2024-01-03T00:00:00"/>
    <x v="12"/>
    <s v="Dec-2023"/>
    <s v="Q4-2023"/>
    <s v="Europe"/>
    <x v="7"/>
    <s v="Lyon"/>
    <s v="Small Business"/>
    <s v="Retail"/>
    <s v="M. Rossi"/>
    <x v="4"/>
    <s v="LAP-2942"/>
    <n v="492.75"/>
    <s v="High"/>
    <n v="731.29"/>
    <n v="5.8000000000000003E-2"/>
    <n v="6"/>
    <n v="17698.503240000002"/>
    <n v="2956.5"/>
    <n v="14742.003240000002"/>
    <n v="0.83295197566096557"/>
  </r>
  <r>
    <x v="370"/>
    <d v="2023-02-05T00:00:00"/>
    <d v="2023-02-28T00:00:00"/>
    <x v="21"/>
    <s v="Feb-2023"/>
    <s v="Q1-2023"/>
    <s v="Americas"/>
    <x v="10"/>
    <s v="Austin"/>
    <s v="Non-Profit"/>
    <s v="Distributor"/>
    <s v="L. Okafor"/>
    <x v="3"/>
    <s v="PHN-2036"/>
    <n v="1214.49"/>
    <s v="High"/>
    <n v="1533.95"/>
    <n v="0"/>
    <n v="11"/>
    <n v="15891.92"/>
    <n v="13359.39"/>
    <n v="2532.5300000000007"/>
    <n v="0.15935959909186559"/>
  </r>
  <r>
    <x v="371"/>
    <d v="2023-04-06T00:00:00"/>
    <d v="2023-04-08T00:00:00"/>
    <x v="6"/>
    <s v="Apr-2023"/>
    <s v="Q2-2023"/>
    <s v="Africa"/>
    <x v="1"/>
    <s v="Abuja"/>
    <s v="Small Business"/>
    <s v="Marketplace"/>
    <s v="K. Singh"/>
    <x v="5"/>
    <s v="MON-4373"/>
    <n v="720.35"/>
    <s v="High"/>
    <n v="1571.66"/>
    <n v="0.107"/>
    <n v="23"/>
    <n v="59066.056200000006"/>
    <n v="16568.05"/>
    <n v="42498.006200000003"/>
    <n v="0.71949964047201787"/>
  </r>
  <r>
    <x v="372"/>
    <d v="2025-04-04T00:00:00"/>
    <d v="2025-04-10T00:00:00"/>
    <x v="30"/>
    <s v="Apr-2025"/>
    <s v="Q2-2025"/>
    <s v="Europe"/>
    <x v="8"/>
    <s v="Birmingham"/>
    <s v="Non-Profit"/>
    <s v="Direct"/>
    <s v="N. Brown"/>
    <x v="1"/>
    <s v="PRN-8657"/>
    <n v="290.14"/>
    <s v="High"/>
    <n v="250.73"/>
    <n v="3.4000000000000002E-2"/>
    <n v="17"/>
    <n v="26958.519419999997"/>
    <n v="4932.38"/>
    <n v="22026.139419999996"/>
    <n v="0.81703817174986382"/>
  </r>
  <r>
    <x v="373"/>
    <d v="2024-05-17T00:00:00"/>
    <d v="2024-05-27T00:00:00"/>
    <x v="24"/>
    <s v="May-2024"/>
    <s v="Q2-2024"/>
    <s v="Americas"/>
    <x v="10"/>
    <s v="Austin"/>
    <s v="Non-Profit"/>
    <s v="Online"/>
    <s v="C. Otieno"/>
    <x v="3"/>
    <s v="PHN-7974"/>
    <n v="1484.23"/>
    <s v="High"/>
    <n v="3472.81"/>
    <n v="0.25600000000000001"/>
    <n v="12"/>
    <n v="11597.65056"/>
    <n v="17810.760000000002"/>
    <n v="-6213.109440000002"/>
    <n v="-0.53572138665988589"/>
  </r>
  <r>
    <x v="374"/>
    <d v="2024-03-03T00:00:00"/>
    <d v="2024-03-19T00:00:00"/>
    <x v="13"/>
    <s v="Mar-2024"/>
    <s v="Q1-2024"/>
    <s v="Asia"/>
    <x v="9"/>
    <s v="Beijing"/>
    <s v="Consumer"/>
    <s v="Distributor"/>
    <s v="G. Dubois"/>
    <x v="3"/>
    <s v="PHN-4915"/>
    <n v="988.83"/>
    <s v="High"/>
    <n v="1206.04"/>
    <n v="6.3E-2"/>
    <n v="34"/>
    <n v="35635.084480000005"/>
    <n v="33620.22"/>
    <n v="2014.8644800000038"/>
    <n v="5.6541594033005182E-2"/>
  </r>
  <r>
    <x v="375"/>
    <d v="2025-06-27T00:00:00"/>
    <d v="2025-07-11T00:00:00"/>
    <x v="17"/>
    <s v="Jun-2025"/>
    <s v="Q2-2025"/>
    <s v="Asia"/>
    <x v="9"/>
    <s v="Shanghai"/>
    <s v="Small Business"/>
    <s v="Marketplace"/>
    <s v="L. Okafor"/>
    <x v="2"/>
    <s v="NET-3535"/>
    <n v="1227.7"/>
    <s v="High"/>
    <n v="2197.23"/>
    <n v="9.9000000000000005E-2"/>
    <n v="22"/>
    <n v="23483.321620000002"/>
    <n v="27009.4"/>
    <n v="-3526.078379999999"/>
    <n v="-0.15015245445503542"/>
  </r>
  <r>
    <x v="376"/>
    <d v="2023-03-13T00:00:00"/>
    <d v="2023-04-04T00:00:00"/>
    <x v="22"/>
    <s v="Mar-2023"/>
    <s v="Q1-2023"/>
    <s v="Africa"/>
    <x v="11"/>
    <s v="Durban"/>
    <s v="Small Business"/>
    <s v="Retail"/>
    <s v="A. Patel"/>
    <x v="0"/>
    <s v="CMP-2574"/>
    <n v="1113.7"/>
    <s v="High"/>
    <n v="1620.6"/>
    <n v="0.13900000000000001"/>
    <n v="11"/>
    <n v="11379.122369999999"/>
    <n v="12250.7"/>
    <n v="-871.57763000000159"/>
    <n v="-7.6594450930401736E-2"/>
  </r>
  <r>
    <x v="377"/>
    <d v="2025-01-07T00:00:00"/>
    <d v="2025-01-20T00:00:00"/>
    <x v="19"/>
    <s v="Jan-2025"/>
    <s v="Q1-2025"/>
    <s v="Africa"/>
    <x v="11"/>
    <s v="Cape Town"/>
    <s v="Corporate"/>
    <s v="Direct"/>
    <s v="K. Singh"/>
    <x v="2"/>
    <s v="NET-7901"/>
    <n v="432.13"/>
    <s v="High"/>
    <n v="1034.6600000000001"/>
    <n v="9.1999999999999998E-2"/>
    <n v="7"/>
    <n v="5599.5724400000008"/>
    <n v="3024.91"/>
    <n v="2574.662440000001"/>
    <n v="0.45979625544410324"/>
  </r>
  <r>
    <x v="378"/>
    <d v="2025-02-06T00:00:00"/>
    <d v="2025-02-15T00:00:00"/>
    <x v="25"/>
    <s v="Feb-2025"/>
    <s v="Q1-2025"/>
    <s v="Americas"/>
    <x v="5"/>
    <s v="São Paulo"/>
    <s v="Non-Profit"/>
    <s v="Distributor"/>
    <s v="F. Müller"/>
    <x v="2"/>
    <s v="NET-5482"/>
    <n v="837.39"/>
    <s v="High"/>
    <n v="1905.42"/>
    <n v="3.2000000000000001E-2"/>
    <n v="18"/>
    <n v="35734.358879999992"/>
    <n v="15073.02"/>
    <n v="20661.338879999992"/>
    <n v="0.57819251632254265"/>
  </r>
  <r>
    <x v="379"/>
    <d v="2025-01-31T00:00:00"/>
    <d v="2025-02-17T00:00:00"/>
    <x v="14"/>
    <s v="Jan-2025"/>
    <s v="Q1-2025"/>
    <s v="Europe"/>
    <x v="8"/>
    <s v="London"/>
    <s v="Enterprise"/>
    <s v="Retail"/>
    <s v="H. Kim"/>
    <x v="0"/>
    <s v="CMP-5820"/>
    <n v="378.26"/>
    <s v="High"/>
    <n v="541.55999999999995"/>
    <n v="0.16300000000000001"/>
    <n v="25"/>
    <n v="36365.557499999995"/>
    <n v="9456.5"/>
    <n v="26909.057499999995"/>
    <n v="0.73995998823887132"/>
  </r>
  <r>
    <x v="380"/>
    <d v="2025-08-07T00:00:00"/>
    <d v="2025-09-06T00:00:00"/>
    <x v="26"/>
    <s v="Aug-2025"/>
    <s v="Q3-2025"/>
    <s v="Americas"/>
    <x v="3"/>
    <s v="Montreal"/>
    <s v="Education"/>
    <s v="Direct"/>
    <s v="M. Rossi"/>
    <x v="2"/>
    <s v="NET-1336"/>
    <n v="833.73"/>
    <s v="High"/>
    <n v="1116.5999999999999"/>
    <n v="0.17599999999999999"/>
    <n v="14"/>
    <n v="16015.544160000001"/>
    <n v="11672.220000000001"/>
    <n v="4343.3241600000001"/>
    <n v="0.27119429203334666"/>
  </r>
  <r>
    <x v="381"/>
    <d v="2025-07-23T00:00:00"/>
    <d v="2025-08-17T00:00:00"/>
    <x v="2"/>
    <s v="Jul-2025"/>
    <s v="Q3-2025"/>
    <s v="Europe"/>
    <x v="8"/>
    <s v="Birmingham"/>
    <s v="Education"/>
    <s v="Online"/>
    <s v="I. Johnson"/>
    <x v="1"/>
    <s v="PRN-5876"/>
    <n v="1142.06"/>
    <s v="High"/>
    <n v="1455"/>
    <n v="7.8E-2"/>
    <n v="28"/>
    <n v="13660.278240000001"/>
    <n v="31977.68"/>
    <n v="-18317.401760000001"/>
    <n v="-1.3409244993533893"/>
  </r>
  <r>
    <x v="382"/>
    <d v="2023-06-20T00:00:00"/>
    <d v="2023-07-08T00:00:00"/>
    <x v="5"/>
    <s v="Jun-2023"/>
    <s v="Q2-2023"/>
    <s v="Americas"/>
    <x v="10"/>
    <s v="New York"/>
    <s v="Consumer"/>
    <s v="Marketplace"/>
    <s v="O. Wang"/>
    <x v="2"/>
    <s v="NET-3828"/>
    <n v="1145.53"/>
    <s v="High"/>
    <n v="1278.3"/>
    <n v="0.09"/>
    <n v="41"/>
    <n v="73589.497799999997"/>
    <n v="46966.729999999996"/>
    <n v="26622.767800000001"/>
    <n v="0.36177401118234026"/>
  </r>
  <r>
    <x v="383"/>
    <d v="2024-07-18T00:00:00"/>
    <d v="2024-08-07T00:00:00"/>
    <x v="9"/>
    <s v="Jul-2024"/>
    <s v="Q3-2024"/>
    <s v="Europe"/>
    <x v="7"/>
    <s v="Marseille"/>
    <s v="Corporate"/>
    <s v="Retail"/>
    <s v="F. Müller"/>
    <x v="5"/>
    <s v="MON-7622"/>
    <n v="941.35"/>
    <s v="High"/>
    <n v="899.83"/>
    <n v="5.8000000000000003E-2"/>
    <n v="18"/>
    <n v="14867.190359999997"/>
    <n v="16944.3"/>
    <n v="-2077.1096400000024"/>
    <n v="-0.13971097360725546"/>
  </r>
  <r>
    <x v="384"/>
    <d v="2023-05-20T00:00:00"/>
    <d v="2023-06-19T00:00:00"/>
    <x v="26"/>
    <s v="May-2023"/>
    <s v="Q2-2023"/>
    <s v="Asia"/>
    <x v="4"/>
    <s v="Delhi"/>
    <s v="Non-Profit"/>
    <s v="Marketplace"/>
    <s v="H. Kim"/>
    <x v="4"/>
    <s v="LAP-2806"/>
    <n v="1161.2"/>
    <s v="High"/>
    <n v="878.73"/>
    <n v="0.19"/>
    <n v="31"/>
    <n v="20697.168600000001"/>
    <n v="35997.200000000004"/>
    <n v="-15300.031400000003"/>
    <n v="-0.73923306591801174"/>
  </r>
  <r>
    <x v="385"/>
    <d v="2025-05-12T00:00:00"/>
    <d v="2025-05-26T00:00:00"/>
    <x v="17"/>
    <s v="May-2025"/>
    <s v="Q2-2025"/>
    <s v="Asia"/>
    <x v="4"/>
    <s v="Hyderabad"/>
    <s v="Corporate"/>
    <s v="Marketplace"/>
    <s v="G. Dubois"/>
    <x v="1"/>
    <s v="PRN-8850"/>
    <n v="320.12"/>
    <s v="High"/>
    <n v="594.41999999999996"/>
    <n v="0.104"/>
    <n v="18"/>
    <n v="18697.996800000001"/>
    <n v="5762.16"/>
    <n v="12935.836800000001"/>
    <n v="0.69183008952060576"/>
  </r>
  <r>
    <x v="386"/>
    <d v="2024-05-07T00:00:00"/>
    <d v="2024-05-12T00:00:00"/>
    <x v="16"/>
    <s v="May-2024"/>
    <s v="Q2-2024"/>
    <s v="Africa"/>
    <x v="1"/>
    <s v="Abuja"/>
    <s v="Non-Profit"/>
    <s v="Distributor"/>
    <s v="L. Okafor"/>
    <x v="4"/>
    <s v="LAP-9100"/>
    <n v="1163.99"/>
    <s v="High"/>
    <n v="1617.85"/>
    <n v="0.127"/>
    <n v="14"/>
    <n v="30720.11922"/>
    <n v="16295.86"/>
    <n v="14424.25922"/>
    <n v="0.4695378659406127"/>
  </r>
  <r>
    <x v="387"/>
    <d v="2023-09-30T00:00:00"/>
    <d v="2023-10-03T00:00:00"/>
    <x v="4"/>
    <s v="Sept-2023"/>
    <s v="Q3-2023"/>
    <s v="Asia"/>
    <x v="9"/>
    <s v="Beijing"/>
    <s v="Non-Profit"/>
    <s v="Retail"/>
    <s v="J. Njeri"/>
    <x v="4"/>
    <s v="LAP-5763"/>
    <n v="1019.36"/>
    <s v="High"/>
    <n v="972.91"/>
    <n v="0.14699999999999999"/>
    <n v="17"/>
    <n v="44766.472129999995"/>
    <n v="17329.12"/>
    <n v="27437.352129999996"/>
    <n v="0.61289958365097552"/>
  </r>
  <r>
    <x v="388"/>
    <d v="2023-10-26T00:00:00"/>
    <d v="2023-11-05T00:00:00"/>
    <x v="24"/>
    <s v="Oct-2023"/>
    <s v="Q4-2023"/>
    <s v="Africa"/>
    <x v="11"/>
    <s v="Cape Town"/>
    <s v="Non-Profit"/>
    <s v="Online"/>
    <s v="I. Johnson"/>
    <x v="4"/>
    <s v="LAP-7320"/>
    <n v="20.38"/>
    <s v="Low"/>
    <n v="42.56"/>
    <n v="7.1999999999999995E-2"/>
    <n v="11"/>
    <n v="27736.667200000004"/>
    <n v="224.17999999999998"/>
    <n v="27512.487200000003"/>
    <n v="0.99191755814123195"/>
  </r>
  <r>
    <x v="389"/>
    <d v="2025-06-15T00:00:00"/>
    <d v="2025-06-30T00:00:00"/>
    <x v="15"/>
    <s v="Jun-2025"/>
    <s v="Q2-2025"/>
    <s v="Africa"/>
    <x v="11"/>
    <s v="Johannesburg"/>
    <s v="Small Business"/>
    <s v="Direct"/>
    <s v="C. Otieno"/>
    <x v="5"/>
    <s v="MON-5891"/>
    <n v="1487.59"/>
    <s v="High"/>
    <n v="1480.83"/>
    <n v="8.9999999999999993E-3"/>
    <n v="11"/>
    <n v="9830.4127899999985"/>
    <n v="16363.49"/>
    <n v="-6533.0772100000013"/>
    <n v="-0.66457811584939586"/>
  </r>
  <r>
    <x v="390"/>
    <d v="2024-08-10T00:00:00"/>
    <d v="2024-09-07T00:00:00"/>
    <x v="27"/>
    <s v="Aug-2024"/>
    <s v="Q3-2024"/>
    <s v="Europe"/>
    <x v="7"/>
    <s v="Marseille"/>
    <s v="Non-Profit"/>
    <s v="Direct"/>
    <s v="F. Müller"/>
    <x v="1"/>
    <s v="PRN-1183"/>
    <n v="229.96"/>
    <s v="High"/>
    <n v="564.26"/>
    <n v="0.105"/>
    <n v="5"/>
    <n v="3562.7712500000002"/>
    <n v="1149.8"/>
    <n v="2412.9712500000005"/>
    <n v="0.67727369530109471"/>
  </r>
  <r>
    <x v="391"/>
    <d v="2023-10-09T00:00:00"/>
    <d v="2023-10-26T00:00:00"/>
    <x v="14"/>
    <s v="Oct-2023"/>
    <s v="Q4-2023"/>
    <s v="Asia"/>
    <x v="9"/>
    <s v="Shanghai"/>
    <s v="Consumer"/>
    <s v="Marketplace"/>
    <s v="C. Otieno"/>
    <x v="0"/>
    <s v="CMP-2096"/>
    <n v="1132.03"/>
    <s v="High"/>
    <n v="2137.21"/>
    <n v="0.35699999999999998"/>
    <n v="35"/>
    <n v="3551.7390999999998"/>
    <n v="39621.049999999996"/>
    <n v="-36069.310899999997"/>
    <n v="-10.155394268683755"/>
  </r>
  <r>
    <x v="392"/>
    <d v="2024-03-09T00:00:00"/>
    <d v="2024-03-26T00:00:00"/>
    <x v="14"/>
    <s v="Mar-2024"/>
    <s v="Q1-2024"/>
    <s v="Americas"/>
    <x v="10"/>
    <s v="San Francisco"/>
    <s v="Education"/>
    <s v="Direct"/>
    <s v="I. Johnson"/>
    <x v="3"/>
    <s v="PHN-3398"/>
    <n v="1137.4100000000001"/>
    <s v="High"/>
    <n v="1680.93"/>
    <n v="0.254"/>
    <n v="9"/>
    <n v="5499.1688399999994"/>
    <n v="10236.69"/>
    <n v="-4737.5211600000011"/>
    <n v="-0.86149767316473258"/>
  </r>
  <r>
    <x v="393"/>
    <d v="2023-05-29T00:00:00"/>
    <d v="2023-06-20T00:00:00"/>
    <x v="22"/>
    <s v="May-2023"/>
    <s v="Q2-2023"/>
    <s v="Europe"/>
    <x v="8"/>
    <s v="London"/>
    <s v="Small Business"/>
    <s v="Direct"/>
    <s v="K. Singh"/>
    <x v="0"/>
    <s v="CMP-8545"/>
    <n v="1295.3900000000001"/>
    <s v="High"/>
    <n v="2905.06"/>
    <n v="0.14799999999999999"/>
    <n v="8"/>
    <n v="11663.26656"/>
    <n v="10363.120000000001"/>
    <n v="1300.1465599999992"/>
    <n v="0.11147362133168971"/>
  </r>
  <r>
    <x v="394"/>
    <d v="2025-05-27T00:00:00"/>
    <d v="2025-06-08T00:00:00"/>
    <x v="8"/>
    <s v="May-2025"/>
    <s v="Q2-2025"/>
    <s v="Asia"/>
    <x v="2"/>
    <s v="Osaka"/>
    <s v="Corporate"/>
    <s v="Retail"/>
    <s v="H. Kim"/>
    <x v="6"/>
    <s v="ACC-1249"/>
    <n v="653.6"/>
    <s v="High"/>
    <n v="842.09"/>
    <n v="9.8000000000000004E-2"/>
    <n v="19"/>
    <n v="29072.046299999998"/>
    <n v="12418.4"/>
    <n v="16653.6463"/>
    <n v="0.5728405261930255"/>
  </r>
  <r>
    <x v="395"/>
    <d v="2025-08-21T00:00:00"/>
    <d v="2025-09-14T00:00:00"/>
    <x v="10"/>
    <s v="Aug-2025"/>
    <s v="Q3-2025"/>
    <s v="Europe"/>
    <x v="6"/>
    <s v="Berlin"/>
    <s v="Non-Profit"/>
    <s v="Online"/>
    <s v="A. Patel"/>
    <x v="5"/>
    <s v="MON-9662"/>
    <n v="1397.67"/>
    <s v="High"/>
    <n v="3131.37"/>
    <n v="0.10299999999999999"/>
    <n v="20"/>
    <n v="51745.059600000001"/>
    <n v="27953.4"/>
    <n v="23791.659599999999"/>
    <n v="0.45978610873993464"/>
  </r>
  <r>
    <x v="396"/>
    <d v="2024-12-12T00:00:00"/>
    <d v="2024-12-20T00:00:00"/>
    <x v="12"/>
    <s v="Dec-2024"/>
    <s v="Q4-2024"/>
    <s v="Asia"/>
    <x v="2"/>
    <s v="Tokyo"/>
    <s v="Corporate"/>
    <s v="Retail"/>
    <s v="B. Chen"/>
    <x v="4"/>
    <s v="LAP-8347"/>
    <n v="1202.47"/>
    <s v="High"/>
    <n v="1444.72"/>
    <n v="0.24099999999999999"/>
    <n v="17"/>
    <n v="19144.697220000002"/>
    <n v="20441.990000000002"/>
    <n v="-1297.2927799999998"/>
    <n v="-6.7762512255599913E-2"/>
  </r>
  <r>
    <x v="397"/>
    <d v="2025-09-14T00:00:00"/>
    <d v="2025-09-23T00:00:00"/>
    <x v="25"/>
    <s v="Sept-2025"/>
    <s v="Q3-2025"/>
    <s v="Africa"/>
    <x v="11"/>
    <s v="Durban"/>
    <s v="Non-Profit"/>
    <s v="Online"/>
    <s v="D. Smith"/>
    <x v="0"/>
    <s v="CMP-6898"/>
    <n v="1310.3"/>
    <s v="High"/>
    <n v="2875.8"/>
    <n v="8.3000000000000004E-2"/>
    <n v="5"/>
    <n v="14660.399949999999"/>
    <n v="6551.5"/>
    <n v="8108.8999499999991"/>
    <n v="0.55311587525959682"/>
  </r>
  <r>
    <x v="398"/>
    <d v="2024-09-06T00:00:00"/>
    <d v="2024-10-04T00:00:00"/>
    <x v="27"/>
    <s v="Sept-2024"/>
    <s v="Q3-2024"/>
    <s v="Africa"/>
    <x v="11"/>
    <s v="Cape Town"/>
    <s v="Corporate"/>
    <s v="Marketplace"/>
    <s v="D. Smith"/>
    <x v="5"/>
    <s v="MON-3504"/>
    <n v="1174.17"/>
    <s v="High"/>
    <n v="1641.61"/>
    <n v="0.122"/>
    <n v="9"/>
    <n v="18353.975399999999"/>
    <n v="10567.53"/>
    <n v="7786.4453999999987"/>
    <n v="0.42423754147561943"/>
  </r>
  <r>
    <x v="399"/>
    <d v="2025-04-12T00:00:00"/>
    <d v="2025-04-30T00:00:00"/>
    <x v="5"/>
    <s v="Apr-2025"/>
    <s v="Q2-2025"/>
    <s v="Africa"/>
    <x v="0"/>
    <s v="Kisumu"/>
    <s v="Corporate"/>
    <s v="Marketplace"/>
    <s v="F. Müller"/>
    <x v="2"/>
    <s v="NET-3432"/>
    <n v="1119.04"/>
    <s v="High"/>
    <n v="1299.02"/>
    <n v="2.5000000000000001E-2"/>
    <n v="14"/>
    <n v="26377.532999999999"/>
    <n v="15666.56"/>
    <n v="10710.973"/>
    <n v="0.40606424414292269"/>
  </r>
  <r>
    <x v="400"/>
    <d v="2024-08-12T00:00:00"/>
    <d v="2024-08-15T00:00:00"/>
    <x v="4"/>
    <s v="Aug-2024"/>
    <s v="Q3-2024"/>
    <s v="Americas"/>
    <x v="10"/>
    <s v="Chicago"/>
    <s v="Corporate"/>
    <s v="Marketplace"/>
    <s v="D. Smith"/>
    <x v="1"/>
    <s v="PRN-5591"/>
    <n v="850.7"/>
    <s v="High"/>
    <n v="1118.56"/>
    <n v="0.18"/>
    <n v="19"/>
    <n v="24777.808799999999"/>
    <n v="16163.300000000001"/>
    <n v="8614.5087999999978"/>
    <n v="0.34767032345491333"/>
  </r>
  <r>
    <x v="401"/>
    <d v="2024-11-05T00:00:00"/>
    <d v="2024-11-08T00:00:00"/>
    <x v="4"/>
    <s v="Nov-2024"/>
    <s v="Q4-2024"/>
    <s v="Americas"/>
    <x v="3"/>
    <s v="Toronto"/>
    <s v="Education"/>
    <s v="Marketplace"/>
    <s v="O. Wang"/>
    <x v="0"/>
    <s v="CMP-2015"/>
    <n v="1020.4"/>
    <s v="High"/>
    <n v="1184.71"/>
    <n v="0.106"/>
    <n v="16"/>
    <n v="5658.8054400000001"/>
    <n v="16326.4"/>
    <n v="-10667.59456"/>
    <n v="-1.8851318839475772"/>
  </r>
  <r>
    <x v="402"/>
    <d v="2024-07-24T00:00:00"/>
    <d v="2024-08-08T00:00:00"/>
    <x v="15"/>
    <s v="Jul-2024"/>
    <s v="Q3-2024"/>
    <s v="Europe"/>
    <x v="7"/>
    <s v="Marseille"/>
    <s v="Enterprise"/>
    <s v="Marketplace"/>
    <s v="H. Kim"/>
    <x v="4"/>
    <s v="LAP-9901"/>
    <n v="501.5"/>
    <s v="High"/>
    <n v="1201.47"/>
    <n v="0.126"/>
    <n v="5"/>
    <n v="9079.5053000000007"/>
    <n v="2507.5"/>
    <n v="6572.0053000000007"/>
    <n v="0.72382856585809807"/>
  </r>
  <r>
    <x v="403"/>
    <d v="2025-01-20T00:00:00"/>
    <d v="2025-02-03T00:00:00"/>
    <x v="17"/>
    <s v="Jan-2025"/>
    <s v="Q1-2025"/>
    <s v="Americas"/>
    <x v="5"/>
    <s v="Brasília"/>
    <s v="Enterprise"/>
    <s v="Marketplace"/>
    <s v="F. Müller"/>
    <x v="0"/>
    <s v="CMP-8658"/>
    <n v="974.11"/>
    <s v="High"/>
    <n v="880.99"/>
    <n v="0.111"/>
    <n v="10"/>
    <n v="11831.2565"/>
    <n v="9741.1"/>
    <n v="2090.1564999999991"/>
    <n v="0.17666394942920891"/>
  </r>
  <r>
    <x v="404"/>
    <d v="2023-03-06T00:00:00"/>
    <d v="2023-04-04T00:00:00"/>
    <x v="11"/>
    <s v="Mar-2023"/>
    <s v="Q1-2023"/>
    <s v="Asia"/>
    <x v="9"/>
    <s v="Beijing"/>
    <s v="Small Business"/>
    <s v="Direct"/>
    <s v="C. Otieno"/>
    <x v="5"/>
    <s v="MON-2073"/>
    <n v="1126.29"/>
    <s v="High"/>
    <n v="2050.87"/>
    <n v="6.4000000000000001E-2"/>
    <n v="7"/>
    <n v="18113.986799999999"/>
    <n v="7884.03"/>
    <n v="10229.9568"/>
    <n v="0.56475456855251771"/>
  </r>
  <r>
    <x v="405"/>
    <d v="2024-12-20T00:00:00"/>
    <d v="2025-01-14T00:00:00"/>
    <x v="2"/>
    <s v="Dec-2024"/>
    <s v="Q4-2024"/>
    <s v="Asia"/>
    <x v="4"/>
    <s v="Delhi"/>
    <s v="Small Business"/>
    <s v="Retail"/>
    <s v="M. Rossi"/>
    <x v="1"/>
    <s v="PRN-9378"/>
    <n v="1361.34"/>
    <s v="High"/>
    <n v="1737.9"/>
    <n v="7.6999999999999999E-2"/>
    <n v="14"/>
    <n v="3596.8387000000007"/>
    <n v="19058.759999999998"/>
    <n v="-15461.921299999998"/>
    <n v="-4.2987530411080135"/>
  </r>
  <r>
    <x v="406"/>
    <d v="2025-02-21T00:00:00"/>
    <d v="2025-03-21T00:00:00"/>
    <x v="18"/>
    <s v="Feb-2025"/>
    <s v="Q1-2025"/>
    <s v="Africa"/>
    <x v="1"/>
    <s v="Abuja"/>
    <s v="Enterprise"/>
    <s v="Marketplace"/>
    <s v="I. Johnson"/>
    <x v="3"/>
    <s v="PHN-5887"/>
    <n v="1437.39"/>
    <s v="High"/>
    <n v="1388.31"/>
    <n v="0.13800000000000001"/>
    <n v="18"/>
    <n v="15273.329759999999"/>
    <n v="25873.02"/>
    <n v="-10599.690240000002"/>
    <n v="-0.69399995983587026"/>
  </r>
  <r>
    <x v="407"/>
    <d v="2025-03-08T00:00:00"/>
    <d v="2025-03-15T00:00:00"/>
    <x v="20"/>
    <s v="Mar-2025"/>
    <s v="Q1-2025"/>
    <s v="Asia"/>
    <x v="4"/>
    <s v="Bengaluru"/>
    <s v="Corporate"/>
    <s v="Distributor"/>
    <s v="K. Singh"/>
    <x v="4"/>
    <s v="LAP-8119"/>
    <n v="475.66"/>
    <s v="High"/>
    <n v="529.14"/>
    <n v="0.19600000000000001"/>
    <n v="11"/>
    <n v="1687.7889600000003"/>
    <n v="5232.26"/>
    <n v="-3544.4710399999999"/>
    <n v="-2.1000676767076372"/>
  </r>
  <r>
    <x v="408"/>
    <d v="2023-12-16T00:00:00"/>
    <d v="2023-12-19T00:00:00"/>
    <x v="4"/>
    <s v="Dec-2023"/>
    <s v="Q4-2023"/>
    <s v="Asia"/>
    <x v="9"/>
    <s v="Beijing"/>
    <s v="Education"/>
    <s v="Retail"/>
    <s v="A. Patel"/>
    <x v="6"/>
    <s v="ACC-9644"/>
    <n v="1415.05"/>
    <s v="High"/>
    <n v="1972.38"/>
    <n v="0"/>
    <n v="12"/>
    <n v="10899.599999999999"/>
    <n v="16980.599999999999"/>
    <n v="-6081"/>
    <n v="-0.5579103820323682"/>
  </r>
  <r>
    <x v="409"/>
    <d v="2024-08-30T00:00:00"/>
    <d v="2024-09-05T00:00:00"/>
    <x v="30"/>
    <s v="Aug-2024"/>
    <s v="Q3-2024"/>
    <s v="Asia"/>
    <x v="2"/>
    <s v="Nagoya"/>
    <s v="Education"/>
    <s v="Online"/>
    <s v="N. Brown"/>
    <x v="4"/>
    <s v="LAP-7009"/>
    <n v="466.16"/>
    <s v="High"/>
    <n v="876.81"/>
    <n v="0.24099999999999999"/>
    <n v="8"/>
    <n v="1725.8445600000002"/>
    <n v="3729.28"/>
    <n v="-2003.43544"/>
    <n v="-1.1608435002976165"/>
  </r>
  <r>
    <x v="410"/>
    <d v="2024-05-18T00:00:00"/>
    <d v="2024-05-21T00:00:00"/>
    <x v="4"/>
    <s v="May-2024"/>
    <s v="Q2-2024"/>
    <s v="Europe"/>
    <x v="7"/>
    <s v="Marseille"/>
    <s v="Non-Profit"/>
    <s v="Marketplace"/>
    <s v="D. Smith"/>
    <x v="1"/>
    <s v="PRN-1725"/>
    <n v="663.66"/>
    <s v="High"/>
    <n v="824.26"/>
    <n v="0.23899999999999999"/>
    <n v="11"/>
    <n v="10290.80514"/>
    <n v="7300.2599999999993"/>
    <n v="2990.5451400000011"/>
    <n v="0.29060361160429093"/>
  </r>
  <r>
    <x v="411"/>
    <d v="2023-03-17T00:00:00"/>
    <d v="2023-04-06T00:00:00"/>
    <x v="9"/>
    <s v="Mar-2023"/>
    <s v="Q1-2023"/>
    <s v="Europe"/>
    <x v="6"/>
    <s v="Munich"/>
    <s v="Consumer"/>
    <s v="Retail"/>
    <s v="O. Wang"/>
    <x v="3"/>
    <s v="PHN-8483"/>
    <n v="692.18"/>
    <s v="High"/>
    <n v="1159.3499999999999"/>
    <n v="0.112"/>
    <n v="2"/>
    <n v="2175.1027199999999"/>
    <n v="1384.36"/>
    <n v="790.74271999999996"/>
    <n v="0.36354270202006828"/>
  </r>
  <r>
    <x v="412"/>
    <d v="2023-08-25T00:00:00"/>
    <d v="2023-09-16T00:00:00"/>
    <x v="22"/>
    <s v="Aug-2023"/>
    <s v="Q3-2023"/>
    <s v="Africa"/>
    <x v="1"/>
    <s v="Abuja"/>
    <s v="Corporate"/>
    <s v="Marketplace"/>
    <s v="L. Okafor"/>
    <x v="3"/>
    <s v="PHN-3971"/>
    <n v="1196.83"/>
    <s v="High"/>
    <n v="2513.5100000000002"/>
    <n v="8.3000000000000004E-2"/>
    <n v="7"/>
    <n v="3118.7353400000002"/>
    <n v="8377.81"/>
    <n v="-5259.0746599999993"/>
    <n v="-1.6862843706385162"/>
  </r>
  <r>
    <x v="413"/>
    <d v="2024-06-06T00:00:00"/>
    <d v="2024-06-24T00:00:00"/>
    <x v="5"/>
    <s v="Jun-2024"/>
    <s v="Q2-2024"/>
    <s v="Asia"/>
    <x v="4"/>
    <s v="Bengaluru"/>
    <s v="Small Business"/>
    <s v="Direct"/>
    <s v="H. Kim"/>
    <x v="2"/>
    <s v="NET-6578"/>
    <n v="1253.25"/>
    <s v="High"/>
    <n v="3087.13"/>
    <n v="7.1999999999999995E-2"/>
    <n v="11"/>
    <n v="22569.275520000003"/>
    <n v="13785.75"/>
    <n v="8783.5255200000029"/>
    <n v="0.38918065899884063"/>
  </r>
  <r>
    <x v="414"/>
    <d v="2023-08-29T00:00:00"/>
    <d v="2023-09-13T00:00:00"/>
    <x v="15"/>
    <s v="Aug-2023"/>
    <s v="Q3-2023"/>
    <s v="Americas"/>
    <x v="3"/>
    <s v="Vancouver"/>
    <s v="Small Business"/>
    <s v="Marketplace"/>
    <s v="O. Wang"/>
    <x v="1"/>
    <s v="PRN-9975"/>
    <n v="1287.6400000000001"/>
    <s v="High"/>
    <n v="2717.15"/>
    <n v="3.2000000000000001E-2"/>
    <n v="7"/>
    <n v="3875.12664"/>
    <n v="9013.4800000000014"/>
    <n v="-5138.353360000001"/>
    <n v="-1.3259833387019324"/>
  </r>
  <r>
    <x v="415"/>
    <d v="2024-11-30T00:00:00"/>
    <d v="2024-12-10T00:00:00"/>
    <x v="24"/>
    <s v="Nov-2024"/>
    <s v="Q4-2024"/>
    <s v="Asia"/>
    <x v="4"/>
    <s v="Hyderabad"/>
    <s v="Small Business"/>
    <s v="Retail"/>
    <s v="F. Müller"/>
    <x v="6"/>
    <s v="ACC-1075"/>
    <n v="851.49"/>
    <s v="High"/>
    <n v="901.79"/>
    <n v="0.245"/>
    <n v="16"/>
    <n v="41052.309600000001"/>
    <n v="13623.84"/>
    <n v="27428.4696"/>
    <n v="0.66813462792358946"/>
  </r>
  <r>
    <x v="416"/>
    <d v="2025-06-05T00:00:00"/>
    <d v="2025-06-14T00:00:00"/>
    <x v="25"/>
    <s v="Jun-2025"/>
    <s v="Q2-2025"/>
    <s v="Asia"/>
    <x v="4"/>
    <s v="Delhi"/>
    <s v="Non-Profit"/>
    <s v="Retail"/>
    <s v="A. Patel"/>
    <x v="6"/>
    <s v="ACC-2902"/>
    <n v="618.69000000000005"/>
    <s v="High"/>
    <n v="796.15"/>
    <n v="0.09"/>
    <n v="11"/>
    <n v="1948.1462000000001"/>
    <n v="6805.59"/>
    <n v="-4857.4438"/>
    <n v="-2.4933671815801093"/>
  </r>
  <r>
    <x v="417"/>
    <d v="2025-03-14T00:00:00"/>
    <d v="2025-04-08T00:00:00"/>
    <x v="2"/>
    <s v="Mar-2025"/>
    <s v="Q1-2025"/>
    <s v="Asia"/>
    <x v="9"/>
    <s v="Not Provided"/>
    <s v="Corporate"/>
    <s v="Distributor"/>
    <s v="D. Smith"/>
    <x v="1"/>
    <s v="PRN-5815"/>
    <n v="80.59"/>
    <s v="Medium"/>
    <n v="157.82"/>
    <n v="0.217"/>
    <n v="6"/>
    <n v="4846.6447200000002"/>
    <n v="483.54"/>
    <n v="4363.1047200000003"/>
    <n v="0.90023201040409662"/>
  </r>
  <r>
    <x v="418"/>
    <d v="2024-01-16T00:00:00"/>
    <d v="2024-02-11T00:00:00"/>
    <x v="0"/>
    <s v="Jan-2024"/>
    <s v="Q1-2024"/>
    <s v="Europe"/>
    <x v="6"/>
    <s v="Frankfurt"/>
    <s v="Non-Profit"/>
    <s v="Distributor"/>
    <s v="E. Garcia"/>
    <x v="5"/>
    <s v="MON-4195"/>
    <n v="504.93"/>
    <s v="High"/>
    <n v="819.06"/>
    <n v="0.22600000000000001"/>
    <n v="15"/>
    <n v="5749.1559000000007"/>
    <n v="7573.95"/>
    <n v="-1824.7940999999992"/>
    <n v="-0.31740209027902672"/>
  </r>
  <r>
    <x v="419"/>
    <d v="2023-10-12T00:00:00"/>
    <d v="2023-10-29T00:00:00"/>
    <x v="14"/>
    <s v="Oct-2023"/>
    <s v="Q4-2023"/>
    <s v="Asia"/>
    <x v="2"/>
    <s v="Nagoya"/>
    <s v="Non-Profit"/>
    <s v="Direct"/>
    <s v="H. Kim"/>
    <x v="3"/>
    <s v="PHN-8478"/>
    <n v="1102.19"/>
    <s v="High"/>
    <n v="1711.16"/>
    <n v="0.151"/>
    <n v="10"/>
    <n v="11198.649599999999"/>
    <n v="11021.900000000001"/>
    <n v="176.74959999999737"/>
    <n v="1.5783117278711657E-2"/>
  </r>
  <r>
    <x v="420"/>
    <d v="2025-02-25T00:00:00"/>
    <d v="2025-03-17T00:00:00"/>
    <x v="9"/>
    <s v="Feb-2025"/>
    <s v="Q1-2025"/>
    <s v="Americas"/>
    <x v="10"/>
    <s v="San Francisco"/>
    <s v="Non-Profit"/>
    <s v="Marketplace"/>
    <s v="H. Kim"/>
    <x v="3"/>
    <s v="PHN-1044"/>
    <n v="1205.26"/>
    <s v="High"/>
    <n v="1696.35"/>
    <n v="1.9E-2"/>
    <n v="6"/>
    <n v="1853.32482"/>
    <n v="7231.5599999999995"/>
    <n v="-5378.2351799999997"/>
    <n v="-2.9019387869634206"/>
  </r>
  <r>
    <x v="421"/>
    <d v="2025-07-03T00:00:00"/>
    <d v="2025-07-06T00:00:00"/>
    <x v="4"/>
    <s v="Jul-2025"/>
    <s v="Q3-2025"/>
    <s v="Africa"/>
    <x v="1"/>
    <s v="Lagos"/>
    <s v="Consumer"/>
    <s v="Online"/>
    <s v="Not Provided"/>
    <x v="4"/>
    <s v="LAP-8910"/>
    <n v="1313.3"/>
    <s v="High"/>
    <n v="2884.34"/>
    <n v="0.157"/>
    <n v="42"/>
    <n v="78253.279020000002"/>
    <n v="55158.6"/>
    <n v="23094.679020000003"/>
    <n v="0.29512730085211453"/>
  </r>
  <r>
    <x v="422"/>
    <d v="2025-09-15T00:00:00"/>
    <d v="2025-09-25T00:00:00"/>
    <x v="24"/>
    <s v="Sept-2025"/>
    <s v="Q3-2025"/>
    <s v="Asia"/>
    <x v="4"/>
    <s v="Delhi"/>
    <s v="Consumer"/>
    <s v="Retail"/>
    <s v="A. Patel"/>
    <x v="3"/>
    <s v="PHN-2859"/>
    <n v="1488.91"/>
    <s v="High"/>
    <n v="1483.74"/>
    <n v="0.16800000000000001"/>
    <n v="24"/>
    <n v="20866.559999999998"/>
    <n v="35733.840000000004"/>
    <n v="-14867.280000000006"/>
    <n v="-0.71249309900625724"/>
  </r>
  <r>
    <x v="423"/>
    <d v="2024-02-19T00:00:00"/>
    <d v="2024-03-06T00:00:00"/>
    <x v="13"/>
    <s v="Feb-2024"/>
    <s v="Q1-2024"/>
    <s v="Asia"/>
    <x v="9"/>
    <s v="Beijing"/>
    <s v="Education"/>
    <s v="Marketplace"/>
    <s v="O. Wang"/>
    <x v="1"/>
    <s v="PRN-6308"/>
    <n v="1477.84"/>
    <s v="High"/>
    <n v="3197.47"/>
    <n v="0.24299999999999999"/>
    <n v="24"/>
    <n v="38737.627919999999"/>
    <n v="35468.159999999996"/>
    <n v="3269.4679200000028"/>
    <n v="8.4400312965781696E-2"/>
  </r>
  <r>
    <x v="424"/>
    <d v="2024-02-27T00:00:00"/>
    <d v="2024-03-26T00:00:00"/>
    <x v="27"/>
    <s v="Feb-2024"/>
    <s v="Q1-2024"/>
    <s v="Asia"/>
    <x v="4"/>
    <s v="Mumbai"/>
    <s v="Education"/>
    <s v="Marketplace"/>
    <s v="G. Dubois"/>
    <x v="4"/>
    <s v="LAP-8469"/>
    <n v="1035.19"/>
    <s v="High"/>
    <n v="2322.6999999999998"/>
    <n v="0.17299999999999999"/>
    <n v="8"/>
    <n v="13903.854800000001"/>
    <n v="8281.52"/>
    <n v="5622.3348000000005"/>
    <n v="0.40437237592555986"/>
  </r>
  <r>
    <x v="425"/>
    <d v="2025-08-28T00:00:00"/>
    <d v="2025-09-05T00:00:00"/>
    <x v="12"/>
    <s v="Aug-2025"/>
    <s v="Q3-2025"/>
    <s v="Africa"/>
    <x v="1"/>
    <s v="Port Harcourt"/>
    <s v="Small Business"/>
    <s v="Marketplace"/>
    <s v="E. Garcia"/>
    <x v="4"/>
    <s v="LAP-7553"/>
    <n v="1271.0999999999999"/>
    <s v="High"/>
    <n v="1932.42"/>
    <n v="0.25"/>
    <n v="21"/>
    <n v="33475.68"/>
    <n v="26693.1"/>
    <n v="6782.5800000000017"/>
    <n v="0.20261216501053905"/>
  </r>
  <r>
    <x v="426"/>
    <d v="2024-08-18T00:00:00"/>
    <d v="2024-09-12T00:00:00"/>
    <x v="2"/>
    <s v="Aug-2024"/>
    <s v="Q3-2024"/>
    <s v="Asia"/>
    <x v="4"/>
    <s v="Mumbai"/>
    <s v="Consumer"/>
    <s v="Marketplace"/>
    <s v="C. Otieno"/>
    <x v="3"/>
    <s v="PHN-3077"/>
    <n v="1154.03"/>
    <s v="High"/>
    <n v="1590.36"/>
    <n v="0.314"/>
    <n v="18"/>
    <n v="8801.0369999999984"/>
    <n v="20772.54"/>
    <n v="-11971.503000000002"/>
    <n v="-1.360237776525653"/>
  </r>
  <r>
    <x v="427"/>
    <d v="2024-02-25T00:00:00"/>
    <d v="2024-03-09T00:00:00"/>
    <x v="19"/>
    <s v="Feb-2024"/>
    <s v="Q1-2024"/>
    <s v="Europe"/>
    <x v="7"/>
    <s v="Marseille"/>
    <s v="Small Business"/>
    <s v="Distributor"/>
    <s v="E. Garcia"/>
    <x v="5"/>
    <s v="MON-3350"/>
    <n v="322.44"/>
    <s v="High"/>
    <n v="395.61"/>
    <n v="0"/>
    <n v="34"/>
    <n v="53340.22"/>
    <n v="10962.96"/>
    <n v="42377.26"/>
    <n v="0.79447103892709858"/>
  </r>
  <r>
    <x v="428"/>
    <d v="2025-05-07T00:00:00"/>
    <d v="2025-05-13T00:00:00"/>
    <x v="30"/>
    <s v="May-2025"/>
    <s v="Q2-2025"/>
    <s v="Asia"/>
    <x v="4"/>
    <s v="Bengaluru"/>
    <s v="Enterprise"/>
    <s v="Direct"/>
    <s v="J. Njeri"/>
    <x v="3"/>
    <s v="PHN-5683"/>
    <n v="935.98"/>
    <s v="High"/>
    <n v="2077.69"/>
    <n v="0.17499999999999999"/>
    <n v="24"/>
    <n v="41071.932000000001"/>
    <n v="22463.52"/>
    <n v="18608.412"/>
    <n v="0.4530688256885505"/>
  </r>
  <r>
    <x v="429"/>
    <d v="2024-11-01T00:00:00"/>
    <d v="2024-11-12T00:00:00"/>
    <x v="23"/>
    <s v="Nov-2024"/>
    <s v="Q4-2024"/>
    <s v="Europe"/>
    <x v="6"/>
    <s v="Frankfurt"/>
    <s v="Consumer"/>
    <s v="Online"/>
    <s v="B. Chen"/>
    <x v="1"/>
    <s v="PRN-2409"/>
    <n v="599.84"/>
    <s v="High"/>
    <n v="1330.85"/>
    <n v="0.115"/>
    <n v="11"/>
    <n v="4820.6746499999999"/>
    <n v="6598.2400000000007"/>
    <n v="-1777.5653500000008"/>
    <n v="-0.36873787987330792"/>
  </r>
  <r>
    <x v="430"/>
    <d v="2024-12-28T00:00:00"/>
    <d v="2025-01-08T00:00:00"/>
    <x v="23"/>
    <s v="Dec-2024"/>
    <s v="Q4-2024"/>
    <s v="Asia"/>
    <x v="9"/>
    <s v="Shenzhen"/>
    <s v="Enterprise"/>
    <s v="Online"/>
    <s v="K. Singh"/>
    <x v="4"/>
    <s v="LAP-8825"/>
    <n v="1201.31"/>
    <s v="High"/>
    <n v="2764.65"/>
    <n v="0"/>
    <n v="21"/>
    <n v="15909.390000000001"/>
    <n v="25227.51"/>
    <n v="-9318.1199999999972"/>
    <n v="-0.58569938885148942"/>
  </r>
  <r>
    <x v="431"/>
    <d v="2023-10-21T00:00:00"/>
    <d v="2023-10-21T00:00:00"/>
    <x v="18"/>
    <s v="Oct-2023"/>
    <s v="Q4-2023"/>
    <s v="Europe"/>
    <x v="8"/>
    <s v="Manchester"/>
    <s v="Enterprise"/>
    <s v="Distributor"/>
    <s v="J. Njeri"/>
    <x v="5"/>
    <s v="MON-8697"/>
    <n v="384.19"/>
    <s v="High"/>
    <n v="278.35000000000002"/>
    <n v="5.6000000000000001E-2"/>
    <n v="10"/>
    <n v="3926.6623999999993"/>
    <n v="3841.9"/>
    <n v="84.762399999999161"/>
    <n v="2.1586373200812775E-2"/>
  </r>
  <r>
    <x v="432"/>
    <d v="2024-12-10T00:00:00"/>
    <d v="2024-12-19T00:00:00"/>
    <x v="25"/>
    <s v="Dec-2024"/>
    <s v="Q4-2024"/>
    <s v="Africa"/>
    <x v="1"/>
    <s v="Lagos"/>
    <s v="Corporate"/>
    <s v="Retail"/>
    <s v="O. Wang"/>
    <x v="5"/>
    <s v="MON-4789"/>
    <n v="488.68"/>
    <s v="High"/>
    <n v="984.36"/>
    <n v="5.8999999999999997E-2"/>
    <n v="14"/>
    <n v="24647.104860000003"/>
    <n v="6841.52"/>
    <n v="17805.584860000003"/>
    <n v="0.72242094806424251"/>
  </r>
  <r>
    <x v="433"/>
    <d v="2024-09-07T00:00:00"/>
    <d v="2024-09-18T00:00:00"/>
    <x v="23"/>
    <s v="Sept-2024"/>
    <s v="Q3-2024"/>
    <s v="Asia"/>
    <x v="9"/>
    <s v="Beijing"/>
    <s v="Consumer"/>
    <s v="Distributor"/>
    <s v="O. Wang"/>
    <x v="2"/>
    <s v="NET-7998"/>
    <n v="181.74"/>
    <s v="Medium"/>
    <n v="190.84"/>
    <n v="0.214"/>
    <n v="13"/>
    <n v="2113.89984"/>
    <n v="2362.62"/>
    <n v="-248.72015999999985"/>
    <n v="-0.11765938730569177"/>
  </r>
  <r>
    <x v="434"/>
    <d v="2023-10-18T00:00:00"/>
    <d v="2023-10-20T00:00:00"/>
    <x v="6"/>
    <s v="Oct-2023"/>
    <s v="Q4-2023"/>
    <s v="Africa"/>
    <x v="0"/>
    <s v="Kisumu"/>
    <s v="Consumer"/>
    <s v="Retail"/>
    <s v="J. Njeri"/>
    <x v="3"/>
    <s v="PHN-8891"/>
    <n v="774.12"/>
    <s v="High"/>
    <n v="908.3"/>
    <n v="0"/>
    <n v="30"/>
    <n v="1884.6"/>
    <n v="23223.599999999999"/>
    <n v="-21339"/>
    <n v="-11.322827125119389"/>
  </r>
  <r>
    <x v="435"/>
    <d v="2024-12-24T00:00:00"/>
    <d v="2025-01-13T00:00:00"/>
    <x v="9"/>
    <s v="Dec-2024"/>
    <s v="Q4-2024"/>
    <s v="Asia"/>
    <x v="4"/>
    <s v="Bengaluru"/>
    <s v="Corporate"/>
    <s v="Marketplace"/>
    <s v="D. Smith"/>
    <x v="2"/>
    <s v="NET-9832"/>
    <n v="126.15"/>
    <s v="High"/>
    <n v="284.23"/>
    <n v="0.113"/>
    <n v="22"/>
    <n v="18664.94586"/>
    <n v="2775.3"/>
    <n v="15889.645860000001"/>
    <n v="0.85130950709331443"/>
  </r>
  <r>
    <x v="436"/>
    <d v="2023-04-21T00:00:00"/>
    <d v="2023-04-19T00:00:00"/>
    <x v="6"/>
    <s v="Apr-2023"/>
    <s v="Q2-2023"/>
    <s v="Asia"/>
    <x v="2"/>
    <s v="Nagoya"/>
    <s v="Small Business"/>
    <s v="Direct"/>
    <s v="M. Rossi"/>
    <x v="0"/>
    <s v="CMP-8604"/>
    <n v="607.04"/>
    <s v="High"/>
    <n v="1229.3399999999999"/>
    <n v="0.14699999999999999"/>
    <n v="7"/>
    <n v="989.39469999999983"/>
    <n v="4249.28"/>
    <n v="-3259.8852999999999"/>
    <n v="-3.2948279387387061"/>
  </r>
  <r>
    <x v="437"/>
    <d v="2023-12-30T00:00:00"/>
    <d v="2024-01-08T00:00:00"/>
    <x v="25"/>
    <s v="Dec-2023"/>
    <s v="Q4-2023"/>
    <s v="Europe"/>
    <x v="7"/>
    <s v="Marseille"/>
    <s v="Consumer"/>
    <s v="Marketplace"/>
    <s v="L. Okafor"/>
    <x v="6"/>
    <s v="ACC-6594"/>
    <n v="861.1"/>
    <s v="High"/>
    <n v="1224.72"/>
    <n v="0.17399999999999999"/>
    <n v="24"/>
    <n v="12060.128640000001"/>
    <n v="20666.400000000001"/>
    <n v="-8606.2713600000006"/>
    <n v="-0.71361356225135586"/>
  </r>
  <r>
    <x v="438"/>
    <d v="2023-02-21T00:00:00"/>
    <d v="2023-03-12T00:00:00"/>
    <x v="7"/>
    <s v="Feb-2023"/>
    <s v="Q1-2023"/>
    <s v="Africa"/>
    <x v="0"/>
    <s v="Nakuru"/>
    <s v="Corporate"/>
    <s v="Online"/>
    <s v="F. Müller"/>
    <x v="2"/>
    <s v="NET-2499"/>
    <n v="352.65"/>
    <s v="High"/>
    <n v="485.86"/>
    <n v="4.1000000000000002E-2"/>
    <n v="6"/>
    <n v="15339.646139999999"/>
    <n v="2115.8999999999996"/>
    <n v="13223.746139999999"/>
    <n v="0.86206331093371624"/>
  </r>
  <r>
    <x v="439"/>
    <d v="2023-05-17T00:00:00"/>
    <d v="2023-06-03T00:00:00"/>
    <x v="14"/>
    <s v="May-2023"/>
    <s v="Q2-2023"/>
    <s v="Asia"/>
    <x v="9"/>
    <s v="Beijing"/>
    <s v="Non-Profit"/>
    <s v="Distributor"/>
    <s v="M. Rossi"/>
    <x v="1"/>
    <s v="PRN-1923"/>
    <n v="979.59"/>
    <s v="High"/>
    <n v="2210.94"/>
    <n v="0.15"/>
    <n v="11"/>
    <n v="5497.3325000000004"/>
    <n v="10775.49"/>
    <n v="-5278.1574999999993"/>
    <n v="-0.96013066337173514"/>
  </r>
  <r>
    <x v="440"/>
    <d v="2024-03-23T00:00:00"/>
    <d v="2024-03-26T00:00:00"/>
    <x v="4"/>
    <s v="Mar-2024"/>
    <s v="Q1-2024"/>
    <s v="Asia"/>
    <x v="4"/>
    <s v="Bengaluru"/>
    <s v="Education"/>
    <s v="Direct"/>
    <s v="G. Dubois"/>
    <x v="3"/>
    <s v="PHN-4346"/>
    <n v="382.21"/>
    <s v="High"/>
    <n v="571.89"/>
    <n v="0.14799999999999999"/>
    <n v="26"/>
    <n v="48582.215760000006"/>
    <n v="9937.4599999999991"/>
    <n v="38644.755760000007"/>
    <n v="0.79545066348781124"/>
  </r>
  <r>
    <x v="441"/>
    <d v="2023-09-20T00:00:00"/>
    <d v="2023-09-28T00:00:00"/>
    <x v="12"/>
    <s v="Sept-2023"/>
    <s v="Q3-2023"/>
    <s v="Asia"/>
    <x v="4"/>
    <s v="Not Provided"/>
    <s v="Corporate"/>
    <s v="Not Provided"/>
    <s v="B. Chen"/>
    <x v="6"/>
    <s v="ACC-1375"/>
    <n v="1362.06"/>
    <s v="High"/>
    <n v="3398.37"/>
    <n v="0.157"/>
    <n v="11"/>
    <n v="20287.469400000002"/>
    <n v="14982.66"/>
    <n v="5304.8094000000019"/>
    <n v="0.26148206537775487"/>
  </r>
  <r>
    <x v="442"/>
    <d v="2024-08-22T00:00:00"/>
    <d v="2024-09-04T00:00:00"/>
    <x v="19"/>
    <s v="Aug-2024"/>
    <s v="Q3-2024"/>
    <s v="Europe"/>
    <x v="6"/>
    <s v="Frankfurt"/>
    <s v="Non-Profit"/>
    <s v="Retail"/>
    <s v="L. Okafor"/>
    <x v="1"/>
    <s v="PRN-4892"/>
    <n v="90.04"/>
    <s v="Medium"/>
    <n v="194.62"/>
    <n v="4.2999999999999997E-2"/>
    <n v="32"/>
    <n v="30688.61664"/>
    <n v="2881.28"/>
    <n v="27807.336640000001"/>
    <n v="0.90611241836673417"/>
  </r>
  <r>
    <x v="443"/>
    <d v="2024-09-25T00:00:00"/>
    <d v="2024-10-03T00:00:00"/>
    <x v="12"/>
    <s v="Sept-2024"/>
    <s v="Q3-2024"/>
    <s v="Americas"/>
    <x v="3"/>
    <s v="Toronto"/>
    <s v="Consumer"/>
    <s v="Online"/>
    <s v="E. Garcia"/>
    <x v="1"/>
    <s v="PRN-9557"/>
    <n v="558.19000000000005"/>
    <s v="High"/>
    <n v="1031.6400000000001"/>
    <n v="0"/>
    <n v="21"/>
    <n v="19189.38"/>
    <n v="11721.990000000002"/>
    <n v="7467.3899999999994"/>
    <n v="0.3891418065617544"/>
  </r>
  <r>
    <x v="444"/>
    <d v="2023-06-13T00:00:00"/>
    <d v="2023-06-24T00:00:00"/>
    <x v="23"/>
    <s v="Jun-2023"/>
    <s v="Q2-2023"/>
    <s v="Americas"/>
    <x v="3"/>
    <s v="Toronto"/>
    <s v="Corporate"/>
    <s v="Online"/>
    <s v="C. Otieno"/>
    <x v="1"/>
    <s v="PRN-8008"/>
    <n v="247.07"/>
    <s v="High"/>
    <n v="495.19"/>
    <n v="2.8000000000000001E-2"/>
    <n v="4"/>
    <n v="7167.5668799999994"/>
    <n v="988.28"/>
    <n v="6179.2868799999997"/>
    <n v="0.86211778466167588"/>
  </r>
  <r>
    <x v="445"/>
    <d v="2023-12-24T00:00:00"/>
    <d v="2024-01-13T00:00:00"/>
    <x v="9"/>
    <s v="Dec-2023"/>
    <s v="Q4-2023"/>
    <s v="Asia"/>
    <x v="2"/>
    <s v="Nagoya"/>
    <s v="Education"/>
    <s v="Direct"/>
    <s v="B. Chen"/>
    <x v="4"/>
    <s v="LAP-1946"/>
    <n v="625.37"/>
    <s v="High"/>
    <n v="1319.04"/>
    <n v="7.3999999999999996E-2"/>
    <n v="8"/>
    <n v="10249.7088"/>
    <n v="5002.96"/>
    <n v="5246.7488000000003"/>
    <n v="0.51189247444766428"/>
  </r>
  <r>
    <x v="446"/>
    <d v="2025-03-30T00:00:00"/>
    <d v="2025-04-29T00:00:00"/>
    <x v="26"/>
    <s v="Mar-2025"/>
    <s v="Q1-2025"/>
    <s v="Africa"/>
    <x v="11"/>
    <s v="Durban"/>
    <s v="Consumer"/>
    <s v="Marketplace"/>
    <s v="J. Njeri"/>
    <x v="5"/>
    <s v="MON-7106"/>
    <n v="194.6"/>
    <s v="High"/>
    <n v="314.87"/>
    <n v="0.29299999999999998"/>
    <n v="25"/>
    <n v="28077.267750000003"/>
    <n v="4865"/>
    <n v="23212.267750000003"/>
    <n v="0.82672815448718295"/>
  </r>
  <r>
    <x v="447"/>
    <d v="2024-06-03T00:00:00"/>
    <d v="2024-06-24T00:00:00"/>
    <x v="28"/>
    <s v="Jun-2024"/>
    <s v="Q2-2024"/>
    <s v="Americas"/>
    <x v="3"/>
    <s v="Toronto"/>
    <s v="Small Business"/>
    <s v="Direct"/>
    <s v="G. Dubois"/>
    <x v="5"/>
    <s v="MON-5386"/>
    <n v="1205.5"/>
    <s v="High"/>
    <n v="2210.17"/>
    <n v="0.104"/>
    <n v="23"/>
    <n v="27698.182399999998"/>
    <n v="27726.5"/>
    <n v="-28.31760000000213"/>
    <n v="-1.0223631136172362E-3"/>
  </r>
  <r>
    <x v="448"/>
    <d v="2024-06-11T00:00:00"/>
    <d v="2024-07-09T00:00:00"/>
    <x v="27"/>
    <s v="Jun-2024"/>
    <s v="Q2-2024"/>
    <s v="Africa"/>
    <x v="1"/>
    <s v="Port Harcourt"/>
    <s v="Corporate"/>
    <s v="Marketplace"/>
    <s v="I. Johnson"/>
    <x v="3"/>
    <s v="PHN-2436"/>
    <n v="895.54"/>
    <s v="High"/>
    <n v="1045"/>
    <n v="0.216"/>
    <n v="15"/>
    <n v="15173.8104"/>
    <n v="13433.099999999999"/>
    <n v="1740.7104000000018"/>
    <n v="0.11471808030499721"/>
  </r>
  <r>
    <x v="449"/>
    <d v="2023-07-22T00:00:00"/>
    <d v="2023-07-21T00:00:00"/>
    <x v="1"/>
    <s v="Jul-2023"/>
    <s v="Q3-2023"/>
    <s v="Asia"/>
    <x v="4"/>
    <s v="Delhi"/>
    <s v="Small Business"/>
    <s v="Distributor"/>
    <s v="E. Garcia"/>
    <x v="1"/>
    <s v="PRN-2301"/>
    <n v="946.99"/>
    <s v="High"/>
    <n v="2132.19"/>
    <n v="0.16500000000000001"/>
    <n v="7"/>
    <n v="1295.1351000000002"/>
    <n v="6628.93"/>
    <n v="-5333.7948999999999"/>
    <n v="-4.1183308984522151"/>
  </r>
  <r>
    <x v="450"/>
    <d v="2023-01-19T00:00:00"/>
    <d v="2023-02-03T00:00:00"/>
    <x v="15"/>
    <s v="Jan-2023"/>
    <s v="Q1-2023"/>
    <s v="Europe"/>
    <x v="8"/>
    <s v="London"/>
    <s v="Enterprise"/>
    <s v="Distributor"/>
    <s v="G. Dubois"/>
    <x v="6"/>
    <s v="ACC-3645"/>
    <n v="873.06"/>
    <s v="High"/>
    <n v="2101.5500000000002"/>
    <n v="6.6000000000000003E-2"/>
    <n v="10"/>
    <n v="3365.5755999999997"/>
    <n v="8730.5999999999985"/>
    <n v="-5365.0243999999984"/>
    <n v="-1.5940882148064062"/>
  </r>
  <r>
    <x v="451"/>
    <d v="2024-05-01T00:00:00"/>
    <d v="2024-05-16T00:00:00"/>
    <x v="15"/>
    <s v="May-2024"/>
    <s v="Q2-2024"/>
    <s v="Asia"/>
    <x v="4"/>
    <s v="Bengaluru"/>
    <s v="Small Business"/>
    <s v="Retail"/>
    <s v="L. Okafor"/>
    <x v="0"/>
    <s v="CMP-6811"/>
    <n v="901.19"/>
    <s v="High"/>
    <n v="2125.44"/>
    <n v="7.0999999999999994E-2"/>
    <n v="12"/>
    <n v="28380.689880000002"/>
    <n v="10814.28"/>
    <n v="17566.409879999999"/>
    <n v="0.61895640853956568"/>
  </r>
  <r>
    <x v="452"/>
    <d v="2025-06-09T00:00:00"/>
    <d v="2025-06-24T00:00:00"/>
    <x v="15"/>
    <s v="Jun-2025"/>
    <s v="Q2-2025"/>
    <s v="Asia"/>
    <x v="2"/>
    <s v="Nagoya"/>
    <s v="Corporate"/>
    <s v="Direct"/>
    <s v="B. Chen"/>
    <x v="3"/>
    <s v="PHN-5675"/>
    <n v="400.39"/>
    <s v="High"/>
    <n v="712.75"/>
    <n v="0.115"/>
    <n v="19"/>
    <n v="11761.58805"/>
    <n v="7607.41"/>
    <n v="4154.1780500000004"/>
    <n v="0.35319873747831187"/>
  </r>
  <r>
    <x v="453"/>
    <d v="2023-05-24T00:00:00"/>
    <d v="2023-06-21T00:00:00"/>
    <x v="27"/>
    <s v="May-2023"/>
    <s v="Q2-2023"/>
    <s v="Americas"/>
    <x v="10"/>
    <s v="Austin"/>
    <s v="Small Business"/>
    <s v="Marketplace"/>
    <s v="G. Dubois"/>
    <x v="5"/>
    <s v="MON-6882"/>
    <n v="813.97"/>
    <s v="High"/>
    <n v="1568.83"/>
    <n v="1.7000000000000001E-2"/>
    <n v="15"/>
    <n v="40381.984049999999"/>
    <n v="12209.550000000001"/>
    <n v="28172.434049999996"/>
    <n v="0.69764858544636066"/>
  </r>
  <r>
    <x v="454"/>
    <d v="2024-12-27T00:00:00"/>
    <d v="2024-12-29T00:00:00"/>
    <x v="6"/>
    <s v="Dec-2024"/>
    <s v="Q4-2024"/>
    <s v="Americas"/>
    <x v="3"/>
    <s v="Vancouver"/>
    <s v="Enterprise"/>
    <s v="Marketplace"/>
    <s v="C. Otieno"/>
    <x v="6"/>
    <s v="ACC-8620"/>
    <n v="1146.72"/>
    <s v="High"/>
    <n v="2074.34"/>
    <n v="0.111"/>
    <n v="8"/>
    <n v="674.07536000000005"/>
    <n v="9173.76"/>
    <n v="-8499.6846399999995"/>
    <n v="-12.60939821327989"/>
  </r>
  <r>
    <x v="455"/>
    <d v="2023-12-05T00:00:00"/>
    <d v="2023-12-12T00:00:00"/>
    <x v="20"/>
    <s v="Dec-2023"/>
    <s v="Q4-2023"/>
    <s v="Americas"/>
    <x v="5"/>
    <s v="Brasília"/>
    <s v="Corporate"/>
    <s v="Direct"/>
    <s v="F. Müller"/>
    <x v="3"/>
    <s v="PHN-6506"/>
    <n v="307.43"/>
    <s v="High"/>
    <n v="495.19"/>
    <n v="0"/>
    <n v="42"/>
    <n v="116648.7"/>
    <n v="12912.06"/>
    <n v="103736.64"/>
    <n v="0.88930815345563219"/>
  </r>
  <r>
    <x v="456"/>
    <d v="2023-05-02T00:00:00"/>
    <d v="2023-05-19T00:00:00"/>
    <x v="14"/>
    <s v="May-2023"/>
    <s v="Q2-2023"/>
    <s v="Asia"/>
    <x v="9"/>
    <s v="Shanghai"/>
    <s v="Non-Profit"/>
    <s v="Direct"/>
    <s v="J. Njeri"/>
    <x v="5"/>
    <s v="MON-5086"/>
    <n v="714.28"/>
    <s v="High"/>
    <n v="757.59"/>
    <n v="0.13600000000000001"/>
    <n v="12"/>
    <n v="5102.9222399999999"/>
    <n v="8571.36"/>
    <n v="-3468.4377600000007"/>
    <n v="-0.67969637726637211"/>
  </r>
  <r>
    <x v="457"/>
    <d v="2023-11-30T00:00:00"/>
    <d v="2023-12-10T00:00:00"/>
    <x v="24"/>
    <s v="Nov-2023"/>
    <s v="Q4-2023"/>
    <s v="Europe"/>
    <x v="6"/>
    <s v="Munich"/>
    <s v="Small Business"/>
    <s v="Direct"/>
    <s v="F. Müller"/>
    <x v="4"/>
    <s v="LAP-4899"/>
    <n v="174.74"/>
    <s v="High"/>
    <n v="415.96"/>
    <n v="0.125"/>
    <n v="21"/>
    <n v="35310.318749999999"/>
    <n v="3669.54"/>
    <n v="31640.778749999998"/>
    <n v="0.89607740371927391"/>
  </r>
  <r>
    <x v="458"/>
    <d v="2024-05-05T00:00:00"/>
    <d v="2024-05-18T00:00:00"/>
    <x v="19"/>
    <s v="May-2024"/>
    <s v="Q2-2024"/>
    <s v="Europe"/>
    <x v="7"/>
    <s v="Marseille"/>
    <s v="Corporate"/>
    <s v="Marketplace"/>
    <s v="A. Patel"/>
    <x v="0"/>
    <s v="CMP-3313"/>
    <n v="1264.04"/>
    <s v="High"/>
    <n v="1870.89"/>
    <n v="0"/>
    <n v="13"/>
    <n v="3774.29"/>
    <n v="16432.52"/>
    <n v="-12658.23"/>
    <n v="-3.3538042916681019"/>
  </r>
  <r>
    <x v="459"/>
    <d v="2023-07-09T00:00:00"/>
    <d v="2023-07-19T00:00:00"/>
    <x v="24"/>
    <s v="Jul-2023"/>
    <s v="Q3-2023"/>
    <s v="Asia"/>
    <x v="2"/>
    <s v="Tokyo"/>
    <s v="Enterprise"/>
    <s v="Distributor"/>
    <s v="N. Brown"/>
    <x v="0"/>
    <s v="CMP-6649"/>
    <n v="141.26"/>
    <s v="High"/>
    <n v="206.88"/>
    <n v="0.107"/>
    <n v="9"/>
    <n v="4845.6680399999996"/>
    <n v="1271.3399999999999"/>
    <n v="3574.3280399999994"/>
    <n v="0.737633698902742"/>
  </r>
  <r>
    <x v="460"/>
    <d v="2023-05-17T00:00:00"/>
    <d v="2023-06-15T00:00:00"/>
    <x v="11"/>
    <s v="May-2023"/>
    <s v="Q2-2023"/>
    <s v="Africa"/>
    <x v="11"/>
    <s v="Durban"/>
    <s v="Enterprise"/>
    <s v="Retail"/>
    <s v="K. Singh"/>
    <x v="6"/>
    <s v="ACC-5206"/>
    <n v="40.89"/>
    <s v="Medium"/>
    <n v="62.82"/>
    <n v="0.129"/>
    <n v="17"/>
    <n v="30761.5425"/>
    <n v="695.13"/>
    <n v="30066.412499999999"/>
    <n v="0.97740262862306071"/>
  </r>
  <r>
    <x v="461"/>
    <d v="2024-03-07T00:00:00"/>
    <d v="2024-04-03T00:00:00"/>
    <x v="29"/>
    <s v="Mar-2024"/>
    <s v="Q1-2024"/>
    <s v="Europe"/>
    <x v="6"/>
    <s v="Frankfurt"/>
    <s v="Corporate"/>
    <s v="Direct"/>
    <s v="M. Rossi"/>
    <x v="1"/>
    <s v="PRN-6911"/>
    <n v="738.16"/>
    <s v="High"/>
    <n v="956.49"/>
    <n v="0.152"/>
    <n v="5"/>
    <n v="733.01119999999992"/>
    <n v="3690.7999999999997"/>
    <n v="-2957.7887999999998"/>
    <n v="-4.0351208821911593"/>
  </r>
  <r>
    <x v="462"/>
    <d v="2025-04-10T00:00:00"/>
    <d v="2025-04-19T00:00:00"/>
    <x v="25"/>
    <s v="Apr-2025"/>
    <s v="Q2-2025"/>
    <s v="Africa"/>
    <x v="11"/>
    <s v="Durban"/>
    <s v="Enterprise"/>
    <s v="Not Provided"/>
    <s v="G. Dubois"/>
    <x v="2"/>
    <s v="NET-5270"/>
    <n v="113.74"/>
    <s v="Medium"/>
    <n v="165.7"/>
    <n v="0.124"/>
    <n v="13"/>
    <n v="31644.291119999994"/>
    <n v="1478.62"/>
    <n v="30165.671119999995"/>
    <n v="0.95327372022988777"/>
  </r>
  <r>
    <x v="463"/>
    <d v="2025-07-27T00:00:00"/>
    <d v="2025-08-15T00:00:00"/>
    <x v="7"/>
    <s v="Jul-2025"/>
    <s v="Q3-2025"/>
    <s v="Asia"/>
    <x v="2"/>
    <s v="Tokyo"/>
    <s v="Small Business"/>
    <s v="Marketplace"/>
    <s v="J. Njeri"/>
    <x v="0"/>
    <s v="CMP-5658"/>
    <n v="275.43"/>
    <s v="High"/>
    <n v="608.36"/>
    <n v="0.25700000000000001"/>
    <n v="4"/>
    <n v="919.74484000000007"/>
    <n v="1101.72"/>
    <n v="-181.97515999999996"/>
    <n v="-0.19785396132257718"/>
  </r>
  <r>
    <x v="464"/>
    <d v="2024-11-22T00:00:00"/>
    <d v="2024-12-15T00:00:00"/>
    <x v="21"/>
    <s v="Nov-2024"/>
    <s v="Q4-2024"/>
    <s v="Africa"/>
    <x v="0"/>
    <s v="Mombasa"/>
    <s v="Non-Profit"/>
    <s v="Distributor"/>
    <s v="C. Otieno"/>
    <x v="0"/>
    <s v="CMP-3938"/>
    <n v="1335.76"/>
    <s v="High"/>
    <n v="2665.91"/>
    <n v="0.21099999999999999"/>
    <n v="40"/>
    <n v="21031.899600000001"/>
    <n v="53430.400000000001"/>
    <n v="-32398.500400000001"/>
    <n v="-1.5404457522229709"/>
  </r>
  <r>
    <x v="465"/>
    <d v="2024-06-23T00:00:00"/>
    <d v="2024-06-28T00:00:00"/>
    <x v="16"/>
    <s v="Jun-2024"/>
    <s v="Q2-2024"/>
    <s v="Africa"/>
    <x v="1"/>
    <s v="Port Harcourt"/>
    <s v="Non-Profit"/>
    <s v="Direct"/>
    <s v="M. Rossi"/>
    <x v="6"/>
    <s v="ACC-7671"/>
    <n v="242.31"/>
    <s v="High"/>
    <n v="587.95000000000005"/>
    <n v="0.22900000000000001"/>
    <n v="6"/>
    <n v="3442.9930199999999"/>
    <n v="1453.8600000000001"/>
    <n v="1989.1330199999998"/>
    <n v="0.57773367777550699"/>
  </r>
  <r>
    <x v="466"/>
    <d v="2023-12-18T00:00:00"/>
    <d v="2024-01-14T00:00:00"/>
    <x v="29"/>
    <s v="Dec-2023"/>
    <s v="Q4-2023"/>
    <s v="Asia"/>
    <x v="4"/>
    <s v="Mumbai"/>
    <s v="Consumer"/>
    <s v="Distributor"/>
    <s v="D. Smith"/>
    <x v="2"/>
    <s v="NET-6014"/>
    <n v="1408.3"/>
    <s v="High"/>
    <n v="2193.13"/>
    <n v="7.0999999999999994E-2"/>
    <n v="7"/>
    <n v="82.523070000000004"/>
    <n v="9858.1"/>
    <n v="-9775.5769300000011"/>
    <n v="-118.45871621111527"/>
  </r>
  <r>
    <x v="467"/>
    <d v="2025-06-01T00:00:00"/>
    <d v="2025-06-05T00:00:00"/>
    <x v="3"/>
    <s v="Jun-2025"/>
    <s v="Q2-2025"/>
    <s v="Europe"/>
    <x v="6"/>
    <s v="Munich"/>
    <s v="Enterprise"/>
    <s v="Direct"/>
    <s v="M. Rossi"/>
    <x v="0"/>
    <s v="CMP-4159"/>
    <n v="1171.42"/>
    <s v="High"/>
    <n v="2187.8000000000002"/>
    <n v="0.23"/>
    <n v="15"/>
    <n v="7525.518"/>
    <n v="17571.300000000003"/>
    <n v="-10045.782000000003"/>
    <n v="-1.3348957506978261"/>
  </r>
  <r>
    <x v="468"/>
    <d v="2025-03-23T00:00:00"/>
    <d v="2025-04-02T00:00:00"/>
    <x v="24"/>
    <s v="Mar-2025"/>
    <s v="Q1-2025"/>
    <s v="Europe"/>
    <x v="6"/>
    <s v="Berlin"/>
    <s v="Enterprise"/>
    <s v="Online"/>
    <s v="E. Garcia"/>
    <x v="1"/>
    <s v="PRN-3159"/>
    <n v="663.61"/>
    <s v="High"/>
    <n v="1002.11"/>
    <n v="4.5999999999999999E-2"/>
    <n v="17"/>
    <n v="12231.93996"/>
    <n v="11281.37"/>
    <n v="950.5699599999989"/>
    <n v="7.7712117874064429E-2"/>
  </r>
  <r>
    <x v="469"/>
    <d v="2023-05-14T00:00:00"/>
    <d v="2023-05-22T00:00:00"/>
    <x v="12"/>
    <s v="May-2023"/>
    <s v="Q2-2023"/>
    <s v="Africa"/>
    <x v="0"/>
    <s v="Mombasa"/>
    <s v="Small Business"/>
    <s v="Distributor"/>
    <s v="F. Müller"/>
    <x v="1"/>
    <s v="PRN-9488"/>
    <n v="432.01"/>
    <s v="High"/>
    <n v="913.78"/>
    <n v="4.9000000000000002E-2"/>
    <n v="12"/>
    <n v="34019.286120000004"/>
    <n v="5184.12"/>
    <n v="28835.166120000005"/>
    <n v="0.84761232255981278"/>
  </r>
  <r>
    <x v="470"/>
    <d v="2023-08-29T00:00:00"/>
    <d v="2023-09-19T00:00:00"/>
    <x v="28"/>
    <s v="Aug-2023"/>
    <s v="Q3-2023"/>
    <s v="Europe"/>
    <x v="7"/>
    <s v="Lyon"/>
    <s v="Small Business"/>
    <s v="Direct"/>
    <s v="B. Chen"/>
    <x v="1"/>
    <s v="PRN-7079"/>
    <n v="784.46"/>
    <s v="High"/>
    <n v="1843.51"/>
    <n v="0.13800000000000001"/>
    <n v="23"/>
    <n v="19353.546419999999"/>
    <n v="18042.580000000002"/>
    <n v="1310.966419999997"/>
    <n v="6.7737787770268371E-2"/>
  </r>
  <r>
    <x v="471"/>
    <d v="2025-07-03T00:00:00"/>
    <d v="2025-07-23T00:00:00"/>
    <x v="9"/>
    <s v="Jul-2025"/>
    <s v="Q3-2025"/>
    <s v="Asia"/>
    <x v="9"/>
    <s v="Beijing"/>
    <s v="Small Business"/>
    <s v="Online"/>
    <s v="M. Rossi"/>
    <x v="0"/>
    <s v="CMP-1220"/>
    <n v="647.36"/>
    <s v="High"/>
    <n v="1383.6"/>
    <n v="7.3999999999999996E-2"/>
    <n v="12"/>
    <n v="12733.240800000001"/>
    <n v="7768.32"/>
    <n v="4964.9208000000017"/>
    <n v="0.38991807961410746"/>
  </r>
  <r>
    <x v="472"/>
    <d v="2024-02-06T00:00:00"/>
    <d v="2024-02-28T00:00:00"/>
    <x v="22"/>
    <s v="Feb-2024"/>
    <s v="Q1-2024"/>
    <s v="Africa"/>
    <x v="0"/>
    <s v="Kisumu"/>
    <s v="Non-Profit"/>
    <s v="Online"/>
    <s v="K. Singh"/>
    <x v="5"/>
    <s v="MON-2462"/>
    <n v="834.93"/>
    <s v="High"/>
    <n v="1588.53"/>
    <n v="0.126"/>
    <n v="6"/>
    <n v="8549.7651600000008"/>
    <n v="5009.58"/>
    <n v="3540.1851600000009"/>
    <n v="0.4140681169305942"/>
  </r>
  <r>
    <x v="473"/>
    <d v="2025-08-13T00:00:00"/>
    <d v="2025-09-03T00:00:00"/>
    <x v="28"/>
    <s v="Aug-2025"/>
    <s v="Q3-2025"/>
    <s v="Europe"/>
    <x v="7"/>
    <s v="Paris"/>
    <s v="Education"/>
    <s v="Retail"/>
    <s v="I. Johnson"/>
    <x v="3"/>
    <s v="PHN-9465"/>
    <n v="603.47"/>
    <s v="High"/>
    <n v="1344.05"/>
    <n v="0.20499999999999999"/>
    <n v="18"/>
    <n v="13790.9763"/>
    <n v="10862.460000000001"/>
    <n v="2928.5162999999993"/>
    <n v="0.21235018002315031"/>
  </r>
  <r>
    <x v="474"/>
    <d v="2023-05-23T00:00:00"/>
    <d v="2023-05-25T00:00:00"/>
    <x v="6"/>
    <s v="May-2023"/>
    <s v="Q2-2023"/>
    <s v="Americas"/>
    <x v="5"/>
    <s v="Rio de Janeiro"/>
    <s v="Enterprise"/>
    <s v="Retail"/>
    <s v="M. Rossi"/>
    <x v="1"/>
    <s v="PRN-1271"/>
    <n v="690.49"/>
    <s v="High"/>
    <n v="1290.29"/>
    <n v="4.2000000000000003E-2"/>
    <n v="22"/>
    <n v="18794.101480000001"/>
    <n v="15190.78"/>
    <n v="3603.3214800000005"/>
    <n v="0.19172619046643566"/>
  </r>
  <r>
    <x v="475"/>
    <d v="2024-05-10T00:00:00"/>
    <d v="2024-05-16T00:00:00"/>
    <x v="30"/>
    <s v="May-2024"/>
    <s v="Q2-2024"/>
    <s v="Europe"/>
    <x v="8"/>
    <s v="Birmingham"/>
    <s v="Non-Profit"/>
    <s v="Direct"/>
    <s v="G. Dubois"/>
    <x v="4"/>
    <s v="LAP-1066"/>
    <n v="210.76"/>
    <s v="High"/>
    <n v="221.58"/>
    <n v="8.8999999999999996E-2"/>
    <n v="5"/>
    <n v="7596.9201000000003"/>
    <n v="1053.8"/>
    <n v="6543.1201000000001"/>
    <n v="0.86128589137063583"/>
  </r>
  <r>
    <x v="476"/>
    <d v="2023-03-14T00:00:00"/>
    <d v="2023-03-18T00:00:00"/>
    <x v="3"/>
    <s v="Mar-2023"/>
    <s v="Q1-2023"/>
    <s v="Europe"/>
    <x v="6"/>
    <s v="Frankfurt"/>
    <s v="Enterprise"/>
    <s v="Direct"/>
    <s v="A. Patel"/>
    <x v="0"/>
    <s v="CMP-8675"/>
    <n v="472.33"/>
    <s v="High"/>
    <n v="360.34"/>
    <n v="0.16500000000000001"/>
    <n v="14"/>
    <n v="22462.4519"/>
    <n v="6612.62"/>
    <n v="15849.831900000001"/>
    <n v="0.70561450595693875"/>
  </r>
  <r>
    <x v="477"/>
    <d v="2023-07-16T00:00:00"/>
    <d v="2023-08-13T00:00:00"/>
    <x v="27"/>
    <s v="Jul-2023"/>
    <s v="Q3-2023"/>
    <s v="Europe"/>
    <x v="8"/>
    <s v="Manchester"/>
    <s v="Non-Profit"/>
    <s v="Online"/>
    <s v="J. Njeri"/>
    <x v="4"/>
    <s v="LAP-1178"/>
    <n v="1039.03"/>
    <s v="High"/>
    <n v="2545.81"/>
    <n v="0.216"/>
    <n v="21"/>
    <n v="20043.767520000001"/>
    <n v="21819.63"/>
    <n v="-1775.8624799999998"/>
    <n v="-8.8599235559283701E-2"/>
  </r>
  <r>
    <x v="478"/>
    <d v="2023-04-16T00:00:00"/>
    <d v="2023-04-19T00:00:00"/>
    <x v="4"/>
    <s v="Apr-2023"/>
    <s v="Q2-2023"/>
    <s v="Europe"/>
    <x v="6"/>
    <s v="Munich"/>
    <s v="Corporate"/>
    <s v="Direct"/>
    <s v="B. Chen"/>
    <x v="6"/>
    <s v="ACC-1731"/>
    <n v="553.61"/>
    <s v="High"/>
    <n v="699.47"/>
    <n v="0.02"/>
    <n v="33"/>
    <n v="31378.531800000001"/>
    <n v="18269.13"/>
    <n v="13109.4018"/>
    <n v="0.41778251078018885"/>
  </r>
  <r>
    <x v="479"/>
    <d v="2024-01-02T00:00:00"/>
    <d v="2024-01-15T00:00:00"/>
    <x v="19"/>
    <s v="Jan-2024"/>
    <s v="Q1-2024"/>
    <s v="Asia"/>
    <x v="2"/>
    <s v="Nagoya"/>
    <s v="Small Business"/>
    <s v="Marketplace"/>
    <s v="G. Dubois"/>
    <x v="2"/>
    <s v="NET-1893"/>
    <n v="1219.06"/>
    <s v="High"/>
    <n v="2738.69"/>
    <n v="7.5999999999999998E-2"/>
    <n v="16"/>
    <n v="24019.121280000003"/>
    <n v="19504.96"/>
    <n v="4514.1612800000039"/>
    <n v="0.18794031752355611"/>
  </r>
  <r>
    <x v="480"/>
    <d v="2024-09-03T00:00:00"/>
    <d v="2024-09-07T00:00:00"/>
    <x v="3"/>
    <s v="Sept-2024"/>
    <s v="Q3-2024"/>
    <s v="Asia"/>
    <x v="2"/>
    <s v="Tokyo"/>
    <s v="Small Business"/>
    <s v="Distributor"/>
    <s v="N. Brown"/>
    <x v="1"/>
    <s v="PRN-3917"/>
    <n v="43.23"/>
    <s v="Medium"/>
    <n v="94.78"/>
    <n v="9.0999999999999998E-2"/>
    <n v="55"/>
    <n v="130292.46945000002"/>
    <n v="2377.6499999999996"/>
    <n v="127914.81945000002"/>
    <n v="0.98175143958790023"/>
  </r>
  <r>
    <x v="481"/>
    <d v="2025-08-30T00:00:00"/>
    <d v="2025-09-03T00:00:00"/>
    <x v="3"/>
    <s v="Aug-2025"/>
    <s v="Q3-2025"/>
    <s v="Europe"/>
    <x v="7"/>
    <s v="Marseille"/>
    <s v="Small Business"/>
    <s v="Marketplace"/>
    <s v="J. Njeri"/>
    <x v="4"/>
    <s v="LAP-3220"/>
    <n v="1286.56"/>
    <s v="High"/>
    <n v="2777.35"/>
    <n v="0.13200000000000001"/>
    <n v="15"/>
    <n v="5660.0544"/>
    <n v="19298.399999999998"/>
    <n v="-13638.345599999997"/>
    <n v="-2.4095785369130014"/>
  </r>
  <r>
    <x v="482"/>
    <d v="2025-04-28T00:00:00"/>
    <d v="2025-05-19T00:00:00"/>
    <x v="28"/>
    <s v="Apr-2025"/>
    <s v="Q2-2025"/>
    <s v="Europe"/>
    <x v="6"/>
    <s v="Berlin"/>
    <s v="Corporate"/>
    <s v="Distributor"/>
    <s v="B. Chen"/>
    <x v="3"/>
    <s v="PHN-2462"/>
    <n v="350.76"/>
    <s v="High"/>
    <n v="492.18"/>
    <n v="5.2999999999999999E-2"/>
    <n v="11"/>
    <n v="19379.89097"/>
    <n v="3858.3599999999997"/>
    <n v="15521.53097"/>
    <n v="0.80090909665215726"/>
  </r>
  <r>
    <x v="483"/>
    <d v="2023-08-10T00:00:00"/>
    <d v="2023-08-15T00:00:00"/>
    <x v="16"/>
    <s v="Aug-2023"/>
    <s v="Q3-2023"/>
    <s v="Americas"/>
    <x v="5"/>
    <s v="São Paulo"/>
    <s v="Education"/>
    <s v="Direct"/>
    <s v="G. Dubois"/>
    <x v="2"/>
    <s v="NET-2894"/>
    <n v="1307.52"/>
    <s v="High"/>
    <n v="1921.65"/>
    <n v="0.123"/>
    <n v="13"/>
    <n v="9504.8996900000002"/>
    <n v="16997.759999999998"/>
    <n v="-7492.8603099999982"/>
    <n v="-0.78831555875157244"/>
  </r>
  <r>
    <x v="484"/>
    <d v="2024-12-08T00:00:00"/>
    <d v="2024-12-08T00:00:00"/>
    <x v="18"/>
    <s v="Dec-2024"/>
    <s v="Q4-2024"/>
    <s v="Europe"/>
    <x v="7"/>
    <s v="Lyon"/>
    <s v="Enterprise"/>
    <s v="Retail"/>
    <s v="H. Kim"/>
    <x v="0"/>
    <s v="CMP-2335"/>
    <n v="257.44"/>
    <s v="High"/>
    <n v="290.33"/>
    <n v="9.1999999999999998E-2"/>
    <n v="23"/>
    <n v="6964.3963200000007"/>
    <n v="5921.12"/>
    <n v="1043.2763200000009"/>
    <n v="0.14980140015926044"/>
  </r>
  <r>
    <x v="485"/>
    <d v="2023-10-25T00:00:00"/>
    <d v="2023-11-24T00:00:00"/>
    <x v="26"/>
    <s v="Oct-2023"/>
    <s v="Q4-2023"/>
    <s v="Europe"/>
    <x v="7"/>
    <s v="Paris"/>
    <s v="Enterprise"/>
    <s v="Distributor"/>
    <s v="C. Otieno"/>
    <x v="3"/>
    <s v="PHN-5938"/>
    <n v="287.85000000000002"/>
    <s v="High"/>
    <n v="602.91999999999996"/>
    <n v="0.222"/>
    <n v="11"/>
    <n v="15273.462600000001"/>
    <n v="3166.3500000000004"/>
    <n v="12107.1126"/>
    <n v="0.79268944554851628"/>
  </r>
  <r>
    <x v="486"/>
    <d v="2024-11-17T00:00:00"/>
    <d v="2024-11-28T00:00:00"/>
    <x v="23"/>
    <s v="Nov-2024"/>
    <s v="Q4-2024"/>
    <s v="Americas"/>
    <x v="3"/>
    <s v="Not Provided"/>
    <s v="Consumer"/>
    <s v="Distributor"/>
    <s v="A. Patel"/>
    <x v="1"/>
    <s v="PRN-1371"/>
    <n v="1008.16"/>
    <s v="High"/>
    <n v="2077.5"/>
    <n v="7.3999999999999996E-2"/>
    <n v="15"/>
    <n v="14894.108099999999"/>
    <n v="15122.4"/>
    <n v="-228.29190000000017"/>
    <n v="-1.5327665038230801E-2"/>
  </r>
  <r>
    <x v="487"/>
    <d v="2024-05-12T00:00:00"/>
    <d v="2024-05-24T00:00:00"/>
    <x v="8"/>
    <s v="May-2024"/>
    <s v="Q2-2024"/>
    <s v="Europe"/>
    <x v="8"/>
    <s v="Manchester"/>
    <s v="Education"/>
    <s v="Marketplace"/>
    <s v="K. Singh"/>
    <x v="1"/>
    <s v="PRN-5813"/>
    <n v="111.02"/>
    <s v="Medium"/>
    <n v="172.88"/>
    <n v="0.19700000000000001"/>
    <n v="29"/>
    <n v="70514.200349999999"/>
    <n v="3219.58"/>
    <n v="67294.620349999997"/>
    <n v="0.95434139529315387"/>
  </r>
  <r>
    <x v="488"/>
    <d v="2025-05-15T00:00:00"/>
    <d v="2025-06-05T00:00:00"/>
    <x v="28"/>
    <s v="May-2025"/>
    <s v="Q2-2025"/>
    <s v="Asia"/>
    <x v="2"/>
    <s v="Osaka"/>
    <s v="Enterprise"/>
    <s v="Direct"/>
    <s v="H. Kim"/>
    <x v="3"/>
    <s v="PHN-6480"/>
    <n v="1466.5"/>
    <s v="High"/>
    <n v="2778.74"/>
    <n v="0.13500000000000001"/>
    <n v="4"/>
    <n v="3415.8503999999998"/>
    <n v="5866"/>
    <n v="-2450.1496000000002"/>
    <n v="-0.71728832152602473"/>
  </r>
  <r>
    <x v="489"/>
    <d v="2024-04-21T00:00:00"/>
    <d v="2024-05-19T00:00:00"/>
    <x v="27"/>
    <s v="Apr-2024"/>
    <s v="Q2-2024"/>
    <s v="Africa"/>
    <x v="1"/>
    <s v="Lagos"/>
    <s v="Corporate"/>
    <s v="Distributor"/>
    <s v="A. Patel"/>
    <x v="6"/>
    <s v="ACC-2990"/>
    <n v="187.22"/>
    <s v="High"/>
    <n v="309.47000000000003"/>
    <n v="0"/>
    <n v="5"/>
    <n v="4877.1499999999996"/>
    <n v="936.1"/>
    <n v="3941.0499999999997"/>
    <n v="0.8080641358170243"/>
  </r>
  <r>
    <x v="490"/>
    <d v="2024-08-19T00:00:00"/>
    <d v="2024-09-07T00:00:00"/>
    <x v="7"/>
    <s v="Aug-2024"/>
    <s v="Q3-2024"/>
    <s v="Europe"/>
    <x v="7"/>
    <s v="Lyon"/>
    <s v="Corporate"/>
    <s v="Direct"/>
    <s v="J. Njeri"/>
    <x v="0"/>
    <s v="CMP-5435"/>
    <n v="297.58999999999997"/>
    <s v="High"/>
    <n v="666.41"/>
    <n v="0"/>
    <n v="10"/>
    <n v="1414.3000000000002"/>
    <n v="2975.8999999999996"/>
    <n v="-1561.5999999999995"/>
    <n v="-1.1041504631266346"/>
  </r>
  <r>
    <x v="491"/>
    <d v="2025-07-23T00:00:00"/>
    <d v="2025-08-19T00:00:00"/>
    <x v="29"/>
    <s v="Jul-2025"/>
    <s v="Q3-2025"/>
    <s v="Asia"/>
    <x v="2"/>
    <s v="Nagoya"/>
    <s v="Consumer"/>
    <s v="Marketplace"/>
    <s v="B. Chen"/>
    <x v="6"/>
    <s v="ACC-1596"/>
    <n v="896.09"/>
    <s v="High"/>
    <n v="744.27"/>
    <n v="8.3000000000000004E-2"/>
    <n v="11"/>
    <n v="16395.611540000002"/>
    <n v="9856.99"/>
    <n v="6538.6215400000019"/>
    <n v="0.3988031507118765"/>
  </r>
  <r>
    <x v="492"/>
    <d v="2024-03-01T00:00:00"/>
    <d v="2024-02-29T00:00:00"/>
    <x v="1"/>
    <s v="Mar-2024"/>
    <s v="Q1-2024"/>
    <s v="Americas"/>
    <x v="5"/>
    <s v="São Paulo"/>
    <s v="Non-Profit"/>
    <s v="Direct"/>
    <s v="I. Johnson"/>
    <x v="3"/>
    <s v="PHN-7852"/>
    <n v="5.34"/>
    <s v="Low"/>
    <n v="12.69"/>
    <n v="0.13200000000000001"/>
    <n v="10"/>
    <n v="2603.4792000000002"/>
    <n v="53.4"/>
    <n v="2550.0792000000001"/>
    <n v="0.97948898535467455"/>
  </r>
  <r>
    <x v="493"/>
    <d v="2024-05-27T00:00:00"/>
    <d v="2024-06-17T00:00:00"/>
    <x v="28"/>
    <s v="May-2024"/>
    <s v="Q2-2024"/>
    <s v="Asia"/>
    <x v="4"/>
    <s v="Delhi"/>
    <s v="Small Business"/>
    <s v="Online"/>
    <s v="H. Kim"/>
    <x v="6"/>
    <s v="ACC-7240"/>
    <n v="465.02"/>
    <s v="High"/>
    <n v="651.55999999999995"/>
    <n v="4.2000000000000003E-2"/>
    <n v="19"/>
    <n v="27375.07992"/>
    <n v="8835.3799999999992"/>
    <n v="18539.699919999999"/>
    <n v="0.67724733495499501"/>
  </r>
  <r>
    <x v="494"/>
    <d v="2024-08-04T00:00:00"/>
    <d v="2024-08-17T00:00:00"/>
    <x v="19"/>
    <s v="Aug-2024"/>
    <s v="Q3-2024"/>
    <s v="Americas"/>
    <x v="10"/>
    <s v="Austin"/>
    <s v="Consumer"/>
    <s v="Retail"/>
    <s v="D. Smith"/>
    <x v="5"/>
    <s v="MON-8867"/>
    <n v="352.79"/>
    <s v="High"/>
    <n v="754.22"/>
    <n v="0.113"/>
    <n v="7"/>
    <n v="19254.791990000002"/>
    <n v="2469.5300000000002"/>
    <n v="16785.261990000003"/>
    <n v="0.87174465445887173"/>
  </r>
  <r>
    <x v="495"/>
    <d v="2023-06-20T00:00:00"/>
    <d v="2023-07-04T00:00:00"/>
    <x v="17"/>
    <s v="Jun-2023"/>
    <s v="Q2-2023"/>
    <s v="Americas"/>
    <x v="5"/>
    <s v="Brasília"/>
    <s v="Non-Profit"/>
    <s v="Direct"/>
    <s v="C. Otieno"/>
    <x v="2"/>
    <s v="NET-1228"/>
    <n v="1292.8599999999999"/>
    <s v="High"/>
    <n v="2981.01"/>
    <n v="0.14199999999999999"/>
    <n v="12"/>
    <n v="10084.108319999999"/>
    <n v="15514.32"/>
    <n v="-5430.2116800000003"/>
    <n v="-0.5384920022358507"/>
  </r>
  <r>
    <x v="496"/>
    <d v="2024-09-09T00:00:00"/>
    <d v="2024-09-13T00:00:00"/>
    <x v="3"/>
    <s v="Sept-2024"/>
    <s v="Q3-2024"/>
    <s v="Europe"/>
    <x v="8"/>
    <s v="London"/>
    <s v="Consumer"/>
    <s v="Marketplace"/>
    <s v="F. Müller"/>
    <x v="2"/>
    <s v="NET-1145"/>
    <n v="1133.08"/>
    <s v="High"/>
    <n v="976.17"/>
    <n v="4.2000000000000003E-2"/>
    <n v="27"/>
    <n v="30683.801159999999"/>
    <n v="30593.159999999996"/>
    <n v="90.641160000002856"/>
    <n v="2.9540394792469337E-3"/>
  </r>
  <r>
    <x v="497"/>
    <d v="2023-10-25T00:00:00"/>
    <d v="2023-10-28T00:00:00"/>
    <x v="4"/>
    <s v="Oct-2023"/>
    <s v="Q4-2023"/>
    <s v="Americas"/>
    <x v="5"/>
    <s v="Brasília"/>
    <s v="Corporate"/>
    <s v="Distributor"/>
    <s v="L. Okafor"/>
    <x v="6"/>
    <s v="ACC-2867"/>
    <n v="509.31"/>
    <s v="High"/>
    <n v="1145.9000000000001"/>
    <n v="5.7000000000000002E-2"/>
    <n v="8"/>
    <n v="14622.761519999998"/>
    <n v="4074.48"/>
    <n v="10548.281519999999"/>
    <n v="0.7213604287789821"/>
  </r>
  <r>
    <x v="498"/>
    <d v="2025-09-08T00:00:00"/>
    <d v="2025-10-05T00:00:00"/>
    <x v="29"/>
    <s v="Sept-2025"/>
    <s v="Q3-2025"/>
    <s v="Americas"/>
    <x v="5"/>
    <s v="Rio de Janeiro"/>
    <s v="Education"/>
    <s v="Online"/>
    <s v="C. Otieno"/>
    <x v="5"/>
    <s v="MON-9274"/>
    <n v="660.78"/>
    <s v="High"/>
    <n v="1630.39"/>
    <n v="0.218"/>
    <n v="13"/>
    <n v="8401.8940200000015"/>
    <n v="8590.14"/>
    <n v="-188.24597999999787"/>
    <n v="-2.2405183825443903E-2"/>
  </r>
  <r>
    <x v="499"/>
    <d v="2023-05-02T00:00:00"/>
    <d v="2023-05-16T00:00:00"/>
    <x v="17"/>
    <s v="May-2023"/>
    <s v="Q2-2023"/>
    <s v="Asia"/>
    <x v="4"/>
    <s v="Bengaluru"/>
    <s v="Non-Profit"/>
    <s v="Retail"/>
    <s v="L. Okafor"/>
    <x v="5"/>
    <s v="MON-4830"/>
    <n v="475.37"/>
    <s v="High"/>
    <n v="963.73"/>
    <n v="4.1000000000000002E-2"/>
    <n v="22"/>
    <n v="2493.1506600000002"/>
    <n v="10458.14"/>
    <n v="-7964.9893399999992"/>
    <n v="-3.194748503485946"/>
  </r>
  <r>
    <x v="500"/>
    <d v="2024-04-26T00:00:00"/>
    <d v="2024-04-24T00:00:00"/>
    <x v="6"/>
    <s v="Apr-2024"/>
    <s v="Q2-2024"/>
    <s v="Europe"/>
    <x v="8"/>
    <s v="London"/>
    <s v="Non-Profit"/>
    <s v="Distributor"/>
    <s v="N. Brown"/>
    <x v="3"/>
    <s v="PHN-9107"/>
    <n v="1232.77"/>
    <s v="High"/>
    <n v="891.73"/>
    <n v="0.16700000000000001"/>
    <n v="10"/>
    <n v="11877.497099999999"/>
    <n v="12327.7"/>
    <n v="-450.20290000000205"/>
    <n v="-3.7903852655960836E-2"/>
  </r>
  <r>
    <x v="501"/>
    <d v="2023-02-23T00:00:00"/>
    <d v="2023-03-18T00:00:00"/>
    <x v="21"/>
    <s v="Feb-2023"/>
    <s v="Q1-2023"/>
    <s v="Asia"/>
    <x v="9"/>
    <s v="Beijing"/>
    <s v="Education"/>
    <s v="Distributor"/>
    <s v="K. Singh"/>
    <x v="1"/>
    <s v="PRN-1060"/>
    <n v="770.11"/>
    <s v="High"/>
    <n v="1667.82"/>
    <n v="6.9000000000000006E-2"/>
    <n v="7"/>
    <n v="10393.181259999999"/>
    <n v="5390.77"/>
    <n v="5002.4112599999989"/>
    <n v="0.48131665703288229"/>
  </r>
  <r>
    <x v="502"/>
    <d v="2025-03-24T00:00:00"/>
    <d v="2025-03-25T00:00:00"/>
    <x v="1"/>
    <s v="Mar-2025"/>
    <s v="Q1-2025"/>
    <s v="Asia"/>
    <x v="9"/>
    <s v="Beijing"/>
    <s v="Non-Profit"/>
    <s v="Online"/>
    <s v="G. Dubois"/>
    <x v="2"/>
    <s v="NET-8329"/>
    <n v="1133.03"/>
    <s v="High"/>
    <n v="1921.51"/>
    <n v="0.10100000000000001"/>
    <n v="5"/>
    <n v="15022.784449999999"/>
    <n v="5665.15"/>
    <n v="9357.6344499999996"/>
    <n v="0.62289614026912299"/>
  </r>
  <r>
    <x v="503"/>
    <d v="2025-03-10T00:00:00"/>
    <d v="2025-03-27T00:00:00"/>
    <x v="14"/>
    <s v="Mar-2025"/>
    <s v="Q1-2025"/>
    <s v="Americas"/>
    <x v="5"/>
    <s v="Rio de Janeiro"/>
    <s v="Enterprise"/>
    <s v="Direct"/>
    <s v="F. Müller"/>
    <x v="2"/>
    <s v="NET-6269"/>
    <n v="996.73"/>
    <s v="High"/>
    <n v="1217.43"/>
    <n v="7.0000000000000007E-2"/>
    <n v="9"/>
    <n v="8953.9748999999993"/>
    <n v="8970.57"/>
    <n v="-16.595100000000457"/>
    <n v="-1.8533779897015859E-3"/>
  </r>
  <r>
    <x v="504"/>
    <d v="2024-04-05T00:00:00"/>
    <d v="2024-04-09T00:00:00"/>
    <x v="3"/>
    <s v="Apr-2024"/>
    <s v="Q2-2024"/>
    <s v="Africa"/>
    <x v="1"/>
    <s v="Lagos"/>
    <s v="Non-Profit"/>
    <s v="Direct"/>
    <s v="K. Singh"/>
    <x v="0"/>
    <s v="CMP-6529"/>
    <n v="395.07"/>
    <s v="High"/>
    <n v="970.27"/>
    <n v="0.123"/>
    <n v="38"/>
    <n v="4692.9673199999997"/>
    <n v="15012.66"/>
    <n v="-10319.69268"/>
    <n v="-2.1989696446469185"/>
  </r>
  <r>
    <x v="505"/>
    <d v="2025-04-27T00:00:00"/>
    <d v="2025-05-17T00:00:00"/>
    <x v="9"/>
    <s v="Apr-2025"/>
    <s v="Q2-2025"/>
    <s v="Americas"/>
    <x v="10"/>
    <s v="Austin"/>
    <s v="Corporate"/>
    <s v="Direct"/>
    <s v="N. Brown"/>
    <x v="3"/>
    <s v="PHN-8776"/>
    <n v="932.26"/>
    <s v="High"/>
    <n v="1624.67"/>
    <n v="0.23499999999999999"/>
    <n v="28"/>
    <n v="1435.9968000000001"/>
    <n v="26103.279999999999"/>
    <n v="-24667.283199999998"/>
    <n v="-17.177812095402995"/>
  </r>
  <r>
    <x v="506"/>
    <d v="2024-10-24T00:00:00"/>
    <d v="2024-10-28T00:00:00"/>
    <x v="3"/>
    <s v="Oct-2024"/>
    <s v="Q4-2024"/>
    <s v="Asia"/>
    <x v="9"/>
    <s v="Shanghai"/>
    <s v="Small Business"/>
    <s v="Distributor"/>
    <s v="I. Johnson"/>
    <x v="2"/>
    <s v="NET-3728"/>
    <n v="1331.77"/>
    <s v="High"/>
    <n v="2606.11"/>
    <n v="0.02"/>
    <n v="6"/>
    <n v="7506.8196000000007"/>
    <n v="7990.62"/>
    <n v="-483.80039999999917"/>
    <n v="-6.444811861470591E-2"/>
  </r>
  <r>
    <x v="507"/>
    <d v="2023-04-13T00:00:00"/>
    <d v="2023-04-20T00:00:00"/>
    <x v="20"/>
    <s v="Apr-2023"/>
    <s v="Q2-2023"/>
    <s v="Europe"/>
    <x v="7"/>
    <s v="Lyon"/>
    <s v="Small Business"/>
    <s v="Online"/>
    <s v="A. Patel"/>
    <x v="4"/>
    <s v="LAP-3565"/>
    <n v="227.02"/>
    <s v="High"/>
    <n v="434.72"/>
    <n v="9.8000000000000004E-2"/>
    <n v="10"/>
    <n v="25448.667200000004"/>
    <n v="2270.2000000000003"/>
    <n v="23178.467200000003"/>
    <n v="0.91079297072186161"/>
  </r>
  <r>
    <x v="508"/>
    <d v="2024-11-12T00:00:00"/>
    <d v="2024-11-21T00:00:00"/>
    <x v="25"/>
    <s v="Nov-2024"/>
    <s v="Q4-2024"/>
    <s v="Asia"/>
    <x v="4"/>
    <s v="Mumbai"/>
    <s v="Corporate"/>
    <s v="Direct"/>
    <s v="H. Kim"/>
    <x v="4"/>
    <s v="LAP-5078"/>
    <n v="903.41"/>
    <s v="High"/>
    <n v="1860.41"/>
    <n v="0.108"/>
    <n v="5"/>
    <n v="6953.9874000000009"/>
    <n v="4517.05"/>
    <n v="2436.9374000000007"/>
    <n v="0.35043741954436103"/>
  </r>
  <r>
    <x v="509"/>
    <d v="2023-05-10T00:00:00"/>
    <d v="2023-05-14T00:00:00"/>
    <x v="3"/>
    <s v="May-2023"/>
    <s v="Q2-2023"/>
    <s v="Asia"/>
    <x v="4"/>
    <s v="Delhi"/>
    <s v="Non-Profit"/>
    <s v="Distributor"/>
    <s v="C. Otieno"/>
    <x v="5"/>
    <s v="MON-2465"/>
    <n v="622.6"/>
    <s v="High"/>
    <n v="833.69"/>
    <n v="0.20899999999999999"/>
    <n v="14"/>
    <n v="7271.8528400000005"/>
    <n v="8716.4"/>
    <n v="-1444.5471599999992"/>
    <n v="-0.19864911897749557"/>
  </r>
  <r>
    <x v="510"/>
    <d v="2024-03-02T00:00:00"/>
    <d v="2024-03-23T00:00:00"/>
    <x v="28"/>
    <s v="Mar-2024"/>
    <s v="Q1-2024"/>
    <s v="Americas"/>
    <x v="10"/>
    <s v="Chicago"/>
    <s v="Small Business"/>
    <s v="Online"/>
    <s v="F. Müller"/>
    <x v="0"/>
    <s v="CMP-3223"/>
    <n v="225.01"/>
    <s v="High"/>
    <n v="333.48"/>
    <n v="0.11899999999999999"/>
    <n v="12"/>
    <n v="28098.68448"/>
    <n v="2700.12"/>
    <n v="25398.564480000001"/>
    <n v="0.90390582157246957"/>
  </r>
  <r>
    <x v="511"/>
    <d v="2024-10-10T00:00:00"/>
    <d v="2024-10-11T00:00:00"/>
    <x v="1"/>
    <s v="Oct-2024"/>
    <s v="Q4-2024"/>
    <s v="Europe"/>
    <x v="8"/>
    <s v="Manchester"/>
    <s v="Non-Profit"/>
    <s v="Distributor"/>
    <s v="L. Okafor"/>
    <x v="0"/>
    <s v="CMP-8127"/>
    <n v="1389.46"/>
    <s v="High"/>
    <n v="1784.7"/>
    <n v="0.14599999999999999"/>
    <n v="33"/>
    <n v="40152.022679999995"/>
    <n v="45852.18"/>
    <n v="-5700.1573200000057"/>
    <n v="-0.14196438783242904"/>
  </r>
  <r>
    <x v="512"/>
    <d v="2023-06-01T00:00:00"/>
    <d v="2023-06-08T00:00:00"/>
    <x v="20"/>
    <s v="Jun-2023"/>
    <s v="Q2-2023"/>
    <s v="Europe"/>
    <x v="6"/>
    <s v="Frankfurt"/>
    <s v="Consumer"/>
    <s v="Online"/>
    <s v="A. Patel"/>
    <x v="3"/>
    <s v="PHN-1924"/>
    <n v="804.17"/>
    <s v="High"/>
    <n v="1072.29"/>
    <n v="3.2000000000000001E-2"/>
    <n v="5"/>
    <n v="11222.701599999999"/>
    <n v="4020.85"/>
    <n v="7201.8515999999981"/>
    <n v="0.64172174015568584"/>
  </r>
  <r>
    <x v="513"/>
    <d v="2025-01-04T00:00:00"/>
    <d v="2025-01-05T00:00:00"/>
    <x v="1"/>
    <s v="Jan-2025"/>
    <s v="Q1-2025"/>
    <s v="Asia"/>
    <x v="4"/>
    <s v="Delhi"/>
    <s v="Education"/>
    <s v="Retail"/>
    <s v="I. Johnson"/>
    <x v="0"/>
    <s v="CMP-1156"/>
    <n v="1428.33"/>
    <s v="High"/>
    <n v="3028.05"/>
    <n v="0"/>
    <n v="11"/>
    <n v="4033.7"/>
    <n v="15711.63"/>
    <n v="-11677.93"/>
    <n v="-2.8950913553313335"/>
  </r>
  <r>
    <x v="514"/>
    <d v="2025-08-05T00:00:00"/>
    <d v="2025-08-28T00:00:00"/>
    <x v="21"/>
    <s v="Aug-2025"/>
    <s v="Q3-2025"/>
    <s v="Asia"/>
    <x v="4"/>
    <s v="Mumbai"/>
    <s v="Non-Profit"/>
    <s v="Distributor"/>
    <s v="N. Brown"/>
    <x v="4"/>
    <s v="LAP-3905"/>
    <n v="638.54"/>
    <s v="High"/>
    <n v="987.24"/>
    <n v="0"/>
    <n v="11"/>
    <n v="30771.51"/>
    <n v="7023.94"/>
    <n v="23747.57"/>
    <n v="0.77173885844406076"/>
  </r>
  <r>
    <x v="515"/>
    <d v="2023-09-30T00:00:00"/>
    <d v="2023-10-30T00:00:00"/>
    <x v="18"/>
    <s v="Sept-2023"/>
    <s v="Q3-2023"/>
    <s v="Asia"/>
    <x v="2"/>
    <s v="Tokyo"/>
    <s v="Enterprise"/>
    <s v="Online"/>
    <s v="D. Smith"/>
    <x v="1"/>
    <s v="PRN-1786"/>
    <n v="649.13"/>
    <s v="High"/>
    <n v="975.43"/>
    <n v="0.157"/>
    <n v="27"/>
    <n v="50294.07125999999"/>
    <n v="17526.509999999998"/>
    <n v="32767.561259999991"/>
    <n v="0.65151936280133227"/>
  </r>
  <r>
    <x v="516"/>
    <d v="2025-05-17T00:00:00"/>
    <d v="2025-05-30T00:00:00"/>
    <x v="19"/>
    <s v="May-2025"/>
    <s v="Q2-2025"/>
    <s v="Africa"/>
    <x v="1"/>
    <s v="Lagos"/>
    <s v="Consumer"/>
    <s v="Distributor"/>
    <s v="F. Müller"/>
    <x v="6"/>
    <s v="ACC-3349"/>
    <n v="66.400000000000006"/>
    <s v="Medium"/>
    <n v="141.43"/>
    <n v="0.107"/>
    <n v="8"/>
    <n v="5994.1017599999996"/>
    <n v="531.20000000000005"/>
    <n v="5462.9017599999997"/>
    <n v="0.91137954921873066"/>
  </r>
  <r>
    <x v="517"/>
    <d v="2024-05-01T00:00:00"/>
    <d v="2024-05-26T00:00:00"/>
    <x v="2"/>
    <s v="May-2024"/>
    <s v="Q2-2024"/>
    <s v="Europe"/>
    <x v="6"/>
    <s v="Berlin"/>
    <s v="Non-Profit"/>
    <s v="Retail"/>
    <s v="B. Chen"/>
    <x v="2"/>
    <s v="NET-4228"/>
    <n v="930.71"/>
    <s v="High"/>
    <n v="1625.42"/>
    <n v="0.13800000000000001"/>
    <n v="7"/>
    <n v="6873.6311000000005"/>
    <n v="6514.97"/>
    <n v="358.66110000000026"/>
    <n v="5.2179276830844216E-2"/>
  </r>
  <r>
    <x v="518"/>
    <d v="2023-05-01T00:00:00"/>
    <d v="2023-05-18T00:00:00"/>
    <x v="14"/>
    <s v="May-2023"/>
    <s v="Q2-2023"/>
    <s v="Africa"/>
    <x v="1"/>
    <s v="Port Harcourt"/>
    <s v="Corporate"/>
    <s v="Direct"/>
    <s v="F. Müller"/>
    <x v="0"/>
    <s v="CMP-5633"/>
    <n v="327.97"/>
    <s v="High"/>
    <n v="299.94"/>
    <n v="4.9000000000000002E-2"/>
    <n v="3"/>
    <n v="4884.4215899999999"/>
    <n v="983.91000000000008"/>
    <n v="3900.5115900000001"/>
    <n v="0.79856161433435968"/>
  </r>
  <r>
    <x v="519"/>
    <d v="2024-07-09T00:00:00"/>
    <d v="2024-08-08T00:00:00"/>
    <x v="26"/>
    <s v="Jul-2024"/>
    <s v="Q3-2024"/>
    <s v="Europe"/>
    <x v="7"/>
    <s v="Marseille"/>
    <s v="Corporate"/>
    <s v="Direct"/>
    <s v="J. Njeri"/>
    <x v="0"/>
    <s v="CMP-5825"/>
    <n v="1062.3800000000001"/>
    <s v="High"/>
    <n v="1503.96"/>
    <n v="0.18"/>
    <n v="6"/>
    <n v="5187.1068000000005"/>
    <n v="6374.2800000000007"/>
    <n v="-1187.1732000000002"/>
    <n v="-0.22887001285572142"/>
  </r>
  <r>
    <x v="520"/>
    <d v="2023-05-10T00:00:00"/>
    <d v="2023-05-27T00:00:00"/>
    <x v="14"/>
    <s v="May-2023"/>
    <s v="Q2-2023"/>
    <s v="Asia"/>
    <x v="4"/>
    <s v="Mumbai"/>
    <s v="Consumer"/>
    <s v="Retail"/>
    <s v="M. Rossi"/>
    <x v="4"/>
    <s v="LAP-6499"/>
    <n v="1286.1600000000001"/>
    <s v="High"/>
    <n v="3101.11"/>
    <n v="0.1"/>
    <n v="23"/>
    <n v="50740.254000000001"/>
    <n v="29581.68"/>
    <n v="21158.574000000001"/>
    <n v="0.41699779429562966"/>
  </r>
  <r>
    <x v="521"/>
    <d v="2024-07-09T00:00:00"/>
    <d v="2024-07-12T00:00:00"/>
    <x v="4"/>
    <s v="Jul-2024"/>
    <s v="Q3-2024"/>
    <s v="Asia"/>
    <x v="9"/>
    <s v="Shanghai"/>
    <s v="Small Business"/>
    <s v="Retail"/>
    <s v="D. Smith"/>
    <x v="6"/>
    <s v="ACC-3721"/>
    <n v="748.39"/>
    <s v="High"/>
    <n v="979.42"/>
    <n v="0"/>
    <n v="23"/>
    <n v="28777.83"/>
    <n v="17212.97"/>
    <n v="11564.86"/>
    <n v="0.401866992751017"/>
  </r>
  <r>
    <x v="522"/>
    <d v="2024-04-24T00:00:00"/>
    <d v="2024-05-10T00:00:00"/>
    <x v="13"/>
    <s v="Apr-2024"/>
    <s v="Q2-2024"/>
    <s v="Africa"/>
    <x v="0"/>
    <s v="Kisumu"/>
    <s v="Non-Profit"/>
    <s v="Online"/>
    <s v="N. Brown"/>
    <x v="5"/>
    <s v="MON-6190"/>
    <n v="513.30999999999995"/>
    <s v="High"/>
    <n v="1186.26"/>
    <n v="9.4E-2"/>
    <n v="15"/>
    <n v="15014.232"/>
    <n v="7699.65"/>
    <n v="7314.5820000000003"/>
    <n v="0.48717656687335059"/>
  </r>
  <r>
    <x v="523"/>
    <d v="2024-01-13T00:00:00"/>
    <d v="2024-01-15T00:00:00"/>
    <x v="6"/>
    <s v="Jan-2024"/>
    <s v="Q1-2024"/>
    <s v="Americas"/>
    <x v="10"/>
    <s v="San Francisco"/>
    <s v="Non-Profit"/>
    <s v="Direct"/>
    <s v="E. Garcia"/>
    <x v="0"/>
    <s v="CMP-2410"/>
    <n v="1061.3699999999999"/>
    <s v="High"/>
    <n v="1938.33"/>
    <n v="0.17"/>
    <n v="4"/>
    <n v="7912.9211999999989"/>
    <n v="4245.4799999999996"/>
    <n v="3667.4411999999993"/>
    <n v="0.46347500591816837"/>
  </r>
  <r>
    <x v="524"/>
    <d v="2024-04-16T00:00:00"/>
    <d v="2024-04-27T00:00:00"/>
    <x v="23"/>
    <s v="Apr-2024"/>
    <s v="Q2-2024"/>
    <s v="Africa"/>
    <x v="0"/>
    <s v="Nakuru"/>
    <s v="Enterprise"/>
    <s v="Online"/>
    <s v="D. Smith"/>
    <x v="1"/>
    <s v="PRN-2641"/>
    <n v="401.3"/>
    <s v="High"/>
    <n v="826.47"/>
    <n v="0.22500000000000001"/>
    <n v="13"/>
    <n v="2146.5795000000003"/>
    <n v="5216.9000000000005"/>
    <n v="-3070.3205000000003"/>
    <n v="-1.4303316043034977"/>
  </r>
  <r>
    <x v="525"/>
    <d v="2025-02-07T00:00:00"/>
    <d v="2025-02-16T00:00:00"/>
    <x v="25"/>
    <s v="Feb-2025"/>
    <s v="Q1-2025"/>
    <s v="Africa"/>
    <x v="1"/>
    <s v="Lagos"/>
    <s v="Small Business"/>
    <s v="Distributor"/>
    <s v="C. Otieno"/>
    <x v="1"/>
    <s v="PRN-1882"/>
    <n v="90.68"/>
    <s v="Medium"/>
    <n v="118.17"/>
    <n v="0.13500000000000001"/>
    <n v="21"/>
    <n v="36886.575600000004"/>
    <n v="1904.2800000000002"/>
    <n v="34982.295600000005"/>
    <n v="0.94837471440422894"/>
  </r>
  <r>
    <x v="526"/>
    <d v="2023-01-12T00:00:00"/>
    <d v="2023-01-26T00:00:00"/>
    <x v="17"/>
    <s v="Jan-2023"/>
    <s v="Q1-2023"/>
    <s v="Asia"/>
    <x v="9"/>
    <s v="Shenzhen"/>
    <s v="Non-Profit"/>
    <s v="Retail"/>
    <s v="M. Rossi"/>
    <x v="1"/>
    <s v="PRN-1641"/>
    <n v="1083.0899999999999"/>
    <s v="High"/>
    <n v="1425.87"/>
    <n v="0"/>
    <n v="8"/>
    <n v="7653.6"/>
    <n v="8664.7199999999993"/>
    <n v="-1011.119999999999"/>
    <n v="-0.13211037942928805"/>
  </r>
  <r>
    <x v="527"/>
    <d v="2024-06-05T00:00:00"/>
    <d v="2024-06-23T00:00:00"/>
    <x v="5"/>
    <s v="Jun-2024"/>
    <s v="Q2-2024"/>
    <s v="Africa"/>
    <x v="0"/>
    <s v="Nairobi"/>
    <s v="Consumer"/>
    <s v="Distributor"/>
    <s v="D. Smith"/>
    <x v="4"/>
    <s v="LAP-1739"/>
    <n v="1208.74"/>
    <s v="High"/>
    <n v="1594.78"/>
    <n v="5.8999999999999997E-2"/>
    <n v="39"/>
    <n v="53128.40832000001"/>
    <n v="47140.86"/>
    <n v="5987.548320000009"/>
    <n v="0.11269956148387032"/>
  </r>
  <r>
    <x v="528"/>
    <d v="2023-08-24T00:00:00"/>
    <d v="2023-09-20T00:00:00"/>
    <x v="29"/>
    <s v="Aug-2023"/>
    <s v="Q3-2023"/>
    <s v="Africa"/>
    <x v="11"/>
    <s v="Durban"/>
    <s v="Small Business"/>
    <s v="Marketplace"/>
    <s v="M. Rossi"/>
    <x v="1"/>
    <s v="PRN-4732"/>
    <n v="1399.64"/>
    <s v="High"/>
    <n v="3342.11"/>
    <n v="0"/>
    <n v="10"/>
    <n v="29496.199999999997"/>
    <n v="13996.400000000001"/>
    <n v="15499.799999999996"/>
    <n v="0.52548463869922213"/>
  </r>
  <r>
    <x v="529"/>
    <d v="2024-01-25T00:00:00"/>
    <d v="2024-02-08T00:00:00"/>
    <x v="17"/>
    <s v="Jan-2024"/>
    <s v="Q1-2024"/>
    <s v="Asia"/>
    <x v="2"/>
    <s v="Osaka"/>
    <s v="Consumer"/>
    <s v="Marketplace"/>
    <s v="I. Johnson"/>
    <x v="2"/>
    <s v="NET-9569"/>
    <n v="937.16"/>
    <s v="High"/>
    <n v="1069.77"/>
    <n v="3.7999999999999999E-2"/>
    <n v="9"/>
    <n v="22342.575059999999"/>
    <n v="8434.44"/>
    <n v="13908.135059999999"/>
    <n v="0.62249472241450754"/>
  </r>
  <r>
    <x v="530"/>
    <d v="2025-03-11T00:00:00"/>
    <d v="2025-03-26T00:00:00"/>
    <x v="15"/>
    <s v="Mar-2025"/>
    <s v="Q1-2025"/>
    <s v="Europe"/>
    <x v="6"/>
    <s v="Berlin"/>
    <s v="Small Business"/>
    <s v="Online"/>
    <s v="I. Johnson"/>
    <x v="3"/>
    <s v="PHN-3007"/>
    <n v="116.97"/>
    <s v="Medium"/>
    <n v="140.82"/>
    <n v="0.122"/>
    <n v="5"/>
    <n v="8687.4149000000016"/>
    <n v="584.85"/>
    <n v="8102.5649000000012"/>
    <n v="0.93267847723032082"/>
  </r>
  <r>
    <x v="531"/>
    <d v="2025-04-22T00:00:00"/>
    <d v="2025-05-12T00:00:00"/>
    <x v="9"/>
    <s v="Apr-2025"/>
    <s v="Q2-2025"/>
    <s v="Europe"/>
    <x v="7"/>
    <s v="Lyon"/>
    <s v="Enterprise"/>
    <s v="Marketplace"/>
    <s v="K. Singh"/>
    <x v="5"/>
    <s v="MON-9216"/>
    <n v="59.51"/>
    <s v="Medium"/>
    <n v="67.040000000000006"/>
    <n v="0.114"/>
    <n v="9"/>
    <n v="11813.082300000002"/>
    <n v="535.59"/>
    <n v="11277.492300000002"/>
    <n v="0.95466128260191674"/>
  </r>
  <r>
    <x v="532"/>
    <d v="2023-08-17T00:00:00"/>
    <d v="2023-09-03T00:00:00"/>
    <x v="14"/>
    <s v="Aug-2023"/>
    <s v="Q3-2023"/>
    <s v="Africa"/>
    <x v="11"/>
    <s v="Durban"/>
    <s v="Enterprise"/>
    <s v="Retail"/>
    <s v="A. Patel"/>
    <x v="3"/>
    <s v="PHN-8072"/>
    <n v="676.37"/>
    <s v="High"/>
    <n v="1276.67"/>
    <n v="6.6000000000000003E-2"/>
    <n v="10"/>
    <n v="15494.3128"/>
    <n v="6763.7"/>
    <n v="8730.612799999999"/>
    <n v="0.56347208893317291"/>
  </r>
  <r>
    <x v="533"/>
    <d v="2025-06-24T00:00:00"/>
    <d v="2025-07-14T00:00:00"/>
    <x v="9"/>
    <s v="Jun-2025"/>
    <s v="Q2-2025"/>
    <s v="Africa"/>
    <x v="11"/>
    <s v="Johannesburg"/>
    <s v="Enterprise"/>
    <s v="Marketplace"/>
    <s v="J. Njeri"/>
    <x v="4"/>
    <s v="LAP-1308"/>
    <n v="1151.06"/>
    <s v="High"/>
    <n v="2821.36"/>
    <n v="0.248"/>
    <n v="20"/>
    <n v="9059.1936000000005"/>
    <n v="23021.199999999997"/>
    <n v="-13962.006399999997"/>
    <n v="-1.5411974858336173"/>
  </r>
  <r>
    <x v="534"/>
    <d v="2025-01-10T00:00:00"/>
    <d v="2025-02-06T00:00:00"/>
    <x v="29"/>
    <s v="Jan-2025"/>
    <s v="Q1-2025"/>
    <s v="Americas"/>
    <x v="5"/>
    <s v="Brasília"/>
    <s v="Non-Profit"/>
    <s v="Retail"/>
    <s v="B. Chen"/>
    <x v="4"/>
    <s v="LAP-7353"/>
    <n v="725.62"/>
    <s v="High"/>
    <n v="1559.19"/>
    <n v="0.19"/>
    <n v="12"/>
    <n v="5128.6608000000006"/>
    <n v="8707.44"/>
    <n v="-3578.7791999999999"/>
    <n v="-0.69779994028850567"/>
  </r>
  <r>
    <x v="535"/>
    <d v="2023-07-01T00:00:00"/>
    <d v="2023-07-11T00:00:00"/>
    <x v="24"/>
    <s v="Jul-2023"/>
    <s v="Q3-2023"/>
    <s v="Europe"/>
    <x v="7"/>
    <s v="Paris"/>
    <s v="Corporate"/>
    <s v="Direct"/>
    <s v="F. Müller"/>
    <x v="2"/>
    <s v="NET-6533"/>
    <n v="479.5"/>
    <s v="High"/>
    <n v="656.66"/>
    <n v="0.14899999999999999"/>
    <n v="14"/>
    <n v="21944.3966"/>
    <n v="6713"/>
    <n v="15231.3966"/>
    <n v="0.69409047228029042"/>
  </r>
  <r>
    <x v="536"/>
    <d v="2024-08-16T00:00:00"/>
    <d v="2024-08-26T00:00:00"/>
    <x v="24"/>
    <s v="Aug-2024"/>
    <s v="Q3-2024"/>
    <s v="Americas"/>
    <x v="10"/>
    <s v="Chicago"/>
    <s v="Corporate"/>
    <s v="Distributor"/>
    <s v="L. Okafor"/>
    <x v="4"/>
    <s v="LAP-5763"/>
    <n v="1291.7"/>
    <s v="High"/>
    <n v="2657.84"/>
    <n v="8.6999999999999994E-2"/>
    <n v="21"/>
    <n v="31548.788040000003"/>
    <n v="27125.7"/>
    <n v="4423.0880400000024"/>
    <n v="0.14019835038962727"/>
  </r>
  <r>
    <x v="537"/>
    <d v="2023-07-07T00:00:00"/>
    <d v="2023-07-13T00:00:00"/>
    <x v="30"/>
    <s v="Jul-2023"/>
    <s v="Q3-2023"/>
    <s v="Africa"/>
    <x v="11"/>
    <s v="Cape Town"/>
    <s v="Small Business"/>
    <s v="Marketplace"/>
    <s v="B. Chen"/>
    <x v="6"/>
    <s v="ACC-9445"/>
    <n v="612.59"/>
    <s v="High"/>
    <n v="1424.74"/>
    <n v="4.3999999999999997E-2"/>
    <n v="15"/>
    <n v="10428.334800000001"/>
    <n v="9188.85"/>
    <n v="1239.4848000000002"/>
    <n v="0.11885740377265219"/>
  </r>
  <r>
    <x v="538"/>
    <d v="2023-12-28T00:00:00"/>
    <d v="2024-01-01T00:00:00"/>
    <x v="3"/>
    <s v="Dec-2023"/>
    <s v="Q4-2023"/>
    <s v="Africa"/>
    <x v="11"/>
    <s v="Cape Town"/>
    <s v="Education"/>
    <s v="Distributor"/>
    <s v="A. Patel"/>
    <x v="1"/>
    <s v="PRN-1654"/>
    <n v="1141.8"/>
    <s v="High"/>
    <n v="2318.7399999999998"/>
    <n v="0.107"/>
    <n v="32"/>
    <n v="35256.783040000002"/>
    <n v="36537.599999999999"/>
    <n v="-1280.8169599999965"/>
    <n v="-3.6328242385213268E-2"/>
  </r>
  <r>
    <x v="539"/>
    <d v="2023-01-26T00:00:00"/>
    <d v="2023-02-15T00:00:00"/>
    <x v="9"/>
    <s v="Jan-2023"/>
    <s v="Q1-2023"/>
    <s v="Europe"/>
    <x v="6"/>
    <s v="Berlin"/>
    <s v="Small Business"/>
    <s v="Online"/>
    <s v="O. Wang"/>
    <x v="2"/>
    <s v="NET-8787"/>
    <n v="492.62"/>
    <s v="High"/>
    <n v="366.7"/>
    <n v="8.8999999999999996E-2"/>
    <n v="10"/>
    <n v="14063.653600000001"/>
    <n v="4926.2"/>
    <n v="9137.4536000000007"/>
    <n v="0.6497211791393952"/>
  </r>
  <r>
    <x v="540"/>
    <d v="2023-07-08T00:00:00"/>
    <d v="2023-07-09T00:00:00"/>
    <x v="1"/>
    <s v="Jul-2023"/>
    <s v="Q3-2023"/>
    <s v="Africa"/>
    <x v="0"/>
    <s v="Nairobi"/>
    <s v="Consumer"/>
    <s v="Online"/>
    <s v="D. Smith"/>
    <x v="4"/>
    <s v="LAP-1989"/>
    <n v="1258.72"/>
    <s v="High"/>
    <n v="2797.41"/>
    <n v="0"/>
    <n v="7"/>
    <n v="14806.33"/>
    <n v="8811.0400000000009"/>
    <n v="5995.2899999999991"/>
    <n v="0.40491397935882822"/>
  </r>
  <r>
    <x v="541"/>
    <d v="2024-06-07T00:00:00"/>
    <d v="2024-06-09T00:00:00"/>
    <x v="6"/>
    <s v="Jun-2024"/>
    <s v="Q2-2024"/>
    <s v="Asia"/>
    <x v="9"/>
    <s v="Shanghai"/>
    <s v="Corporate"/>
    <s v="Retail"/>
    <s v="O. Wang"/>
    <x v="5"/>
    <s v="MON-8688"/>
    <n v="1370.28"/>
    <s v="High"/>
    <n v="2209.66"/>
    <n v="0.13300000000000001"/>
    <n v="16"/>
    <n v="25485.499680000001"/>
    <n v="21924.48"/>
    <n v="3561.0196800000012"/>
    <n v="0.13972728511164123"/>
  </r>
  <r>
    <x v="542"/>
    <d v="2023-02-11T00:00:00"/>
    <d v="2023-02-12T00:00:00"/>
    <x v="1"/>
    <s v="Feb-2023"/>
    <s v="Q1-2023"/>
    <s v="Africa"/>
    <x v="1"/>
    <s v="Port Harcourt"/>
    <s v="Non-Profit"/>
    <s v="Direct"/>
    <s v="D. Smith"/>
    <x v="6"/>
    <s v="ACC-8242"/>
    <n v="944.61"/>
    <s v="High"/>
    <n v="839.04"/>
    <n v="5.8999999999999997E-2"/>
    <n v="6"/>
    <n v="16141.518779999999"/>
    <n v="5667.66"/>
    <n v="10473.858779999999"/>
    <n v="0.64887690698458544"/>
  </r>
  <r>
    <x v="543"/>
    <d v="2023-07-01T00:00:00"/>
    <d v="2023-07-08T00:00:00"/>
    <x v="20"/>
    <s v="Jul-2023"/>
    <s v="Q3-2023"/>
    <s v="Europe"/>
    <x v="6"/>
    <s v="Frankfurt"/>
    <s v="Small Business"/>
    <s v="Distributor"/>
    <s v="N. Brown"/>
    <x v="4"/>
    <s v="LAP-4666"/>
    <n v="460.21"/>
    <s v="High"/>
    <n v="1139.1500000000001"/>
    <n v="0.115"/>
    <n v="14"/>
    <n v="3592.1088"/>
    <n v="6442.94"/>
    <n v="-2850.8311999999996"/>
    <n v="-0.79363720831618456"/>
  </r>
  <r>
    <x v="544"/>
    <d v="2025-08-20T00:00:00"/>
    <d v="2025-08-26T00:00:00"/>
    <x v="30"/>
    <s v="Aug-2025"/>
    <s v="Q3-2025"/>
    <s v="Americas"/>
    <x v="10"/>
    <s v="New York"/>
    <s v="Corporate"/>
    <s v="Retail"/>
    <s v="M. Rossi"/>
    <x v="2"/>
    <s v="NET-5196"/>
    <n v="1304.95"/>
    <s v="High"/>
    <n v="1712.03"/>
    <n v="0.21199999999999999"/>
    <n v="8"/>
    <n v="6286.3488000000007"/>
    <n v="10439.6"/>
    <n v="-4153.2511999999997"/>
    <n v="-0.66067781666839731"/>
  </r>
  <r>
    <x v="545"/>
    <d v="2024-03-04T00:00:00"/>
    <d v="2024-03-16T00:00:00"/>
    <x v="8"/>
    <s v="Mar-2024"/>
    <s v="Q1-2024"/>
    <s v="Africa"/>
    <x v="11"/>
    <s v="Johannesburg"/>
    <s v="Enterprise"/>
    <s v="Distributor"/>
    <s v="M. Rossi"/>
    <x v="5"/>
    <s v="MON-8422"/>
    <n v="441.08"/>
    <s v="High"/>
    <n v="1054.29"/>
    <n v="0.23699999999999999"/>
    <n v="6"/>
    <n v="216.49362000000002"/>
    <n v="2646.48"/>
    <n v="-2429.9863799999998"/>
    <n v="-11.224286332317782"/>
  </r>
  <r>
    <x v="546"/>
    <d v="2023-09-08T00:00:00"/>
    <d v="2023-10-02T00:00:00"/>
    <x v="10"/>
    <s v="Sept-2023"/>
    <s v="Q3-2023"/>
    <s v="Americas"/>
    <x v="3"/>
    <s v="Toronto"/>
    <s v="Education"/>
    <s v="Direct"/>
    <s v="A. Patel"/>
    <x v="6"/>
    <s v="ACC-3415"/>
    <n v="1299.03"/>
    <s v="High"/>
    <n v="2451.2199999999998"/>
    <n v="0.20799999999999999"/>
    <n v="8"/>
    <n v="4778.8646400000007"/>
    <n v="10392.24"/>
    <n v="-5613.3753599999991"/>
    <n v="-1.1746253101657214"/>
  </r>
  <r>
    <x v="547"/>
    <d v="2023-02-28T00:00:00"/>
    <d v="2023-03-06T00:00:00"/>
    <x v="30"/>
    <s v="Feb-2023"/>
    <s v="Q1-2023"/>
    <s v="Europe"/>
    <x v="6"/>
    <s v="Frankfurt"/>
    <s v="Small Business"/>
    <s v="Marketplace"/>
    <s v="D. Smith"/>
    <x v="1"/>
    <s v="PRN-9624"/>
    <n v="880.02"/>
    <s v="High"/>
    <n v="1251.21"/>
    <n v="0.123"/>
    <n v="29"/>
    <n v="22927.340840000001"/>
    <n v="25520.579999999998"/>
    <n v="-2593.2391599999974"/>
    <n v="-0.1131068438375428"/>
  </r>
  <r>
    <x v="548"/>
    <d v="2024-07-13T00:00:00"/>
    <d v="2024-08-03T00:00:00"/>
    <x v="28"/>
    <s v="Jul-2024"/>
    <s v="Q3-2024"/>
    <s v="Americas"/>
    <x v="5"/>
    <s v="Rio de Janeiro"/>
    <s v="Corporate"/>
    <s v="Marketplace"/>
    <s v="M. Rossi"/>
    <x v="5"/>
    <s v="MON-6287"/>
    <n v="702.98"/>
    <s v="High"/>
    <n v="1104.8"/>
    <n v="0.17499999999999999"/>
    <n v="12"/>
    <n v="1119.492"/>
    <n v="8435.76"/>
    <n v="-7316.268"/>
    <n v="-6.5353463892551265"/>
  </r>
  <r>
    <x v="549"/>
    <d v="2024-12-07T00:00:00"/>
    <d v="2024-12-26T00:00:00"/>
    <x v="7"/>
    <s v="Dec-2024"/>
    <s v="Q4-2024"/>
    <s v="Europe"/>
    <x v="8"/>
    <s v="London"/>
    <s v="Enterprise"/>
    <s v="Online"/>
    <s v="D. Smith"/>
    <x v="2"/>
    <s v="NET-4491"/>
    <n v="1035.24"/>
    <s v="High"/>
    <n v="2383.41"/>
    <n v="0.17"/>
    <n v="15"/>
    <n v="10814.319"/>
    <n v="15528.6"/>
    <n v="-4714.2810000000009"/>
    <n v="-0.43592953009801183"/>
  </r>
  <r>
    <x v="550"/>
    <d v="2025-08-06T00:00:00"/>
    <d v="2025-08-23T00:00:00"/>
    <x v="14"/>
    <s v="Aug-2025"/>
    <s v="Q3-2025"/>
    <s v="Americas"/>
    <x v="5"/>
    <s v="Brasília"/>
    <s v="Consumer"/>
    <s v="Distributor"/>
    <s v="A. Patel"/>
    <x v="5"/>
    <s v="MON-4317"/>
    <n v="86.64"/>
    <s v="High"/>
    <n v="213.06"/>
    <n v="0.21199999999999999"/>
    <n v="11"/>
    <n v="3015.5971999999997"/>
    <n v="953.04"/>
    <n v="2062.5571999999997"/>
    <n v="0.68396309692819712"/>
  </r>
  <r>
    <x v="551"/>
    <d v="2023-03-03T00:00:00"/>
    <d v="2023-03-20T00:00:00"/>
    <x v="14"/>
    <s v="Mar-2023"/>
    <s v="Q1-2023"/>
    <s v="Asia"/>
    <x v="2"/>
    <s v="Nagoya"/>
    <s v="Small Business"/>
    <s v="Online"/>
    <s v="D. Smith"/>
    <x v="2"/>
    <s v="NET-7349"/>
    <n v="1171.17"/>
    <s v="High"/>
    <n v="2030.64"/>
    <n v="0.157"/>
    <n v="11"/>
    <n v="10310.463239999999"/>
    <n v="12882.87"/>
    <n v="-2572.4067600000017"/>
    <n v="-0.24949478021707217"/>
  </r>
  <r>
    <x v="552"/>
    <d v="2025-02-16T00:00:00"/>
    <d v="2025-03-17T00:00:00"/>
    <x v="1"/>
    <s v="Feb-2025"/>
    <s v="Q1-2025"/>
    <s v="Europe"/>
    <x v="6"/>
    <s v="Munich"/>
    <s v="Consumer"/>
    <s v="Retail"/>
    <s v="L. Okafor"/>
    <x v="6"/>
    <s v="ACC-5150"/>
    <n v="730.42"/>
    <s v="High"/>
    <n v="956.7"/>
    <n v="4.2000000000000003E-2"/>
    <n v="22"/>
    <n v="6907.0267199999998"/>
    <n v="16069.24"/>
    <n v="-9162.2132799999999"/>
    <n v="-1.3265061293986133"/>
  </r>
  <r>
    <x v="553"/>
    <d v="2025-02-15T00:00:00"/>
    <d v="2025-03-01T00:00:00"/>
    <x v="17"/>
    <s v="Feb-2025"/>
    <s v="Q1-2025"/>
    <s v="Africa"/>
    <x v="0"/>
    <s v="Mombasa"/>
    <s v="Education"/>
    <s v="Direct"/>
    <s v="L. Okafor"/>
    <x v="6"/>
    <s v="ACC-5144"/>
    <n v="1162.8599999999999"/>
    <s v="High"/>
    <n v="1447.68"/>
    <n v="8.6999999999999994E-2"/>
    <n v="12"/>
    <n v="5326.0402800000002"/>
    <n v="13954.32"/>
    <n v="-8628.2797199999986"/>
    <n v="-1.6200177367040112"/>
  </r>
  <r>
    <x v="554"/>
    <d v="2024-08-31T00:00:00"/>
    <d v="2024-09-26T00:00:00"/>
    <x v="0"/>
    <s v="Aug-2024"/>
    <s v="Q3-2024"/>
    <s v="Asia"/>
    <x v="2"/>
    <s v="Tokyo"/>
    <s v="Education"/>
    <s v="Online"/>
    <s v="I. Johnson"/>
    <x v="3"/>
    <s v="PHN-6111"/>
    <n v="1189.03"/>
    <s v="High"/>
    <n v="2949.62"/>
    <n v="0.125"/>
    <n v="13"/>
    <n v="23507.575000000001"/>
    <n v="15457.39"/>
    <n v="8050.1850000000013"/>
    <n v="0.34245067813247437"/>
  </r>
  <r>
    <x v="555"/>
    <d v="2023-05-07T00:00:00"/>
    <d v="2023-05-20T00:00:00"/>
    <x v="19"/>
    <s v="May-2023"/>
    <s v="Q2-2023"/>
    <s v="Asia"/>
    <x v="4"/>
    <s v="Mumbai"/>
    <s v="Enterprise"/>
    <s v="Retail"/>
    <s v="D. Smith"/>
    <x v="6"/>
    <s v="ACC-9283"/>
    <n v="1443.28"/>
    <s v="High"/>
    <n v="2580.5700000000002"/>
    <n v="0"/>
    <n v="18"/>
    <n v="1551.6000000000001"/>
    <n v="25979.040000000001"/>
    <n v="-24427.440000000002"/>
    <n v="-15.74338747099768"/>
  </r>
  <r>
    <x v="556"/>
    <d v="2025-05-14T00:00:00"/>
    <d v="2025-05-12T00:00:00"/>
    <x v="6"/>
    <s v="May-2025"/>
    <s v="Q2-2025"/>
    <s v="Americas"/>
    <x v="3"/>
    <s v="Vancouver"/>
    <s v="Non-Profit"/>
    <s v="Distributor"/>
    <s v="F. Müller"/>
    <x v="1"/>
    <s v="PRN-2407"/>
    <n v="883.5"/>
    <s v="High"/>
    <n v="1978.91"/>
    <n v="5.3999999999999999E-2"/>
    <n v="27"/>
    <n v="58944.550499999998"/>
    <n v="23854.5"/>
    <n v="35090.050499999998"/>
    <n v="0.59530610043416987"/>
  </r>
  <r>
    <x v="557"/>
    <d v="2024-03-11T00:00:00"/>
    <d v="2024-03-29T00:00:00"/>
    <x v="5"/>
    <s v="Mar-2024"/>
    <s v="Q1-2024"/>
    <s v="Americas"/>
    <x v="10"/>
    <s v="New York"/>
    <s v="Corporate"/>
    <s v="Retail"/>
    <s v="M. Rossi"/>
    <x v="5"/>
    <s v="MON-7099"/>
    <n v="710.98"/>
    <s v="High"/>
    <n v="1481.45"/>
    <n v="0.21099999999999999"/>
    <n v="9"/>
    <n v="7902.0638099999996"/>
    <n v="6398.82"/>
    <n v="1503.2438099999999"/>
    <n v="0.19023432942893434"/>
  </r>
  <r>
    <x v="558"/>
    <d v="2024-05-18T00:00:00"/>
    <d v="2024-05-22T00:00:00"/>
    <x v="3"/>
    <s v="May-2024"/>
    <s v="Q2-2024"/>
    <s v="Africa"/>
    <x v="0"/>
    <s v="Nairobi"/>
    <s v="Corporate"/>
    <s v="Direct"/>
    <s v="H. Kim"/>
    <x v="6"/>
    <s v="ACC-7354"/>
    <n v="857.42"/>
    <s v="High"/>
    <n v="1658.92"/>
    <n v="0.122"/>
    <n v="9"/>
    <n v="8897.572979999999"/>
    <n v="7716.78"/>
    <n v="1180.7929799999993"/>
    <n v="0.13270955828675871"/>
  </r>
  <r>
    <x v="559"/>
    <d v="2024-01-08T00:00:00"/>
    <d v="2024-01-12T00:00:00"/>
    <x v="3"/>
    <s v="Jan-2024"/>
    <s v="Q1-2024"/>
    <s v="Asia"/>
    <x v="4"/>
    <s v="Bengaluru"/>
    <s v="Corporate"/>
    <s v="Direct"/>
    <s v="E. Garcia"/>
    <x v="1"/>
    <s v="PRN-6585"/>
    <n v="802.32"/>
    <s v="High"/>
    <n v="602.34"/>
    <n v="0.12"/>
    <n v="25"/>
    <n v="2719.64"/>
    <n v="20058"/>
    <n v="-17338.36"/>
    <n v="-6.3752408406995045"/>
  </r>
  <r>
    <x v="560"/>
    <d v="2024-10-25T00:00:00"/>
    <d v="2024-11-05T00:00:00"/>
    <x v="23"/>
    <s v="Oct-2024"/>
    <s v="Q4-2024"/>
    <s v="Americas"/>
    <x v="10"/>
    <s v="New York"/>
    <s v="Corporate"/>
    <s v="Distributor"/>
    <s v="N. Brown"/>
    <x v="0"/>
    <s v="CMP-9498"/>
    <n v="446.66"/>
    <s v="High"/>
    <n v="527.64"/>
    <n v="0.14499999999999999"/>
    <n v="15"/>
    <n v="22209.693749999999"/>
    <n v="6699.9000000000005"/>
    <n v="15509.793749999997"/>
    <n v="0.6983344266059498"/>
  </r>
  <r>
    <x v="561"/>
    <d v="2024-11-30T00:00:00"/>
    <d v="2024-12-19T00:00:00"/>
    <x v="7"/>
    <s v="Nov-2024"/>
    <s v="Q4-2024"/>
    <s v="Africa"/>
    <x v="0"/>
    <s v="Kisumu"/>
    <s v="Corporate"/>
    <s v="Online"/>
    <s v="L. Okafor"/>
    <x v="3"/>
    <s v="PHN-1919"/>
    <n v="1195.98"/>
    <s v="High"/>
    <n v="1841.9"/>
    <n v="5.5E-2"/>
    <n v="19"/>
    <n v="54978.38955"/>
    <n v="22723.62"/>
    <n v="32254.769550000001"/>
    <n v="0.58668087250293055"/>
  </r>
  <r>
    <x v="562"/>
    <d v="2023-04-13T00:00:00"/>
    <d v="2023-05-02T00:00:00"/>
    <x v="7"/>
    <s v="Apr-2023"/>
    <s v="Q2-2023"/>
    <s v="Americas"/>
    <x v="3"/>
    <s v="Montreal"/>
    <s v="Consumer"/>
    <s v="Distributor"/>
    <s v="E. Garcia"/>
    <x v="5"/>
    <s v="MON-6053"/>
    <n v="671.05"/>
    <s v="High"/>
    <n v="1645.48"/>
    <n v="0.13700000000000001"/>
    <n v="6"/>
    <n v="11393.722979999999"/>
    <n v="4026.2999999999997"/>
    <n v="7367.4229799999994"/>
    <n v="0.64662121353419111"/>
  </r>
  <r>
    <x v="563"/>
    <d v="2025-02-04T00:00:00"/>
    <d v="2025-02-08T00:00:00"/>
    <x v="3"/>
    <s v="Feb-2025"/>
    <s v="Q1-2025"/>
    <s v="Europe"/>
    <x v="8"/>
    <s v="Manchester"/>
    <s v="Enterprise"/>
    <s v="Marketplace"/>
    <s v="L. Okafor"/>
    <x v="2"/>
    <s v="NET-2502"/>
    <n v="586.21"/>
    <s v="High"/>
    <n v="727.22"/>
    <n v="6.8000000000000005E-2"/>
    <n v="15"/>
    <n v="8408.8302000000003"/>
    <n v="8793.1500000000015"/>
    <n v="-384.31980000000112"/>
    <n v="-4.5704312117041096E-2"/>
  </r>
  <r>
    <x v="564"/>
    <d v="2024-01-24T00:00:00"/>
    <d v="2024-02-04T00:00:00"/>
    <x v="23"/>
    <s v="Jan-2024"/>
    <s v="Q1-2024"/>
    <s v="Europe"/>
    <x v="8"/>
    <s v="Manchester"/>
    <s v="Consumer"/>
    <s v="Retail"/>
    <s v="B. Chen"/>
    <x v="4"/>
    <s v="LAP-5689"/>
    <n v="525.34"/>
    <s v="High"/>
    <n v="1233.79"/>
    <n v="0.14299999999999999"/>
    <n v="4"/>
    <n v="3248.9555599999999"/>
    <n v="2101.36"/>
    <n v="1147.5955599999998"/>
    <n v="0.35321983905498533"/>
  </r>
  <r>
    <x v="565"/>
    <d v="2024-02-08T00:00:00"/>
    <d v="2024-02-09T00:00:00"/>
    <x v="1"/>
    <s v="Feb-2024"/>
    <s v="Q1-2024"/>
    <s v="Africa"/>
    <x v="0"/>
    <s v="Mombasa"/>
    <s v="Corporate"/>
    <s v="Direct"/>
    <s v="F. Müller"/>
    <x v="0"/>
    <s v="CMP-5911"/>
    <n v="1233.52"/>
    <s v="High"/>
    <n v="1543.76"/>
    <n v="0.126"/>
    <n v="13"/>
    <n v="26490.27576"/>
    <n v="16035.76"/>
    <n v="10454.51576"/>
    <n v="0.39465484824382968"/>
  </r>
  <r>
    <x v="566"/>
    <d v="2025-06-26T00:00:00"/>
    <d v="2025-07-11T00:00:00"/>
    <x v="15"/>
    <s v="Jun-2025"/>
    <s v="Q2-2025"/>
    <s v="Africa"/>
    <x v="1"/>
    <s v="Port Harcourt"/>
    <s v="Small Business"/>
    <s v="Online"/>
    <s v="A. Patel"/>
    <x v="4"/>
    <s v="LAP-7523"/>
    <n v="1170.1500000000001"/>
    <s v="High"/>
    <n v="2115.19"/>
    <n v="9.1999999999999998E-2"/>
    <n v="23"/>
    <n v="29597.640160000003"/>
    <n v="26913.45"/>
    <n v="2684.1901600000019"/>
    <n v="9.0689330145569333E-2"/>
  </r>
  <r>
    <x v="567"/>
    <d v="2024-11-04T00:00:00"/>
    <d v="2024-11-07T00:00:00"/>
    <x v="4"/>
    <s v="Nov-2024"/>
    <s v="Q4-2024"/>
    <s v="Europe"/>
    <x v="7"/>
    <s v="Lyon"/>
    <s v="Corporate"/>
    <s v="Online"/>
    <s v="O. Wang"/>
    <x v="5"/>
    <s v="MON-1118"/>
    <n v="740.68"/>
    <s v="High"/>
    <n v="1837.19"/>
    <n v="0.19700000000000001"/>
    <n v="17"/>
    <n v="9548.8744999999999"/>
    <n v="12591.56"/>
    <n v="-3042.6854999999996"/>
    <n v="-0.31864336472324561"/>
  </r>
  <r>
    <x v="568"/>
    <d v="2024-02-20T00:00:00"/>
    <d v="2024-02-20T00:00:00"/>
    <x v="18"/>
    <s v="Feb-2024"/>
    <s v="Q1-2024"/>
    <s v="Americas"/>
    <x v="10"/>
    <s v="New York"/>
    <s v="Enterprise"/>
    <s v="Online"/>
    <s v="C. Otieno"/>
    <x v="2"/>
    <s v="NET-9177"/>
    <n v="1407.05"/>
    <s v="High"/>
    <n v="2858.93"/>
    <n v="0"/>
    <n v="12"/>
    <n v="21446.400000000001"/>
    <n v="16884.599999999999"/>
    <n v="4561.8000000000029"/>
    <n v="0.2127070277529097"/>
  </r>
  <r>
    <x v="569"/>
    <d v="2025-04-13T00:00:00"/>
    <d v="2025-04-14T00:00:00"/>
    <x v="1"/>
    <s v="Apr-2025"/>
    <s v="Q2-2025"/>
    <s v="Asia"/>
    <x v="2"/>
    <s v="Osaka"/>
    <s v="Enterprise"/>
    <s v="Online"/>
    <s v="G. Dubois"/>
    <x v="0"/>
    <s v="CMP-6495"/>
    <n v="138.9"/>
    <s v="High"/>
    <n v="289.92"/>
    <n v="2.9000000000000001E-2"/>
    <n v="12"/>
    <n v="19793.834999999999"/>
    <n v="1666.8000000000002"/>
    <n v="18127.035"/>
    <n v="0.91579196249741401"/>
  </r>
  <r>
    <x v="570"/>
    <d v="2023-06-01T00:00:00"/>
    <d v="2023-06-01T00:00:00"/>
    <x v="18"/>
    <s v="Jun-2023"/>
    <s v="Q2-2023"/>
    <s v="Asia"/>
    <x v="4"/>
    <s v="Bengaluru"/>
    <s v="Corporate"/>
    <s v="Retail"/>
    <s v="E. Garcia"/>
    <x v="6"/>
    <s v="ACC-4587"/>
    <n v="669.37"/>
    <s v="High"/>
    <n v="997.2"/>
    <n v="8.2000000000000003E-2"/>
    <n v="5"/>
    <n v="3326.373"/>
    <n v="3346.85"/>
    <n v="-20.476999999999862"/>
    <n v="-6.1559542480653434E-3"/>
  </r>
  <r>
    <x v="571"/>
    <d v="2025-03-24T00:00:00"/>
    <d v="2025-04-04T00:00:00"/>
    <x v="23"/>
    <s v="Mar-2025"/>
    <s v="Q1-2025"/>
    <s v="Asia"/>
    <x v="4"/>
    <s v="Mumbai"/>
    <s v="Education"/>
    <s v="Marketplace"/>
    <s v="J. Njeri"/>
    <x v="3"/>
    <s v="PHN-4395"/>
    <n v="23.83"/>
    <s v="Low"/>
    <n v="47.29"/>
    <n v="6.4000000000000001E-2"/>
    <n v="19"/>
    <n v="24114.036959999998"/>
    <n v="452.77"/>
    <n v="23661.266959999997"/>
    <n v="0.98122379920247083"/>
  </r>
  <r>
    <x v="572"/>
    <d v="2024-01-02T00:00:00"/>
    <d v="2024-01-02T00:00:00"/>
    <x v="18"/>
    <s v="Jan-2024"/>
    <s v="Q1-2024"/>
    <s v="Americas"/>
    <x v="3"/>
    <s v="Vancouver"/>
    <s v="Education"/>
    <s v="Direct"/>
    <s v="A. Patel"/>
    <x v="4"/>
    <s v="LAP-3581"/>
    <n v="444.41"/>
    <s v="High"/>
    <n v="754.24"/>
    <n v="0.20699999999999999"/>
    <n v="32"/>
    <n v="6980.1763200000005"/>
    <n v="14221.12"/>
    <n v="-7240.9436800000003"/>
    <n v="-1.0373582769324659"/>
  </r>
  <r>
    <x v="573"/>
    <d v="2023-12-19T00:00:00"/>
    <d v="2024-01-01T00:00:00"/>
    <x v="19"/>
    <s v="Dec-2023"/>
    <s v="Q4-2023"/>
    <s v="Americas"/>
    <x v="3"/>
    <s v="Toronto"/>
    <s v="Enterprise"/>
    <s v="Retail"/>
    <s v="K. Singh"/>
    <x v="5"/>
    <s v="MON-6065"/>
    <n v="856.1"/>
    <s v="High"/>
    <n v="901.48"/>
    <n v="5.6000000000000001E-2"/>
    <n v="17"/>
    <n v="28925.557119999998"/>
    <n v="14553.7"/>
    <n v="14371.857119999997"/>
    <n v="0.49685670911634278"/>
  </r>
  <r>
    <x v="574"/>
    <d v="2023-04-26T00:00:00"/>
    <d v="2023-04-26T00:00:00"/>
    <x v="18"/>
    <s v="Apr-2023"/>
    <s v="Q2-2023"/>
    <s v="Europe"/>
    <x v="7"/>
    <s v="Marseille"/>
    <s v="Consumer"/>
    <s v="Direct"/>
    <s v="M. Rossi"/>
    <x v="0"/>
    <s v="CMP-4945"/>
    <n v="81.489999999999995"/>
    <s v="Medium"/>
    <n v="113.08"/>
    <n v="0.121"/>
    <n v="5"/>
    <n v="5580.6830999999993"/>
    <n v="407.45"/>
    <n v="5173.2330999999995"/>
    <n v="0.92698922467036338"/>
  </r>
  <r>
    <x v="575"/>
    <d v="2025-08-03T00:00:00"/>
    <d v="2025-08-16T00:00:00"/>
    <x v="19"/>
    <s v="Aug-2025"/>
    <s v="Q3-2025"/>
    <s v="Americas"/>
    <x v="3"/>
    <s v="Montreal"/>
    <s v="Enterprise"/>
    <s v="Distributor"/>
    <s v="O. Wang"/>
    <x v="2"/>
    <s v="NET-3785"/>
    <n v="698.66"/>
    <s v="High"/>
    <n v="868.62"/>
    <n v="7.1999999999999995E-2"/>
    <n v="15"/>
    <n v="7960.848"/>
    <n v="10479.9"/>
    <n v="-2519.0519999999997"/>
    <n v="-0.31643010895321699"/>
  </r>
  <r>
    <x v="576"/>
    <d v="2023-08-02T00:00:00"/>
    <d v="2023-08-19T00:00:00"/>
    <x v="14"/>
    <s v="Aug-2023"/>
    <s v="Q3-2023"/>
    <s v="Americas"/>
    <x v="3"/>
    <s v="Vancouver"/>
    <s v="Corporate"/>
    <s v="Online"/>
    <s v="F. Müller"/>
    <x v="2"/>
    <s v="NET-3689"/>
    <n v="175.38"/>
    <s v="High"/>
    <n v="347.9"/>
    <n v="7.1999999999999995E-2"/>
    <n v="43"/>
    <n v="109937.11616000001"/>
    <n v="7541.34"/>
    <n v="102395.77616000001"/>
    <n v="0.93140314878712571"/>
  </r>
  <r>
    <x v="577"/>
    <d v="2023-06-15T00:00:00"/>
    <d v="2023-07-12T00:00:00"/>
    <x v="29"/>
    <s v="Jun-2023"/>
    <s v="Q2-2023"/>
    <s v="Europe"/>
    <x v="8"/>
    <s v="Manchester"/>
    <s v="Consumer"/>
    <s v="Direct"/>
    <s v="I. Johnson"/>
    <x v="6"/>
    <s v="ACC-3833"/>
    <n v="751.28"/>
    <s v="High"/>
    <n v="1111.8800000000001"/>
    <n v="0.13500000000000001"/>
    <n v="7"/>
    <n v="5827.9980499999992"/>
    <n v="5258.96"/>
    <n v="569.0380499999992"/>
    <n v="9.7638682291597417E-2"/>
  </r>
  <r>
    <x v="578"/>
    <d v="2024-11-11T00:00:00"/>
    <d v="2024-11-24T00:00:00"/>
    <x v="19"/>
    <s v="Nov-2024"/>
    <s v="Q4-2024"/>
    <s v="Europe"/>
    <x v="8"/>
    <s v="London"/>
    <s v="Corporate"/>
    <s v="Retail"/>
    <s v="E. Garcia"/>
    <x v="2"/>
    <s v="NET-2932"/>
    <n v="164.53"/>
    <s v="High"/>
    <n v="327.72"/>
    <n v="6.7000000000000004E-2"/>
    <n v="14"/>
    <n v="8728.9427399999986"/>
    <n v="2303.42"/>
    <n v="6425.5227399999985"/>
    <n v="0.73611695383855846"/>
  </r>
  <r>
    <x v="579"/>
    <d v="2025-07-11T00:00:00"/>
    <d v="2025-08-03T00:00:00"/>
    <x v="21"/>
    <s v="Jul-2025"/>
    <s v="Q3-2025"/>
    <s v="Africa"/>
    <x v="0"/>
    <s v="Nakuru"/>
    <s v="Small Business"/>
    <s v="Retail"/>
    <s v="C. Otieno"/>
    <x v="3"/>
    <s v="PHN-7636"/>
    <n v="389.93"/>
    <s v="High"/>
    <n v="486.13"/>
    <n v="0.13200000000000001"/>
    <n v="17"/>
    <n v="20722.29348"/>
    <n v="6628.81"/>
    <n v="14093.483479999999"/>
    <n v="0.6801121455789747"/>
  </r>
  <r>
    <x v="580"/>
    <d v="2023-06-03T00:00:00"/>
    <d v="2023-07-01T00:00:00"/>
    <x v="27"/>
    <s v="Jun-2023"/>
    <s v="Q2-2023"/>
    <s v="Americas"/>
    <x v="5"/>
    <s v="Brasília"/>
    <s v="Small Business"/>
    <s v="Marketplace"/>
    <s v="A. Patel"/>
    <x v="0"/>
    <s v="CMP-1223"/>
    <n v="860.4"/>
    <s v="High"/>
    <n v="2066.6"/>
    <n v="0.01"/>
    <n v="3"/>
    <n v="10661.9733"/>
    <n v="2581.1999999999998"/>
    <n v="8080.7732999999998"/>
    <n v="0.7579059778737206"/>
  </r>
  <r>
    <x v="581"/>
    <d v="2023-01-29T00:00:00"/>
    <d v="2023-02-06T00:00:00"/>
    <x v="12"/>
    <s v="Jan-2023"/>
    <s v="Q1-2023"/>
    <s v="Americas"/>
    <x v="5"/>
    <s v="Brasília"/>
    <s v="Corporate"/>
    <s v="Marketplace"/>
    <s v="D. Smith"/>
    <x v="5"/>
    <s v="MON-7207"/>
    <n v="41.84"/>
    <s v="Medium"/>
    <n v="86.2"/>
    <n v="0.22600000000000001"/>
    <n v="27"/>
    <n v="4879.8919799999994"/>
    <n v="1129.68"/>
    <n v="3750.2119799999991"/>
    <n v="0.76850307247989524"/>
  </r>
  <r>
    <x v="582"/>
    <d v="2024-09-06T00:00:00"/>
    <d v="2024-09-04T00:00:00"/>
    <x v="6"/>
    <s v="Sept-2024"/>
    <s v="Q3-2024"/>
    <s v="Asia"/>
    <x v="2"/>
    <s v="Osaka"/>
    <s v="Corporate"/>
    <s v="Direct"/>
    <s v="A. Patel"/>
    <x v="4"/>
    <s v="LAP-4483"/>
    <n v="1368.17"/>
    <s v="High"/>
    <n v="2307.75"/>
    <n v="0.16300000000000001"/>
    <n v="21"/>
    <n v="2183.9422500000001"/>
    <n v="28731.57"/>
    <n v="-26547.62775"/>
    <n v="-12.155828639699607"/>
  </r>
  <r>
    <x v="583"/>
    <d v="2024-08-03T00:00:00"/>
    <d v="2024-08-09T00:00:00"/>
    <x v="30"/>
    <s v="Aug-2024"/>
    <s v="Q3-2024"/>
    <s v="Africa"/>
    <x v="0"/>
    <s v="Mombasa"/>
    <s v="Consumer"/>
    <s v="Marketplace"/>
    <s v="H. Kim"/>
    <x v="4"/>
    <s v="LAP-1969"/>
    <n v="643.21"/>
    <s v="High"/>
    <n v="1112.81"/>
    <n v="0.14099999999999999"/>
    <n v="4"/>
    <n v="4918.1873199999991"/>
    <n v="2572.84"/>
    <n v="2345.3473199999989"/>
    <n v="0.47687230424562183"/>
  </r>
  <r>
    <x v="584"/>
    <d v="2025-04-17T00:00:00"/>
    <d v="2025-04-17T00:00:00"/>
    <x v="18"/>
    <s v="Apr-2025"/>
    <s v="Q2-2025"/>
    <s v="Americas"/>
    <x v="5"/>
    <s v="São Paulo"/>
    <s v="Corporate"/>
    <s v="Distributor"/>
    <s v="L. Okafor"/>
    <x v="3"/>
    <s v="PHN-4566"/>
    <n v="719.41"/>
    <s v="High"/>
    <n v="1125.99"/>
    <n v="4.1000000000000002E-2"/>
    <n v="21"/>
    <n v="32132.177279999996"/>
    <n v="15107.609999999999"/>
    <n v="17024.567279999996"/>
    <n v="0.52982924660373332"/>
  </r>
  <r>
    <x v="585"/>
    <d v="2023-05-03T00:00:00"/>
    <d v="2023-05-16T00:00:00"/>
    <x v="19"/>
    <s v="May-2023"/>
    <s v="Q2-2023"/>
    <s v="Americas"/>
    <x v="10"/>
    <s v="New York"/>
    <s v="Corporate"/>
    <s v="Marketplace"/>
    <s v="L. Okafor"/>
    <x v="3"/>
    <s v="PHN-5366"/>
    <n v="64.5"/>
    <s v="Medium"/>
    <n v="123.62"/>
    <n v="0"/>
    <n v="3"/>
    <n v="3085.38"/>
    <n v="193.5"/>
    <n v="2891.88"/>
    <n v="0.93728487252785719"/>
  </r>
  <r>
    <x v="586"/>
    <d v="2024-03-13T00:00:00"/>
    <d v="2024-04-06T00:00:00"/>
    <x v="10"/>
    <s v="Mar-2024"/>
    <s v="Q1-2024"/>
    <s v="Africa"/>
    <x v="1"/>
    <s v="Abuja"/>
    <s v="Consumer"/>
    <s v="Distributor"/>
    <s v="L. Okafor"/>
    <x v="0"/>
    <s v="CMP-9001"/>
    <n v="1232.78"/>
    <s v="High"/>
    <n v="1731.75"/>
    <n v="9.2999999999999999E-2"/>
    <n v="16"/>
    <n v="46878.839200000002"/>
    <n v="19724.48"/>
    <n v="27154.359200000003"/>
    <n v="0.5792455543566446"/>
  </r>
  <r>
    <x v="587"/>
    <d v="2024-06-16T00:00:00"/>
    <d v="2024-06-21T00:00:00"/>
    <x v="16"/>
    <s v="Jun-2024"/>
    <s v="Q2-2024"/>
    <s v="Asia"/>
    <x v="2"/>
    <s v="Tokyo"/>
    <s v="Small Business"/>
    <s v="Distributor"/>
    <s v="F. Müller"/>
    <x v="3"/>
    <s v="PHN-9677"/>
    <n v="1367.13"/>
    <s v="High"/>
    <n v="3062.01"/>
    <n v="0.10299999999999999"/>
    <n v="25"/>
    <n v="62557.004249999998"/>
    <n v="34178.25"/>
    <n v="28378.754249999998"/>
    <n v="0.45364631171576603"/>
  </r>
  <r>
    <x v="588"/>
    <d v="2025-02-15T00:00:00"/>
    <d v="2025-02-27T00:00:00"/>
    <x v="8"/>
    <s v="Feb-2025"/>
    <s v="Q1-2025"/>
    <s v="Europe"/>
    <x v="7"/>
    <s v="Lyon"/>
    <s v="Non-Profit"/>
    <s v="Direct"/>
    <s v="K. Singh"/>
    <x v="6"/>
    <s v="ACC-1604"/>
    <n v="1027.26"/>
    <s v="High"/>
    <n v="2200.41"/>
    <n v="8.7999999999999995E-2"/>
    <n v="6"/>
    <n v="10384.433280000001"/>
    <n v="6163.5599999999995"/>
    <n v="4220.8732800000016"/>
    <n v="0.40646159171047236"/>
  </r>
  <r>
    <x v="589"/>
    <d v="2023-04-03T00:00:00"/>
    <d v="2023-04-16T00:00:00"/>
    <x v="19"/>
    <s v="Apr-2023"/>
    <s v="Q2-2023"/>
    <s v="Europe"/>
    <x v="7"/>
    <s v="Marseille"/>
    <s v="Non-Profit"/>
    <s v="Marketplace"/>
    <s v="M. Rossi"/>
    <x v="6"/>
    <s v="ACC-4815"/>
    <n v="790.54"/>
    <s v="High"/>
    <n v="601.49"/>
    <n v="0"/>
    <n v="15"/>
    <n v="13537.050000000001"/>
    <n v="11858.099999999999"/>
    <n v="1678.9500000000025"/>
    <n v="0.12402628342216379"/>
  </r>
  <r>
    <x v="590"/>
    <d v="2025-08-30T00:00:00"/>
    <d v="2025-09-22T00:00:00"/>
    <x v="21"/>
    <s v="Aug-2025"/>
    <s v="Q3-2025"/>
    <s v="Europe"/>
    <x v="7"/>
    <s v="Marseille"/>
    <s v="Corporate"/>
    <s v="Direct"/>
    <s v="E. Garcia"/>
    <x v="0"/>
    <s v="CMP-5311"/>
    <n v="663.9"/>
    <s v="High"/>
    <n v="947.77"/>
    <n v="0.17399999999999999"/>
    <n v="15"/>
    <n v="-417.04740000000004"/>
    <n v="9958.5"/>
    <n v="-10375.547399999999"/>
    <n v="24.878580708092169"/>
  </r>
  <r>
    <x v="591"/>
    <d v="2023-02-27T00:00:00"/>
    <d v="2023-02-26T00:00:00"/>
    <x v="1"/>
    <s v="Feb-2023"/>
    <s v="Q1-2023"/>
    <s v="Americas"/>
    <x v="10"/>
    <s v="San Francisco"/>
    <s v="Non-Profit"/>
    <s v="Online"/>
    <s v="L. Okafor"/>
    <x v="2"/>
    <s v="NET-1282"/>
    <n v="1015.91"/>
    <s v="High"/>
    <n v="2331.48"/>
    <n v="0.14599999999999999"/>
    <n v="26"/>
    <n v="24128.64272"/>
    <n v="26413.66"/>
    <n v="-2285.01728"/>
    <n v="-9.4701442866737429E-2"/>
  </r>
  <r>
    <x v="592"/>
    <d v="2024-07-31T00:00:00"/>
    <d v="2024-08-15T00:00:00"/>
    <x v="15"/>
    <s v="Jul-2024"/>
    <s v="Q3-2024"/>
    <s v="Asia"/>
    <x v="2"/>
    <s v="Tokyo"/>
    <s v="Corporate"/>
    <s v="Marketplace"/>
    <s v="F. Müller"/>
    <x v="5"/>
    <s v="MON-1564"/>
    <n v="1252.52"/>
    <s v="High"/>
    <n v="1417.24"/>
    <n v="0.192"/>
    <n v="5"/>
    <n v="4083.4300000000003"/>
    <n v="6262.6"/>
    <n v="-2179.17"/>
    <n v="-0.53366165209150151"/>
  </r>
  <r>
    <x v="593"/>
    <d v="2025-06-15T00:00:00"/>
    <d v="2025-07-12T00:00:00"/>
    <x v="29"/>
    <s v="Jun-2025"/>
    <s v="Q2-2025"/>
    <s v="Europe"/>
    <x v="7"/>
    <s v="Marseille"/>
    <s v="Consumer"/>
    <s v="Direct"/>
    <s v="C. Otieno"/>
    <x v="6"/>
    <s v="ACC-7906"/>
    <n v="318.83"/>
    <s v="High"/>
    <n v="699.5"/>
    <n v="0.08"/>
    <n v="13"/>
    <n v="4921.3008"/>
    <n v="4144.79"/>
    <n v="776.51080000000002"/>
    <n v="0.15778568137919957"/>
  </r>
  <r>
    <x v="594"/>
    <d v="2024-06-30T00:00:00"/>
    <d v="2024-07-21T00:00:00"/>
    <x v="28"/>
    <s v="Jun-2024"/>
    <s v="Q2-2024"/>
    <s v="Africa"/>
    <x v="0"/>
    <s v="Kisumu"/>
    <s v="Small Business"/>
    <s v="Retail"/>
    <s v="K. Singh"/>
    <x v="4"/>
    <s v="LAP-6577"/>
    <n v="753.43"/>
    <s v="High"/>
    <n v="1787.2"/>
    <n v="7.2999999999999995E-2"/>
    <n v="9"/>
    <n v="3448.4956200000001"/>
    <n v="6780.87"/>
    <n v="-3332.3743799999997"/>
    <n v="-0.9663269863744236"/>
  </r>
  <r>
    <x v="595"/>
    <d v="2025-02-17T00:00:00"/>
    <d v="2025-02-15T00:00:00"/>
    <x v="6"/>
    <s v="Feb-2025"/>
    <s v="Q1-2025"/>
    <s v="Americas"/>
    <x v="3"/>
    <s v="Toronto"/>
    <s v="Small Business"/>
    <s v="Retail"/>
    <s v="D. Smith"/>
    <x v="0"/>
    <s v="CMP-5065"/>
    <n v="1133.47"/>
    <s v="High"/>
    <n v="1698.75"/>
    <n v="4.2999999999999997E-2"/>
    <n v="5"/>
    <n v="7459.2886500000004"/>
    <n v="5667.35"/>
    <n v="1791.9386500000001"/>
    <n v="0.24022916045754578"/>
  </r>
  <r>
    <x v="596"/>
    <d v="2023-01-07T00:00:00"/>
    <d v="2023-01-30T00:00:00"/>
    <x v="21"/>
    <s v="Jan-2023"/>
    <s v="Q1-2023"/>
    <s v="Africa"/>
    <x v="11"/>
    <s v="Cape Town"/>
    <s v="Consumer"/>
    <s v="Online"/>
    <s v="A. Patel"/>
    <x v="1"/>
    <s v="PRN-4787"/>
    <n v="299.02"/>
    <s v="High"/>
    <n v="724.7"/>
    <n v="0.14000000000000001"/>
    <n v="5"/>
    <n v="3702.9880000000003"/>
    <n v="1495.1"/>
    <n v="2207.8880000000004"/>
    <n v="0.59624497837962209"/>
  </r>
  <r>
    <x v="597"/>
    <d v="2025-03-10T00:00:00"/>
    <d v="2025-04-04T00:00:00"/>
    <x v="2"/>
    <s v="Mar-2025"/>
    <s v="Q1-2025"/>
    <s v="Asia"/>
    <x v="2"/>
    <s v="Osaka"/>
    <s v="Corporate"/>
    <s v="Direct"/>
    <s v="H. Kim"/>
    <x v="1"/>
    <s v="PRN-9867"/>
    <n v="783.72"/>
    <s v="High"/>
    <n v="1355.94"/>
    <n v="0.187"/>
    <n v="4"/>
    <n v="7467.4049999999997"/>
    <n v="3134.88"/>
    <n v="4332.5249999999996"/>
    <n v="0.58019151231251009"/>
  </r>
  <r>
    <x v="598"/>
    <d v="2024-08-17T00:00:00"/>
    <d v="2024-08-15T00:00:00"/>
    <x v="6"/>
    <s v="Aug-2024"/>
    <s v="Q3-2024"/>
    <s v="Americas"/>
    <x v="5"/>
    <s v="Rio de Janeiro"/>
    <s v="Consumer"/>
    <s v="Direct"/>
    <s v="M. Rossi"/>
    <x v="5"/>
    <s v="MON-2849"/>
    <n v="165.3"/>
    <s v="High"/>
    <n v="275.07"/>
    <n v="0.13300000000000001"/>
    <n v="25"/>
    <n v="57148.305"/>
    <n v="4132.5"/>
    <n v="53015.805"/>
    <n v="0.92768814403156841"/>
  </r>
  <r>
    <x v="599"/>
    <d v="2024-03-09T00:00:00"/>
    <d v="2024-03-22T00:00:00"/>
    <x v="19"/>
    <s v="Mar-2024"/>
    <s v="Q1-2024"/>
    <s v="Europe"/>
    <x v="8"/>
    <s v="Manchester"/>
    <s v="Consumer"/>
    <s v="Online"/>
    <s v="E. Garcia"/>
    <x v="4"/>
    <s v="LAP-8633"/>
    <n v="985.45"/>
    <s v="High"/>
    <n v="1802.44"/>
    <n v="8.9999999999999993E-3"/>
    <n v="19"/>
    <n v="18416.456609999997"/>
    <n v="18723.55"/>
    <n v="-307.09339000000182"/>
    <n v="-1.6674944399089911E-2"/>
  </r>
  <r>
    <x v="600"/>
    <d v="2024-08-19T00:00:00"/>
    <d v="2024-09-02T00:00:00"/>
    <x v="17"/>
    <s v="Aug-2024"/>
    <s v="Q3-2024"/>
    <s v="Americas"/>
    <x v="3"/>
    <s v="Toronto"/>
    <s v="Consumer"/>
    <s v="Distributor"/>
    <s v="C. Otieno"/>
    <x v="1"/>
    <s v="PRN-9793"/>
    <n v="1337.01"/>
    <s v="High"/>
    <n v="1269.78"/>
    <n v="0.16"/>
    <n v="7"/>
    <n v="3208.8335999999999"/>
    <n v="9359.07"/>
    <n v="-6150.2363999999998"/>
    <n v="-1.916657940754547"/>
  </r>
  <r>
    <x v="601"/>
    <d v="2025-08-11T00:00:00"/>
    <d v="2025-08-28T00:00:00"/>
    <x v="14"/>
    <s v="Aug-2025"/>
    <s v="Q3-2025"/>
    <s v="Europe"/>
    <x v="7"/>
    <s v="Paris"/>
    <s v="Education"/>
    <s v="Online"/>
    <s v="F. Müller"/>
    <x v="2"/>
    <s v="NET-6218"/>
    <n v="416.16"/>
    <s v="High"/>
    <n v="571.9"/>
    <n v="7.0999999999999994E-2"/>
    <n v="2"/>
    <n v="2667.2333200000003"/>
    <n v="832.32"/>
    <n v="1834.9133200000001"/>
    <n v="0.6879463098488886"/>
  </r>
  <r>
    <x v="602"/>
    <d v="2025-05-16T00:00:00"/>
    <d v="2025-05-18T00:00:00"/>
    <x v="6"/>
    <s v="May-2025"/>
    <s v="Q2-2025"/>
    <s v="Asia"/>
    <x v="2"/>
    <s v="Tokyo"/>
    <s v="Enterprise"/>
    <s v="Retail"/>
    <s v="J. Njeri"/>
    <x v="1"/>
    <s v="PRN-6131"/>
    <n v="1144.3800000000001"/>
    <s v="High"/>
    <n v="2755.04"/>
    <n v="0.15"/>
    <n v="17"/>
    <n v="34640.985000000001"/>
    <n v="19454.460000000003"/>
    <n v="15186.524999999998"/>
    <n v="0.4383976090749151"/>
  </r>
  <r>
    <x v="603"/>
    <d v="2023-04-10T00:00:00"/>
    <d v="2023-04-25T00:00:00"/>
    <x v="15"/>
    <s v="Apr-2023"/>
    <s v="Q2-2023"/>
    <s v="Europe"/>
    <x v="8"/>
    <s v="London"/>
    <s v="Small Business"/>
    <s v="Retail"/>
    <s v="D. Smith"/>
    <x v="1"/>
    <s v="PRN-5067"/>
    <n v="405.66"/>
    <s v="High"/>
    <n v="962.51"/>
    <n v="0.19"/>
    <n v="7"/>
    <n v="10511.386199999999"/>
    <n v="2839.6200000000003"/>
    <n v="7671.7661999999982"/>
    <n v="0.72985294746377016"/>
  </r>
  <r>
    <x v="604"/>
    <d v="2023-09-17T00:00:00"/>
    <d v="2023-10-02T00:00:00"/>
    <x v="15"/>
    <s v="Sept-2023"/>
    <s v="Q3-2023"/>
    <s v="Americas"/>
    <x v="5"/>
    <s v="Rio de Janeiro"/>
    <s v="Small Business"/>
    <s v="Retail"/>
    <s v="B. Chen"/>
    <x v="4"/>
    <s v="LAP-4932"/>
    <n v="689.33"/>
    <s v="High"/>
    <n v="668.27"/>
    <n v="0.186"/>
    <n v="13"/>
    <n v="486.56036000000006"/>
    <n v="8961.2900000000009"/>
    <n v="-8474.7296400000014"/>
    <n v="-17.417632706453933"/>
  </r>
  <r>
    <x v="605"/>
    <d v="2023-04-22T00:00:00"/>
    <d v="2023-05-14T00:00:00"/>
    <x v="22"/>
    <s v="Apr-2023"/>
    <s v="Q2-2023"/>
    <s v="Asia"/>
    <x v="2"/>
    <s v="Nagoya"/>
    <s v="Enterprise"/>
    <s v="Retail"/>
    <s v="A. Patel"/>
    <x v="6"/>
    <s v="ACC-7713"/>
    <n v="1209.22"/>
    <s v="High"/>
    <n v="1404.33"/>
    <n v="0.10299999999999999"/>
    <n v="11"/>
    <n v="0"/>
    <n v="13301.42"/>
    <n v="-13301.42"/>
    <n v="0"/>
  </r>
  <r>
    <x v="606"/>
    <d v="2025-06-19T00:00:00"/>
    <d v="2025-06-21T00:00:00"/>
    <x v="6"/>
    <s v="Jun-2025"/>
    <s v="Q2-2025"/>
    <s v="Africa"/>
    <x v="11"/>
    <s v="Johannesburg"/>
    <s v="Small Business"/>
    <s v="Not Provided"/>
    <s v="H. Kim"/>
    <x v="3"/>
    <s v="PHN-7379"/>
    <n v="1466.27"/>
    <s v="High"/>
    <n v="3589.89"/>
    <n v="9.7000000000000003E-2"/>
    <n v="9"/>
    <n v="0"/>
    <n v="13196.43"/>
    <n v="-13196.43"/>
    <n v="0"/>
  </r>
  <r>
    <x v="607"/>
    <d v="2024-11-27T00:00:00"/>
    <d v="2024-12-24T00:00:00"/>
    <x v="29"/>
    <s v="Nov-2024"/>
    <s v="Q4-2024"/>
    <s v="Africa"/>
    <x v="0"/>
    <s v="Mombasa"/>
    <s v="Corporate"/>
    <s v="Distributor"/>
    <s v="B. Chen"/>
    <x v="1"/>
    <s v="PRN-5569"/>
    <n v="143.33000000000001"/>
    <s v="High"/>
    <n v="233.51"/>
    <n v="0.16300000000000001"/>
    <n v="14"/>
    <n v="0"/>
    <n v="2006.6200000000001"/>
    <n v="-2006.6200000000001"/>
    <n v="0"/>
  </r>
  <r>
    <x v="608"/>
    <d v="2024-01-28T00:00:00"/>
    <d v="2024-01-27T00:00:00"/>
    <x v="1"/>
    <s v="Jan-2024"/>
    <s v="Q1-2024"/>
    <s v="Africa"/>
    <x v="11"/>
    <s v="Cape Town"/>
    <s v="Enterprise"/>
    <s v="Direct"/>
    <s v="O. Wang"/>
    <x v="0"/>
    <s v="CMP-1470"/>
    <n v="109.75"/>
    <s v="Medium"/>
    <n v="124.25"/>
    <n v="0.12"/>
    <n v="19"/>
    <n v="0"/>
    <n v="2085.25"/>
    <n v="-2085.25"/>
    <n v="0"/>
  </r>
  <r>
    <x v="609"/>
    <d v="2023-04-16T00:00:00"/>
    <d v="2023-04-23T00:00:00"/>
    <x v="20"/>
    <s v="Apr-2023"/>
    <s v="Q2-2023"/>
    <s v="Americas"/>
    <x v="10"/>
    <s v="Austin"/>
    <s v="Corporate"/>
    <s v="Distributor"/>
    <s v="O. Wang"/>
    <x v="1"/>
    <s v="PRN-9249"/>
    <n v="1099.1500000000001"/>
    <s v="High"/>
    <n v="1431.37"/>
    <n v="0.104"/>
    <n v="8"/>
    <n v="0"/>
    <n v="8793.2000000000007"/>
    <n v="-8793.2000000000007"/>
    <n v="0"/>
  </r>
  <r>
    <x v="610"/>
    <d v="2024-02-01T00:00:00"/>
    <d v="2024-02-01T00:00:00"/>
    <x v="18"/>
    <s v="Feb-2024"/>
    <s v="Q1-2024"/>
    <s v="Americas"/>
    <x v="10"/>
    <s v="Austin"/>
    <s v="Consumer"/>
    <s v="Distributor"/>
    <s v="H. Kim"/>
    <x v="1"/>
    <s v="PRN-4906"/>
    <n v="714.43"/>
    <s v="High"/>
    <n v="1595.52"/>
    <n v="0.19400000000000001"/>
    <n v="14"/>
    <n v="0"/>
    <n v="10002.019999999999"/>
    <n v="-10002.019999999999"/>
    <n v="0"/>
  </r>
  <r>
    <x v="611"/>
    <d v="2024-10-19T00:00:00"/>
    <d v="2024-11-06T00:00:00"/>
    <x v="5"/>
    <s v="Oct-2024"/>
    <s v="Q4-2024"/>
    <s v="Americas"/>
    <x v="10"/>
    <s v="Chicago"/>
    <s v="Education"/>
    <s v="Not Provided"/>
    <s v="C. Otieno"/>
    <x v="5"/>
    <s v="MON-8129"/>
    <n v="942.02"/>
    <s v="High"/>
    <n v="1028.46"/>
    <n v="0"/>
    <n v="9"/>
    <n v="0"/>
    <n v="8478.18"/>
    <n v="-8478.18"/>
    <n v="0"/>
  </r>
  <r>
    <x v="612"/>
    <d v="2024-06-25T00:00:00"/>
    <d v="2024-06-30T00:00:00"/>
    <x v="16"/>
    <s v="Jun-2024"/>
    <s v="Q2-2024"/>
    <s v="Africa"/>
    <x v="0"/>
    <s v="Kisumu"/>
    <s v="Education"/>
    <s v="Direct"/>
    <s v="M. Rossi"/>
    <x v="2"/>
    <s v="NET-5987"/>
    <n v="1323.55"/>
    <s v="High"/>
    <n v="3230.35"/>
    <n v="2.1999999999999999E-2"/>
    <n v="26"/>
    <n v="0"/>
    <n v="34412.299999999996"/>
    <n v="-34412.299999999996"/>
    <n v="0"/>
  </r>
  <r>
    <x v="613"/>
    <d v="2023-07-30T00:00:00"/>
    <d v="2023-08-19T00:00:00"/>
    <x v="9"/>
    <s v="Jul-2023"/>
    <s v="Q3-2023"/>
    <s v="Europe"/>
    <x v="7"/>
    <s v="Paris"/>
    <s v="Enterprise"/>
    <s v="Marketplace"/>
    <s v="G. Dubois"/>
    <x v="2"/>
    <s v="NET-5423"/>
    <n v="1418.51"/>
    <s v="High"/>
    <n v="2789.61"/>
    <n v="0.17100000000000001"/>
    <n v="8"/>
    <n v="0"/>
    <n v="11348.08"/>
    <n v="-11348.08"/>
    <n v="0"/>
  </r>
  <r>
    <x v="614"/>
    <d v="2025-03-11T00:00:00"/>
    <d v="2025-03-27T00:00:00"/>
    <x v="13"/>
    <s v="Mar-2025"/>
    <s v="Q1-2025"/>
    <s v="Asia"/>
    <x v="2"/>
    <s v="Tokyo"/>
    <s v="Enterprise"/>
    <s v="Distributor"/>
    <s v="B. Chen"/>
    <x v="1"/>
    <s v="PRN-5264"/>
    <n v="1317.58"/>
    <s v="High"/>
    <n v="1897.74"/>
    <n v="8.1000000000000003E-2"/>
    <n v="6"/>
    <n v="0"/>
    <n v="7905.48"/>
    <n v="-7905.48"/>
    <n v="0"/>
  </r>
  <r>
    <x v="615"/>
    <d v="2023-10-09T00:00:00"/>
    <d v="2023-10-11T00:00:00"/>
    <x v="6"/>
    <s v="Oct-2023"/>
    <s v="Q4-2023"/>
    <s v="Africa"/>
    <x v="1"/>
    <s v="Port Harcourt"/>
    <s v="Education"/>
    <s v="Marketplace"/>
    <s v="K. Singh"/>
    <x v="2"/>
    <s v="NET-8856"/>
    <n v="391.16"/>
    <s v="High"/>
    <n v="902.47"/>
    <n v="4.0000000000000001E-3"/>
    <n v="12"/>
    <n v="0"/>
    <n v="4693.92"/>
    <n v="-4693.92"/>
    <n v="0"/>
  </r>
  <r>
    <x v="616"/>
    <d v="2024-12-17T00:00:00"/>
    <d v="2025-01-16T00:00:00"/>
    <x v="26"/>
    <s v="Dec-2024"/>
    <s v="Q4-2024"/>
    <s v="Europe"/>
    <x v="8"/>
    <s v="Manchester"/>
    <s v="Corporate"/>
    <s v="Retail"/>
    <s v="D. Smith"/>
    <x v="5"/>
    <s v="MON-4215"/>
    <n v="722.87"/>
    <s v="Low"/>
    <n v="-33.659999999999997"/>
    <n v="0.10199999999999999"/>
    <n v="28"/>
    <n v="0"/>
    <n v="20240.36"/>
    <n v="-20240.36"/>
    <n v="0"/>
  </r>
  <r>
    <x v="617"/>
    <d v="2025-07-11T00:00:00"/>
    <d v="2025-07-16T00:00:00"/>
    <x v="16"/>
    <s v="Jul-2025"/>
    <s v="Q3-2025"/>
    <s v="Europe"/>
    <x v="8"/>
    <s v="London"/>
    <s v="Enterprise"/>
    <s v="Online"/>
    <s v="K. Singh"/>
    <x v="1"/>
    <s v="PRN-5753"/>
    <n v="930.03"/>
    <s v="High"/>
    <n v="1086.68"/>
    <n v="0.109"/>
    <n v="26"/>
    <n v="0"/>
    <n v="24180.78"/>
    <n v="-24180.78"/>
    <n v="0"/>
  </r>
  <r>
    <x v="618"/>
    <d v="2024-10-13T00:00:00"/>
    <d v="2024-10-24T00:00:00"/>
    <x v="23"/>
    <s v="Oct-2024"/>
    <s v="Q4-2024"/>
    <s v="Europe"/>
    <x v="7"/>
    <s v="Paris"/>
    <s v="Education"/>
    <s v="Distributor"/>
    <s v="F. Müller"/>
    <x v="0"/>
    <s v="CMP-5006"/>
    <n v="816.7"/>
    <s v="High"/>
    <n v="1010.75"/>
    <n v="4.7E-2"/>
    <n v="43"/>
    <n v="0"/>
    <n v="35118.1"/>
    <n v="-35118.1"/>
    <n v="0"/>
  </r>
  <r>
    <x v="619"/>
    <d v="2023-09-08T00:00:00"/>
    <d v="2023-09-14T00:00:00"/>
    <x v="30"/>
    <s v="Sept-2023"/>
    <s v="Q3-2023"/>
    <s v="Africa"/>
    <x v="0"/>
    <s v="Nakuru"/>
    <s v="Education"/>
    <s v="Direct"/>
    <s v="I. Johnson"/>
    <x v="6"/>
    <s v="ACC-4766"/>
    <n v="251.03"/>
    <s v="High"/>
    <n v="411.48"/>
    <n v="0.16500000000000001"/>
    <n v="3"/>
    <n v="0"/>
    <n v="753.09"/>
    <n v="-753.09"/>
    <n v="0"/>
  </r>
  <r>
    <x v="620"/>
    <d v="2025-04-17T00:00:00"/>
    <d v="2025-05-03T00:00:00"/>
    <x v="13"/>
    <s v="Apr-2025"/>
    <s v="Q2-2025"/>
    <s v="Americas"/>
    <x v="5"/>
    <s v="Rio de Janeiro"/>
    <s v="Consumer"/>
    <s v="Marketplace"/>
    <s v="J. Njeri"/>
    <x v="2"/>
    <s v="NET-8610"/>
    <n v="168.68"/>
    <s v="High"/>
    <n v="413.34"/>
    <n v="0.186"/>
    <n v="7"/>
    <n v="0"/>
    <n v="1180.76"/>
    <n v="-1180.76"/>
    <n v="0"/>
  </r>
  <r>
    <x v="621"/>
    <d v="2024-07-28T00:00:00"/>
    <d v="2024-08-23T00:00:00"/>
    <x v="0"/>
    <s v="Jul-2024"/>
    <s v="Q3-2024"/>
    <s v="Asia"/>
    <x v="4"/>
    <s v="Hyderabad"/>
    <s v="Corporate"/>
    <s v="Retail"/>
    <s v="J. Njeri"/>
    <x v="2"/>
    <s v="NET-4675"/>
    <n v="1339.24"/>
    <s v="High"/>
    <n v="1558.89"/>
    <n v="0.192"/>
    <n v="24"/>
    <n v="0"/>
    <n v="32141.760000000002"/>
    <n v="-32141.760000000002"/>
    <n v="0"/>
  </r>
  <r>
    <x v="622"/>
    <d v="2025-07-19T00:00:00"/>
    <d v="2025-07-31T00:00:00"/>
    <x v="8"/>
    <s v="Jul-2025"/>
    <s v="Q3-2025"/>
    <s v="Africa"/>
    <x v="0"/>
    <s v="Nairobi"/>
    <s v="Small Business"/>
    <s v="Marketplace"/>
    <s v="O. Wang"/>
    <x v="6"/>
    <s v="ACC-1028"/>
    <n v="619.64"/>
    <s v="High"/>
    <n v="861.16"/>
    <n v="0.113"/>
    <n v="14"/>
    <n v="0"/>
    <n v="8674.9599999999991"/>
    <n v="-8674.9599999999991"/>
    <n v="0"/>
  </r>
  <r>
    <x v="623"/>
    <d v="2023-08-03T00:00:00"/>
    <d v="2023-08-02T00:00:00"/>
    <x v="1"/>
    <s v="Aug-2023"/>
    <s v="Q3-2023"/>
    <s v="Asia"/>
    <x v="9"/>
    <s v="Shanghai"/>
    <s v="Non-Profit"/>
    <s v="Direct"/>
    <s v="J. Njeri"/>
    <x v="2"/>
    <s v="NET-4735"/>
    <n v="1021.97"/>
    <s v="High"/>
    <n v="2296.25"/>
    <n v="0.161"/>
    <n v="26"/>
    <n v="0"/>
    <n v="26571.22"/>
    <n v="-26571.22"/>
    <n v="0"/>
  </r>
  <r>
    <x v="624"/>
    <d v="2023-11-19T00:00:00"/>
    <d v="2023-12-12T00:00:00"/>
    <x v="21"/>
    <s v="Nov-2023"/>
    <s v="Q4-2023"/>
    <s v="Asia"/>
    <x v="4"/>
    <s v="Delhi"/>
    <s v="Small Business"/>
    <s v="Direct"/>
    <s v="C. Otieno"/>
    <x v="2"/>
    <s v="NET-2460"/>
    <n v="1349.04"/>
    <s v="High"/>
    <n v="2636.6"/>
    <n v="0.114"/>
    <n v="14"/>
    <n v="0"/>
    <n v="18886.559999999998"/>
    <n v="-18886.559999999998"/>
    <n v="0"/>
  </r>
  <r>
    <x v="625"/>
    <d v="2023-12-22T00:00:00"/>
    <d v="2024-01-16T00:00:00"/>
    <x v="2"/>
    <s v="Dec-2023"/>
    <s v="Q4-2023"/>
    <s v="Asia"/>
    <x v="4"/>
    <s v="Hyderabad"/>
    <s v="Small Business"/>
    <s v="Retail"/>
    <s v="A. Patel"/>
    <x v="0"/>
    <s v="CMP-1555"/>
    <n v="1346.81"/>
    <s v="High"/>
    <n v="978.09"/>
    <n v="0.159"/>
    <n v="17"/>
    <n v="0"/>
    <n v="22895.77"/>
    <n v="-22895.77"/>
    <n v="0"/>
  </r>
  <r>
    <x v="626"/>
    <d v="2023-08-03T00:00:00"/>
    <d v="2023-08-30T00:00:00"/>
    <x v="29"/>
    <s v="Aug-2023"/>
    <s v="Q3-2023"/>
    <s v="Asia"/>
    <x v="9"/>
    <s v="Shanghai"/>
    <s v="Consumer"/>
    <s v="Distributor"/>
    <s v="N. Brown"/>
    <x v="5"/>
    <s v="MON-3773"/>
    <n v="226.04"/>
    <s v="High"/>
    <n v="545.72"/>
    <n v="0.151"/>
    <n v="11"/>
    <n v="0"/>
    <n v="2486.44"/>
    <n v="-2486.44"/>
    <n v="0"/>
  </r>
  <r>
    <x v="627"/>
    <d v="2023-06-23T00:00:00"/>
    <d v="2023-07-18T00:00:00"/>
    <x v="2"/>
    <s v="Jun-2023"/>
    <s v="Q2-2023"/>
    <s v="Americas"/>
    <x v="3"/>
    <s v="Vancouver"/>
    <s v="Enterprise"/>
    <s v="Online"/>
    <s v="N. Brown"/>
    <x v="3"/>
    <s v="PHN-4677"/>
    <n v="807.02"/>
    <s v="High"/>
    <n v="1435.54"/>
    <n v="0"/>
    <n v="23"/>
    <n v="0"/>
    <n v="18561.46"/>
    <n v="-18561.46"/>
    <n v="0"/>
  </r>
  <r>
    <x v="628"/>
    <d v="2023-12-07T00:00:00"/>
    <d v="2024-01-02T00:00:00"/>
    <x v="0"/>
    <s v="Dec-2023"/>
    <s v="Q4-2023"/>
    <s v="Europe"/>
    <x v="6"/>
    <s v="Frankfurt"/>
    <s v="Enterprise"/>
    <s v="Distributor"/>
    <s v="E. Garcia"/>
    <x v="0"/>
    <s v="CMP-1940"/>
    <n v="1071.99"/>
    <s v="High"/>
    <n v="2397.3000000000002"/>
    <n v="6.2E-2"/>
    <n v="18"/>
    <n v="0"/>
    <n v="19295.82"/>
    <n v="-19295.82"/>
    <n v="0"/>
  </r>
  <r>
    <x v="629"/>
    <d v="2023-11-19T00:00:00"/>
    <d v="2023-12-19T00:00:00"/>
    <x v="18"/>
    <s v="Nov-2023"/>
    <s v="Q4-2023"/>
    <s v="Asia"/>
    <x v="2"/>
    <s v="Nagoya"/>
    <s v="Consumer"/>
    <s v="Retail"/>
    <s v="Not Provided"/>
    <x v="3"/>
    <s v="PHN-9184"/>
    <n v="807.11"/>
    <s v="High"/>
    <n v="1853.86"/>
    <n v="0.13900000000000001"/>
    <n v="8"/>
    <n v="0"/>
    <n v="6456.88"/>
    <n v="-6456.88"/>
    <n v="0"/>
  </r>
  <r>
    <x v="630"/>
    <d v="2025-02-28T00:00:00"/>
    <d v="2025-03-10T00:00:00"/>
    <x v="24"/>
    <s v="Feb-2025"/>
    <s v="Q1-2025"/>
    <s v="Asia"/>
    <x v="2"/>
    <s v="Osaka"/>
    <s v="Education"/>
    <s v="Distributor"/>
    <s v="N. Brown"/>
    <x v="4"/>
    <s v="LAP-3017"/>
    <n v="51.86"/>
    <s v="Low"/>
    <n v="45.98"/>
    <n v="0.17299999999999999"/>
    <n v="7"/>
    <n v="0"/>
    <n v="363.02"/>
    <n v="-363.02"/>
    <n v="0"/>
  </r>
  <r>
    <x v="631"/>
    <m/>
    <m/>
    <x v="31"/>
    <m/>
    <m/>
    <m/>
    <x v="12"/>
    <m/>
    <m/>
    <m/>
    <m/>
    <x v="7"/>
    <m/>
    <m/>
    <m/>
    <m/>
    <m/>
    <m/>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3">
  <r>
    <s v="ORD-2024-275203"/>
    <d v="2024-03-11T00:00:00"/>
    <d v="2024-04-06T00:00:00"/>
    <n v="26"/>
    <x v="0"/>
    <s v="Q1-2024"/>
    <x v="0"/>
    <s v="Kenya"/>
    <s v="Kisumu"/>
    <s v="Corporate"/>
    <x v="0"/>
    <s v="C. Otieno"/>
    <s v="Components"/>
    <s v="CMP-8270"/>
    <n v="279.24"/>
    <s v="High"/>
    <n v="608.9"/>
    <n v="0.112"/>
    <n v="9"/>
    <n v="1403.9546399999999"/>
    <n v="2513.16"/>
    <n v="-1109.2053599999999"/>
    <n v="-0.79005783263766982"/>
  </r>
  <r>
    <s v="ORD-2024-358795"/>
    <d v="2024-10-23T00:00:00"/>
    <d v="2024-10-22T00:00:00"/>
    <n v="1"/>
    <x v="1"/>
    <s v="Q4-2024"/>
    <x v="0"/>
    <s v="Nigeria"/>
    <s v="Port Harcourt"/>
    <s v="Education"/>
    <x v="1"/>
    <s v="J. Njeri"/>
    <s v="Printers"/>
    <s v="PRN-9322"/>
    <n v="1084.3900000000001"/>
    <s v="High"/>
    <n v="759.33"/>
    <n v="0.23699999999999999"/>
    <n v="31"/>
    <n v="17934.41419"/>
    <n v="33616.090000000004"/>
    <n v="-15681.675810000004"/>
    <n v="-0.87439018882166253"/>
  </r>
  <r>
    <s v="ORD-2023-373538"/>
    <d v="2023-02-28T00:00:00"/>
    <d v="2023-03-25T00:00:00"/>
    <n v="25"/>
    <x v="2"/>
    <s v="Q1-2023"/>
    <x v="0"/>
    <s v="Kenya"/>
    <s v="Nairobi"/>
    <s v="Corporate"/>
    <x v="0"/>
    <s v="I. Johnson"/>
    <s v="Networking"/>
    <s v="NET-9666"/>
    <n v="1460.76"/>
    <s v="Low"/>
    <n v="-30.66"/>
    <n v="0.13100000000000001"/>
    <n v="12"/>
    <n v="4534.0944"/>
    <n v="17529.12"/>
    <n v="-12995.025599999999"/>
    <n v="-2.8660686023652264"/>
  </r>
  <r>
    <s v="ORD-2025-168148"/>
    <d v="2025-03-29T00:00:00"/>
    <d v="2025-04-02T00:00:00"/>
    <n v="4"/>
    <x v="3"/>
    <s v="Q1-2025"/>
    <x v="0"/>
    <s v="Nigeria"/>
    <s v="Lagos"/>
    <s v="Non-Profit"/>
    <x v="2"/>
    <s v="G. Dubois"/>
    <s v="Phones"/>
    <s v="PHN-4556"/>
    <n v="259.93"/>
    <s v="High"/>
    <n v="255.94"/>
    <n v="7.1999999999999995E-2"/>
    <n v="22"/>
    <n v="34016.730880000003"/>
    <n v="5718.46"/>
    <n v="28298.270880000004"/>
    <n v="0.83189272301994943"/>
  </r>
  <r>
    <s v="ORD-2023-824839"/>
    <d v="2023-12-06T00:00:00"/>
    <d v="2023-12-31T00:00:00"/>
    <n v="25"/>
    <x v="4"/>
    <s v="Q4-2023"/>
    <x v="1"/>
    <s v="Japan"/>
    <s v="Osaka"/>
    <s v="Consumer"/>
    <x v="0"/>
    <s v="L. Okafor"/>
    <s v="Printers"/>
    <s v="PRN-8041"/>
    <n v="663.03"/>
    <s v="High"/>
    <n v="813.51"/>
    <n v="0.10199999999999999"/>
    <n v="15"/>
    <n v="8510.0765999999985"/>
    <n v="9945.4499999999989"/>
    <n v="-1435.3734000000004"/>
    <n v="-0.16866750647109341"/>
  </r>
  <r>
    <s v="ORD-2023-723587"/>
    <d v="2023-01-02T00:00:00"/>
    <d v="2023-01-05T00:00:00"/>
    <n v="3"/>
    <x v="5"/>
    <s v="Q1-2023"/>
    <x v="2"/>
    <s v="Canada"/>
    <s v="Toronto"/>
    <s v="Corporate"/>
    <x v="3"/>
    <s v="B. Chen"/>
    <s v="Laptops"/>
    <s v="LAP-8555"/>
    <n v="315.87"/>
    <s v="High"/>
    <n v="591.67999999999995"/>
    <n v="0"/>
    <n v="7"/>
    <n v="12558.49"/>
    <n v="2211.09"/>
    <n v="10347.4"/>
    <n v="0.82393663569425946"/>
  </r>
  <r>
    <s v="ORD-2024-336584"/>
    <d v="2024-12-27T00:00:00"/>
    <d v="2025-01-14T00:00:00"/>
    <n v="18"/>
    <x v="6"/>
    <s v="Q4-2024"/>
    <x v="1"/>
    <s v="India"/>
    <s v="Bengaluru"/>
    <s v="Small Business"/>
    <x v="2"/>
    <s v="E. Garcia"/>
    <s v="Monitors"/>
    <s v="MON-8629"/>
    <n v="586.07000000000005"/>
    <s v="High"/>
    <n v="845.97"/>
    <n v="0.14699999999999999"/>
    <n v="4"/>
    <n v="8983.864239999999"/>
    <n v="2344.2800000000002"/>
    <n v="6639.5842399999983"/>
    <n v="0.73905660889639613"/>
  </r>
  <r>
    <s v="ORD-2023-112666"/>
    <d v="2023-01-15T00:00:00"/>
    <d v="2023-01-13T00:00:00"/>
    <n v="2"/>
    <x v="5"/>
    <s v="Q1-2023"/>
    <x v="0"/>
    <s v="Nigeria"/>
    <s v="Abuja"/>
    <s v="Education"/>
    <x v="1"/>
    <s v="O. Wang"/>
    <s v="Printers"/>
    <s v="PRN-6276"/>
    <n v="28.38"/>
    <s v="Low"/>
    <n v="47.22"/>
    <n v="0.19400000000000001"/>
    <n v="18"/>
    <n v="19177.399799999999"/>
    <n v="510.84"/>
    <n v="18666.559799999999"/>
    <n v="0.97336239504168864"/>
  </r>
  <r>
    <s v="ORD-2024-589570"/>
    <d v="2024-05-04T00:00:00"/>
    <d v="2024-05-29T00:00:00"/>
    <n v="25"/>
    <x v="7"/>
    <s v="Q2-2024"/>
    <x v="0"/>
    <s v="Nigeria"/>
    <s v="Abuja"/>
    <s v="Non-Profit"/>
    <x v="2"/>
    <s v="O. Wang"/>
    <s v="Monitors"/>
    <s v="MON-6892"/>
    <n v="1295.3399999999999"/>
    <s v="High"/>
    <n v="2530.81"/>
    <n v="3.1E-2"/>
    <n v="6"/>
    <n v="17656.36218"/>
    <n v="7772.0399999999991"/>
    <n v="9884.322180000001"/>
    <n v="0.55981646044825306"/>
  </r>
  <r>
    <s v="ORD-2025-997421"/>
    <d v="2025-05-21T00:00:00"/>
    <d v="2025-06-09T00:00:00"/>
    <n v="19"/>
    <x v="8"/>
    <s v="Q2-2025"/>
    <x v="2"/>
    <s v="Brazil"/>
    <s v="São Paulo"/>
    <s v="Non-Profit"/>
    <x v="1"/>
    <s v="A. Patel"/>
    <s v="Components"/>
    <s v="CMP-3731"/>
    <n v="1331.38"/>
    <s v="High"/>
    <n v="2309.56"/>
    <n v="0.14899999999999999"/>
    <n v="31"/>
    <n v="5259.5799699999998"/>
    <n v="41272.780000000006"/>
    <n v="-36013.200030000007"/>
    <n v="-6.8471627459635354"/>
  </r>
  <r>
    <s v="ORD-2024-210687"/>
    <d v="2024-01-28T00:00:00"/>
    <d v="2024-02-09T00:00:00"/>
    <n v="12"/>
    <x v="9"/>
    <s v="Q1-2024"/>
    <x v="3"/>
    <s v="Germany"/>
    <s v="Berlin"/>
    <s v="Corporate"/>
    <x v="1"/>
    <s v="G. Dubois"/>
    <s v="Accessories"/>
    <s v="ACC-7938"/>
    <n v="644.16999999999996"/>
    <s v="High"/>
    <n v="700.12"/>
    <n v="6.0000000000000001E-3"/>
    <n v="23"/>
    <n v="21204.733619999999"/>
    <n v="14815.91"/>
    <n v="6388.8236199999992"/>
    <n v="0.30129233097152197"/>
  </r>
  <r>
    <s v="ORD-2025-515515"/>
    <d v="2025-01-03T00:00:00"/>
    <d v="2025-01-23T00:00:00"/>
    <n v="20"/>
    <x v="10"/>
    <s v="Q1-2025"/>
    <x v="1"/>
    <s v="Japan"/>
    <s v="Osaka"/>
    <s v="Corporate"/>
    <x v="3"/>
    <s v="F. Müller"/>
    <s v="Phones"/>
    <s v="PHN-7019"/>
    <n v="908.6"/>
    <s v="High"/>
    <n v="691.37"/>
    <n v="0.25"/>
    <n v="20"/>
    <n v="26031.15"/>
    <n v="18172"/>
    <n v="7859.1500000000015"/>
    <n v="0.30191328466087747"/>
  </r>
  <r>
    <s v="ORD-2025-487261"/>
    <d v="2025-03-06T00:00:00"/>
    <d v="2025-03-31T00:00:00"/>
    <n v="25"/>
    <x v="3"/>
    <s v="Q1-2025"/>
    <x v="2"/>
    <s v="Brazil"/>
    <s v="Brasília"/>
    <s v="Non-Profit"/>
    <x v="1"/>
    <s v="J. Njeri"/>
    <s v="Components"/>
    <s v="CMP-3693"/>
    <n v="331.57"/>
    <s v="High"/>
    <n v="548.4"/>
    <n v="9.4E-2"/>
    <n v="10"/>
    <n v="12644.498400000002"/>
    <n v="3315.7"/>
    <n v="9328.7984000000033"/>
    <n v="0.73777528415045723"/>
  </r>
  <r>
    <s v="ORD-2024-890180"/>
    <d v="2024-01-20T00:00:00"/>
    <d v="2024-02-13T00:00:00"/>
    <n v="24"/>
    <x v="9"/>
    <s v="Q1-2024"/>
    <x v="3"/>
    <s v="France"/>
    <s v="Marseille"/>
    <s v="Corporate"/>
    <x v="0"/>
    <s v="H. Kim"/>
    <s v="Printers"/>
    <s v="PRN-8392"/>
    <n v="643.53"/>
    <s v="High"/>
    <n v="1439.01"/>
    <n v="0"/>
    <n v="15"/>
    <n v="6816.3"/>
    <n v="9652.9499999999989"/>
    <n v="-2836.6499999999987"/>
    <n v="-0.4161568592931647"/>
  </r>
  <r>
    <s v="ORD-2025-840976"/>
    <d v="2025-09-01T00:00:00"/>
    <d v="2025-09-30T00:00:00"/>
    <n v="29"/>
    <x v="11"/>
    <s v="Q3-2025"/>
    <x v="2"/>
    <s v="Brazil"/>
    <s v="Brasília"/>
    <s v="Education"/>
    <x v="0"/>
    <s v="K. Singh"/>
    <s v="Accessories"/>
    <s v="ACC-1663"/>
    <n v="780.59"/>
    <s v="High"/>
    <n v="631.57000000000005"/>
    <n v="0"/>
    <n v="12"/>
    <n v="18971.64"/>
    <n v="9367.08"/>
    <n v="9604.56"/>
    <n v="0.50625881579030596"/>
  </r>
  <r>
    <s v="ORD-2023-937291"/>
    <d v="2023-04-23T00:00:00"/>
    <d v="2023-04-22T00:00:00"/>
    <n v="1"/>
    <x v="12"/>
    <s v="Q2-2023"/>
    <x v="0"/>
    <s v="Kenya"/>
    <s v="Nairobi"/>
    <s v="Small Business"/>
    <x v="4"/>
    <s v="E. Garcia"/>
    <s v="Laptops"/>
    <s v="LAP-1698"/>
    <n v="756.51"/>
    <s v="High"/>
    <n v="850.8"/>
    <n v="7.3999999999999996E-2"/>
    <n v="9"/>
    <n v="14666.089860000002"/>
    <n v="6808.59"/>
    <n v="7857.4998600000017"/>
    <n v="0.53575969702943038"/>
  </r>
  <r>
    <s v="ORD-2024-206081"/>
    <d v="2024-12-10T00:00:00"/>
    <d v="2025-01-08T00:00:00"/>
    <n v="29"/>
    <x v="6"/>
    <s v="Q4-2024"/>
    <x v="3"/>
    <s v="France"/>
    <s v="Marseille"/>
    <s v="Small Business"/>
    <x v="0"/>
    <s v="K. Singh"/>
    <s v="Printers"/>
    <s v="PRN-6791"/>
    <n v="891.08"/>
    <s v="High"/>
    <n v="1040.0999999999999"/>
    <n v="0.109"/>
    <n v="28"/>
    <n v="79945.865999999995"/>
    <n v="24950.240000000002"/>
    <n v="54995.625999999989"/>
    <n v="0.68791081705212864"/>
  </r>
  <r>
    <s v="ORD-2025-233883"/>
    <d v="2025-09-08T00:00:00"/>
    <d v="2025-09-16T00:00:00"/>
    <n v="8"/>
    <x v="11"/>
    <s v="Q3-2025"/>
    <x v="1"/>
    <s v="Japan"/>
    <s v="Osaka"/>
    <s v="Corporate"/>
    <x v="3"/>
    <s v="C. Otieno"/>
    <s v="Phones"/>
    <s v="PHN-1197"/>
    <n v="1225.57"/>
    <s v="High"/>
    <n v="2705.57"/>
    <n v="0.183"/>
    <n v="16"/>
    <n v="14842.34096"/>
    <n v="19609.12"/>
    <n v="-4766.7790399999994"/>
    <n v="-0.32116086356232038"/>
  </r>
  <r>
    <s v="ORD-2025-843974"/>
    <d v="2025-07-20T00:00:00"/>
    <d v="2025-08-05T00:00:00"/>
    <n v="16"/>
    <x v="13"/>
    <s v="Q3-2025"/>
    <x v="2"/>
    <s v="Brazil"/>
    <s v="Brasília"/>
    <s v="Enterprise"/>
    <x v="2"/>
    <s v="G. Dubois"/>
    <s v="Accessories"/>
    <s v="ACC-8098"/>
    <n v="1068.17"/>
    <s v="High"/>
    <n v="2375.37"/>
    <n v="0.109"/>
    <n v="18"/>
    <n v="15979.62168"/>
    <n v="19227.060000000001"/>
    <n v="-3247.4383200000011"/>
    <n v="-0.20322372988745258"/>
  </r>
  <r>
    <s v="ORD-2025-745263"/>
    <d v="2025-05-21T00:00:00"/>
    <d v="2025-05-19T00:00:00"/>
    <n v="2"/>
    <x v="8"/>
    <s v="Q2-2025"/>
    <x v="3"/>
    <s v="United Kingdom"/>
    <s v="Birmingham"/>
    <s v="Enterprise"/>
    <x v="1"/>
    <s v="M. Rossi"/>
    <s v="Laptops"/>
    <s v="LAP-3385"/>
    <n v="1015.16"/>
    <s v="High"/>
    <n v="2148.14"/>
    <n v="3.7999999999999999E-2"/>
    <n v="19"/>
    <n v="25535.279900000001"/>
    <n v="19288.04"/>
    <n v="6247.2399000000005"/>
    <n v="0.24465131866441769"/>
  </r>
  <r>
    <s v="ORD-2024-798002"/>
    <d v="2024-07-25T00:00:00"/>
    <d v="2024-07-24T00:00:00"/>
    <n v="1"/>
    <x v="14"/>
    <s v="Q3-2024"/>
    <x v="0"/>
    <s v="Kenya"/>
    <s v="Mombasa"/>
    <s v="Non-Profit"/>
    <x v="4"/>
    <s v="J. Njeri"/>
    <s v="Laptops"/>
    <s v="LAP-9815"/>
    <n v="1494.4"/>
    <s v="High"/>
    <n v="3661.07"/>
    <n v="7.1999999999999995E-2"/>
    <n v="7"/>
    <n v="3565.5894400000002"/>
    <n v="10460.800000000001"/>
    <n v="-6895.2105600000014"/>
    <n v="-1.9338206700544864"/>
  </r>
  <r>
    <s v="ORD-2023-867836"/>
    <d v="2023-05-11T00:00:00"/>
    <d v="2023-05-28T00:00:00"/>
    <n v="17"/>
    <x v="15"/>
    <s v="Q2-2023"/>
    <x v="1"/>
    <s v="China"/>
    <s v="Shenzhen"/>
    <s v="Enterprise"/>
    <x v="2"/>
    <s v="E. Garcia"/>
    <s v="Networking"/>
    <s v="NET-3255"/>
    <n v="1331.19"/>
    <s v="High"/>
    <n v="2903.09"/>
    <n v="0.14299999999999999"/>
    <n v="8"/>
    <n v="24160.543999999998"/>
    <n v="10649.52"/>
    <n v="13511.023999999998"/>
    <n v="0.55921853415221112"/>
  </r>
  <r>
    <s v="ORD-2025-580047"/>
    <d v="2025-06-14T00:00:00"/>
    <d v="2025-06-29T00:00:00"/>
    <n v="15"/>
    <x v="16"/>
    <s v="Q2-2025"/>
    <x v="0"/>
    <s v="Nigeria"/>
    <s v="Port Harcourt"/>
    <s v="Consumer"/>
    <x v="2"/>
    <s v="M. Rossi"/>
    <s v="Accessories"/>
    <s v="ACC-3961"/>
    <n v="730.99"/>
    <s v="High"/>
    <n v="1242.8399999999999"/>
    <n v="0.12"/>
    <n v="10"/>
    <n v="16065.367999999999"/>
    <n v="7309.9"/>
    <n v="8755.4679999999989"/>
    <n v="0.54499019256826231"/>
  </r>
  <r>
    <s v="ORD-2024-500109"/>
    <d v="2024-05-18T00:00:00"/>
    <d v="2024-05-23T00:00:00"/>
    <n v="5"/>
    <x v="7"/>
    <s v="Q2-2024"/>
    <x v="2"/>
    <s v="USA"/>
    <s v="Chicago"/>
    <s v="Enterprise"/>
    <x v="0"/>
    <s v="H. Kim"/>
    <s v="Laptops"/>
    <s v="LAP-4987"/>
    <n v="1274.5899999999999"/>
    <s v="High"/>
    <n v="2553.69"/>
    <n v="0.01"/>
    <n v="8"/>
    <n v="14187.650399999999"/>
    <n v="10196.719999999999"/>
    <n v="3990.9303999999993"/>
    <n v="0.28129607704458237"/>
  </r>
  <r>
    <s v="ORD-2023-271836"/>
    <d v="2023-02-07T00:00:00"/>
    <d v="2023-02-12T00:00:00"/>
    <n v="5"/>
    <x v="2"/>
    <s v="Q1-2023"/>
    <x v="2"/>
    <s v="Brazil"/>
    <s v="São Paulo"/>
    <s v="Education"/>
    <x v="1"/>
    <s v="N. Brown"/>
    <s v="Components"/>
    <s v="CMP-2693"/>
    <n v="948.55"/>
    <s v="High"/>
    <n v="2089.16"/>
    <n v="7.0000000000000001E-3"/>
    <n v="12"/>
    <n v="31336.100999999999"/>
    <n v="11382.599999999999"/>
    <n v="19953.501"/>
    <n v="0.63675761703729516"/>
  </r>
  <r>
    <s v="ORD-2024-215294"/>
    <d v="2024-06-30T00:00:00"/>
    <d v="2024-07-14T00:00:00"/>
    <n v="14"/>
    <x v="17"/>
    <s v="Q2-2024"/>
    <x v="2"/>
    <s v="Brazil"/>
    <s v="Brasília"/>
    <s v="Education"/>
    <x v="0"/>
    <s v="C. Otieno"/>
    <s v="Accessories"/>
    <s v="ACC-8683"/>
    <n v="1491.85"/>
    <s v="High"/>
    <n v="2583.02"/>
    <n v="0.16800000000000001"/>
    <n v="4"/>
    <n v="353.76639999999998"/>
    <n v="5967.4"/>
    <n v="-5613.6335999999992"/>
    <n v="-15.868193248426079"/>
  </r>
  <r>
    <s v="ORD-2024-788105"/>
    <d v="2024-11-30T00:00:00"/>
    <d v="2024-12-30T00:00:00"/>
    <n v="0"/>
    <x v="18"/>
    <s v="Q4-2024"/>
    <x v="3"/>
    <s v="France"/>
    <s v="Marseille"/>
    <s v="Consumer"/>
    <x v="2"/>
    <s v="F. Müller"/>
    <s v="Printers"/>
    <s v="PRN-4170"/>
    <n v="117.64"/>
    <s v="Medium"/>
    <n v="175.67"/>
    <n v="0"/>
    <n v="10"/>
    <n v="3857.2000000000003"/>
    <n v="1176.4000000000001"/>
    <n v="2680.8"/>
    <n v="0.69501192574924819"/>
  </r>
  <r>
    <s v="ORD-2024-855073"/>
    <d v="2024-07-19T00:00:00"/>
    <d v="2024-07-19T00:00:00"/>
    <n v="0"/>
    <x v="14"/>
    <s v="Q3-2024"/>
    <x v="0"/>
    <s v="Kenya"/>
    <s v="Kisumu"/>
    <s v="Small Business"/>
    <x v="0"/>
    <s v="A. Patel"/>
    <s v="Phones"/>
    <s v="PHN-6854"/>
    <n v="857.24"/>
    <s v="High"/>
    <n v="758.23"/>
    <n v="0.125"/>
    <n v="6"/>
    <n v="1243.5675000000001"/>
    <n v="5143.4400000000005"/>
    <n v="-3899.8725000000004"/>
    <n v="-3.1360360414694015"/>
  </r>
  <r>
    <s v="ORD-2023-897079"/>
    <d v="2023-04-14T00:00:00"/>
    <d v="2023-05-14T00:00:00"/>
    <n v="0"/>
    <x v="12"/>
    <s v="Q2-2023"/>
    <x v="0"/>
    <s v="Kenya"/>
    <s v="Nakuru"/>
    <s v="Consumer"/>
    <x v="2"/>
    <s v="M. Rossi"/>
    <s v="Phones"/>
    <s v="PHN-1784"/>
    <n v="209.25"/>
    <s v="High"/>
    <n v="434.8"/>
    <n v="0"/>
    <n v="9"/>
    <n v="377.09999999999997"/>
    <n v="1883.25"/>
    <n v="-1506.15"/>
    <n v="-3.9940334128878288"/>
  </r>
  <r>
    <s v="ORD-2025-548982"/>
    <d v="2025-04-07T00:00:00"/>
    <d v="2025-04-11T00:00:00"/>
    <n v="4"/>
    <x v="19"/>
    <s v="Q2-2025"/>
    <x v="3"/>
    <s v="France"/>
    <s v="Lyon"/>
    <s v="Education"/>
    <x v="0"/>
    <s v="E. Garcia"/>
    <s v="Networking"/>
    <s v="NET-9716"/>
    <n v="754.77"/>
    <s v="High"/>
    <n v="1666.18"/>
    <n v="0.13900000000000001"/>
    <n v="14"/>
    <n v="11781.338519999999"/>
    <n v="10566.779999999999"/>
    <n v="1214.5585200000005"/>
    <n v="0.10309172577786183"/>
  </r>
  <r>
    <s v="ORD-2024-170313"/>
    <d v="2024-12-27T00:00:00"/>
    <d v="2025-01-15T00:00:00"/>
    <n v="19"/>
    <x v="6"/>
    <s v="Q4-2024"/>
    <x v="1"/>
    <s v="India"/>
    <s v="Delhi"/>
    <s v="Non-Profit"/>
    <x v="3"/>
    <s v="G. Dubois"/>
    <s v="Components"/>
    <s v="CMP-6919"/>
    <n v="495.59"/>
    <s v="High"/>
    <n v="631.78"/>
    <n v="8.6999999999999994E-2"/>
    <n v="17"/>
    <n v="43367.691729999999"/>
    <n v="8425.0299999999988"/>
    <n v="34942.66173"/>
    <n v="0.8057302645376464"/>
  </r>
  <r>
    <s v="ORD-2023-562894"/>
    <d v="2023-02-23T00:00:00"/>
    <d v="2023-03-25T00:00:00"/>
    <n v="2"/>
    <x v="2"/>
    <s v="Q1-2023"/>
    <x v="2"/>
    <s v="Canada"/>
    <s v="Montreal"/>
    <s v="Enterprise"/>
    <x v="1"/>
    <s v="D. Smith"/>
    <s v="Phones"/>
    <s v="PHN-4854"/>
    <n v="1242.6600000000001"/>
    <s v="High"/>
    <n v="1794.07"/>
    <n v="8.8999999999999996E-2"/>
    <n v="16"/>
    <n v="10231.623200000002"/>
    <n v="19882.560000000001"/>
    <n v="-9650.9367999999995"/>
    <n v="-0.94324591624914389"/>
  </r>
  <r>
    <s v="ORD-2025-474710"/>
    <d v="2025-07-24T00:00:00"/>
    <d v="2025-08-06T00:00:00"/>
    <n v="13"/>
    <x v="13"/>
    <s v="Q3-2025"/>
    <x v="0"/>
    <s v="South Africa"/>
    <s v="Johannesburg"/>
    <s v="Education"/>
    <x v="2"/>
    <s v="D. Smith"/>
    <s v="Networking"/>
    <s v="NET-7966"/>
    <n v="1463.9"/>
    <s v="High"/>
    <n v="2633.02"/>
    <n v="8.4000000000000005E-2"/>
    <n v="4"/>
    <n v="-19.309279999999998"/>
    <n v="5855.6"/>
    <n v="-5874.9092800000008"/>
    <n v="304.25315081660227"/>
  </r>
  <r>
    <s v="ORD-2024-629525"/>
    <d v="2024-04-18T00:00:00"/>
    <d v="2024-05-08T00:00:00"/>
    <n v="20"/>
    <x v="20"/>
    <s v="Q2-2024"/>
    <x v="3"/>
    <s v="United Kingdom"/>
    <s v="London"/>
    <s v="Non-Profit"/>
    <x v="5"/>
    <s v="D. Smith"/>
    <s v="Laptops"/>
    <s v="LAP-9932"/>
    <n v="645.33000000000004"/>
    <s v="High"/>
    <n v="1321.85"/>
    <n v="0"/>
    <n v="10"/>
    <n v="14370.599999999999"/>
    <n v="6453.3"/>
    <n v="7917.2999999999984"/>
    <n v="0.55093733038286496"/>
  </r>
  <r>
    <s v="ORD-2024-167215"/>
    <d v="2024-08-23T00:00:00"/>
    <d v="2024-08-21T00:00:00"/>
    <n v="2"/>
    <x v="21"/>
    <s v="Q3-2024"/>
    <x v="0"/>
    <s v="South Africa"/>
    <s v="Johannesburg"/>
    <s v="Education"/>
    <x v="0"/>
    <s v="E. Garcia"/>
    <s v="Components"/>
    <s v="CMP-1559"/>
    <n v="1432.52"/>
    <s v="High"/>
    <n v="3036.87"/>
    <n v="0"/>
    <n v="9"/>
    <n v="17207.010000000002"/>
    <n v="12892.68"/>
    <n v="4314.3300000000017"/>
    <n v="0.25073095209452434"/>
  </r>
  <r>
    <s v="ORD-2023-864121"/>
    <d v="2023-03-27T00:00:00"/>
    <d v="2023-04-22T00:00:00"/>
    <n v="26"/>
    <x v="22"/>
    <s v="Q1-2023"/>
    <x v="1"/>
    <s v="India"/>
    <s v="Delhi"/>
    <s v="Non-Profit"/>
    <x v="2"/>
    <s v="J. Njeri"/>
    <s v="Printers"/>
    <s v="PRN-4506"/>
    <n v="178.53"/>
    <s v="Medium"/>
    <n v="199.37"/>
    <n v="0.10100000000000001"/>
    <n v="37"/>
    <n v="86276.904139999999"/>
    <n v="6605.61"/>
    <n v="79671.294139999998"/>
    <n v="0.92343709981432354"/>
  </r>
  <r>
    <s v="ORD-2024-692673"/>
    <d v="2024-03-07T00:00:00"/>
    <d v="2024-03-25T00:00:00"/>
    <n v="18"/>
    <x v="0"/>
    <s v="Q1-2024"/>
    <x v="3"/>
    <s v="Germany"/>
    <s v="Munich"/>
    <s v="Corporate"/>
    <x v="1"/>
    <s v="B. Chen"/>
    <s v="Components"/>
    <s v="CMP-7617"/>
    <n v="712.84"/>
    <s v="High"/>
    <n v="927.51"/>
    <n v="0.24299999999999999"/>
    <n v="27"/>
    <n v="25427.751119999997"/>
    <n v="19246.68"/>
    <n v="6181.0711199999969"/>
    <n v="0.24308367227718869"/>
  </r>
  <r>
    <s v="ORD-2025-718992"/>
    <d v="2025-06-24T00:00:00"/>
    <d v="2025-07-10T00:00:00"/>
    <n v="16"/>
    <x v="16"/>
    <s v="Q2-2025"/>
    <x v="1"/>
    <s v="China"/>
    <s v="Shanghai"/>
    <s v="Enterprise"/>
    <x v="4"/>
    <s v="N. Brown"/>
    <s v="Components"/>
    <s v="CMP-8390"/>
    <n v="757.19"/>
    <s v="High"/>
    <n v="1735.41"/>
    <n v="0.13600000000000001"/>
    <n v="8"/>
    <n v="13219.269119999999"/>
    <n v="6057.52"/>
    <n v="7161.7491199999986"/>
    <n v="0.54176589151700383"/>
  </r>
  <r>
    <s v="ORD-2024-599522"/>
    <d v="2024-04-19T00:00:00"/>
    <d v="2024-05-06T00:00:00"/>
    <n v="17"/>
    <x v="20"/>
    <s v="Q2-2024"/>
    <x v="0"/>
    <s v="Nigeria"/>
    <s v="Port Harcourt"/>
    <s v="Non-Profit"/>
    <x v="1"/>
    <s v="A. Patel"/>
    <s v="Printers"/>
    <s v="PRN-7303"/>
    <n v="865.33"/>
    <s v="High"/>
    <n v="1395.64"/>
    <n v="0.17499999999999999"/>
    <n v="13"/>
    <n v="8106.7057499999992"/>
    <n v="11249.29"/>
    <n v="-3142.5842500000017"/>
    <n v="-0.38765243822991874"/>
  </r>
  <r>
    <s v="ORD-2023-651638"/>
    <d v="2023-06-17T00:00:00"/>
    <d v="2023-06-24T00:00:00"/>
    <n v="7"/>
    <x v="23"/>
    <s v="Q2-2023"/>
    <x v="2"/>
    <s v="USA"/>
    <s v="San Francisco"/>
    <s v="Corporate"/>
    <x v="0"/>
    <s v="I. Johnson"/>
    <s v="Printers"/>
    <s v="PRN-6536"/>
    <n v="313.99"/>
    <s v="High"/>
    <n v="454.42"/>
    <n v="0.129"/>
    <n v="9"/>
    <n v="8980.9071300000014"/>
    <n v="2825.91"/>
    <n v="6154.9971300000016"/>
    <n v="0.68534247608904963"/>
  </r>
  <r>
    <s v="ORD-2024-635626"/>
    <d v="2024-08-27T00:00:00"/>
    <d v="2024-09-19T00:00:00"/>
    <n v="23"/>
    <x v="21"/>
    <s v="Q3-2024"/>
    <x v="3"/>
    <s v="Germany"/>
    <s v="Berlin"/>
    <s v="Small Business"/>
    <x v="4"/>
    <s v="D. Smith"/>
    <s v="Monitors"/>
    <s v="MON-9967"/>
    <n v="1024.01"/>
    <s v="High"/>
    <n v="1580.97"/>
    <n v="3.6999999999999998E-2"/>
    <n v="27"/>
    <n v="32087.834099999996"/>
    <n v="27648.27"/>
    <n v="4439.564099999996"/>
    <n v="0.13835661472707492"/>
  </r>
  <r>
    <s v="ORD-2024-296582"/>
    <d v="2024-01-11T00:00:00"/>
    <d v="2024-02-02T00:00:00"/>
    <n v="22"/>
    <x v="9"/>
    <s v="Q1-2024"/>
    <x v="0"/>
    <s v="South Africa"/>
    <s v="Durban"/>
    <s v="Consumer"/>
    <x v="1"/>
    <s v="K. Singh"/>
    <s v="Networking"/>
    <s v="NET-1412"/>
    <n v="1206.2"/>
    <s v="High"/>
    <n v="1759.79"/>
    <n v="0"/>
    <n v="6"/>
    <n v="7368.0599999999995"/>
    <n v="7237.2000000000007"/>
    <n v="130.85999999999876"/>
    <n v="1.7760441690214082E-2"/>
  </r>
  <r>
    <s v="ORD-2024-998320"/>
    <d v="2024-10-25T00:00:00"/>
    <d v="2024-11-14T00:00:00"/>
    <n v="20"/>
    <x v="1"/>
    <s v="Q4-2024"/>
    <x v="0"/>
    <s v="Kenya"/>
    <s v="Mombasa"/>
    <s v="Corporate"/>
    <x v="4"/>
    <s v="H. Kim"/>
    <s v="Printers"/>
    <s v="PRN-3143"/>
    <n v="1396.48"/>
    <s v="High"/>
    <n v="3204.5"/>
    <n v="0.318"/>
    <n v="14"/>
    <n v="5778.7360400000007"/>
    <n v="19550.72"/>
    <n v="-13771.983960000001"/>
    <n v="-2.3832173445319715"/>
  </r>
  <r>
    <s v="ORD-2025-820255"/>
    <d v="2025-05-29T00:00:00"/>
    <d v="2025-06-20T00:00:00"/>
    <n v="22"/>
    <x v="8"/>
    <s v="Q2-2025"/>
    <x v="3"/>
    <s v="Germany"/>
    <s v="Berlin"/>
    <s v="Corporate"/>
    <x v="4"/>
    <s v="A. Patel"/>
    <s v="Printers"/>
    <s v="PRN-9787"/>
    <n v="483.47"/>
    <s v="High"/>
    <n v="1135.43"/>
    <n v="0.14599999999999999"/>
    <n v="11"/>
    <n v="17662.129100000002"/>
    <n v="5318.17"/>
    <n v="12343.959100000002"/>
    <n v="0.6988941723905755"/>
  </r>
  <r>
    <s v="ORD-2024-389336"/>
    <d v="2024-05-20T00:00:00"/>
    <d v="2024-06-02T00:00:00"/>
    <n v="13"/>
    <x v="7"/>
    <s v="Q2-2024"/>
    <x v="2"/>
    <s v="Canada"/>
    <s v="Vancouver"/>
    <s v="Enterprise"/>
    <x v="2"/>
    <s v="K. Singh"/>
    <s v="Components"/>
    <s v="CMP-5946"/>
    <n v="675.43"/>
    <s v="High"/>
    <n v="996.36"/>
    <n v="0.182"/>
    <n v="22"/>
    <n v="22844.122400000004"/>
    <n v="14859.46"/>
    <n v="7984.6624000000047"/>
    <n v="0.34952808692707771"/>
  </r>
  <r>
    <s v="ORD-2023-308124"/>
    <d v="2023-04-19T00:00:00"/>
    <d v="2023-04-30T00:00:00"/>
    <n v="11"/>
    <x v="12"/>
    <s v="Q2-2023"/>
    <x v="1"/>
    <s v="India"/>
    <s v="Delhi"/>
    <s v="Small Business"/>
    <x v="0"/>
    <s v="A. Patel"/>
    <s v="Networking"/>
    <s v="NET-2062"/>
    <n v="826.55"/>
    <s v="High"/>
    <n v="1397.05"/>
    <n v="0.16900000000000001"/>
    <n v="28"/>
    <n v="14447.799239999997"/>
    <n v="23143.399999999998"/>
    <n v="-8695.6007600000012"/>
    <n v="-0.6018633437212686"/>
  </r>
  <r>
    <s v="ORD-2023-128295"/>
    <d v="2023-06-23T00:00:00"/>
    <d v="2023-07-03T00:00:00"/>
    <n v="10"/>
    <x v="23"/>
    <s v="Q2-2023"/>
    <x v="0"/>
    <s v="Nigeria"/>
    <s v="Abuja"/>
    <s v="Consumer"/>
    <x v="1"/>
    <s v="J. Njeri"/>
    <s v="Printers"/>
    <s v="PRN-2542"/>
    <n v="337.75"/>
    <s v="High"/>
    <n v="548.89"/>
    <n v="0"/>
    <n v="13"/>
    <n v="18926.830000000002"/>
    <n v="4390.75"/>
    <n v="14536.080000000002"/>
    <n v="0.76801450639119173"/>
  </r>
  <r>
    <s v="ORD-2024-548345"/>
    <d v="2024-05-14T00:00:00"/>
    <d v="2024-05-28T00:00:00"/>
    <n v="14"/>
    <x v="7"/>
    <s v="Q2-2024"/>
    <x v="3"/>
    <s v="United Kingdom"/>
    <s v="Birmingham"/>
    <s v="Consumer"/>
    <x v="0"/>
    <s v="B. Chen"/>
    <s v="Networking"/>
    <s v="NET-2365"/>
    <n v="1421.14"/>
    <s v="High"/>
    <n v="3524"/>
    <n v="0"/>
    <n v="31"/>
    <n v="16939.329999999998"/>
    <n v="44055.340000000004"/>
    <n v="-27116.010000000006"/>
    <n v="-1.6007722855626527"/>
  </r>
  <r>
    <s v="ORD-2024-966651"/>
    <d v="2024-10-14T00:00:00"/>
    <d v="2024-11-08T00:00:00"/>
    <n v="25"/>
    <x v="1"/>
    <s v="Q4-2024"/>
    <x v="0"/>
    <s v="Nigeria"/>
    <s v="Lagos"/>
    <s v="Enterprise"/>
    <x v="1"/>
    <s v="O. Wang"/>
    <s v="Networking"/>
    <s v="NET-5268"/>
    <n v="859.35"/>
    <s v="High"/>
    <n v="1825.61"/>
    <n v="0.187"/>
    <n v="24"/>
    <n v="26300.615040000001"/>
    <n v="20624.400000000001"/>
    <n v="5676.2150399999991"/>
    <n v="0.21582061983596865"/>
  </r>
  <r>
    <s v="ORD-2023-292714"/>
    <d v="2023-07-10T00:00:00"/>
    <d v="2023-08-01T00:00:00"/>
    <n v="22"/>
    <x v="24"/>
    <s v="Q3-2023"/>
    <x v="3"/>
    <s v="France"/>
    <s v="Marseille"/>
    <s v="Consumer"/>
    <x v="2"/>
    <s v="B. Chen"/>
    <s v="Printers"/>
    <s v="PRN-1504"/>
    <n v="1303.56"/>
    <s v="High"/>
    <n v="1791.37"/>
    <n v="0.126"/>
    <n v="22"/>
    <n v="21312.892040000002"/>
    <n v="28678.32"/>
    <n v="-7365.4279599999973"/>
    <n v="-0.34558557075110097"/>
  </r>
  <r>
    <s v="ORD-2024-468501"/>
    <d v="2024-11-06T00:00:00"/>
    <d v="2024-11-22T00:00:00"/>
    <n v="16"/>
    <x v="18"/>
    <s v="Q4-2024"/>
    <x v="2"/>
    <s v="Canada"/>
    <s v="Toronto"/>
    <s v="Non-Profit"/>
    <x v="3"/>
    <s v="D. Smith"/>
    <s v="Accessories"/>
    <s v="ACC-6348"/>
    <n v="1454.11"/>
    <s v="High"/>
    <n v="2629.75"/>
    <n v="0.29199999999999998"/>
    <n v="8"/>
    <n v="17808.182399999998"/>
    <n v="11632.88"/>
    <n v="6175.3023999999987"/>
    <n v="0.34676769707839467"/>
  </r>
  <r>
    <s v="ORD-2024-260775"/>
    <d v="2024-10-17T00:00:00"/>
    <d v="2024-11-06T00:00:00"/>
    <n v="20"/>
    <x v="1"/>
    <s v="Q4-2024"/>
    <x v="1"/>
    <s v="India"/>
    <s v="Bengaluru"/>
    <s v="Enterprise"/>
    <x v="3"/>
    <s v="O. Wang"/>
    <s v="Monitors"/>
    <s v="MON-4330"/>
    <n v="72.94"/>
    <s v="Medium"/>
    <n v="106.3"/>
    <n v="0.29499999999999998"/>
    <n v="8"/>
    <n v="11819.917200000002"/>
    <n v="583.52"/>
    <n v="11236.397200000001"/>
    <n v="0.95063247989588284"/>
  </r>
  <r>
    <s v="ORD-2023-419187"/>
    <d v="2023-03-31T00:00:00"/>
    <d v="2023-04-05T00:00:00"/>
    <n v="5"/>
    <x v="22"/>
    <s v="Q1-2023"/>
    <x v="0"/>
    <s v="Kenya"/>
    <s v="Nakuru"/>
    <s v="Education"/>
    <x v="2"/>
    <s v="B. Chen"/>
    <s v="Laptops"/>
    <s v="LAP-7819"/>
    <n v="533.26"/>
    <s v="High"/>
    <n v="385.72"/>
    <n v="0"/>
    <n v="15"/>
    <n v="10554.3"/>
    <n v="7998.9"/>
    <n v="2555.3999999999996"/>
    <n v="0.24211932577243397"/>
  </r>
  <r>
    <s v="ORD-2025-578007"/>
    <d v="2025-01-21T00:00:00"/>
    <d v="2025-02-16T00:00:00"/>
    <n v="26"/>
    <x v="10"/>
    <s v="Q1-2025"/>
    <x v="3"/>
    <s v="France"/>
    <s v="Lyon"/>
    <s v="Corporate"/>
    <x v="3"/>
    <s v="O. Wang"/>
    <s v="Laptops"/>
    <s v="LAP-3779"/>
    <n v="204.11"/>
    <s v="High"/>
    <n v="236.87"/>
    <n v="0.182"/>
    <n v="13"/>
    <n v="21238.118460000002"/>
    <n v="2653.4300000000003"/>
    <n v="18584.688460000001"/>
    <n v="0.87506284961177294"/>
  </r>
  <r>
    <s v="ORD-2023-235230"/>
    <d v="2023-08-30T00:00:00"/>
    <d v="2023-09-01T00:00:00"/>
    <n v="2"/>
    <x v="25"/>
    <s v="Q3-2023"/>
    <x v="3"/>
    <s v="Germany"/>
    <s v="Munich"/>
    <s v="Corporate"/>
    <x v="4"/>
    <s v="N. Brown"/>
    <s v="Networking"/>
    <s v="NET-9989"/>
    <n v="44.42"/>
    <s v="Low"/>
    <n v="41.9"/>
    <n v="0.14399999999999999"/>
    <n v="6"/>
    <n v="14195.647199999998"/>
    <n v="266.52"/>
    <n v="13929.127199999997"/>
    <n v="0.9812252307876459"/>
  </r>
  <r>
    <s v="ORD-2025-765220"/>
    <d v="2025-04-06T00:00:00"/>
    <d v="2025-04-30T00:00:00"/>
    <n v="24"/>
    <x v="19"/>
    <s v="Q2-2025"/>
    <x v="2"/>
    <s v="Brazil"/>
    <s v="Brasília"/>
    <s v="Education"/>
    <x v="1"/>
    <s v="K. Singh"/>
    <s v="Monitors"/>
    <s v="MON-4925"/>
    <n v="855.78"/>
    <s v="High"/>
    <n v="977.38"/>
    <n v="0.14699999999999999"/>
    <n v="38"/>
    <n v="48735.421419999999"/>
    <n v="32519.64"/>
    <n v="16215.781419999999"/>
    <n v="0.33273091619036216"/>
  </r>
  <r>
    <s v="ORD-2025-931538"/>
    <d v="2025-02-09T00:00:00"/>
    <d v="2025-03-01T00:00:00"/>
    <n v="20"/>
    <x v="26"/>
    <s v="Q1-2025"/>
    <x v="2"/>
    <s v="Brazil"/>
    <s v="São Paulo"/>
    <s v="Corporate"/>
    <x v="3"/>
    <s v="B. Chen"/>
    <s v="Laptops"/>
    <s v="LAP-6989"/>
    <n v="1154.6400000000001"/>
    <s v="High"/>
    <n v="2794.13"/>
    <n v="3.5000000000000003E-2"/>
    <n v="11"/>
    <n v="4119.0446000000002"/>
    <n v="12701.04"/>
    <n v="-8581.9953999999998"/>
    <n v="-2.0834917398078185"/>
  </r>
  <r>
    <s v="ORD-2024-289089"/>
    <d v="2024-12-17T00:00:00"/>
    <d v="2024-12-18T00:00:00"/>
    <n v="1"/>
    <x v="6"/>
    <s v="Q4-2024"/>
    <x v="3"/>
    <s v="Germany"/>
    <s v="Munich"/>
    <s v="Education"/>
    <x v="0"/>
    <s v="L. Okafor"/>
    <s v="Accessories"/>
    <s v="ACC-5780"/>
    <n v="346.82"/>
    <s v="High"/>
    <n v="701.95"/>
    <n v="0.14699999999999999"/>
    <n v="8"/>
    <n v="304.14567999999997"/>
    <n v="2774.56"/>
    <n v="-2470.4143199999999"/>
    <n v="-8.122470521363315"/>
  </r>
  <r>
    <s v="ORD-2025-639542"/>
    <d v="2025-06-09T00:00:00"/>
    <d v="2025-06-18T00:00:00"/>
    <n v="9"/>
    <x v="16"/>
    <s v="Q2-2025"/>
    <x v="3"/>
    <s v="France"/>
    <s v="Marseille"/>
    <s v="Small Business"/>
    <x v="2"/>
    <s v="H. Kim"/>
    <s v="Accessories"/>
    <s v="ACC-1770"/>
    <n v="1225.5"/>
    <s v="Low"/>
    <n v="-5.27"/>
    <n v="7.4999999999999997E-2"/>
    <n v="56"/>
    <n v="93667.868000000002"/>
    <n v="68628"/>
    <n v="25039.868000000002"/>
    <n v="0.2673261229774121"/>
  </r>
  <r>
    <s v="ORD-2025-762301"/>
    <d v="2025-05-02T00:00:00"/>
    <d v="2025-05-13T00:00:00"/>
    <n v="11"/>
    <x v="8"/>
    <s v="Q2-2025"/>
    <x v="0"/>
    <s v="Kenya"/>
    <s v="Nakuru"/>
    <s v="Small Business"/>
    <x v="1"/>
    <s v="A. Patel"/>
    <s v="Accessories"/>
    <s v="ACC-2252"/>
    <n v="1057.5999999999999"/>
    <s v="High"/>
    <n v="1437.06"/>
    <n v="0.20499999999999999"/>
    <n v="4"/>
    <n v="4086.5861999999997"/>
    <n v="4230.3999999999996"/>
    <n v="-143.8137999999999"/>
    <n v="-3.5191671718560573E-2"/>
  </r>
  <r>
    <s v="ORD-2024-906395"/>
    <d v="2024-03-10T00:00:00"/>
    <d v="2024-04-09T00:00:00"/>
    <n v="30"/>
    <x v="0"/>
    <s v="Q1-2024"/>
    <x v="3"/>
    <s v="France"/>
    <s v="Lyon"/>
    <s v="Corporate"/>
    <x v="4"/>
    <s v="I. Johnson"/>
    <s v="Components"/>
    <s v="CMP-8002"/>
    <n v="1176.56"/>
    <s v="High"/>
    <n v="1911.89"/>
    <n v="0.11899999999999999"/>
    <n v="20"/>
    <n v="29568.826800000003"/>
    <n v="23531.199999999997"/>
    <n v="6037.6268000000055"/>
    <n v="0.20418891966319086"/>
  </r>
  <r>
    <s v="ORD-2025-779574"/>
    <d v="2025-09-10T00:00:00"/>
    <d v="2025-09-12T00:00:00"/>
    <n v="2"/>
    <x v="11"/>
    <s v="Q3-2025"/>
    <x v="1"/>
    <s v="Japan"/>
    <s v="Tokyo"/>
    <s v="Consumer"/>
    <x v="1"/>
    <s v="O. Wang"/>
    <s v="Components"/>
    <s v="CMP-6971"/>
    <n v="1470.15"/>
    <s v="High"/>
    <n v="2593.7800000000002"/>
    <n v="0.11"/>
    <n v="12"/>
    <n v="7255.4580000000005"/>
    <n v="17641.800000000003"/>
    <n v="-10386.342000000002"/>
    <n v="-1.4315212078961799"/>
  </r>
  <r>
    <s v="ORD-2025-526650"/>
    <d v="2025-04-27T00:00:00"/>
    <d v="2025-05-25T00:00:00"/>
    <n v="28"/>
    <x v="19"/>
    <s v="Q2-2025"/>
    <x v="3"/>
    <s v="France"/>
    <s v="Paris"/>
    <s v="Small Business"/>
    <x v="2"/>
    <s v="I. Johnson"/>
    <s v="Phones"/>
    <s v="PHN-8350"/>
    <n v="603.45000000000005"/>
    <s v="High"/>
    <n v="1244.08"/>
    <n v="0.2"/>
    <n v="11"/>
    <n v="9767.2960000000003"/>
    <n v="6637.9500000000007"/>
    <n v="3129.3459999999995"/>
    <n v="0.32039020830330106"/>
  </r>
  <r>
    <s v="ORD-2024-247979"/>
    <d v="2024-11-02T00:00:00"/>
    <d v="2024-11-18T00:00:00"/>
    <n v="16"/>
    <x v="18"/>
    <s v="Q4-2024"/>
    <x v="1"/>
    <s v="India"/>
    <s v="Mumbai"/>
    <s v="Small Business"/>
    <x v="3"/>
    <s v="O. Wang"/>
    <s v="Monitors"/>
    <s v="MON-5188"/>
    <n v="1233.58"/>
    <s v="High"/>
    <n v="1912.51"/>
    <n v="0.255"/>
    <n v="51"/>
    <n v="3175.2421499999996"/>
    <n v="62912.579999999994"/>
    <n v="-59737.337849999996"/>
    <n v="-18.813474698299782"/>
  </r>
  <r>
    <s v="ORD-2023-480975"/>
    <d v="2023-02-15T00:00:00"/>
    <d v="2023-02-26T00:00:00"/>
    <n v="11"/>
    <x v="2"/>
    <s v="Q1-2023"/>
    <x v="0"/>
    <s v="South Africa"/>
    <s v="Johannesburg"/>
    <s v="Non-Profit"/>
    <x v="0"/>
    <s v="K. Singh"/>
    <s v="Laptops"/>
    <s v="LAP-3393"/>
    <n v="498.5"/>
    <s v="High"/>
    <n v="755.87"/>
    <n v="0.13"/>
    <n v="40"/>
    <n v="44693.64"/>
    <n v="19940"/>
    <n v="24753.64"/>
    <n v="0.55385150996875621"/>
  </r>
  <r>
    <s v="ORD-2023-239789"/>
    <d v="2023-12-03T00:00:00"/>
    <d v="2023-12-26T00:00:00"/>
    <n v="23"/>
    <x v="4"/>
    <s v="Q4-2023"/>
    <x v="2"/>
    <s v="Brazil"/>
    <s v="Rio de Janeiro"/>
    <s v="Education"/>
    <x v="0"/>
    <s v="O. Wang"/>
    <s v="Phones"/>
    <s v="PHN-4644"/>
    <n v="1303.1099999999999"/>
    <s v="High"/>
    <n v="1145.67"/>
    <n v="0.184"/>
    <n v="13"/>
    <n v="9671.5257600000004"/>
    <n v="16940.43"/>
    <n v="-7268.9042399999998"/>
    <n v="-0.75157781929952694"/>
  </r>
  <r>
    <s v="ORD-2023-548874"/>
    <d v="2023-03-19T00:00:00"/>
    <d v="2023-04-09T00:00:00"/>
    <n v="21"/>
    <x v="22"/>
    <s v="Q1-2023"/>
    <x v="3"/>
    <s v="United Kingdom"/>
    <s v="Manchester"/>
    <s v="Consumer"/>
    <x v="0"/>
    <s v="L. Okafor"/>
    <s v="Accessories"/>
    <s v="ACC-9150"/>
    <n v="1082.17"/>
    <s v="High"/>
    <n v="1234.0999999999999"/>
    <n v="0.189"/>
    <n v="16"/>
    <n v="18232.188319999997"/>
    <n v="17314.72"/>
    <n v="917.46831999999631"/>
    <n v="5.0321349467061474E-2"/>
  </r>
  <r>
    <s v="ORD-2024-347736"/>
    <d v="2024-05-22T00:00:00"/>
    <d v="2024-06-06T00:00:00"/>
    <n v="15"/>
    <x v="7"/>
    <s v="Q2-2024"/>
    <x v="1"/>
    <s v="Japan"/>
    <s v="Nagoya"/>
    <s v="Corporate"/>
    <x v="3"/>
    <s v="C. Otieno"/>
    <s v="Monitors"/>
    <s v="MON-6870"/>
    <n v="673.88"/>
    <s v="High"/>
    <n v="1228.01"/>
    <n v="0.105"/>
    <n v="13"/>
    <n v="11273.616900000001"/>
    <n v="8760.44"/>
    <n v="2513.1769000000004"/>
    <n v="0.22292551913840536"/>
  </r>
  <r>
    <s v="ORD-2023-749324"/>
    <d v="2023-08-19T00:00:00"/>
    <d v="2023-09-07T00:00:00"/>
    <n v="19"/>
    <x v="25"/>
    <s v="Q3-2023"/>
    <x v="0"/>
    <s v="South Africa"/>
    <s v="Johannesburg"/>
    <s v="Enterprise"/>
    <x v="0"/>
    <s v="D. Smith"/>
    <s v="Monitors"/>
    <s v="MON-2296"/>
    <n v="494.61"/>
    <s v="High"/>
    <n v="605.23"/>
    <n v="0.20399999999999999"/>
    <n v="18"/>
    <n v="15600.46968"/>
    <n v="8902.98"/>
    <n v="6697.4896800000006"/>
    <n v="0.42931333590464055"/>
  </r>
  <r>
    <s v="ORD-2023-809913"/>
    <d v="2023-04-21T00:00:00"/>
    <d v="2023-05-10T00:00:00"/>
    <n v="19"/>
    <x v="12"/>
    <s v="Q2-2023"/>
    <x v="1"/>
    <s v="China"/>
    <s v="Shanghai"/>
    <s v="Corporate"/>
    <x v="0"/>
    <s v="A. Patel"/>
    <s v="Components"/>
    <s v="CMP-7371"/>
    <n v="882.33"/>
    <s v="High"/>
    <n v="1880.15"/>
    <n v="0.05"/>
    <n v="5"/>
    <n v="11803.702499999998"/>
    <n v="4411.6500000000005"/>
    <n v="7392.0524999999971"/>
    <n v="0.6262486283435218"/>
  </r>
  <r>
    <s v="ORD-2024-287210"/>
    <d v="2024-03-18T00:00:00"/>
    <d v="2024-03-21T00:00:00"/>
    <n v="3"/>
    <x v="0"/>
    <s v="Q1-2024"/>
    <x v="3"/>
    <s v="Germany"/>
    <s v="Munich"/>
    <s v="Small Business"/>
    <x v="1"/>
    <s v="M. Rossi"/>
    <s v="Accessories"/>
    <s v="ACC-2761"/>
    <n v="910.63"/>
    <s v="High"/>
    <n v="1269.4000000000001"/>
    <n v="6.8000000000000005E-2"/>
    <n v="9"/>
    <n v="240.65172000000001"/>
    <n v="8195.67"/>
    <n v="-7955.0182800000002"/>
    <n v="-33.05614553679483"/>
  </r>
  <r>
    <s v="ORD-2025-640677"/>
    <d v="2025-04-09T00:00:00"/>
    <d v="2025-05-06T00:00:00"/>
    <n v="27"/>
    <x v="19"/>
    <s v="Q2-2025"/>
    <x v="2"/>
    <s v="Brazil"/>
    <s v="Brasília"/>
    <s v="Enterprise"/>
    <x v="2"/>
    <s v="F. Müller"/>
    <s v="Laptops"/>
    <s v="LAP-4517"/>
    <n v="264.19"/>
    <s v="High"/>
    <n v="620.92999999999995"/>
    <n v="0.14199999999999999"/>
    <n v="12"/>
    <n v="19527.59952"/>
    <n v="3170.2799999999997"/>
    <n v="16357.319520000001"/>
    <n v="0.83765132028885447"/>
  </r>
  <r>
    <s v="ORD-2024-939873"/>
    <d v="2024-04-12T00:00:00"/>
    <d v="2024-05-07T00:00:00"/>
    <n v="25"/>
    <x v="20"/>
    <s v="Q2-2024"/>
    <x v="0"/>
    <s v="South Africa"/>
    <s v="Johannesburg"/>
    <s v="Education"/>
    <x v="3"/>
    <s v="A. Patel"/>
    <s v="Laptops"/>
    <s v="LAP-8489"/>
    <n v="1376.51"/>
    <s v="High"/>
    <n v="1455.91"/>
    <n v="0.185"/>
    <n v="17"/>
    <n v="5807.6003499999997"/>
    <n v="23400.67"/>
    <n v="-17593.069649999998"/>
    <n v="-3.0293182364037841"/>
  </r>
  <r>
    <s v="ORD-2024-800947"/>
    <d v="2024-12-15T00:00:00"/>
    <d v="2024-12-20T00:00:00"/>
    <n v="5"/>
    <x v="6"/>
    <s v="Q4-2024"/>
    <x v="1"/>
    <s v="China"/>
    <s v="Shenzhen"/>
    <s v="Small Business"/>
    <x v="4"/>
    <s v="J. Njeri"/>
    <s v="Networking"/>
    <s v="NET-1846"/>
    <n v="717.55"/>
    <s v="High"/>
    <n v="546.42999999999995"/>
    <n v="4.7E-2"/>
    <n v="18"/>
    <n v="34328.070179999995"/>
    <n v="12915.9"/>
    <n v="21412.170179999994"/>
    <n v="0.62375106050893059"/>
  </r>
  <r>
    <s v="ORD-2023-382272"/>
    <d v="2023-05-20T00:00:00"/>
    <d v="2023-05-18T00:00:00"/>
    <n v="2"/>
    <x v="15"/>
    <s v="Q2-2023"/>
    <x v="0"/>
    <s v="South Africa"/>
    <s v="Durban"/>
    <s v="Corporate"/>
    <x v="3"/>
    <s v="A. Patel"/>
    <s v="Components"/>
    <s v="CMP-5208"/>
    <n v="917.88"/>
    <s v="High"/>
    <n v="1347.92"/>
    <n v="0.34300000000000003"/>
    <n v="5"/>
    <n v="10198.97235"/>
    <n v="4589.3999999999996"/>
    <n v="5609.5723500000004"/>
    <n v="0.55001348738826616"/>
  </r>
  <r>
    <s v="ORD-2023-722117"/>
    <d v="2023-09-18T00:00:00"/>
    <d v="2023-10-08T00:00:00"/>
    <n v="20"/>
    <x v="27"/>
    <s v="Q3-2023"/>
    <x v="1"/>
    <s v="India"/>
    <s v="Delhi"/>
    <s v="Small Business"/>
    <x v="4"/>
    <s v="B. Chen"/>
    <s v="Components"/>
    <s v="CMP-1009"/>
    <n v="825.64"/>
    <s v="High"/>
    <n v="1108.43"/>
    <n v="0.114"/>
    <n v="7"/>
    <n v="2073.2045600000001"/>
    <n v="5779.48"/>
    <n v="-3706.2754399999994"/>
    <n v="-1.7877036890175464"/>
  </r>
  <r>
    <s v="ORD-2024-446699"/>
    <d v="2024-08-28T00:00:00"/>
    <d v="2024-09-25T00:00:00"/>
    <n v="28"/>
    <x v="21"/>
    <s v="Q3-2024"/>
    <x v="2"/>
    <s v="Brazil"/>
    <s v="Rio de Janeiro"/>
    <s v="Non-Profit"/>
    <x v="1"/>
    <s v="Not Provided"/>
    <s v="Accessories"/>
    <s v="ACC-4490"/>
    <n v="1394.65"/>
    <s v="High"/>
    <n v="3144.1"/>
    <n v="0.13400000000000001"/>
    <n v="13"/>
    <n v="21984.960139999999"/>
    <n v="18130.45"/>
    <n v="3854.5101399999985"/>
    <n v="0.17532486370020767"/>
  </r>
  <r>
    <s v="ORD-2024-451005"/>
    <d v="2024-06-30T00:00:00"/>
    <d v="2024-06-28T00:00:00"/>
    <n v="2"/>
    <x v="17"/>
    <s v="Q2-2024"/>
    <x v="2"/>
    <s v="Brazil"/>
    <s v="Rio de Janeiro"/>
    <s v="Small Business"/>
    <x v="4"/>
    <s v="L. Okafor"/>
    <s v="Accessories"/>
    <s v="ACC-9162"/>
    <n v="1112.98"/>
    <s v="High"/>
    <n v="2095.73"/>
    <n v="7.1999999999999995E-2"/>
    <n v="17"/>
    <n v="3822.3670400000005"/>
    <n v="18920.66"/>
    <n v="-15098.292959999999"/>
    <n v="-3.9499851275402365"/>
  </r>
  <r>
    <s v="ORD-2023-290279"/>
    <d v="2023-06-14T00:00:00"/>
    <d v="2023-06-16T00:00:00"/>
    <n v="2"/>
    <x v="23"/>
    <s v="Q2-2023"/>
    <x v="3"/>
    <s v="United Kingdom"/>
    <s v="Manchester"/>
    <s v="Non-Profit"/>
    <x v="4"/>
    <s v="K. Singh"/>
    <s v="Components"/>
    <s v="CMP-5820"/>
    <n v="357.36"/>
    <s v="High"/>
    <n v="703.62"/>
    <n v="0.25700000000000001"/>
    <n v="20"/>
    <n v="44117.408199999998"/>
    <n v="7147.2000000000007"/>
    <n v="36970.208199999994"/>
    <n v="0.83799592288832592"/>
  </r>
  <r>
    <s v="ORD-2024-192263"/>
    <d v="2024-11-21T00:00:00"/>
    <d v="2024-12-21T00:00:00"/>
    <n v="0"/>
    <x v="18"/>
    <s v="Q4-2024"/>
    <x v="3"/>
    <s v="France"/>
    <s v="Marseille"/>
    <s v="Small Business"/>
    <x v="4"/>
    <s v="I. Johnson"/>
    <s v="Monitors"/>
    <s v="MON-7943"/>
    <n v="1122.68"/>
    <s v="High"/>
    <n v="1997.19"/>
    <n v="0.186"/>
    <n v="3"/>
    <n v="3404.8806"/>
    <n v="3368.04"/>
    <n v="36.840599999999995"/>
    <n v="1.081993888420052E-2"/>
  </r>
  <r>
    <s v="ORD-2023-159379"/>
    <d v="2023-02-08T00:00:00"/>
    <d v="2023-02-11T00:00:00"/>
    <n v="3"/>
    <x v="2"/>
    <s v="Q1-2023"/>
    <x v="0"/>
    <s v="South Africa"/>
    <s v="Cape Town"/>
    <s v="Corporate"/>
    <x v="4"/>
    <s v="M. Rossi"/>
    <s v="Networking"/>
    <s v="NET-5018"/>
    <n v="1410.05"/>
    <s v="High"/>
    <n v="2763.95"/>
    <n v="0.161"/>
    <n v="26"/>
    <n v="336.15374000000003"/>
    <n v="36661.299999999996"/>
    <n v="-36325.146259999994"/>
    <n v="-108.06110995522462"/>
  </r>
  <r>
    <s v="ORD-2023-343322"/>
    <d v="2023-08-19T00:00:00"/>
    <d v="2023-09-12T00:00:00"/>
    <n v="24"/>
    <x v="25"/>
    <s v="Q3-2023"/>
    <x v="2"/>
    <s v="Canada"/>
    <s v="Vancouver"/>
    <s v="Enterprise"/>
    <x v="0"/>
    <s v="I. Johnson"/>
    <s v="Printers"/>
    <s v="PRN-9669"/>
    <n v="1183.95"/>
    <s v="High"/>
    <n v="1503.53"/>
    <n v="0.24099999999999999"/>
    <n v="16"/>
    <n v="27333.836640000001"/>
    <n v="18943.2"/>
    <n v="8390.6366400000006"/>
    <n v="0.30696885879976488"/>
  </r>
  <r>
    <s v="ORD-2025-114382"/>
    <d v="2025-05-14T00:00:00"/>
    <d v="2025-05-24T00:00:00"/>
    <n v="10"/>
    <x v="8"/>
    <s v="Q2-2025"/>
    <x v="3"/>
    <s v="France"/>
    <s v="Paris"/>
    <s v="Small Business"/>
    <x v="2"/>
    <s v="K. Singh"/>
    <s v="Components"/>
    <s v="CMP-2865"/>
    <n v="170.39"/>
    <s v="High"/>
    <n v="388.04"/>
    <n v="8.4000000000000005E-2"/>
    <n v="15"/>
    <n v="2281.3896"/>
    <n v="2555.85"/>
    <n v="-274.46039999999994"/>
    <n v="-0.12030404627074653"/>
  </r>
  <r>
    <s v="ORD-2025-488349"/>
    <d v="2025-04-23T00:00:00"/>
    <d v="2025-04-22T00:00:00"/>
    <n v="1"/>
    <x v="19"/>
    <s v="Q2-2025"/>
    <x v="2"/>
    <s v="USA"/>
    <s v="San Francisco"/>
    <s v="Non-Profit"/>
    <x v="3"/>
    <s v="D. Smith"/>
    <s v="Monitors"/>
    <s v="MON-3371"/>
    <n v="23.24"/>
    <s v="Low"/>
    <n v="44.57"/>
    <n v="0.215"/>
    <n v="15"/>
    <n v="4198.3762500000003"/>
    <n v="348.59999999999997"/>
    <n v="3849.7762500000003"/>
    <n v="0.91696789919674304"/>
  </r>
  <r>
    <s v="ORD-2025-330203"/>
    <d v="2025-03-25T00:00:00"/>
    <d v="2025-04-17T00:00:00"/>
    <n v="23"/>
    <x v="3"/>
    <s v="Q1-2025"/>
    <x v="3"/>
    <s v="United Kingdom"/>
    <s v="London"/>
    <s v="Consumer"/>
    <x v="0"/>
    <s v="H. Kim"/>
    <s v="Networking"/>
    <s v="NET-7166"/>
    <n v="1421.19"/>
    <s v="High"/>
    <n v="1808.26"/>
    <n v="0.104"/>
    <n v="13"/>
    <n v="11939.7824"/>
    <n v="18475.47"/>
    <n v="-6535.6876000000011"/>
    <n v="-0.54738749677716081"/>
  </r>
  <r>
    <s v="ORD-2023-841426"/>
    <d v="2023-12-22T00:00:00"/>
    <d v="2023-12-23T00:00:00"/>
    <n v="1"/>
    <x v="4"/>
    <s v="Q4-2023"/>
    <x v="0"/>
    <s v="South Africa"/>
    <s v="Cape Town"/>
    <s v="Non-Profit"/>
    <x v="2"/>
    <s v="D. Smith"/>
    <s v="Components"/>
    <s v="CMP-4531"/>
    <n v="1186.18"/>
    <s v="High"/>
    <n v="1285.0899999999999"/>
    <n v="7.0000000000000007E-2"/>
    <n v="11"/>
    <n v="18364.589100000001"/>
    <n v="13047.980000000001"/>
    <n v="5316.6090999999997"/>
    <n v="0.28950329740838032"/>
  </r>
  <r>
    <s v="ORD-2024-594592"/>
    <d v="2024-04-06T00:00:00"/>
    <d v="2024-04-25T00:00:00"/>
    <n v="19"/>
    <x v="20"/>
    <s v="Q2-2024"/>
    <x v="1"/>
    <s v="China"/>
    <s v="Shanghai"/>
    <s v="Corporate"/>
    <x v="0"/>
    <s v="K. Singh"/>
    <s v="Components"/>
    <s v="CMP-8196"/>
    <n v="1366.48"/>
    <s v="High"/>
    <n v="1678.14"/>
    <n v="0.154"/>
    <n v="10"/>
    <n v="36.970199999999998"/>
    <n v="13664.8"/>
    <n v="-13627.8298"/>
    <n v="-368.61661013464897"/>
  </r>
  <r>
    <s v="ORD-2025-863978"/>
    <d v="2025-08-07T00:00:00"/>
    <d v="2025-08-19T00:00:00"/>
    <n v="12"/>
    <x v="28"/>
    <s v="Q3-2025"/>
    <x v="0"/>
    <s v="Kenya"/>
    <s v="Nakuru"/>
    <s v="Corporate"/>
    <x v="5"/>
    <s v="M. Rossi"/>
    <s v="Components"/>
    <s v="CMP-2854"/>
    <n v="601.51"/>
    <s v="High"/>
    <n v="679.35"/>
    <n v="0.188"/>
    <n v="3"/>
    <n v="532.26600000000008"/>
    <n v="1804.53"/>
    <n v="-1272.2639999999999"/>
    <n v="-2.3902785449380568"/>
  </r>
  <r>
    <s v="ORD-2024-604471"/>
    <d v="2024-01-21T00:00:00"/>
    <d v="2024-01-25T00:00:00"/>
    <n v="4"/>
    <x v="9"/>
    <s v="Q1-2024"/>
    <x v="1"/>
    <s v="India"/>
    <s v="Delhi"/>
    <s v="Consumer"/>
    <x v="4"/>
    <s v="C. Otieno"/>
    <s v="Monitors"/>
    <s v="MON-8973"/>
    <n v="523.70000000000005"/>
    <s v="High"/>
    <n v="1109.92"/>
    <n v="0.03"/>
    <n v="11"/>
    <n v="2666.1129000000001"/>
    <n v="5760.7000000000007"/>
    <n v="-3094.5871000000006"/>
    <n v="-1.160711198689298"/>
  </r>
  <r>
    <s v="ORD-2023-258768"/>
    <d v="2023-06-29T00:00:00"/>
    <d v="2023-07-02T00:00:00"/>
    <n v="3"/>
    <x v="23"/>
    <s v="Q2-2023"/>
    <x v="1"/>
    <s v="Japan"/>
    <s v="Nagoya"/>
    <s v="Education"/>
    <x v="2"/>
    <s v="F. Müller"/>
    <s v="Monitors"/>
    <s v="MON-2990"/>
    <n v="55.65"/>
    <s v="Medium"/>
    <n v="83.57"/>
    <n v="6.6000000000000003E-2"/>
    <n v="8"/>
    <n v="25677.677439999999"/>
    <n v="445.2"/>
    <n v="25232.477439999999"/>
    <n v="0.98266198331059018"/>
  </r>
  <r>
    <s v="ORD-2025-626047"/>
    <d v="2025-04-28T00:00:00"/>
    <d v="2025-05-15T00:00:00"/>
    <n v="17"/>
    <x v="19"/>
    <s v="Q2-2025"/>
    <x v="1"/>
    <s v="Japan"/>
    <s v="Nagoya"/>
    <s v="Education"/>
    <x v="4"/>
    <s v="N. Brown"/>
    <s v="Networking"/>
    <s v="NET-1966"/>
    <n v="691.19"/>
    <s v="High"/>
    <n v="1284.3"/>
    <n v="7.3999999999999996E-2"/>
    <n v="7"/>
    <n v="346.46290000000005"/>
    <n v="4838.33"/>
    <n v="-4491.8670999999995"/>
    <n v="-12.964929578318483"/>
  </r>
  <r>
    <s v="ORD-2025-526752"/>
    <d v="2025-06-09T00:00:00"/>
    <d v="2025-06-25T00:00:00"/>
    <n v="16"/>
    <x v="16"/>
    <s v="Q2-2025"/>
    <x v="1"/>
    <s v="India"/>
    <s v="Hyderabad"/>
    <s v="Enterprise"/>
    <x v="3"/>
    <s v="M. Rossi"/>
    <s v="Phones"/>
    <s v="PHN-3482"/>
    <n v="527.33000000000004"/>
    <s v="High"/>
    <n v="911.72"/>
    <n v="0.14399999999999999"/>
    <n v="25"/>
    <n v="74251.58"/>
    <n v="13183.250000000002"/>
    <n v="61068.33"/>
    <n v="0.82245158958233622"/>
  </r>
  <r>
    <s v="ORD-2023-374486"/>
    <d v="2023-06-24T00:00:00"/>
    <d v="2023-06-23T00:00:00"/>
    <n v="1"/>
    <x v="23"/>
    <s v="Q2-2023"/>
    <x v="2"/>
    <s v="Brazil"/>
    <s v="Rio de Janeiro"/>
    <s v="Non-Profit"/>
    <x v="0"/>
    <s v="E. Garcia"/>
    <s v="Printers"/>
    <s v="PRN-6490"/>
    <n v="804.01"/>
    <s v="High"/>
    <n v="1405.07"/>
    <n v="9.6000000000000002E-2"/>
    <n v="8"/>
    <n v="4491.2166399999996"/>
    <n v="6432.08"/>
    <n v="-1940.8633600000003"/>
    <n v="-0.43214645731273393"/>
  </r>
  <r>
    <s v="ORD-2024-997336"/>
    <d v="2024-10-04T00:00:00"/>
    <d v="2024-11-02T00:00:00"/>
    <n v="29"/>
    <x v="1"/>
    <s v="Q4-2024"/>
    <x v="0"/>
    <s v="Nigeria"/>
    <s v="Abuja"/>
    <s v="Corporate"/>
    <x v="3"/>
    <s v="F. Müller"/>
    <s v="Accessories"/>
    <s v="ACC-9038"/>
    <n v="412.09"/>
    <s v="High"/>
    <n v="968.94"/>
    <n v="9.9000000000000005E-2"/>
    <n v="23"/>
    <n v="1834.19273"/>
    <n v="9478.07"/>
    <n v="-7643.87727"/>
    <n v="-4.1674340678473847"/>
  </r>
  <r>
    <s v="ORD-2025-725646"/>
    <d v="2025-09-10T00:00:00"/>
    <d v="2025-09-30T00:00:00"/>
    <n v="20"/>
    <x v="11"/>
    <s v="Q3-2025"/>
    <x v="0"/>
    <s v="Kenya"/>
    <s v="Mombasa"/>
    <s v="Corporate"/>
    <x v="4"/>
    <s v="L. Okafor"/>
    <s v="Phones"/>
    <s v="PHN-6954"/>
    <n v="1009.48"/>
    <s v="High"/>
    <n v="1088.81"/>
    <n v="0.16"/>
    <n v="6"/>
    <n v="9873.8135999999995"/>
    <n v="6056.88"/>
    <n v="3816.9335999999994"/>
    <n v="0.38657136488782812"/>
  </r>
  <r>
    <s v="ORD-2023-868734"/>
    <d v="2023-04-06T00:00:00"/>
    <d v="2023-04-27T00:00:00"/>
    <n v="21"/>
    <x v="12"/>
    <s v="Q2-2023"/>
    <x v="3"/>
    <s v="United Kingdom"/>
    <s v="Manchester"/>
    <s v="Enterprise"/>
    <x v="3"/>
    <s v="I. Johnson"/>
    <s v="Printers"/>
    <s v="PRN-8970"/>
    <n v="1084.79"/>
    <s v="High"/>
    <n v="2484.9899999999998"/>
    <n v="3.4000000000000002E-2"/>
    <n v="18"/>
    <n v="47694.762360000001"/>
    <n v="19526.22"/>
    <n v="28168.542359999999"/>
    <n v="0.59060032939013052"/>
  </r>
  <r>
    <s v="ORD-2025-262491"/>
    <d v="2025-08-01T00:00:00"/>
    <d v="2025-08-16T00:00:00"/>
    <n v="15"/>
    <x v="28"/>
    <s v="Q3-2025"/>
    <x v="1"/>
    <s v="India"/>
    <s v="Not Provided"/>
    <s v="Enterprise"/>
    <x v="4"/>
    <s v="O. Wang"/>
    <s v="Monitors"/>
    <s v="MON-1822"/>
    <n v="24.44"/>
    <s v="Low"/>
    <n v="28.69"/>
    <n v="0.14599999999999999"/>
    <n v="6"/>
    <n v="8605.3480799999998"/>
    <n v="146.64000000000001"/>
    <n v="8458.7080800000003"/>
    <n v="0.98295943422197984"/>
  </r>
  <r>
    <s v="ORD-2024-638884"/>
    <d v="2024-05-28T00:00:00"/>
    <d v="2024-05-26T00:00:00"/>
    <n v="2"/>
    <x v="7"/>
    <s v="Q2-2024"/>
    <x v="0"/>
    <s v="Nigeria"/>
    <s v="Abuja"/>
    <s v="Enterprise"/>
    <x v="1"/>
    <s v="F. Müller"/>
    <s v="Accessories"/>
    <s v="ACC-5177"/>
    <n v="1227.08"/>
    <s v="High"/>
    <n v="1896.62"/>
    <n v="0"/>
    <n v="18"/>
    <n v="25810.2"/>
    <n v="22087.439999999999"/>
    <n v="3722.760000000002"/>
    <n v="0.14423599972104059"/>
  </r>
  <r>
    <s v="ORD-2025-541501"/>
    <d v="2025-07-22T00:00:00"/>
    <d v="2025-08-18T00:00:00"/>
    <n v="27"/>
    <x v="13"/>
    <s v="Q3-2025"/>
    <x v="1"/>
    <s v="China"/>
    <s v="Shenzhen"/>
    <s v="Non-Profit"/>
    <x v="2"/>
    <s v="M. Rossi"/>
    <s v="Networking"/>
    <s v="NET-1804"/>
    <n v="547.32000000000005"/>
    <s v="High"/>
    <n v="419.17"/>
    <n v="9.1999999999999998E-2"/>
    <n v="14"/>
    <n v="3615.67416"/>
    <n v="7662.4800000000005"/>
    <n v="-4046.8058400000004"/>
    <n v="-1.1192396385630061"/>
  </r>
  <r>
    <s v="ORD-2023-422918"/>
    <d v="2023-02-28T00:00:00"/>
    <d v="2023-03-20T00:00:00"/>
    <n v="20"/>
    <x v="2"/>
    <s v="Q1-2023"/>
    <x v="3"/>
    <s v="Germany"/>
    <s v="Berlin"/>
    <s v="Small Business"/>
    <x v="4"/>
    <s v="H. Kim"/>
    <s v="Laptops"/>
    <s v="LAP-3679"/>
    <n v="1200.78"/>
    <s v="High"/>
    <n v="2001.17"/>
    <n v="0.29199999999999998"/>
    <n v="18"/>
    <n v="8854.276319999999"/>
    <n v="21614.04"/>
    <n v="-12759.763680000002"/>
    <n v="-1.4410848745682701"/>
  </r>
  <r>
    <s v="ORD-2025-328504"/>
    <d v="2025-01-27T00:00:00"/>
    <d v="2025-02-15T00:00:00"/>
    <n v="19"/>
    <x v="10"/>
    <s v="Q1-2025"/>
    <x v="1"/>
    <s v="China"/>
    <s v="Shenzhen"/>
    <s v="Non-Profit"/>
    <x v="4"/>
    <s v="L. Okafor"/>
    <s v="Phones"/>
    <s v="PHN-8368"/>
    <n v="1253.22"/>
    <s v="High"/>
    <n v="3104.71"/>
    <n v="0"/>
    <n v="17"/>
    <n v="31422.63"/>
    <n v="21304.74"/>
    <n v="10117.89"/>
    <n v="0.3219937350883742"/>
  </r>
  <r>
    <s v="ORD-2024-851883"/>
    <d v="2024-01-13T00:00:00"/>
    <d v="2024-01-22T00:00:00"/>
    <n v="9"/>
    <x v="9"/>
    <s v="Q1-2024"/>
    <x v="1"/>
    <s v="India"/>
    <s v="Mumbai"/>
    <s v="Enterprise"/>
    <x v="2"/>
    <s v="J. Njeri"/>
    <s v="Components"/>
    <s v="CMP-8141"/>
    <n v="313.60000000000002"/>
    <s v="High"/>
    <n v="334.28"/>
    <n v="0.14000000000000001"/>
    <n v="22"/>
    <n v="854.99479999999994"/>
    <n v="6899.2000000000007"/>
    <n v="-6044.2052000000003"/>
    <n v="-7.0692888424584579"/>
  </r>
  <r>
    <s v="ORD-2025-662997"/>
    <d v="2025-03-31T00:00:00"/>
    <d v="2025-04-04T00:00:00"/>
    <n v="4"/>
    <x v="3"/>
    <s v="Q1-2025"/>
    <x v="0"/>
    <s v="Kenya"/>
    <s v="Nakuru"/>
    <s v="Corporate"/>
    <x v="4"/>
    <s v="C. Otieno"/>
    <s v="Laptops"/>
    <s v="LAP-7136"/>
    <n v="862.08"/>
    <s v="High"/>
    <n v="1952.83"/>
    <n v="0"/>
    <n v="7"/>
    <n v="2527.7000000000003"/>
    <n v="6034.56"/>
    <n v="-3506.86"/>
    <n v="-1.3873719191359732"/>
  </r>
  <r>
    <s v="ORD-2024-478165"/>
    <d v="2024-12-05T00:00:00"/>
    <d v="2024-12-28T00:00:00"/>
    <n v="23"/>
    <x v="6"/>
    <s v="Q4-2024"/>
    <x v="2"/>
    <s v="Canada"/>
    <s v="Vancouver"/>
    <s v="Corporate"/>
    <x v="4"/>
    <s v="F. Müller"/>
    <s v="Accessories"/>
    <s v="ACC-2386"/>
    <n v="107.03"/>
    <s v="High"/>
    <n v="242.29"/>
    <n v="0.18"/>
    <n v="30"/>
    <n v="24706.764000000003"/>
    <n v="3210.9"/>
    <n v="21495.864000000001"/>
    <n v="0.87003963772835646"/>
  </r>
  <r>
    <s v="ORD-2024-771210"/>
    <d v="2024-09-14T00:00:00"/>
    <d v="2024-10-05T00:00:00"/>
    <n v="21"/>
    <x v="29"/>
    <s v="Q3-2024"/>
    <x v="1"/>
    <s v="China"/>
    <s v="Shanghai"/>
    <s v="Small Business"/>
    <x v="1"/>
    <s v="H. Kim"/>
    <s v="Laptops"/>
    <s v="LAP-5150"/>
    <n v="1405.56"/>
    <s v="High"/>
    <n v="2968.87"/>
    <n v="0.16900000000000001"/>
    <n v="5"/>
    <n v="4270.2181499999997"/>
    <n v="7027.7999999999993"/>
    <n v="-2757.5818499999996"/>
    <n v="-0.64577072016800818"/>
  </r>
  <r>
    <s v="ORD-2024-155337"/>
    <d v="2024-05-21T00:00:00"/>
    <d v="2024-05-27T00:00:00"/>
    <n v="6"/>
    <x v="7"/>
    <s v="Q2-2024"/>
    <x v="0"/>
    <s v="South Africa"/>
    <s v="Johannesburg"/>
    <s v="Non-Profit"/>
    <x v="1"/>
    <s v="M. Rossi"/>
    <s v="Components"/>
    <s v="CMP-8101"/>
    <n v="1157.51"/>
    <s v="High"/>
    <n v="1394.3"/>
    <n v="0.27800000000000002"/>
    <n v="12"/>
    <n v="4055.5317599999998"/>
    <n v="13890.119999999999"/>
    <n v="-9834.5882399999991"/>
    <n v="-2.4249811916156712"/>
  </r>
  <r>
    <s v="ORD-2023-251563"/>
    <d v="2023-05-11T00:00:00"/>
    <d v="2023-06-07T00:00:00"/>
    <n v="27"/>
    <x v="15"/>
    <s v="Q2-2023"/>
    <x v="0"/>
    <s v="Kenya"/>
    <s v="Mombasa"/>
    <s v="Corporate"/>
    <x v="1"/>
    <s v="J. Njeri"/>
    <s v="Phones"/>
    <s v="PHN-8970"/>
    <n v="12.85"/>
    <s v="Low"/>
    <n v="15.41"/>
    <n v="0.13700000000000001"/>
    <n v="39"/>
    <n v="22483.549139999999"/>
    <n v="501.15"/>
    <n v="21982.399139999998"/>
    <n v="0.97771036961827273"/>
  </r>
  <r>
    <s v="ORD-2024-286833"/>
    <d v="2024-08-14T00:00:00"/>
    <d v="2024-09-04T00:00:00"/>
    <n v="21"/>
    <x v="21"/>
    <s v="Q3-2024"/>
    <x v="3"/>
    <s v="United Kingdom"/>
    <s v="Manchester"/>
    <s v="Non-Profit"/>
    <x v="1"/>
    <s v="J. Njeri"/>
    <s v="Phones"/>
    <s v="PHN-2341"/>
    <n v="1138.8"/>
    <s v="High"/>
    <n v="2250.81"/>
    <n v="0.123"/>
    <n v="12"/>
    <n v="5654.22948"/>
    <n v="13665.599999999999"/>
    <n v="-8011.3705199999986"/>
    <n v="-1.4168810353979475"/>
  </r>
  <r>
    <s v="ORD-2024-792558"/>
    <d v="2024-10-16T00:00:00"/>
    <d v="2024-11-08T00:00:00"/>
    <n v="23"/>
    <x v="1"/>
    <s v="Q4-2024"/>
    <x v="1"/>
    <s v="Japan"/>
    <s v="Osaka"/>
    <s v="Small Business"/>
    <x v="0"/>
    <s v="J. Njeri"/>
    <s v="Networking"/>
    <s v="NET-6387"/>
    <n v="82.14"/>
    <s v="Medium"/>
    <n v="166.04"/>
    <n v="0"/>
    <n v="10"/>
    <n v="5727.1"/>
    <n v="821.4"/>
    <n v="4905.7000000000007"/>
    <n v="0.85657662691414516"/>
  </r>
  <r>
    <s v="ORD-2024-166150"/>
    <d v="2024-06-02T00:00:00"/>
    <d v="2024-06-08T00:00:00"/>
    <n v="6"/>
    <x v="17"/>
    <s v="Q2-2024"/>
    <x v="0"/>
    <s v="Kenya"/>
    <s v="Kisumu"/>
    <s v="Consumer"/>
    <x v="2"/>
    <s v="A. Patel"/>
    <s v="Accessories"/>
    <s v="ACC-9820"/>
    <n v="292.94"/>
    <s v="High"/>
    <n v="356.55"/>
    <n v="0.22900000000000001"/>
    <n v="2"/>
    <n v="3583.4075399999997"/>
    <n v="585.88"/>
    <n v="2997.5275399999996"/>
    <n v="0.83650199050482543"/>
  </r>
  <r>
    <s v="ORD-2024-909942"/>
    <d v="2024-06-09T00:00:00"/>
    <d v="2024-07-07T00:00:00"/>
    <n v="28"/>
    <x v="17"/>
    <s v="Q2-2024"/>
    <x v="1"/>
    <s v="China"/>
    <s v="Shenzhen"/>
    <s v="Corporate"/>
    <x v="1"/>
    <s v="J. Njeri"/>
    <s v="Components"/>
    <s v="CMP-6392"/>
    <n v="550.22"/>
    <s v="High"/>
    <n v="1025.05"/>
    <n v="0"/>
    <n v="27"/>
    <n v="44038.080000000002"/>
    <n v="14855.94"/>
    <n v="29182.14"/>
    <n v="0.66265695507161071"/>
  </r>
  <r>
    <s v="ORD-2024-223618"/>
    <d v="2024-06-10T00:00:00"/>
    <d v="2024-06-11T00:00:00"/>
    <n v="1"/>
    <x v="17"/>
    <s v="Q2-2024"/>
    <x v="3"/>
    <s v="United Kingdom"/>
    <s v="Birmingham"/>
    <s v="Small Business"/>
    <x v="2"/>
    <s v="M. Rossi"/>
    <s v="Laptops"/>
    <s v="LAP-9230"/>
    <n v="1187.1300000000001"/>
    <s v="High"/>
    <n v="1795.17"/>
    <n v="1.2E-2"/>
    <n v="17"/>
    <n v="6606.0347600000005"/>
    <n v="20181.210000000003"/>
    <n v="-13575.175240000002"/>
    <n v="-2.0549657598229172"/>
  </r>
  <r>
    <s v="ORD-2024-919471"/>
    <d v="2024-06-29T00:00:00"/>
    <d v="2024-07-26T00:00:00"/>
    <n v="27"/>
    <x v="17"/>
    <s v="Q2-2024"/>
    <x v="0"/>
    <s v="South Africa"/>
    <s v="Durban"/>
    <s v="Enterprise"/>
    <x v="3"/>
    <s v="B. Chen"/>
    <s v="Networking"/>
    <s v="NET-4241"/>
    <n v="5.36"/>
    <s v="Low"/>
    <n v="4.37"/>
    <n v="0.11799999999999999"/>
    <n v="9"/>
    <n v="14734.198080000002"/>
    <n v="48.24"/>
    <n v="14685.958080000002"/>
    <n v="0.99672598401771995"/>
  </r>
  <r>
    <s v="ORD-2025-649239"/>
    <d v="2025-01-17T00:00:00"/>
    <d v="2025-01-24T00:00:00"/>
    <n v="7"/>
    <x v="10"/>
    <s v="Q1-2025"/>
    <x v="2"/>
    <s v="USA"/>
    <s v="Austin"/>
    <s v="Enterprise"/>
    <x v="1"/>
    <s v="G. Dubois"/>
    <s v="Accessories"/>
    <s v="ACC-4511"/>
    <n v="142.09"/>
    <s v="High"/>
    <n v="218.5"/>
    <n v="0.11899999999999999"/>
    <n v="11"/>
    <n v="822.7659000000001"/>
    <n v="1562.99"/>
    <n v="-740.22409999999991"/>
    <n v="-0.89967766043779862"/>
  </r>
  <r>
    <s v="ORD-2023-975863"/>
    <d v="2023-11-20T00:00:00"/>
    <d v="2023-12-05T00:00:00"/>
    <n v="15"/>
    <x v="30"/>
    <s v="Q4-2023"/>
    <x v="1"/>
    <s v="Japan"/>
    <s v="Tokyo"/>
    <s v="Enterprise"/>
    <x v="0"/>
    <s v="L. Okafor"/>
    <s v="Networking"/>
    <s v="NET-3033"/>
    <n v="354.24"/>
    <s v="High"/>
    <n v="249.87"/>
    <n v="0"/>
    <n v="6"/>
    <n v="13513.439999999999"/>
    <n v="2125.44"/>
    <n v="11387.999999999998"/>
    <n v="0.84271658437821895"/>
  </r>
  <r>
    <s v="ORD-2023-869884"/>
    <d v="2023-03-02T00:00:00"/>
    <d v="2023-03-05T00:00:00"/>
    <n v="3"/>
    <x v="22"/>
    <s v="Q1-2023"/>
    <x v="2"/>
    <s v="Brazil"/>
    <s v="Brasília"/>
    <s v="Enterprise"/>
    <x v="4"/>
    <s v="G. Dubois"/>
    <s v="Monitors"/>
    <s v="MON-2828"/>
    <n v="1473.58"/>
    <s v="High"/>
    <n v="3436.52"/>
    <n v="0.108"/>
    <n v="8"/>
    <n v="6576.6803200000004"/>
    <n v="11788.64"/>
    <n v="-5211.959679999999"/>
    <n v="-0.79249095689662452"/>
  </r>
  <r>
    <s v="ORD-2025-698069"/>
    <d v="2025-06-03T00:00:00"/>
    <d v="2025-06-10T00:00:00"/>
    <n v="7"/>
    <x v="16"/>
    <s v="Q2-2025"/>
    <x v="2"/>
    <s v="Canada"/>
    <s v="Toronto"/>
    <s v="Consumer"/>
    <x v="3"/>
    <s v="O. Wang"/>
    <s v="Printers"/>
    <s v="PRN-6429"/>
    <n v="75.180000000000007"/>
    <s v="Medium"/>
    <n v="53.45"/>
    <n v="0.157"/>
    <n v="17"/>
    <n v="23548.41258"/>
    <n v="1278.0600000000002"/>
    <n v="22270.352579999999"/>
    <n v="0.94572627791117114"/>
  </r>
  <r>
    <s v="ORD-2024-474999"/>
    <d v="2024-12-27T00:00:00"/>
    <d v="2025-01-02T00:00:00"/>
    <n v="6"/>
    <x v="6"/>
    <s v="Q4-2024"/>
    <x v="3"/>
    <s v="Germany"/>
    <s v="Frankfurt"/>
    <s v="Education"/>
    <x v="4"/>
    <s v="F. Müller"/>
    <s v="Laptops"/>
    <s v="LAP-8214"/>
    <n v="1391.99"/>
    <s v="High"/>
    <n v="3469.7"/>
    <n v="0.184"/>
    <n v="23"/>
    <n v="27535.846560000005"/>
    <n v="32015.77"/>
    <n v="-4479.923439999995"/>
    <n v="-0.16269423314218215"/>
  </r>
  <r>
    <s v="ORD-2023-427304"/>
    <d v="2023-06-09T00:00:00"/>
    <d v="2023-06-19T00:00:00"/>
    <n v="10"/>
    <x v="23"/>
    <s v="Q2-2023"/>
    <x v="1"/>
    <s v="China"/>
    <s v="Beijing"/>
    <s v="Enterprise"/>
    <x v="0"/>
    <s v="F. Müller"/>
    <s v="Monitors"/>
    <s v="MON-9194"/>
    <n v="339.61"/>
    <s v="High"/>
    <n v="621.02"/>
    <n v="7.0999999999999994E-2"/>
    <n v="10"/>
    <n v="9278.4804000000004"/>
    <n v="3396.1000000000004"/>
    <n v="5882.3804"/>
    <n v="0.63398101266668616"/>
  </r>
  <r>
    <s v="ORD-2025-956101"/>
    <d v="2025-07-09T00:00:00"/>
    <d v="2025-07-18T00:00:00"/>
    <n v="9"/>
    <x v="13"/>
    <s v="Q3-2025"/>
    <x v="2"/>
    <s v="Canada"/>
    <s v="Vancouver"/>
    <s v="Education"/>
    <x v="3"/>
    <s v="I. Johnson"/>
    <s v="Laptops"/>
    <s v="LAP-2218"/>
    <n v="57.96"/>
    <s v="Medium"/>
    <n v="88.51"/>
    <n v="4.2999999999999997E-2"/>
    <n v="7"/>
    <n v="4225.1932799999995"/>
    <n v="405.72"/>
    <n v="3819.4732799999992"/>
    <n v="0.90397599041907017"/>
  </r>
  <r>
    <s v="ORD-2025-184082"/>
    <d v="2025-06-19T00:00:00"/>
    <d v="2025-07-12T00:00:00"/>
    <n v="23"/>
    <x v="16"/>
    <s v="Q2-2025"/>
    <x v="3"/>
    <s v="United Kingdom"/>
    <s v="Not Provided"/>
    <s v="Non-Profit"/>
    <x v="4"/>
    <s v="Not Provided"/>
    <s v="Networking"/>
    <s v="NET-6370"/>
    <n v="801.24"/>
    <s v="High"/>
    <n v="1959.09"/>
    <n v="0.123"/>
    <n v="23"/>
    <n v="14696.792309999999"/>
    <n v="18428.52"/>
    <n v="-3731.7276900000015"/>
    <n v="-0.25391443325091134"/>
  </r>
  <r>
    <s v="ORD-2023-576840"/>
    <d v="2023-11-19T00:00:00"/>
    <d v="2023-12-13T00:00:00"/>
    <n v="24"/>
    <x v="30"/>
    <s v="Q4-2023"/>
    <x v="3"/>
    <s v="France"/>
    <s v="Lyon"/>
    <s v="Non-Profit"/>
    <x v="4"/>
    <s v="H. Kim"/>
    <s v="Monitors"/>
    <s v="MON-3745"/>
    <n v="1297.42"/>
    <s v="High"/>
    <n v="2742.97"/>
    <n v="6.9000000000000006E-2"/>
    <n v="9"/>
    <n v="7972.7022900000002"/>
    <n v="11676.78"/>
    <n v="-3704.0777100000005"/>
    <n v="-0.46459501123551927"/>
  </r>
  <r>
    <s v="ORD-2023-178249"/>
    <d v="2023-12-29T00:00:00"/>
    <d v="2024-01-20T00:00:00"/>
    <n v="22"/>
    <x v="4"/>
    <s v="Q4-2023"/>
    <x v="0"/>
    <s v="Kenya"/>
    <s v="Kisumu"/>
    <s v="Corporate"/>
    <x v="4"/>
    <s v="L. Okafor"/>
    <s v="Phones"/>
    <s v="PHN-7924"/>
    <n v="1395.49"/>
    <s v="High"/>
    <n v="1679.42"/>
    <n v="0.20300000000000001"/>
    <n v="12"/>
    <n v="7009.2643199999993"/>
    <n v="16745.88"/>
    <n v="-9736.6156800000026"/>
    <n v="-1.3891066502111884"/>
  </r>
  <r>
    <s v="ORD-2024-588972"/>
    <d v="2024-11-02T00:00:00"/>
    <d v="2024-11-29T00:00:00"/>
    <n v="27"/>
    <x v="18"/>
    <s v="Q4-2024"/>
    <x v="2"/>
    <s v="Brazil"/>
    <s v="Brasília"/>
    <s v="Small Business"/>
    <x v="4"/>
    <s v="I. Johnson"/>
    <s v="Networking"/>
    <s v="NET-8561"/>
    <n v="1363.51"/>
    <s v="High"/>
    <n v="1433.9"/>
    <n v="5.7000000000000002E-2"/>
    <n v="8"/>
    <n v="18192.506879999997"/>
    <n v="10908.08"/>
    <n v="7284.4268799999973"/>
    <n v="0.4004080871343883"/>
  </r>
  <r>
    <s v="ORD-2023-603238"/>
    <d v="2023-08-21T00:00:00"/>
    <d v="2023-09-04T00:00:00"/>
    <n v="14"/>
    <x v="25"/>
    <s v="Q3-2023"/>
    <x v="2"/>
    <s v="Canada"/>
    <s v="Montreal"/>
    <s v="Education"/>
    <x v="3"/>
    <s v="F. Müller"/>
    <s v="Components"/>
    <s v="CMP-2136"/>
    <n v="178.19"/>
    <s v="High"/>
    <n v="284.43"/>
    <n v="8.8999999999999996E-2"/>
    <n v="8"/>
    <n v="4141.6975199999997"/>
    <n v="1425.52"/>
    <n v="2716.1775199999997"/>
    <n v="0.65581262438498888"/>
  </r>
  <r>
    <s v="ORD-2023-883066"/>
    <d v="2023-08-12T00:00:00"/>
    <d v="2023-09-06T00:00:00"/>
    <n v="25"/>
    <x v="25"/>
    <s v="Q3-2023"/>
    <x v="1"/>
    <s v="China"/>
    <s v="Shanghai"/>
    <s v="Small Business"/>
    <x v="0"/>
    <s v="B. Chen"/>
    <s v="Components"/>
    <s v="CMP-6352"/>
    <n v="950.77"/>
    <s v="High"/>
    <n v="694.78"/>
    <n v="8.4000000000000005E-2"/>
    <n v="14"/>
    <n v="16093.478800000001"/>
    <n v="13310.779999999999"/>
    <n v="2782.6988000000019"/>
    <n v="0.17290847023081185"/>
  </r>
  <r>
    <s v="ORD-2024-584090"/>
    <d v="2024-06-07T00:00:00"/>
    <d v="2024-06-26T00:00:00"/>
    <n v="19"/>
    <x v="17"/>
    <s v="Q2-2024"/>
    <x v="3"/>
    <s v="Germany"/>
    <s v="Berlin"/>
    <s v="Non-Profit"/>
    <x v="2"/>
    <s v="M. Rossi"/>
    <s v="Components"/>
    <s v="CMP-2040"/>
    <n v="1064.32"/>
    <s v="High"/>
    <n v="1848.39"/>
    <n v="7.2999999999999995E-2"/>
    <n v="38"/>
    <n v="29785.344300000001"/>
    <n v="40444.159999999996"/>
    <n v="-10658.815699999996"/>
    <n v="-0.35785437269563458"/>
  </r>
  <r>
    <s v="ORD-2025-537785"/>
    <d v="2025-08-05T00:00:00"/>
    <d v="2025-08-14T00:00:00"/>
    <n v="9"/>
    <x v="28"/>
    <s v="Q3-2025"/>
    <x v="3"/>
    <s v="United Kingdom"/>
    <s v="London"/>
    <s v="Non-Profit"/>
    <x v="4"/>
    <s v="E. Garcia"/>
    <s v="Components"/>
    <s v="CMP-6346"/>
    <n v="41.76"/>
    <s v="Low"/>
    <n v="45.19"/>
    <n v="0.17899999999999999"/>
    <n v="23"/>
    <n v="40507.245110000003"/>
    <n v="960.4799999999999"/>
    <n v="39546.76511"/>
    <n v="0.97628868619942533"/>
  </r>
  <r>
    <s v="ORD-2024-605518"/>
    <d v="2024-05-30T00:00:00"/>
    <d v="2024-06-13T00:00:00"/>
    <n v="14"/>
    <x v="7"/>
    <s v="Q2-2024"/>
    <x v="2"/>
    <s v="USA"/>
    <s v="San Francisco"/>
    <s v="Small Business"/>
    <x v="0"/>
    <s v="F. Müller"/>
    <s v="Phones"/>
    <s v="PHN-4356"/>
    <n v="157.78"/>
    <s v="High"/>
    <n v="361.1"/>
    <n v="0.187"/>
    <n v="9"/>
    <n v="9877.5109800000009"/>
    <n v="1420.02"/>
    <n v="8457.4909800000005"/>
    <n v="0.85623706185948478"/>
  </r>
  <r>
    <s v="ORD-2023-521818"/>
    <d v="2023-01-22T00:00:00"/>
    <d v="2023-01-30T00:00:00"/>
    <n v="8"/>
    <x v="5"/>
    <s v="Q1-2023"/>
    <x v="2"/>
    <s v="USA"/>
    <s v="San Francisco"/>
    <s v="Small Business"/>
    <x v="1"/>
    <s v="A. Patel"/>
    <s v="Networking"/>
    <s v="NET-4155"/>
    <n v="413.52"/>
    <s v="High"/>
    <n v="1004.34"/>
    <n v="0.111"/>
    <n v="18"/>
    <n v="8440.7349599999998"/>
    <n v="7443.36"/>
    <n v="997.3749600000001"/>
    <n v="0.11816209900281008"/>
  </r>
  <r>
    <s v="ORD-2025-650719"/>
    <d v="2025-02-12T00:00:00"/>
    <d v="2025-02-28T00:00:00"/>
    <n v="16"/>
    <x v="26"/>
    <s v="Q1-2025"/>
    <x v="2"/>
    <s v="Brazil"/>
    <s v="São Paulo"/>
    <s v="Non-Profit"/>
    <x v="4"/>
    <s v="B. Chen"/>
    <s v="Monitors"/>
    <s v="MON-5179"/>
    <n v="414.95"/>
    <s v="High"/>
    <n v="1027.73"/>
    <n v="6.3E-2"/>
    <n v="8"/>
    <n v="10997.906320000002"/>
    <n v="3319.6"/>
    <n v="7678.3063200000015"/>
    <n v="0.69816073137818835"/>
  </r>
  <r>
    <s v="ORD-2025-501927"/>
    <d v="2025-03-03T00:00:00"/>
    <d v="2025-03-24T00:00:00"/>
    <n v="21"/>
    <x v="3"/>
    <s v="Q1-2025"/>
    <x v="0"/>
    <s v="Nigeria"/>
    <s v="Abuja"/>
    <s v="Enterprise"/>
    <x v="4"/>
    <s v="H. Kim"/>
    <s v="Accessories"/>
    <s v="ACC-4056"/>
    <n v="555.95000000000005"/>
    <s v="High"/>
    <n v="468.09"/>
    <n v="0.14199999999999999"/>
    <n v="11"/>
    <n v="15583.45932"/>
    <n v="6115.4500000000007"/>
    <n v="9468.0093199999992"/>
    <n v="0.60756787858063332"/>
  </r>
  <r>
    <s v="ORD-2023-430904"/>
    <d v="2023-01-27T00:00:00"/>
    <d v="2023-01-31T00:00:00"/>
    <n v="4"/>
    <x v="5"/>
    <s v="Q1-2023"/>
    <x v="3"/>
    <s v="United Kingdom"/>
    <s v="Manchester"/>
    <s v="Enterprise"/>
    <x v="1"/>
    <s v="N. Brown"/>
    <s v="Laptops"/>
    <s v="LAP-9782"/>
    <n v="941.2"/>
    <s v="High"/>
    <n v="668.02"/>
    <n v="0.22"/>
    <n v="16"/>
    <n v="24737.606400000001"/>
    <n v="15059.2"/>
    <n v="9678.4063999999998"/>
    <n v="0.3912426385763822"/>
  </r>
  <r>
    <s v="ORD-2025-354346"/>
    <d v="2025-01-09T00:00:00"/>
    <d v="2025-01-15T00:00:00"/>
    <n v="6"/>
    <x v="10"/>
    <s v="Q1-2025"/>
    <x v="1"/>
    <s v="China"/>
    <s v="Beijing"/>
    <s v="Education"/>
    <x v="1"/>
    <s v="C. Otieno"/>
    <s v="Phones"/>
    <s v="PHN-2875"/>
    <n v="304.77999999999997"/>
    <s v="High"/>
    <n v="537.27"/>
    <n v="0.187"/>
    <n v="8"/>
    <n v="16599.638879999999"/>
    <n v="2438.2399999999998"/>
    <n v="14161.398879999999"/>
    <n v="0.85311487691833454"/>
  </r>
  <r>
    <s v="ORD-2024-164288"/>
    <d v="2024-12-21T00:00:00"/>
    <d v="2024-12-26T00:00:00"/>
    <n v="5"/>
    <x v="6"/>
    <s v="Q4-2024"/>
    <x v="2"/>
    <s v="USA"/>
    <s v="San Francisco"/>
    <s v="Consumer"/>
    <x v="2"/>
    <s v="M. Rossi"/>
    <s v="Printers"/>
    <s v="PRN-4788"/>
    <n v="699.57"/>
    <s v="High"/>
    <n v="572.71"/>
    <n v="0.192"/>
    <n v="26"/>
    <n v="10987.39408"/>
    <n v="18188.82"/>
    <n v="-7201.4259199999997"/>
    <n v="-0.65542619729172391"/>
  </r>
  <r>
    <s v="ORD-2023-867285"/>
    <d v="2023-04-12T00:00:00"/>
    <d v="2023-04-17T00:00:00"/>
    <n v="5"/>
    <x v="12"/>
    <s v="Q2-2023"/>
    <x v="3"/>
    <s v="France"/>
    <s v="Lyon"/>
    <s v="Enterprise"/>
    <x v="4"/>
    <s v="E. Garcia"/>
    <s v="Monitors"/>
    <s v="MON-3043"/>
    <n v="1087.81"/>
    <s v="High"/>
    <n v="2323.87"/>
    <n v="9.4E-2"/>
    <n v="13"/>
    <n v="14342.18838"/>
    <n v="14141.529999999999"/>
    <n v="200.65838000000076"/>
    <n v="1.399077844213902E-2"/>
  </r>
  <r>
    <s v="ORD-2024-836421"/>
    <d v="2024-12-14T00:00:00"/>
    <d v="2025-01-12T00:00:00"/>
    <n v="29"/>
    <x v="6"/>
    <s v="Q4-2024"/>
    <x v="1"/>
    <s v="China"/>
    <s v="Shenzhen"/>
    <s v="Education"/>
    <x v="1"/>
    <s v="J. Njeri"/>
    <s v="Components"/>
    <s v="CMP-3720"/>
    <n v="1412.15"/>
    <s v="High"/>
    <n v="1631.04"/>
    <n v="8.9999999999999993E-3"/>
    <n v="6"/>
    <n v="7989.2834400000002"/>
    <n v="8472.9000000000015"/>
    <n v="-483.6165600000013"/>
    <n v="-6.0533158403002073E-2"/>
  </r>
  <r>
    <s v="ORD-2023-613287"/>
    <d v="2023-03-31T00:00:00"/>
    <d v="2023-04-12T00:00:00"/>
    <n v="12"/>
    <x v="22"/>
    <s v="Q1-2023"/>
    <x v="0"/>
    <s v="Kenya"/>
    <s v="Mombasa"/>
    <s v="Small Business"/>
    <x v="1"/>
    <s v="C. Otieno"/>
    <s v="Phones"/>
    <s v="PHN-8014"/>
    <n v="304.22000000000003"/>
    <s v="High"/>
    <n v="393.31"/>
    <n v="0.26500000000000001"/>
    <n v="15"/>
    <n v="3326.2424999999998"/>
    <n v="4563.3"/>
    <n v="-1237.0575000000003"/>
    <n v="-0.3719083921271526"/>
  </r>
  <r>
    <s v="ORD-2024-783321"/>
    <d v="2024-11-20T00:00:00"/>
    <d v="2024-12-15T00:00:00"/>
    <n v="25"/>
    <x v="18"/>
    <s v="Q4-2024"/>
    <x v="3"/>
    <s v="France"/>
    <s v="Paris"/>
    <s v="Corporate"/>
    <x v="1"/>
    <s v="G. Dubois"/>
    <s v="Printers"/>
    <s v="PRN-4911"/>
    <n v="1203.58"/>
    <s v="High"/>
    <n v="1856.16"/>
    <n v="0.129"/>
    <n v="22"/>
    <n v="28967.387020000002"/>
    <n v="26478.76"/>
    <n v="2488.6270200000035"/>
    <n v="8.591133947572753E-2"/>
  </r>
  <r>
    <s v="ORD-2024-232632"/>
    <d v="2024-02-14T00:00:00"/>
    <d v="2024-02-14T00:00:00"/>
    <n v="0"/>
    <x v="31"/>
    <s v="Q1-2024"/>
    <x v="1"/>
    <s v="China"/>
    <s v="Beijing"/>
    <s v="Corporate"/>
    <x v="3"/>
    <s v="L. Okafor"/>
    <s v="Accessories"/>
    <s v="ACC-1021"/>
    <n v="65.930000000000007"/>
    <s v="Medium"/>
    <n v="84.9"/>
    <n v="0.25900000000000001"/>
    <n v="23"/>
    <n v="35027.455319999994"/>
    <n v="1516.39"/>
    <n v="33511.065319999994"/>
    <n v="0.95670853088964847"/>
  </r>
  <r>
    <s v="ORD-2023-906481"/>
    <d v="2023-05-02T00:00:00"/>
    <d v="2023-05-18T00:00:00"/>
    <n v="16"/>
    <x v="15"/>
    <s v="Q2-2023"/>
    <x v="1"/>
    <s v="India"/>
    <s v="Delhi"/>
    <s v="Small Business"/>
    <x v="2"/>
    <s v="K. Singh"/>
    <s v="Monitors"/>
    <s v="MON-2266"/>
    <n v="1463.92"/>
    <s v="High"/>
    <n v="2252.2399999999998"/>
    <n v="0.11799999999999999"/>
    <n v="44"/>
    <n v="15179.749199999998"/>
    <n v="64412.480000000003"/>
    <n v="-49232.730800000005"/>
    <n v="-3.2433164837795876"/>
  </r>
  <r>
    <s v="ORD-2024-902741"/>
    <d v="2024-12-23T00:00:00"/>
    <d v="2025-01-11T00:00:00"/>
    <n v="19"/>
    <x v="6"/>
    <s v="Q4-2024"/>
    <x v="3"/>
    <s v="Germany"/>
    <s v="Berlin"/>
    <s v="Education"/>
    <x v="0"/>
    <s v="K. Singh"/>
    <s v="Phones"/>
    <s v="PHN-8057"/>
    <n v="501.81"/>
    <s v="High"/>
    <n v="921.62"/>
    <n v="0.01"/>
    <n v="9"/>
    <n v="16474.322700000001"/>
    <n v="4516.29"/>
    <n v="11958.0327"/>
    <n v="0.72585883606614066"/>
  </r>
  <r>
    <s v="ORD-2023-912395"/>
    <d v="2023-07-26T00:00:00"/>
    <d v="2023-08-25T00:00:00"/>
    <n v="30"/>
    <x v="24"/>
    <s v="Q3-2023"/>
    <x v="2"/>
    <s v="USA"/>
    <s v="New York"/>
    <s v="Consumer"/>
    <x v="0"/>
    <s v="M. Rossi"/>
    <s v="Accessories"/>
    <s v="ACC-7078"/>
    <n v="1261.48"/>
    <s v="High"/>
    <n v="1643.18"/>
    <n v="0.151"/>
    <n v="23"/>
    <n v="27251.100119999996"/>
    <n v="29014.04"/>
    <n v="-1762.9398800000054"/>
    <n v="-6.4692429745475011E-2"/>
  </r>
  <r>
    <s v="ORD-2024-389102"/>
    <d v="2024-06-15T00:00:00"/>
    <d v="2024-07-06T00:00:00"/>
    <n v="21"/>
    <x v="17"/>
    <s v="Q2-2024"/>
    <x v="2"/>
    <s v="Canada"/>
    <s v="Toronto"/>
    <s v="Enterprise"/>
    <x v="3"/>
    <s v="L. Okafor"/>
    <s v="Printers"/>
    <s v="PRN-4453"/>
    <n v="817.23"/>
    <s v="High"/>
    <n v="1467.17"/>
    <n v="0.245"/>
    <n v="9"/>
    <n v="3655.9817999999996"/>
    <n v="7355.07"/>
    <n v="-3699.0882000000001"/>
    <n v="-1.0117906495048745"/>
  </r>
  <r>
    <s v="ORD-2023-309373"/>
    <d v="2023-07-05T00:00:00"/>
    <d v="2023-07-14T00:00:00"/>
    <n v="9"/>
    <x v="24"/>
    <s v="Q3-2023"/>
    <x v="2"/>
    <s v="Brazil"/>
    <s v="Brasília"/>
    <s v="Enterprise"/>
    <x v="4"/>
    <s v="B. Chen"/>
    <s v="Networking"/>
    <s v="NET-2394"/>
    <n v="578.85"/>
    <s v="High"/>
    <n v="998.76"/>
    <n v="8.2000000000000003E-2"/>
    <n v="28"/>
    <n v="31331.119680000003"/>
    <n v="16207.800000000001"/>
    <n v="15123.319680000002"/>
    <n v="0.4826932402819254"/>
  </r>
  <r>
    <s v="ORD-2023-825495"/>
    <d v="2023-11-30T00:00:00"/>
    <d v="2023-11-29T00:00:00"/>
    <n v="1"/>
    <x v="30"/>
    <s v="Q4-2023"/>
    <x v="0"/>
    <s v="South Africa"/>
    <s v="Durban"/>
    <s v="Small Business"/>
    <x v="2"/>
    <s v="E. Garcia"/>
    <s v="Laptops"/>
    <s v="LAP-1525"/>
    <n v="275.56"/>
    <s v="High"/>
    <n v="630.72"/>
    <n v="0.107"/>
    <n v="23"/>
    <n v="42353.882679999995"/>
    <n v="6337.88"/>
    <n v="36016.002679999998"/>
    <n v="0.85035893762361436"/>
  </r>
  <r>
    <s v="ORD-2025-244832"/>
    <d v="2025-09-11T00:00:00"/>
    <d v="2025-09-28T00:00:00"/>
    <n v="17"/>
    <x v="11"/>
    <s v="Q3-2025"/>
    <x v="0"/>
    <s v="Kenya"/>
    <s v="Nairobi"/>
    <s v="Non-Profit"/>
    <x v="3"/>
    <s v="J. Njeri"/>
    <s v="Laptops"/>
    <s v="LAP-3278"/>
    <n v="891.46"/>
    <s v="High"/>
    <n v="728.61"/>
    <n v="0.185"/>
    <n v="6"/>
    <n v="49.780199999999994"/>
    <n v="5348.76"/>
    <n v="-5298.9798000000001"/>
    <n v="-106.44753938312824"/>
  </r>
  <r>
    <s v="ORD-2024-211453"/>
    <d v="2024-04-04T00:00:00"/>
    <d v="2024-04-24T00:00:00"/>
    <n v="20"/>
    <x v="20"/>
    <s v="Q2-2024"/>
    <x v="3"/>
    <s v="Germany"/>
    <s v="Frankfurt"/>
    <s v="Non-Profit"/>
    <x v="4"/>
    <s v="O. Wang"/>
    <s v="Accessories"/>
    <s v="ACC-6543"/>
    <n v="683.42"/>
    <s v="High"/>
    <n v="951.51"/>
    <n v="0"/>
    <n v="14"/>
    <n v="31944.079999999998"/>
    <n v="9567.8799999999992"/>
    <n v="22376.199999999997"/>
    <n v="0.7004803393930894"/>
  </r>
  <r>
    <s v="ORD-2023-192324"/>
    <d v="2023-09-14T00:00:00"/>
    <d v="2023-09-16T00:00:00"/>
    <n v="2"/>
    <x v="27"/>
    <s v="Q3-2023"/>
    <x v="3"/>
    <s v="France"/>
    <s v="Lyon"/>
    <s v="Non-Profit"/>
    <x v="4"/>
    <s v="B. Chen"/>
    <s v="Printers"/>
    <s v="PRN-4432"/>
    <n v="376.83"/>
    <s v="High"/>
    <n v="732.88"/>
    <n v="0.188"/>
    <n v="25"/>
    <n v="5066.2710000000006"/>
    <n v="9420.75"/>
    <n v="-4354.4789999999994"/>
    <n v="-0.85950376519534755"/>
  </r>
  <r>
    <s v="ORD-2024-438404"/>
    <d v="2024-09-23T00:00:00"/>
    <d v="2024-10-18T00:00:00"/>
    <n v="25"/>
    <x v="29"/>
    <s v="Q3-2024"/>
    <x v="2"/>
    <s v="Canada"/>
    <s v="Vancouver"/>
    <s v="Small Business"/>
    <x v="1"/>
    <s v="N. Brown"/>
    <s v="Phones"/>
    <s v="PHN-4568"/>
    <n v="1297"/>
    <s v="High"/>
    <n v="2411.52"/>
    <n v="2.1000000000000001E-2"/>
    <n v="18"/>
    <n v="57712.049999999996"/>
    <n v="23346"/>
    <n v="34366.049999999996"/>
    <n v="0.59547442865051581"/>
  </r>
  <r>
    <s v="ORD-2025-246470"/>
    <d v="2025-04-16T00:00:00"/>
    <d v="2025-05-16T00:00:00"/>
    <n v="0"/>
    <x v="19"/>
    <s v="Q2-2025"/>
    <x v="2"/>
    <s v="Canada"/>
    <s v="Montreal"/>
    <s v="Enterprise"/>
    <x v="3"/>
    <s v="K. Singh"/>
    <s v="Printers"/>
    <s v="PRN-6178"/>
    <n v="763.32"/>
    <s v="High"/>
    <n v="568.29"/>
    <n v="0.13100000000000001"/>
    <n v="16"/>
    <n v="26608.919040000001"/>
    <n v="12213.12"/>
    <n v="14395.79904"/>
    <n v="0.54101404940048248"/>
  </r>
  <r>
    <s v="ORD-2023-497686"/>
    <d v="2023-07-03T00:00:00"/>
    <d v="2023-07-23T00:00:00"/>
    <n v="20"/>
    <x v="24"/>
    <s v="Q3-2023"/>
    <x v="0"/>
    <s v="South Africa"/>
    <s v="Johannesburg"/>
    <s v="Small Business"/>
    <x v="3"/>
    <s v="F. Müller"/>
    <s v="Laptops"/>
    <s v="LAP-6342"/>
    <n v="1001.96"/>
    <s v="High"/>
    <n v="1254.95"/>
    <n v="4.4999999999999998E-2"/>
    <n v="18"/>
    <n v="517.24709999999993"/>
    <n v="18035.28"/>
    <n v="-17518.032899999998"/>
    <n v="-33.867822361884677"/>
  </r>
  <r>
    <s v="ORD-2023-596758"/>
    <d v="2023-12-07T00:00:00"/>
    <d v="2023-12-05T00:00:00"/>
    <n v="2"/>
    <x v="4"/>
    <s v="Q4-2023"/>
    <x v="1"/>
    <s v="Japan"/>
    <s v="Tokyo"/>
    <s v="Non-Profit"/>
    <x v="2"/>
    <s v="H. Kim"/>
    <s v="Printers"/>
    <s v="PRN-8175"/>
    <n v="1097.5899999999999"/>
    <s v="High"/>
    <n v="845.55"/>
    <n v="0.184"/>
    <n v="6"/>
    <n v="2454.4137600000004"/>
    <n v="6585.5399999999991"/>
    <n v="-4131.1262399999987"/>
    <n v="-1.6831417372757875"/>
  </r>
  <r>
    <s v="ORD-2024-201376"/>
    <d v="2024-02-18T00:00:00"/>
    <d v="2024-03-04T00:00:00"/>
    <n v="15"/>
    <x v="31"/>
    <s v="Q1-2024"/>
    <x v="0"/>
    <s v="Kenya"/>
    <s v="Kisumu"/>
    <s v="Education"/>
    <x v="4"/>
    <s v="K. Singh"/>
    <s v="Printers"/>
    <s v="PRN-7089"/>
    <n v="928.68"/>
    <s v="High"/>
    <n v="2145.17"/>
    <n v="0.13600000000000001"/>
    <n v="16"/>
    <n v="5684.1523200000001"/>
    <n v="14858.88"/>
    <n v="-9174.72768"/>
    <n v="-1.6140889904934848"/>
  </r>
  <r>
    <s v="ORD-2023-842488"/>
    <d v="2023-10-31T00:00:00"/>
    <d v="2023-11-02T00:00:00"/>
    <n v="2"/>
    <x v="32"/>
    <s v="Q4-2023"/>
    <x v="0"/>
    <s v="Kenya"/>
    <s v="Kisumu"/>
    <s v="Education"/>
    <x v="0"/>
    <s v="O. Wang"/>
    <s v="Accessories"/>
    <s v="ACC-4124"/>
    <n v="867.89"/>
    <s v="High"/>
    <n v="1349.94"/>
    <n v="0.184"/>
    <n v="10"/>
    <n v="48.307200000000009"/>
    <n v="8678.9"/>
    <n v="-8630.5928000000004"/>
    <n v="-178.66058889772123"/>
  </r>
  <r>
    <s v="ORD-2024-136321"/>
    <d v="2024-08-07T00:00:00"/>
    <d v="2024-08-17T00:00:00"/>
    <n v="10"/>
    <x v="21"/>
    <s v="Q3-2024"/>
    <x v="1"/>
    <s v="Japan"/>
    <s v="Osaka"/>
    <s v="Consumer"/>
    <x v="1"/>
    <s v="K. Singh"/>
    <s v="Networking"/>
    <s v="NET-7924"/>
    <n v="436.58"/>
    <s v="High"/>
    <n v="527.48"/>
    <n v="0.111"/>
    <n v="19"/>
    <n v="37272.187330000001"/>
    <n v="8295.02"/>
    <n v="28977.16733"/>
    <n v="0.77744745897101064"/>
  </r>
  <r>
    <s v="ORD-2024-764468"/>
    <d v="2024-02-01T00:00:00"/>
    <d v="2024-02-21T00:00:00"/>
    <n v="20"/>
    <x v="31"/>
    <s v="Q1-2024"/>
    <x v="3"/>
    <s v="France"/>
    <s v="Paris"/>
    <s v="Small Business"/>
    <x v="2"/>
    <s v="A. Patel"/>
    <s v="Networking"/>
    <s v="NET-8761"/>
    <n v="656.2"/>
    <s v="High"/>
    <n v="1467.17"/>
    <n v="1.7999999999999999E-2"/>
    <n v="5"/>
    <n v="9391.848"/>
    <n v="3281"/>
    <n v="6110.848"/>
    <n v="0.65065448248310664"/>
  </r>
  <r>
    <s v="ORD-2024-553449"/>
    <d v="2024-08-27T00:00:00"/>
    <d v="2024-09-18T00:00:00"/>
    <n v="22"/>
    <x v="21"/>
    <s v="Q3-2024"/>
    <x v="1"/>
    <s v="India"/>
    <s v="Delhi"/>
    <s v="Consumer"/>
    <x v="4"/>
    <s v="B. Chen"/>
    <s v="Components"/>
    <s v="CMP-3875"/>
    <n v="896.75"/>
    <s v="High"/>
    <n v="1651.14"/>
    <n v="2.5000000000000001E-2"/>
    <n v="15"/>
    <n v="20216.283749999999"/>
    <n v="13451.25"/>
    <n v="6765.0337499999987"/>
    <n v="0.3346329045267778"/>
  </r>
  <r>
    <s v="ORD-2025-766923"/>
    <d v="2025-02-15T00:00:00"/>
    <d v="2025-02-15T00:00:00"/>
    <n v="0"/>
    <x v="26"/>
    <s v="Q1-2025"/>
    <x v="3"/>
    <s v="Germany"/>
    <s v="Frankfurt"/>
    <s v="Small Business"/>
    <x v="2"/>
    <s v="L. Okafor"/>
    <s v="Accessories"/>
    <s v="ACC-3989"/>
    <n v="815.83"/>
    <s v="High"/>
    <n v="1982.18"/>
    <n v="0.127"/>
    <n v="6"/>
    <n v="7100.6851799999995"/>
    <n v="4894.9800000000005"/>
    <n v="2205.705179999999"/>
    <n v="0.31063272403804826"/>
  </r>
  <r>
    <s v="ORD-2025-418232"/>
    <d v="2025-08-01T00:00:00"/>
    <d v="2025-08-21T00:00:00"/>
    <n v="20"/>
    <x v="28"/>
    <s v="Q3-2025"/>
    <x v="1"/>
    <s v="China"/>
    <s v="Shanghai"/>
    <s v="Corporate"/>
    <x v="4"/>
    <s v="I. Johnson"/>
    <s v="Phones"/>
    <s v="PHN-9234"/>
    <n v="1220.4100000000001"/>
    <s v="High"/>
    <n v="2552.2199999999998"/>
    <n v="0.18099999999999999"/>
    <n v="14"/>
    <n v="10180.661399999999"/>
    <n v="17085.740000000002"/>
    <n v="-6905.0786000000026"/>
    <n v="-0.6782544206803699"/>
  </r>
  <r>
    <s v="ORD-2023-848013"/>
    <d v="2023-02-20T00:00:00"/>
    <d v="2023-03-04T00:00:00"/>
    <n v="12"/>
    <x v="2"/>
    <s v="Q1-2023"/>
    <x v="1"/>
    <s v="India"/>
    <s v="Delhi"/>
    <s v="Consumer"/>
    <x v="3"/>
    <s v="M. Rossi"/>
    <s v="Monitors"/>
    <s v="MON-9906"/>
    <n v="299.75"/>
    <s v="High"/>
    <n v="523.01"/>
    <n v="0.157"/>
    <n v="50"/>
    <n v="43022.083500000001"/>
    <n v="14987.5"/>
    <n v="28034.583500000001"/>
    <n v="0.65163239943969709"/>
  </r>
  <r>
    <s v="ORD-2024-357368"/>
    <d v="2024-10-30T00:00:00"/>
    <d v="2024-11-24T00:00:00"/>
    <n v="25"/>
    <x v="1"/>
    <s v="Q4-2024"/>
    <x v="1"/>
    <s v="China"/>
    <s v="Shenzhen"/>
    <s v="Small Business"/>
    <x v="1"/>
    <s v="E. Garcia"/>
    <s v="Components"/>
    <s v="CMP-4610"/>
    <n v="811.05"/>
    <s v="High"/>
    <n v="1217.71"/>
    <n v="7.1999999999999995E-2"/>
    <n v="5"/>
    <n v="6475.2592000000004"/>
    <n v="4055.25"/>
    <n v="2420.0092000000004"/>
    <n v="0.37373163378540897"/>
  </r>
  <r>
    <s v="ORD-2024-219735"/>
    <d v="2024-04-03T00:00:00"/>
    <d v="2024-04-07T00:00:00"/>
    <n v="4"/>
    <x v="20"/>
    <s v="Q2-2024"/>
    <x v="2"/>
    <s v="Brazil"/>
    <s v="Brasília"/>
    <s v="Non-Profit"/>
    <x v="4"/>
    <s v="N. Brown"/>
    <s v="Phones"/>
    <s v="PHN-5445"/>
    <n v="1023.27"/>
    <s v="High"/>
    <n v="1343.64"/>
    <n v="0.13300000000000001"/>
    <n v="7"/>
    <n v="13797.385980000001"/>
    <n v="7162.8899999999994"/>
    <n v="6634.4959800000015"/>
    <n v="0.48085166201895302"/>
  </r>
  <r>
    <s v="ORD-2023-240507"/>
    <d v="2023-03-25T00:00:00"/>
    <d v="2023-03-26T00:00:00"/>
    <n v="1"/>
    <x v="22"/>
    <s v="Q1-2023"/>
    <x v="1"/>
    <s v="Japan"/>
    <s v="Osaka"/>
    <s v="Small Business"/>
    <x v="3"/>
    <s v="I. Johnson"/>
    <s v="Monitors"/>
    <s v="MON-9227"/>
    <n v="135.12"/>
    <s v="High"/>
    <n v="301.7"/>
    <n v="0.14000000000000001"/>
    <n v="47"/>
    <n v="50207.703000000001"/>
    <n v="6350.64"/>
    <n v="43857.063000000002"/>
    <n v="0.87351263609888707"/>
  </r>
  <r>
    <s v="ORD-2024-134084"/>
    <d v="2024-06-04T00:00:00"/>
    <d v="2024-06-16T00:00:00"/>
    <n v="12"/>
    <x v="17"/>
    <s v="Q2-2024"/>
    <x v="1"/>
    <s v="China"/>
    <s v="Shanghai"/>
    <s v="Corporate"/>
    <x v="0"/>
    <s v="J. Njeri"/>
    <s v="Printers"/>
    <s v="PRN-4097"/>
    <n v="918.42"/>
    <s v="High"/>
    <n v="1511.71"/>
    <n v="0.02"/>
    <n v="8"/>
    <n v="10272.6736"/>
    <n v="7347.36"/>
    <n v="2925.3136000000004"/>
    <n v="0.28476652855007489"/>
  </r>
  <r>
    <s v="ORD-2023-884625"/>
    <d v="2023-02-19T00:00:00"/>
    <d v="2023-03-12T00:00:00"/>
    <n v="21"/>
    <x v="2"/>
    <s v="Q1-2023"/>
    <x v="3"/>
    <s v="Germany"/>
    <s v="Berlin"/>
    <s v="Small Business"/>
    <x v="4"/>
    <s v="L. Okafor"/>
    <s v="Monitors"/>
    <s v="MON-6699"/>
    <n v="1234.81"/>
    <s v="High"/>
    <n v="2055.2399999999998"/>
    <n v="5.2999999999999999E-2"/>
    <n v="44"/>
    <n v="40303.373"/>
    <n v="54331.64"/>
    <n v="-14028.267"/>
    <n v="-0.34806682309195314"/>
  </r>
  <r>
    <s v="ORD-2023-157993"/>
    <d v="2023-04-18T00:00:00"/>
    <d v="2023-05-18T00:00:00"/>
    <n v="0"/>
    <x v="12"/>
    <s v="Q2-2023"/>
    <x v="1"/>
    <s v="China"/>
    <s v="Shenzhen"/>
    <s v="Non-Profit"/>
    <x v="0"/>
    <s v="H. Kim"/>
    <s v="Laptops"/>
    <s v="LAP-1482"/>
    <n v="329.03"/>
    <s v="High"/>
    <n v="391.15"/>
    <n v="0.19700000000000001"/>
    <n v="46"/>
    <n v="32735.194359999998"/>
    <n v="15135.38"/>
    <n v="17599.814359999997"/>
    <n v="0.53764196926552166"/>
  </r>
  <r>
    <s v="ORD-2024-329104"/>
    <d v="2024-05-23T00:00:00"/>
    <d v="2024-06-14T00:00:00"/>
    <n v="22"/>
    <x v="7"/>
    <s v="Q2-2024"/>
    <x v="3"/>
    <s v="France"/>
    <s v="Marseille"/>
    <s v="Small Business"/>
    <x v="1"/>
    <s v="N. Brown"/>
    <s v="Monitors"/>
    <s v="MON-2100"/>
    <n v="1481.74"/>
    <s v="High"/>
    <n v="1848.97"/>
    <n v="0.254"/>
    <n v="9"/>
    <n v="5308.1555399999997"/>
    <n v="13335.66"/>
    <n v="-8027.5044600000001"/>
    <n v="-1.5122963898680333"/>
  </r>
  <r>
    <s v="ORD-2023-304451"/>
    <d v="2023-10-07T00:00:00"/>
    <d v="2023-10-23T00:00:00"/>
    <n v="16"/>
    <x v="32"/>
    <s v="Q4-2023"/>
    <x v="1"/>
    <s v="India"/>
    <s v="Hyderabad"/>
    <s v="Consumer"/>
    <x v="0"/>
    <s v="G. Dubois"/>
    <s v="Monitors"/>
    <s v="MON-7602"/>
    <n v="906.81"/>
    <s v="High"/>
    <n v="1395.56"/>
    <n v="0.185"/>
    <n v="6"/>
    <n v="1766.9036999999998"/>
    <n v="5440.86"/>
    <n v="-3673.9562999999998"/>
    <n v="-2.079318923832691"/>
  </r>
  <r>
    <s v="ORD-2024-942981"/>
    <d v="2024-10-09T00:00:00"/>
    <d v="2024-11-08T00:00:00"/>
    <n v="30"/>
    <x v="1"/>
    <s v="Q4-2024"/>
    <x v="3"/>
    <s v="United Kingdom"/>
    <s v="Manchester"/>
    <s v="Small Business"/>
    <x v="3"/>
    <s v="J. Njeri"/>
    <s v="Components"/>
    <s v="CMP-1072"/>
    <n v="343.85"/>
    <s v="High"/>
    <n v="538.04"/>
    <n v="0.13900000000000001"/>
    <n v="5"/>
    <n v="8403.5321999999996"/>
    <n v="1719.25"/>
    <n v="6684.2821999999996"/>
    <n v="0.79541340961363838"/>
  </r>
  <r>
    <s v="ORD-2024-605629"/>
    <d v="2024-07-15T00:00:00"/>
    <d v="2024-07-15T00:00:00"/>
    <n v="0"/>
    <x v="14"/>
    <s v="Q3-2024"/>
    <x v="1"/>
    <s v="Japan"/>
    <s v="Tokyo"/>
    <s v="Small Business"/>
    <x v="2"/>
    <s v="G. Dubois"/>
    <s v="Accessories"/>
    <s v="ACC-2735"/>
    <n v="801.77"/>
    <s v="High"/>
    <n v="1218.92"/>
    <n v="0.254"/>
    <n v="16"/>
    <n v="18676.97536"/>
    <n v="12828.32"/>
    <n v="5848.6553600000007"/>
    <n v="0.31314788648947495"/>
  </r>
  <r>
    <s v="ORD-2023-450877"/>
    <d v="2023-09-21T00:00:00"/>
    <d v="2023-10-10T00:00:00"/>
    <n v="19"/>
    <x v="27"/>
    <s v="Q3-2023"/>
    <x v="1"/>
    <s v="Japan"/>
    <s v="Tokyo"/>
    <s v="Education"/>
    <x v="1"/>
    <s v="D. Smith"/>
    <s v="Components"/>
    <s v="CMP-5211"/>
    <n v="845.63"/>
    <s v="High"/>
    <n v="2062.12"/>
    <n v="0.13400000000000001"/>
    <n v="5"/>
    <n v="3691.4982"/>
    <n v="4228.1499999999996"/>
    <n v="-536.65179999999964"/>
    <n v="-0.1453750674996942"/>
  </r>
  <r>
    <s v="ORD-2023-286994"/>
    <d v="2023-02-24T00:00:00"/>
    <d v="2023-03-09T00:00:00"/>
    <n v="13"/>
    <x v="2"/>
    <s v="Q1-2023"/>
    <x v="2"/>
    <s v="USA"/>
    <s v="New York"/>
    <s v="Enterprise"/>
    <x v="1"/>
    <s v="M. Rossi"/>
    <s v="Components"/>
    <s v="CMP-1632"/>
    <n v="6.85"/>
    <s v="Low"/>
    <n v="10.18"/>
    <n v="4.7E-2"/>
    <n v="10"/>
    <n v="13964.213699999998"/>
    <n v="68.5"/>
    <n v="13895.713699999998"/>
    <n v="0.99509460385871928"/>
  </r>
  <r>
    <s v="ORD-2025-700847"/>
    <d v="2025-05-21T00:00:00"/>
    <d v="2025-05-19T00:00:00"/>
    <n v="2"/>
    <x v="8"/>
    <s v="Q2-2025"/>
    <x v="0"/>
    <s v="South Africa"/>
    <s v="Johannesburg"/>
    <s v="Non-Profit"/>
    <x v="3"/>
    <s v="O. Wang"/>
    <s v="Laptops"/>
    <s v="LAP-7099"/>
    <n v="1263.8399999999999"/>
    <s v="High"/>
    <n v="2281.7199999999998"/>
    <n v="7.8E-2"/>
    <n v="15"/>
    <n v="36583.530899999998"/>
    <n v="18957.599999999999"/>
    <n v="17625.930899999999"/>
    <n v="0.48179960945213191"/>
  </r>
  <r>
    <s v="ORD-2024-970848"/>
    <d v="2024-05-23T00:00:00"/>
    <d v="2024-06-03T00:00:00"/>
    <n v="11"/>
    <x v="7"/>
    <s v="Q2-2024"/>
    <x v="0"/>
    <s v="South Africa"/>
    <s v="Johannesburg"/>
    <s v="Small Business"/>
    <x v="3"/>
    <s v="F. Müller"/>
    <s v="Printers"/>
    <s v="PRN-3785"/>
    <n v="180.89"/>
    <s v="High"/>
    <n v="249.57"/>
    <n v="2.1999999999999999E-2"/>
    <n v="8"/>
    <n v="6897.4036800000003"/>
    <n v="1447.12"/>
    <n v="5450.2836800000005"/>
    <n v="0.79019351815000627"/>
  </r>
  <r>
    <s v="ORD-2025-845715"/>
    <d v="2025-04-14T00:00:00"/>
    <d v="2025-05-04T00:00:00"/>
    <n v="20"/>
    <x v="19"/>
    <s v="Q2-2025"/>
    <x v="3"/>
    <s v="United Kingdom"/>
    <s v="Birmingham"/>
    <s v="Enterprise"/>
    <x v="2"/>
    <s v="K. Singh"/>
    <s v="Monitors"/>
    <s v="MON-6962"/>
    <n v="1413.87"/>
    <s v="High"/>
    <n v="3275"/>
    <n v="0.255"/>
    <n v="38"/>
    <n v="17694.882399999999"/>
    <n v="53727.06"/>
    <n v="-36032.177599999995"/>
    <n v="-2.0363050053387188"/>
  </r>
  <r>
    <s v="ORD-2023-664749"/>
    <d v="2023-08-27T00:00:00"/>
    <d v="2023-09-11T00:00:00"/>
    <n v="15"/>
    <x v="25"/>
    <s v="Q3-2023"/>
    <x v="3"/>
    <s v="United Kingdom"/>
    <s v="London"/>
    <s v="Consumer"/>
    <x v="2"/>
    <s v="N. Brown"/>
    <s v="Printers"/>
    <s v="PRN-5107"/>
    <n v="943.79"/>
    <s v="High"/>
    <n v="1913.76"/>
    <n v="9.0999999999999998E-2"/>
    <n v="9"/>
    <n v="7960.4402400000008"/>
    <n v="8494.11"/>
    <n v="-533.66975999999977"/>
    <n v="-6.7040231935715122E-2"/>
  </r>
  <r>
    <s v="ORD-2024-960952"/>
    <d v="2024-02-03T00:00:00"/>
    <d v="2024-02-21T00:00:00"/>
    <n v="18"/>
    <x v="31"/>
    <s v="Q1-2024"/>
    <x v="3"/>
    <s v="Germany"/>
    <s v="Frankfurt"/>
    <s v="Corporate"/>
    <x v="0"/>
    <s v="H. Kim"/>
    <s v="Components"/>
    <s v="CMP-9264"/>
    <n v="39.229999999999997"/>
    <s v="Low"/>
    <n v="30.09"/>
    <n v="0.17699999999999999"/>
    <n v="13"/>
    <n v="16533.592659999998"/>
    <n v="509.98999999999995"/>
    <n v="16023.602659999999"/>
    <n v="0.96915431446222655"/>
  </r>
  <r>
    <s v="ORD-2023-987700"/>
    <d v="2023-04-05T00:00:00"/>
    <d v="2023-04-16T00:00:00"/>
    <n v="11"/>
    <x v="12"/>
    <s v="Q2-2023"/>
    <x v="2"/>
    <s v="Canada"/>
    <s v="Vancouver"/>
    <s v="Non-Profit"/>
    <x v="1"/>
    <s v="O. Wang"/>
    <s v="Monitors"/>
    <s v="MON-5259"/>
    <n v="213.1"/>
    <s v="High"/>
    <n v="501.31"/>
    <n v="5.6000000000000001E-2"/>
    <n v="15"/>
    <n v="31908.427200000002"/>
    <n v="3196.5"/>
    <n v="28711.927200000002"/>
    <n v="0.89982270263700115"/>
  </r>
  <r>
    <s v="ORD-2025-652467"/>
    <d v="2025-08-21T00:00:00"/>
    <d v="2025-09-12T00:00:00"/>
    <n v="22"/>
    <x v="28"/>
    <s v="Q3-2025"/>
    <x v="1"/>
    <s v="China"/>
    <s v="Shenzhen"/>
    <s v="Education"/>
    <x v="0"/>
    <s v="B. Chen"/>
    <s v="Printers"/>
    <s v="PRN-8137"/>
    <n v="352.66"/>
    <s v="High"/>
    <n v="411.18"/>
    <n v="0.17299999999999999"/>
    <n v="13"/>
    <n v="26302.966559999997"/>
    <n v="4584.58"/>
    <n v="21718.386559999999"/>
    <n v="0.82570102921501043"/>
  </r>
  <r>
    <s v="ORD-2025-667201"/>
    <d v="2025-09-15T00:00:00"/>
    <d v="2025-09-18T00:00:00"/>
    <n v="3"/>
    <x v="11"/>
    <s v="Q3-2025"/>
    <x v="2"/>
    <s v="Brazil"/>
    <s v="Rio de Janeiro"/>
    <s v="Non-Profit"/>
    <x v="4"/>
    <s v="L. Okafor"/>
    <s v="Accessories"/>
    <s v="ACC-6777"/>
    <n v="5.5"/>
    <s v="Low"/>
    <n v="5.92"/>
    <n v="0.21199999999999999"/>
    <n v="4"/>
    <n v="593.52160000000003"/>
    <n v="22"/>
    <n v="571.52160000000003"/>
    <n v="0.96293310976382329"/>
  </r>
  <r>
    <s v="ORD-2024-237478"/>
    <d v="2024-10-03T00:00:00"/>
    <d v="2024-10-11T00:00:00"/>
    <n v="8"/>
    <x v="1"/>
    <s v="Q4-2024"/>
    <x v="1"/>
    <s v="China"/>
    <s v="Beijing"/>
    <s v="Enterprise"/>
    <x v="4"/>
    <s v="B. Chen"/>
    <s v="Phones"/>
    <s v="PHN-7488"/>
    <n v="1132.6099999999999"/>
    <s v="High"/>
    <n v="2206.63"/>
    <n v="6.3E-2"/>
    <n v="20"/>
    <n v="48027.621600000006"/>
    <n v="22652.199999999997"/>
    <n v="25375.421600000009"/>
    <n v="0.52835057732694402"/>
  </r>
  <r>
    <s v="ORD-2025-898843"/>
    <d v="2025-02-02T00:00:00"/>
    <d v="2025-03-04T00:00:00"/>
    <n v="2"/>
    <x v="26"/>
    <s v="Q1-2025"/>
    <x v="1"/>
    <s v="Japan"/>
    <s v="Osaka"/>
    <s v="Education"/>
    <x v="3"/>
    <s v="L. Okafor"/>
    <s v="Accessories"/>
    <s v="ACC-9591"/>
    <n v="766.59"/>
    <s v="High"/>
    <n v="1912.8"/>
    <n v="0.19600000000000001"/>
    <n v="5"/>
    <n v="7256.5421999999999"/>
    <n v="3832.9500000000003"/>
    <n v="3423.5921999999996"/>
    <n v="0.47179388001078526"/>
  </r>
  <r>
    <s v="ORD-2023-334213"/>
    <d v="2023-08-19T00:00:00"/>
    <d v="2023-08-23T00:00:00"/>
    <n v="4"/>
    <x v="25"/>
    <s v="Q3-2023"/>
    <x v="0"/>
    <s v="Nigeria"/>
    <s v="Abuja"/>
    <s v="Small Business"/>
    <x v="1"/>
    <s v="J. Njeri"/>
    <s v="Monitors"/>
    <s v="MON-5517"/>
    <n v="790.63"/>
    <s v="High"/>
    <n v="1382.31"/>
    <n v="0.10100000000000001"/>
    <n v="7"/>
    <n v="12999.63889"/>
    <n v="5534.41"/>
    <n v="7465.2288900000003"/>
    <n v="0.57426432789164961"/>
  </r>
  <r>
    <s v="ORD-2024-640340"/>
    <d v="2024-10-22T00:00:00"/>
    <d v="2024-10-29T00:00:00"/>
    <n v="7"/>
    <x v="1"/>
    <s v="Q4-2024"/>
    <x v="0"/>
    <s v="Nigeria"/>
    <s v="Port Harcourt"/>
    <s v="Enterprise"/>
    <x v="3"/>
    <s v="M. Rossi"/>
    <s v="Monitors"/>
    <s v="MON-8758"/>
    <n v="1023.06"/>
    <s v="High"/>
    <n v="1355.61"/>
    <n v="0.153"/>
    <n v="23"/>
    <n v="46101.981310000003"/>
    <n v="23530.379999999997"/>
    <n v="22571.601310000005"/>
    <n v="0.4896015457171683"/>
  </r>
  <r>
    <s v="ORD-2023-399631"/>
    <d v="2023-06-22T00:00:00"/>
    <d v="2023-07-21T00:00:00"/>
    <n v="29"/>
    <x v="23"/>
    <s v="Q2-2023"/>
    <x v="3"/>
    <s v="France"/>
    <s v="Lyon"/>
    <s v="Corporate"/>
    <x v="0"/>
    <s v="J. Njeri"/>
    <s v="Accessories"/>
    <s v="ACC-3385"/>
    <n v="734.34"/>
    <s v="High"/>
    <n v="887.9"/>
    <n v="2.5000000000000001E-2"/>
    <n v="12"/>
    <n v="1541.5919999999999"/>
    <n v="8812.08"/>
    <n v="-7270.4880000000003"/>
    <n v="-4.7162206342534221"/>
  </r>
  <r>
    <s v="ORD-2025-542939"/>
    <d v="2025-01-13T00:00:00"/>
    <d v="2025-02-08T00:00:00"/>
    <n v="26"/>
    <x v="10"/>
    <s v="Q1-2025"/>
    <x v="3"/>
    <s v="France"/>
    <s v="Paris"/>
    <s v="Non-Profit"/>
    <x v="5"/>
    <s v="E. Garcia"/>
    <s v="Monitors"/>
    <s v="MON-1593"/>
    <n v="594.74"/>
    <s v="High"/>
    <n v="1020.69"/>
    <n v="0.21099999999999999"/>
    <n v="6"/>
    <n v="6319.9846800000005"/>
    <n v="3568.44"/>
    <n v="2751.5446800000004"/>
    <n v="0.43537204903477711"/>
  </r>
  <r>
    <s v="ORD-2023-521818"/>
    <d v="2023-01-29T00:00:00"/>
    <d v="2023-02-28T00:00:00"/>
    <n v="30"/>
    <x v="5"/>
    <s v="Q1-2023"/>
    <x v="1"/>
    <s v="India"/>
    <s v="Bengaluru"/>
    <s v="Non-Profit"/>
    <x v="0"/>
    <s v="B. Chen"/>
    <s v="Accessories"/>
    <s v="ACC-4631"/>
    <n v="1262.0999999999999"/>
    <s v="High"/>
    <n v="1395.53"/>
    <n v="0.23300000000000001"/>
    <n v="25"/>
    <n v="51608.553749999999"/>
    <n v="31552.499999999996"/>
    <n v="20056.053750000003"/>
    <n v="0.38861879073679723"/>
  </r>
  <r>
    <s v="ORD-2023-825836"/>
    <d v="2023-07-19T00:00:00"/>
    <d v="2023-07-31T00:00:00"/>
    <n v="12"/>
    <x v="24"/>
    <s v="Q3-2023"/>
    <x v="2"/>
    <s v="Brazil"/>
    <s v="Rio de Janeiro"/>
    <s v="Corporate"/>
    <x v="0"/>
    <s v="C. Otieno"/>
    <s v="Monitors"/>
    <s v="MON-7869"/>
    <n v="1334.64"/>
    <s v="High"/>
    <n v="2273.42"/>
    <n v="0.11799999999999999"/>
    <n v="14"/>
    <n v="9587.7280800000008"/>
    <n v="18684.960000000003"/>
    <n v="-9097.231920000002"/>
    <n v="-0.94884125249409468"/>
  </r>
  <r>
    <s v="ORD-2024-503082"/>
    <d v="2024-05-19T00:00:00"/>
    <d v="2024-06-08T00:00:00"/>
    <n v="20"/>
    <x v="7"/>
    <s v="Q2-2024"/>
    <x v="2"/>
    <s v="Brazil"/>
    <s v="Brasília"/>
    <s v="Small Business"/>
    <x v="0"/>
    <s v="E. Garcia"/>
    <s v="Monitors"/>
    <s v="MON-4271"/>
    <n v="1075.9000000000001"/>
    <s v="High"/>
    <n v="1242.1500000000001"/>
    <n v="1.2E-2"/>
    <n v="7"/>
    <n v="2200.4637200000002"/>
    <n v="7531.3000000000011"/>
    <n v="-5330.8362800000014"/>
    <n v="-2.4225967606500691"/>
  </r>
  <r>
    <s v="ORD-2024-760799"/>
    <d v="2024-02-03T00:00:00"/>
    <d v="2024-02-19T00:00:00"/>
    <n v="16"/>
    <x v="31"/>
    <s v="Q1-2024"/>
    <x v="1"/>
    <s v="China"/>
    <s v="Shenzhen"/>
    <s v="Small Business"/>
    <x v="1"/>
    <s v="H. Kim"/>
    <s v="Laptops"/>
    <s v="LAP-5531"/>
    <n v="993.75"/>
    <s v="High"/>
    <n v="1310.29"/>
    <n v="0.215"/>
    <n v="19"/>
    <n v="18590.205150000002"/>
    <n v="18881.25"/>
    <n v="-291.04484999999841"/>
    <n v="-1.5655817009636301E-2"/>
  </r>
  <r>
    <s v="ORD-2023-197661"/>
    <d v="2023-08-08T00:00:00"/>
    <d v="2023-08-22T00:00:00"/>
    <n v="14"/>
    <x v="25"/>
    <s v="Q3-2023"/>
    <x v="3"/>
    <s v="United Kingdom"/>
    <s v="Birmingham"/>
    <s v="Non-Profit"/>
    <x v="4"/>
    <s v="N. Brown"/>
    <s v="Monitors"/>
    <s v="MON-7511"/>
    <n v="446.69"/>
    <s v="High"/>
    <n v="967.25"/>
    <n v="9.4E-2"/>
    <n v="10"/>
    <n v="3143.4576000000002"/>
    <n v="4466.8999999999996"/>
    <n v="-1323.4423999999995"/>
    <n v="-0.42101487228585471"/>
  </r>
  <r>
    <s v="ORD-2024-212990"/>
    <d v="2024-08-12T00:00:00"/>
    <d v="2024-09-03T00:00:00"/>
    <n v="22"/>
    <x v="21"/>
    <s v="Q3-2024"/>
    <x v="2"/>
    <s v="USA"/>
    <s v="Austin"/>
    <s v="Consumer"/>
    <x v="3"/>
    <s v="I. Johnson"/>
    <s v="Laptops"/>
    <s v="LAP-7979"/>
    <n v="797.8"/>
    <s v="High"/>
    <n v="886.22"/>
    <n v="0.23599999999999999"/>
    <n v="36"/>
    <n v="13882.919040000001"/>
    <n v="28720.799999999999"/>
    <n v="-14837.880959999999"/>
    <n v="-1.06878682482038"/>
  </r>
  <r>
    <s v="ORD-2023-925146"/>
    <d v="2023-10-15T00:00:00"/>
    <d v="2023-11-13T00:00:00"/>
    <n v="29"/>
    <x v="32"/>
    <s v="Q4-2023"/>
    <x v="1"/>
    <s v="China"/>
    <s v="Shenzhen"/>
    <s v="Non-Profit"/>
    <x v="3"/>
    <s v="J. Njeri"/>
    <s v="Printers"/>
    <s v="PRN-4983"/>
    <n v="986.44"/>
    <s v="High"/>
    <n v="790.61"/>
    <n v="7.1999999999999995E-2"/>
    <n v="6"/>
    <n v="5219.7772800000002"/>
    <n v="5918.64"/>
    <n v="-698.86272000000008"/>
    <n v="-0.13388745965804888"/>
  </r>
  <r>
    <s v="ORD-2023-177794"/>
    <d v="2023-05-04T00:00:00"/>
    <d v="2023-05-26T00:00:00"/>
    <n v="22"/>
    <x v="15"/>
    <s v="Q2-2023"/>
    <x v="2"/>
    <s v="USA"/>
    <s v="San Francisco"/>
    <s v="Enterprise"/>
    <x v="1"/>
    <s v="J. Njeri"/>
    <s v="Networking"/>
    <s v="NET-5941"/>
    <n v="249.71"/>
    <s v="High"/>
    <n v="361.33"/>
    <n v="9.4E-2"/>
    <n v="12"/>
    <n v="14139.90576"/>
    <n v="2996.52"/>
    <n v="11143.385759999999"/>
    <n v="0.7880806243789279"/>
  </r>
  <r>
    <s v="ORD-2024-444710"/>
    <d v="2024-09-22T00:00:00"/>
    <d v="2024-10-01T00:00:00"/>
    <n v="9"/>
    <x v="29"/>
    <s v="Q3-2024"/>
    <x v="2"/>
    <s v="Brazil"/>
    <s v="São Paulo"/>
    <s v="Non-Profit"/>
    <x v="1"/>
    <s v="K. Singh"/>
    <s v="Monitors"/>
    <s v="MON-6341"/>
    <n v="1378.8"/>
    <s v="High"/>
    <n v="1952.04"/>
    <n v="0.159"/>
    <n v="19"/>
    <n v="3645.6088500000001"/>
    <n v="26197.200000000001"/>
    <n v="-22551.59115"/>
    <n v="-6.1859601723317077"/>
  </r>
  <r>
    <s v="ORD-2024-668926"/>
    <d v="2024-10-23T00:00:00"/>
    <d v="2024-11-14T00:00:00"/>
    <n v="22"/>
    <x v="1"/>
    <s v="Q4-2024"/>
    <x v="1"/>
    <s v="Japan"/>
    <s v="Osaka"/>
    <s v="Non-Profit"/>
    <x v="4"/>
    <s v="B. Chen"/>
    <s v="Phones"/>
    <s v="PHN-9789"/>
    <n v="1406.4"/>
    <s v="High"/>
    <n v="1564.76"/>
    <n v="0.185"/>
    <n v="17"/>
    <n v="6879.2846"/>
    <n v="23908.800000000003"/>
    <n v="-17029.515400000004"/>
    <n v="-2.4754776681284567"/>
  </r>
  <r>
    <s v="ORD-2024-968374"/>
    <d v="2024-02-11T00:00:00"/>
    <d v="2024-03-03T00:00:00"/>
    <n v="21"/>
    <x v="31"/>
    <s v="Q1-2024"/>
    <x v="0"/>
    <s v="Kenya"/>
    <s v="Kisumu"/>
    <s v="Enterprise"/>
    <x v="1"/>
    <s v="B. Chen"/>
    <s v="Phones"/>
    <s v="PHN-5082"/>
    <n v="516.86"/>
    <s v="High"/>
    <n v="852.54"/>
    <n v="5.0999999999999997E-2"/>
    <n v="14"/>
    <n v="39076.783199999991"/>
    <n v="7236.04"/>
    <n v="31840.74319999999"/>
    <n v="0.81482508519278518"/>
  </r>
  <r>
    <s v="ORD-2023-575584"/>
    <d v="2023-01-30T00:00:00"/>
    <d v="2023-02-21T00:00:00"/>
    <n v="22"/>
    <x v="5"/>
    <s v="Q1-2023"/>
    <x v="3"/>
    <s v="Germany"/>
    <s v="Munich"/>
    <s v="Small Business"/>
    <x v="2"/>
    <s v="G. Dubois"/>
    <s v="Networking"/>
    <s v="NET-3460"/>
    <n v="1142.8800000000001"/>
    <s v="High"/>
    <n v="1465.29"/>
    <n v="0.186"/>
    <n v="7"/>
    <n v="6200.5636000000013"/>
    <n v="8000.1600000000008"/>
    <n v="-1799.5963999999994"/>
    <n v="-0.29023110092766391"/>
  </r>
  <r>
    <s v="ORD-2023-701153"/>
    <d v="2023-04-14T00:00:00"/>
    <d v="2023-05-13T00:00:00"/>
    <n v="29"/>
    <x v="12"/>
    <s v="Q2-2023"/>
    <x v="3"/>
    <s v="Germany"/>
    <s v="Frankfurt"/>
    <s v="Consumer"/>
    <x v="4"/>
    <s v="J. Njeri"/>
    <s v="Printers"/>
    <s v="PRN-7019"/>
    <n v="1320.33"/>
    <s v="High"/>
    <n v="2645.23"/>
    <n v="0.155"/>
    <n v="25"/>
    <n v="53428.293749999997"/>
    <n v="33008.25"/>
    <n v="20420.043749999997"/>
    <n v="0.38219531856189959"/>
  </r>
  <r>
    <s v="ORD-2023-382017"/>
    <d v="2023-01-13T00:00:00"/>
    <d v="2023-01-19T00:00:00"/>
    <n v="6"/>
    <x v="5"/>
    <s v="Q1-2023"/>
    <x v="2"/>
    <s v="USA"/>
    <s v="Chicago"/>
    <s v="Corporate"/>
    <x v="4"/>
    <s v="H. Kim"/>
    <s v="Phones"/>
    <s v="PHN-3159"/>
    <n v="833.57"/>
    <s v="High"/>
    <n v="881.57"/>
    <n v="5.7000000000000002E-2"/>
    <n v="18"/>
    <n v="45796.021740000004"/>
    <n v="15004.26"/>
    <n v="30791.761740000002"/>
    <n v="0.67236761120464961"/>
  </r>
  <r>
    <s v="ORD-2024-999607"/>
    <d v="2024-01-12T00:00:00"/>
    <d v="2024-01-29T00:00:00"/>
    <n v="17"/>
    <x v="9"/>
    <s v="Q1-2024"/>
    <x v="2"/>
    <s v="USA"/>
    <s v="Chicago"/>
    <s v="Education"/>
    <x v="3"/>
    <s v="A. Patel"/>
    <s v="Printers"/>
    <s v="PRN-8604"/>
    <n v="493.76"/>
    <s v="High"/>
    <n v="625.04"/>
    <n v="0.25800000000000001"/>
    <n v="10"/>
    <n v="11002.004999999999"/>
    <n v="4937.6000000000004"/>
    <n v="6064.4049999999988"/>
    <n v="0.55120907507313432"/>
  </r>
  <r>
    <s v="ORD-2023-133848"/>
    <d v="2023-08-15T00:00:00"/>
    <d v="2023-09-07T00:00:00"/>
    <n v="23"/>
    <x v="25"/>
    <s v="Q3-2023"/>
    <x v="2"/>
    <s v="USA"/>
    <s v="New York"/>
    <s v="Enterprise"/>
    <x v="1"/>
    <s v="K. Singh"/>
    <s v="Phones"/>
    <s v="PHN-2013"/>
    <n v="590.33000000000004"/>
    <s v="High"/>
    <n v="973.04"/>
    <n v="0"/>
    <n v="26"/>
    <n v="37877.06"/>
    <n v="15348.580000000002"/>
    <n v="22528.479999999996"/>
    <n v="0.59477900343902079"/>
  </r>
  <r>
    <s v="ORD-2023-586275"/>
    <d v="2023-01-20T00:00:00"/>
    <d v="2023-02-03T00:00:00"/>
    <n v="14"/>
    <x v="5"/>
    <s v="Q1-2023"/>
    <x v="0"/>
    <s v="Kenya"/>
    <s v="Kisumu"/>
    <s v="Corporate"/>
    <x v="0"/>
    <s v="M. Rossi"/>
    <s v="Networking"/>
    <s v="NET-6036"/>
    <n v="884.36"/>
    <s v="High"/>
    <n v="1545.34"/>
    <n v="0.24299999999999999"/>
    <n v="41"/>
    <n v="28497.86303"/>
    <n v="36258.76"/>
    <n v="-7760.8969700000016"/>
    <n v="-0.27233259426610423"/>
  </r>
  <r>
    <s v="ORD-2025-964661"/>
    <d v="2025-02-04T00:00:00"/>
    <d v="2025-02-25T00:00:00"/>
    <n v="21"/>
    <x v="26"/>
    <s v="Q1-2025"/>
    <x v="3"/>
    <s v="United Kingdom"/>
    <s v="Birmingham"/>
    <s v="Corporate"/>
    <x v="2"/>
    <s v="D. Smith"/>
    <s v="Monitors"/>
    <s v="MON-4959"/>
    <n v="1016.32"/>
    <s v="High"/>
    <n v="2253.42"/>
    <n v="5.5E-2"/>
    <n v="12"/>
    <n v="554.97959999999989"/>
    <n v="12195.84"/>
    <n v="-11640.8604"/>
    <n v="-20.97529422703105"/>
  </r>
  <r>
    <s v="ORD-2023-390998"/>
    <d v="2023-04-19T00:00:00"/>
    <d v="2023-04-28T00:00:00"/>
    <n v="9"/>
    <x v="12"/>
    <s v="Q2-2023"/>
    <x v="3"/>
    <s v="Germany"/>
    <s v="Berlin"/>
    <s v="Education"/>
    <x v="1"/>
    <s v="E. Garcia"/>
    <s v="Monitors"/>
    <s v="MON-1663"/>
    <n v="1178.42"/>
    <s v="High"/>
    <n v="2446.56"/>
    <n v="2.9000000000000001E-2"/>
    <n v="11"/>
    <n v="9957.7894899999992"/>
    <n v="12962.62"/>
    <n v="-3004.8305100000016"/>
    <n v="-0.30175678176542792"/>
  </r>
  <r>
    <s v="ORD-2023-920483"/>
    <d v="2023-07-02T00:00:00"/>
    <d v="2023-08-01T00:00:00"/>
    <n v="30"/>
    <x v="24"/>
    <s v="Q3-2023"/>
    <x v="3"/>
    <s v="United Kingdom"/>
    <s v="Birmingham"/>
    <s v="Small Business"/>
    <x v="0"/>
    <s v="B. Chen"/>
    <s v="Components"/>
    <s v="CMP-7256"/>
    <n v="137.46"/>
    <s v="Medium"/>
    <n v="188.3"/>
    <n v="3.7999999999999999E-2"/>
    <n v="37"/>
    <n v="11596.169260000001"/>
    <n v="5086.0200000000004"/>
    <n v="6510.1492600000001"/>
    <n v="0.56140516010370822"/>
  </r>
  <r>
    <s v="ORD-2025-146850"/>
    <d v="2025-01-21T00:00:00"/>
    <d v="2025-02-14T00:00:00"/>
    <n v="24"/>
    <x v="10"/>
    <s v="Q1-2025"/>
    <x v="0"/>
    <s v="Kenya"/>
    <s v="Nairobi"/>
    <s v="Small Business"/>
    <x v="0"/>
    <s v="J. Njeri"/>
    <s v="Accessories"/>
    <s v="ACC-1659"/>
    <n v="1030.44"/>
    <s v="High"/>
    <n v="2562.84"/>
    <n v="0.14799999999999999"/>
    <n v="13"/>
    <n v="4496.5237200000001"/>
    <n v="13395.720000000001"/>
    <n v="-8899.1962800000001"/>
    <n v="-1.9791280629561541"/>
  </r>
  <r>
    <s v="ORD-2024-687100"/>
    <d v="2024-09-10T00:00:00"/>
    <d v="2024-10-07T00:00:00"/>
    <n v="27"/>
    <x v="29"/>
    <s v="Q3-2024"/>
    <x v="0"/>
    <s v="Kenya"/>
    <s v="Kisumu"/>
    <s v="Consumer"/>
    <x v="0"/>
    <s v="L. Okafor"/>
    <s v="Printers"/>
    <s v="PRN-6068"/>
    <n v="1248.3900000000001"/>
    <s v="High"/>
    <n v="1805.11"/>
    <n v="0.20300000000000001"/>
    <n v="11"/>
    <n v="13931.376689999999"/>
    <n v="13732.29"/>
    <n v="199.08668999999827"/>
    <n v="1.4290525224467122E-2"/>
  </r>
  <r>
    <s v="ORD-2025-629393"/>
    <d v="2025-07-21T00:00:00"/>
    <d v="2025-08-07T00:00:00"/>
    <n v="17"/>
    <x v="13"/>
    <s v="Q3-2025"/>
    <x v="0"/>
    <s v="Nigeria"/>
    <s v="Lagos"/>
    <s v="Enterprise"/>
    <x v="4"/>
    <s v="M. Rossi"/>
    <s v="Accessories"/>
    <s v="ACC-8999"/>
    <n v="1204.95"/>
    <s v="High"/>
    <n v="2065.73"/>
    <n v="0.13600000000000001"/>
    <n v="10"/>
    <n v="12379.392"/>
    <n v="12049.5"/>
    <n v="329.89199999999983"/>
    <n v="2.6648481605558643E-2"/>
  </r>
  <r>
    <s v="ORD-2024-686712"/>
    <d v="2024-10-02T00:00:00"/>
    <d v="2024-10-23T00:00:00"/>
    <n v="21"/>
    <x v="1"/>
    <s v="Q4-2024"/>
    <x v="0"/>
    <s v="South Africa"/>
    <s v="Durban"/>
    <s v="Corporate"/>
    <x v="2"/>
    <s v="A. Patel"/>
    <s v="Components"/>
    <s v="CMP-3978"/>
    <n v="1095.6099999999999"/>
    <s v="High"/>
    <n v="2366.5100000000002"/>
    <n v="0.152"/>
    <n v="9"/>
    <n v="13476.28032"/>
    <n v="9860.49"/>
    <n v="3615.7903200000001"/>
    <n v="0.26830774027710341"/>
  </r>
  <r>
    <s v="ORD-2025-586799"/>
    <d v="2025-07-14T00:00:00"/>
    <d v="2025-08-04T00:00:00"/>
    <n v="21"/>
    <x v="13"/>
    <s v="Q3-2025"/>
    <x v="2"/>
    <s v="Canada"/>
    <s v="Montreal"/>
    <s v="Consumer"/>
    <x v="1"/>
    <s v="H. Kim"/>
    <s v="Monitors"/>
    <s v="MON-7868"/>
    <n v="90.3"/>
    <s v="Medium"/>
    <n v="131.76"/>
    <n v="0.10199999999999999"/>
    <n v="15"/>
    <n v="37144.063799999996"/>
    <n v="1354.5"/>
    <n v="35789.563799999996"/>
    <n v="0.96353387697982573"/>
  </r>
  <r>
    <s v="ORD-2024-988736"/>
    <d v="2024-09-09T00:00:00"/>
    <d v="2024-10-01T00:00:00"/>
    <n v="22"/>
    <x v="29"/>
    <s v="Q3-2024"/>
    <x v="1"/>
    <s v="China"/>
    <s v="Shenzhen"/>
    <s v="Consumer"/>
    <x v="4"/>
    <s v="L. Okafor"/>
    <s v="Printers"/>
    <s v="PRN-3014"/>
    <n v="1166.18"/>
    <s v="High"/>
    <n v="1335.02"/>
    <n v="0.128"/>
    <n v="6"/>
    <n v="4571.46"/>
    <n v="6997.08"/>
    <n v="-2425.62"/>
    <n v="-0.53060072712000106"/>
  </r>
  <r>
    <s v="ORD-2025-564184"/>
    <d v="2025-01-29T00:00:00"/>
    <d v="2025-02-06T00:00:00"/>
    <n v="8"/>
    <x v="10"/>
    <s v="Q1-2025"/>
    <x v="0"/>
    <s v="Kenya"/>
    <s v="Kisumu"/>
    <s v="Education"/>
    <x v="0"/>
    <s v="B. Chen"/>
    <s v="Phones"/>
    <s v="PHN-1671"/>
    <n v="1445.27"/>
    <s v="High"/>
    <n v="2691.45"/>
    <n v="0"/>
    <n v="9"/>
    <n v="2326.6799999999998"/>
    <n v="13007.43"/>
    <n v="-10680.75"/>
    <n v="-4.5905539223270928"/>
  </r>
  <r>
    <s v="ORD-2023-653343"/>
    <d v="2023-11-10T00:00:00"/>
    <d v="2023-11-28T00:00:00"/>
    <n v="18"/>
    <x v="30"/>
    <s v="Q4-2023"/>
    <x v="2"/>
    <s v="Brazil"/>
    <s v="Brasília"/>
    <s v="Education"/>
    <x v="2"/>
    <s v="L. Okafor"/>
    <s v="Accessories"/>
    <s v="ACC-5260"/>
    <n v="388.51"/>
    <s v="High"/>
    <n v="776.46"/>
    <n v="0.157"/>
    <n v="12"/>
    <n v="6137.98416"/>
    <n v="4662.12"/>
    <n v="1475.8641600000001"/>
    <n v="0.24044769773403912"/>
  </r>
  <r>
    <s v="ORD-2024-197852"/>
    <d v="2024-02-29T00:00:00"/>
    <d v="2024-03-30T00:00:00"/>
    <n v="1"/>
    <x v="31"/>
    <s v="Q1-2024"/>
    <x v="1"/>
    <s v="Japan"/>
    <s v="Nagoya"/>
    <s v="Small Business"/>
    <x v="4"/>
    <s v="I. Johnson"/>
    <s v="Networking"/>
    <s v="NET-7588"/>
    <n v="231.11"/>
    <s v="High"/>
    <n v="318.17"/>
    <n v="0.20100000000000001"/>
    <n v="60"/>
    <n v="64128.8586"/>
    <n v="13866.6"/>
    <n v="50262.258600000001"/>
    <n v="0.7837697363913475"/>
  </r>
  <r>
    <s v="ORD-2023-431328"/>
    <d v="2023-12-20T00:00:00"/>
    <d v="2024-01-14T00:00:00"/>
    <n v="25"/>
    <x v="4"/>
    <s v="Q4-2023"/>
    <x v="1"/>
    <s v="India"/>
    <s v="Mumbai"/>
    <s v="Non-Profit"/>
    <x v="2"/>
    <s v="L. Okafor"/>
    <s v="Monitors"/>
    <s v="MON-1572"/>
    <n v="1085.6099999999999"/>
    <s v="High"/>
    <n v="1246.4100000000001"/>
    <n v="0.113"/>
    <n v="7"/>
    <n v="11133.23372"/>
    <n v="7599.2699999999995"/>
    <n v="3533.9637200000006"/>
    <n v="0.31742473111397151"/>
  </r>
  <r>
    <s v="ORD-2023-613317"/>
    <d v="2023-01-22T00:00:00"/>
    <d v="2023-01-21T00:00:00"/>
    <n v="1"/>
    <x v="5"/>
    <s v="Q1-2023"/>
    <x v="3"/>
    <s v="Germany"/>
    <s v="Munich"/>
    <s v="Corporate"/>
    <x v="4"/>
    <s v="F. Müller"/>
    <s v="Monitors"/>
    <s v="MON-2537"/>
    <n v="150.86000000000001"/>
    <s v="High"/>
    <n v="346.96"/>
    <n v="0.19600000000000001"/>
    <n v="8"/>
    <n v="789.46368000000007"/>
    <n v="1206.8800000000001"/>
    <n v="-417.41632000000004"/>
    <n v="-0.52873403878440617"/>
  </r>
  <r>
    <s v="ORD-2024-720756"/>
    <d v="2024-10-11T00:00:00"/>
    <d v="2024-11-09T00:00:00"/>
    <n v="29"/>
    <x v="1"/>
    <s v="Q4-2024"/>
    <x v="1"/>
    <s v="China"/>
    <s v="Shanghai"/>
    <s v="Non-Profit"/>
    <x v="1"/>
    <s v="F. Müller"/>
    <s v="Printers"/>
    <s v="PRN-5666"/>
    <n v="391.64"/>
    <s v="High"/>
    <n v="504.76"/>
    <n v="4.0000000000000001E-3"/>
    <n v="13"/>
    <n v="12014.83764"/>
    <n v="5091.32"/>
    <n v="6923.51764"/>
    <n v="0.57624729084562143"/>
  </r>
  <r>
    <s v="ORD-2024-777623"/>
    <d v="2024-09-19T00:00:00"/>
    <d v="2024-10-14T00:00:00"/>
    <n v="25"/>
    <x v="29"/>
    <s v="Q3-2024"/>
    <x v="2"/>
    <s v="Brazil"/>
    <s v="Rio de Janeiro"/>
    <s v="Small Business"/>
    <x v="0"/>
    <s v="K. Singh"/>
    <s v="Printers"/>
    <s v="PRN-2749"/>
    <n v="386.96"/>
    <s v="High"/>
    <n v="937.46"/>
    <n v="0.26600000000000001"/>
    <n v="41"/>
    <n v="4570.6767199999995"/>
    <n v="15865.359999999999"/>
    <n v="-11294.683279999999"/>
    <n v="-2.4711183861631763"/>
  </r>
  <r>
    <s v="ORD-2025-762212"/>
    <d v="2025-08-25T00:00:00"/>
    <d v="2025-09-24T00:00:00"/>
    <n v="30"/>
    <x v="28"/>
    <s v="Q3-2025"/>
    <x v="0"/>
    <s v="Kenya"/>
    <s v="Nairobi"/>
    <s v="Consumer"/>
    <x v="4"/>
    <s v="B. Chen"/>
    <s v="Components"/>
    <s v="CMP-4970"/>
    <n v="589.14"/>
    <s v="High"/>
    <n v="1300.58"/>
    <n v="5.5E-2"/>
    <n v="11"/>
    <n v="22977.108"/>
    <n v="6480.54"/>
    <n v="16496.567999999999"/>
    <n v="0.71795667235406646"/>
  </r>
  <r>
    <s v="ORD-2023-271918"/>
    <d v="2023-09-25T00:00:00"/>
    <d v="2023-10-02T00:00:00"/>
    <n v="7"/>
    <x v="27"/>
    <s v="Q3-2023"/>
    <x v="2"/>
    <s v="USA"/>
    <s v="New York"/>
    <s v="Education"/>
    <x v="2"/>
    <s v="I. Johnson"/>
    <s v="Accessories"/>
    <s v="ACC-3551"/>
    <n v="145.58000000000001"/>
    <s v="High"/>
    <n v="228.15"/>
    <n v="0.20399999999999999"/>
    <n v="5"/>
    <n v="158.16520000000003"/>
    <n v="727.90000000000009"/>
    <n v="-569.73480000000006"/>
    <n v="-3.602150156924532"/>
  </r>
  <r>
    <s v="ORD-2023-713375"/>
    <d v="2023-08-26T00:00:00"/>
    <d v="2023-09-10T00:00:00"/>
    <n v="15"/>
    <x v="25"/>
    <s v="Q3-2023"/>
    <x v="0"/>
    <s v="South Africa"/>
    <s v="Cape Town"/>
    <s v="Non-Profit"/>
    <x v="4"/>
    <s v="N. Brown"/>
    <s v="Components"/>
    <s v="CMP-7063"/>
    <n v="241.14"/>
    <s v="High"/>
    <n v="496.52"/>
    <n v="9.2999999999999999E-2"/>
    <n v="10"/>
    <n v="9151.630000000001"/>
    <n v="2411.3999999999996"/>
    <n v="6740.2300000000014"/>
    <n v="0.73650595576962796"/>
  </r>
  <r>
    <s v="ORD-2025-678688"/>
    <d v="2025-07-16T00:00:00"/>
    <d v="2025-07-17T00:00:00"/>
    <n v="1"/>
    <x v="13"/>
    <s v="Q3-2025"/>
    <x v="0"/>
    <s v="South Africa"/>
    <s v="Durban"/>
    <s v="Small Business"/>
    <x v="3"/>
    <s v="B. Chen"/>
    <s v="Networking"/>
    <s v="NET-1612"/>
    <n v="1198.9000000000001"/>
    <s v="High"/>
    <n v="2941.2"/>
    <n v="5.0999999999999997E-2"/>
    <n v="24"/>
    <n v="37663.304640000002"/>
    <n v="28773.600000000002"/>
    <n v="8889.7046399999999"/>
    <n v="0.23603092519286697"/>
  </r>
  <r>
    <s v="ORD-2023-501220"/>
    <d v="2023-04-19T00:00:00"/>
    <d v="2023-05-07T00:00:00"/>
    <n v="18"/>
    <x v="12"/>
    <s v="Q2-2023"/>
    <x v="3"/>
    <s v="United Kingdom"/>
    <s v="Birmingham"/>
    <s v="Enterprise"/>
    <x v="0"/>
    <s v="N. Brown"/>
    <s v="Laptops"/>
    <s v="LAP-9766"/>
    <n v="1089.1500000000001"/>
    <s v="High"/>
    <n v="1088.2"/>
    <n v="5.0999999999999997E-2"/>
    <n v="15"/>
    <n v="14458.4895"/>
    <n v="16337.250000000002"/>
    <n v="-1878.7605000000021"/>
    <n v="-0.12994168581718044"/>
  </r>
  <r>
    <s v="ORD-2023-195665"/>
    <d v="2023-12-19T00:00:00"/>
    <d v="2023-12-20T00:00:00"/>
    <n v="1"/>
    <x v="4"/>
    <s v="Q4-2023"/>
    <x v="2"/>
    <s v="Brazil"/>
    <s v="Rio de Janeiro"/>
    <s v="Consumer"/>
    <x v="3"/>
    <s v="J. Njeri"/>
    <s v="Phones"/>
    <s v="PHN-7274"/>
    <n v="1080.43"/>
    <s v="High"/>
    <n v="2529.15"/>
    <n v="0.14699999999999999"/>
    <n v="10"/>
    <n v="7783.1984999999995"/>
    <n v="10804.300000000001"/>
    <n v="-3021.1015000000016"/>
    <n v="-0.38815680982567796"/>
  </r>
  <r>
    <s v="ORD-2023-290237"/>
    <d v="2023-07-30T00:00:00"/>
    <d v="2023-08-07T00:00:00"/>
    <n v="8"/>
    <x v="24"/>
    <s v="Q3-2023"/>
    <x v="1"/>
    <s v="Japan"/>
    <s v="Nagoya"/>
    <s v="Education"/>
    <x v="2"/>
    <s v="A. Patel"/>
    <s v="Networking"/>
    <s v="NET-1645"/>
    <n v="1352.44"/>
    <s v="High"/>
    <n v="2698.01"/>
    <n v="0.13100000000000001"/>
    <n v="13"/>
    <n v="9209.201430000001"/>
    <n v="17581.72"/>
    <n v="-8372.5185700000002"/>
    <n v="-0.90914707791335603"/>
  </r>
  <r>
    <s v="ORD-2023-302041"/>
    <d v="2023-10-04T00:00:00"/>
    <d v="2023-10-29T00:00:00"/>
    <n v="25"/>
    <x v="32"/>
    <s v="Q4-2023"/>
    <x v="2"/>
    <s v="USA"/>
    <s v="San Francisco"/>
    <s v="Small Business"/>
    <x v="3"/>
    <s v="O. Wang"/>
    <s v="Accessories"/>
    <s v="ACC-5079"/>
    <n v="1239.8399999999999"/>
    <s v="High"/>
    <n v="1482.75"/>
    <n v="6.7000000000000004E-2"/>
    <n v="4"/>
    <n v="6770.0719200000003"/>
    <n v="4959.3599999999997"/>
    <n v="1810.7119200000006"/>
    <n v="0.26745829902498297"/>
  </r>
  <r>
    <s v="ORD-2025-289139"/>
    <d v="2025-08-10T00:00:00"/>
    <d v="2025-08-30T00:00:00"/>
    <n v="20"/>
    <x v="28"/>
    <s v="Q3-2025"/>
    <x v="2"/>
    <s v="USA"/>
    <s v="San Francisco"/>
    <s v="Corporate"/>
    <x v="2"/>
    <s v="K. Singh"/>
    <s v="Printers"/>
    <s v="PRN-2098"/>
    <n v="933.29"/>
    <s v="High"/>
    <n v="1456.81"/>
    <n v="0.123"/>
    <n v="13"/>
    <n v="8652.4469199999985"/>
    <n v="12132.77"/>
    <n v="-3480.3230800000019"/>
    <n v="-0.4022357042093247"/>
  </r>
  <r>
    <s v="ORD-2023-949710"/>
    <d v="2023-03-07T00:00:00"/>
    <d v="2023-04-01T00:00:00"/>
    <n v="25"/>
    <x v="22"/>
    <s v="Q1-2023"/>
    <x v="0"/>
    <s v="Kenya"/>
    <s v="Nairobi"/>
    <s v="Consumer"/>
    <x v="2"/>
    <s v="D. Smith"/>
    <s v="Printers"/>
    <s v="PRN-7049"/>
    <n v="1024.0999999999999"/>
    <s v="High"/>
    <n v="918.19"/>
    <n v="0.189"/>
    <n v="10"/>
    <n v="13522.938400000001"/>
    <n v="10241"/>
    <n v="3281.9384000000009"/>
    <n v="0.24269417658517181"/>
  </r>
  <r>
    <s v="ORD-2023-603650"/>
    <d v="2023-05-23T00:00:00"/>
    <d v="2023-06-10T00:00:00"/>
    <n v="18"/>
    <x v="15"/>
    <s v="Q2-2023"/>
    <x v="1"/>
    <s v="China"/>
    <s v="Shanghai"/>
    <s v="Corporate"/>
    <x v="3"/>
    <s v="E. Garcia"/>
    <s v="Components"/>
    <s v="CMP-6925"/>
    <n v="54.62"/>
    <s v="Low"/>
    <n v="48.94"/>
    <n v="0.14799999999999999"/>
    <n v="16"/>
    <n v="34932.681600000004"/>
    <n v="873.92"/>
    <n v="34058.761600000005"/>
    <n v="0.9749827393726338"/>
  </r>
  <r>
    <s v="ORD-2025-757957"/>
    <d v="2025-04-24T00:00:00"/>
    <d v="2025-05-06T00:00:00"/>
    <n v="12"/>
    <x v="19"/>
    <s v="Q2-2025"/>
    <x v="2"/>
    <s v="Brazil"/>
    <s v="Brasília"/>
    <s v="Consumer"/>
    <x v="1"/>
    <s v="C. Otieno"/>
    <s v="Phones"/>
    <s v="PHN-2787"/>
    <n v="394.13"/>
    <s v="High"/>
    <n v="932.29"/>
    <n v="0.109"/>
    <n v="7"/>
    <n v="4648.9350599999998"/>
    <n v="2758.91"/>
    <n v="1890.0250599999999"/>
    <n v="0.40655010999443819"/>
  </r>
  <r>
    <s v="ORD-2024-423853"/>
    <d v="2024-09-03T00:00:00"/>
    <d v="2024-09-08T00:00:00"/>
    <n v="5"/>
    <x v="29"/>
    <s v="Q3-2024"/>
    <x v="0"/>
    <s v="Nigeria"/>
    <s v="Lagos"/>
    <s v="Small Business"/>
    <x v="4"/>
    <s v="K. Singh"/>
    <s v="Printers"/>
    <s v="PRN-1141"/>
    <n v="197.63"/>
    <s v="High"/>
    <n v="325.79000000000002"/>
    <n v="0.11600000000000001"/>
    <n v="10"/>
    <n v="6081.4780000000001"/>
    <n v="1976.3"/>
    <n v="4105.1779999999999"/>
    <n v="0.67502965561990025"/>
  </r>
  <r>
    <s v="ORD-2024-569164"/>
    <d v="2024-09-05T00:00:00"/>
    <d v="2024-09-25T00:00:00"/>
    <n v="20"/>
    <x v="29"/>
    <s v="Q3-2024"/>
    <x v="1"/>
    <s v="Japan"/>
    <s v="Osaka"/>
    <s v="Enterprise"/>
    <x v="3"/>
    <s v="D. Smith"/>
    <s v="Monitors"/>
    <s v="MON-5249"/>
    <n v="195.54"/>
    <s v="High"/>
    <n v="405.97"/>
    <n v="0.187"/>
    <n v="16"/>
    <n v="7155.3105599999999"/>
    <n v="3128.64"/>
    <n v="4026.67056"/>
    <n v="0.56275273116866642"/>
  </r>
  <r>
    <s v="ORD-2023-946143"/>
    <d v="2023-03-14T00:00:00"/>
    <d v="2023-03-30T00:00:00"/>
    <n v="16"/>
    <x v="22"/>
    <s v="Q1-2023"/>
    <x v="0"/>
    <s v="South Africa"/>
    <s v="Cape Town"/>
    <s v="Consumer"/>
    <x v="3"/>
    <s v="K. Singh"/>
    <s v="Components"/>
    <s v="CMP-8230"/>
    <n v="1309.77"/>
    <s v="High"/>
    <n v="1589.07"/>
    <n v="0.10199999999999999"/>
    <n v="10"/>
    <n v="18572.525799999999"/>
    <n v="13097.7"/>
    <n v="5474.8257999999987"/>
    <n v="0.29478089619883574"/>
  </r>
  <r>
    <s v="ORD-2024-281211"/>
    <d v="2024-01-11T00:00:00"/>
    <d v="2024-02-02T00:00:00"/>
    <n v="22"/>
    <x v="9"/>
    <s v="Q1-2024"/>
    <x v="1"/>
    <s v="Japan"/>
    <s v="Nagoya"/>
    <s v="Small Business"/>
    <x v="1"/>
    <s v="Not Provided"/>
    <s v="Printers"/>
    <s v="PRN-7816"/>
    <n v="1237.68"/>
    <s v="High"/>
    <n v="1432.8"/>
    <n v="6.8000000000000005E-2"/>
    <n v="13"/>
    <n v="31218.691400000003"/>
    <n v="16089.84"/>
    <n v="15128.851400000003"/>
    <n v="0.48460876230065175"/>
  </r>
  <r>
    <s v="ORD-2024-805860"/>
    <d v="2024-09-13T00:00:00"/>
    <d v="2024-10-02T00:00:00"/>
    <n v="19"/>
    <x v="29"/>
    <s v="Q3-2024"/>
    <x v="0"/>
    <s v="Kenya"/>
    <s v="Mombasa"/>
    <s v="Small Business"/>
    <x v="0"/>
    <s v="M. Rossi"/>
    <s v="Phones"/>
    <s v="PHN-8804"/>
    <n v="1338.99"/>
    <s v="High"/>
    <n v="1765.76"/>
    <n v="0.126"/>
    <n v="24"/>
    <n v="21901.880639999999"/>
    <n v="32135.760000000002"/>
    <n v="-10233.879360000003"/>
    <n v="-0.46726030189889678"/>
  </r>
  <r>
    <s v="ORD-2025-132174"/>
    <d v="2025-07-17T00:00:00"/>
    <d v="2025-07-23T00:00:00"/>
    <n v="6"/>
    <x v="13"/>
    <s v="Q3-2025"/>
    <x v="2"/>
    <s v="Canada"/>
    <s v="Vancouver"/>
    <s v="Consumer"/>
    <x v="1"/>
    <s v="H. Kim"/>
    <s v="Components"/>
    <s v="CMP-8851"/>
    <n v="1364.89"/>
    <s v="High"/>
    <n v="2757.54"/>
    <n v="0.17199999999999999"/>
    <n v="61"/>
    <n v="5002.3123200000009"/>
    <n v="83258.290000000008"/>
    <n v="-78255.977680000011"/>
    <n v="-15.643960767327698"/>
  </r>
  <r>
    <s v="ORD-2023-964434"/>
    <d v="2023-11-28T00:00:00"/>
    <d v="2023-12-07T00:00:00"/>
    <n v="9"/>
    <x v="30"/>
    <s v="Q4-2023"/>
    <x v="1"/>
    <s v="India"/>
    <s v="Delhi"/>
    <s v="Enterprise"/>
    <x v="2"/>
    <s v="L. Okafor"/>
    <s v="Phones"/>
    <s v="PHN-2447"/>
    <n v="699.33"/>
    <s v="High"/>
    <n v="873.75"/>
    <n v="0.23499999999999999"/>
    <n v="10"/>
    <n v="15275.5965"/>
    <n v="6993.3"/>
    <n v="8282.2965000000004"/>
    <n v="0.5421913638527962"/>
  </r>
  <r>
    <s v="ORD-2024-897622"/>
    <d v="2024-03-30T00:00:00"/>
    <d v="2024-04-24T00:00:00"/>
    <n v="25"/>
    <x v="0"/>
    <s v="Q1-2024"/>
    <x v="2"/>
    <s v="USA"/>
    <s v="Austin"/>
    <s v="Non-Profit"/>
    <x v="1"/>
    <s v="G. Dubois"/>
    <s v="Laptops"/>
    <s v="LAP-2846"/>
    <n v="160.82"/>
    <s v="High"/>
    <n v="258.52"/>
    <n v="0.13"/>
    <n v="17"/>
    <n v="13631.647199999999"/>
    <n v="2733.94"/>
    <n v="10897.707199999999"/>
    <n v="0.79944169916604058"/>
  </r>
  <r>
    <s v="ORD-2023-517216"/>
    <d v="2023-09-19T00:00:00"/>
    <d v="2023-10-08T00:00:00"/>
    <n v="19"/>
    <x v="27"/>
    <s v="Q3-2023"/>
    <x v="1"/>
    <s v="India"/>
    <s v="Bengaluru"/>
    <s v="Education"/>
    <x v="4"/>
    <s v="J. Njeri"/>
    <s v="Printers"/>
    <s v="PRN-5005"/>
    <n v="385.32"/>
    <s v="High"/>
    <n v="606.76"/>
    <n v="8.5999999999999993E-2"/>
    <n v="8"/>
    <n v="18307.712480000002"/>
    <n v="3082.56"/>
    <n v="15225.152480000002"/>
    <n v="0.8316250594732959"/>
  </r>
  <r>
    <s v="ORD-2025-509940"/>
    <d v="2025-05-16T00:00:00"/>
    <d v="2025-05-27T00:00:00"/>
    <n v="11"/>
    <x v="8"/>
    <s v="Q2-2025"/>
    <x v="1"/>
    <s v="China"/>
    <s v="Beijing"/>
    <s v="Enterprise"/>
    <x v="1"/>
    <s v="F. Müller"/>
    <s v="Phones"/>
    <s v="PHN-3800"/>
    <n v="918.12"/>
    <s v="High"/>
    <n v="1337.69"/>
    <n v="9.5000000000000001E-2"/>
    <n v="8"/>
    <n v="17830.4548"/>
    <n v="7344.96"/>
    <n v="10485.4948"/>
    <n v="0.58806659267042372"/>
  </r>
  <r>
    <s v="ORD-2025-646342"/>
    <d v="2025-08-02T00:00:00"/>
    <d v="2025-08-08T00:00:00"/>
    <n v="6"/>
    <x v="28"/>
    <s v="Q3-2025"/>
    <x v="1"/>
    <s v="Japan"/>
    <s v="Osaka"/>
    <s v="Consumer"/>
    <x v="4"/>
    <s v="N. Brown"/>
    <s v="Laptops"/>
    <s v="LAP-4828"/>
    <n v="1225.94"/>
    <s v="High"/>
    <n v="1793.08"/>
    <n v="0.13600000000000001"/>
    <n v="22"/>
    <n v="9431.7695999999996"/>
    <n v="26970.68"/>
    <n v="-17538.910400000001"/>
    <n v="-1.8595567050323198"/>
  </r>
  <r>
    <s v="ORD-2024-866535"/>
    <d v="2024-12-04T00:00:00"/>
    <d v="2024-12-12T00:00:00"/>
    <n v="8"/>
    <x v="6"/>
    <s v="Q4-2024"/>
    <x v="3"/>
    <s v="Germany"/>
    <s v="Frankfurt"/>
    <s v="Enterprise"/>
    <x v="2"/>
    <s v="B. Chen"/>
    <s v="Printers"/>
    <s v="PRN-5492"/>
    <n v="72.06"/>
    <s v="Medium"/>
    <n v="122.74"/>
    <n v="0.23799999999999999"/>
    <n v="8"/>
    <n v="5532.6686399999999"/>
    <n v="576.48"/>
    <n v="4956.1886400000003"/>
    <n v="0.89580435093615152"/>
  </r>
  <r>
    <s v="ORD-2023-747341"/>
    <d v="2023-04-19T00:00:00"/>
    <d v="2023-04-28T00:00:00"/>
    <n v="9"/>
    <x v="12"/>
    <s v="Q2-2023"/>
    <x v="2"/>
    <s v="Brazil"/>
    <s v="Rio de Janeiro"/>
    <s v="Corporate"/>
    <x v="3"/>
    <s v="M. Rossi"/>
    <s v="Phones"/>
    <s v="PHN-7132"/>
    <n v="1013.54"/>
    <s v="High"/>
    <n v="927.93"/>
    <n v="0.17499999999999999"/>
    <n v="16"/>
    <n v="4411.308"/>
    <n v="16216.64"/>
    <n v="-11805.331999999999"/>
    <n v="-2.6761522886182507"/>
  </r>
  <r>
    <s v="ORD-2024-853298"/>
    <d v="2024-03-06T00:00:00"/>
    <d v="2024-03-26T00:00:00"/>
    <n v="20"/>
    <x v="0"/>
    <s v="Q1-2024"/>
    <x v="0"/>
    <s v="Nigeria"/>
    <s v="Port Harcourt"/>
    <s v="Consumer"/>
    <x v="2"/>
    <s v="I. Johnson"/>
    <s v="Phones"/>
    <s v="PHN-4741"/>
    <n v="65.64"/>
    <s v="Medium"/>
    <n v="151.88"/>
    <n v="0.16700000000000001"/>
    <n v="23"/>
    <n v="10322.677609999999"/>
    <n v="1509.72"/>
    <n v="8812.9576099999995"/>
    <n v="0.8537472488206479"/>
  </r>
  <r>
    <s v="ORD-2024-544865"/>
    <d v="2024-02-16T00:00:00"/>
    <d v="2024-03-04T00:00:00"/>
    <n v="17"/>
    <x v="31"/>
    <s v="Q1-2024"/>
    <x v="2"/>
    <s v="Canada"/>
    <s v="Montreal"/>
    <s v="Non-Profit"/>
    <x v="0"/>
    <s v="D. Smith"/>
    <s v="Laptops"/>
    <s v="LAP-2774"/>
    <n v="1350.98"/>
    <s v="High"/>
    <n v="2210.4"/>
    <n v="0.26300000000000001"/>
    <n v="6"/>
    <n v="6352.3798799999995"/>
    <n v="8105.88"/>
    <n v="-1753.5001200000006"/>
    <n v="-0.27603829637468102"/>
  </r>
  <r>
    <s v="ORD-2025-946490"/>
    <d v="2025-04-22T00:00:00"/>
    <d v="2025-05-02T00:00:00"/>
    <n v="10"/>
    <x v="19"/>
    <s v="Q2-2025"/>
    <x v="3"/>
    <s v="Germany"/>
    <s v="Berlin"/>
    <s v="Corporate"/>
    <x v="2"/>
    <s v="C. Otieno"/>
    <s v="Monitors"/>
    <s v="MON-2842"/>
    <n v="20.149999999999999"/>
    <s v="Low"/>
    <n v="39.74"/>
    <n v="0.151"/>
    <n v="18"/>
    <n v="26996.417099999999"/>
    <n v="362.7"/>
    <n v="26633.717099999998"/>
    <n v="0.98656488382675045"/>
  </r>
  <r>
    <s v="ORD-2024-320972"/>
    <d v="2024-11-08T00:00:00"/>
    <d v="2024-11-08T00:00:00"/>
    <n v="0"/>
    <x v="18"/>
    <s v="Q4-2024"/>
    <x v="0"/>
    <s v="Kenya"/>
    <s v="Nakuru"/>
    <s v="Enterprise"/>
    <x v="2"/>
    <s v="M. Rossi"/>
    <s v="Networking"/>
    <s v="NET-2628"/>
    <n v="803.28"/>
    <s v="High"/>
    <n v="1009"/>
    <n v="0.11"/>
    <n v="4"/>
    <n v="2237.6023999999998"/>
    <n v="3213.12"/>
    <n v="-975.51760000000013"/>
    <n v="-0.43596556743056775"/>
  </r>
  <r>
    <s v="ORD-2025-248586"/>
    <d v="2025-09-12T00:00:00"/>
    <d v="2025-09-30T00:00:00"/>
    <n v="18"/>
    <x v="11"/>
    <s v="Q3-2025"/>
    <x v="1"/>
    <s v="Japan"/>
    <s v="Nagoya"/>
    <s v="Non-Profit"/>
    <x v="2"/>
    <s v="F. Müller"/>
    <s v="Monitors"/>
    <s v="MON-2998"/>
    <n v="1212.99"/>
    <s v="High"/>
    <n v="1653.64"/>
    <n v="0.107"/>
    <n v="8"/>
    <n v="11792.958000000001"/>
    <n v="9703.92"/>
    <n v="2089.0380000000005"/>
    <n v="0.17714283388442495"/>
  </r>
  <r>
    <s v="ORD-2024-664046"/>
    <d v="2024-09-02T00:00:00"/>
    <d v="2024-09-08T00:00:00"/>
    <n v="6"/>
    <x v="29"/>
    <s v="Q3-2024"/>
    <x v="2"/>
    <s v="USA"/>
    <s v="Austin"/>
    <s v="Consumer"/>
    <x v="4"/>
    <s v="H. Kim"/>
    <s v="Components"/>
    <s v="CMP-7563"/>
    <n v="462.94"/>
    <s v="High"/>
    <n v="1015.7"/>
    <n v="0.14299999999999999"/>
    <n v="14"/>
    <n v="26961.185719999998"/>
    <n v="6481.16"/>
    <n v="20480.025719999998"/>
    <n v="0.75961146266678359"/>
  </r>
  <r>
    <s v="ORD-2023-276806"/>
    <d v="2023-03-04T00:00:00"/>
    <d v="2023-03-24T00:00:00"/>
    <n v="20"/>
    <x v="22"/>
    <s v="Q1-2023"/>
    <x v="2"/>
    <s v="Canada"/>
    <s v="Montreal"/>
    <s v="Consumer"/>
    <x v="3"/>
    <s v="I. Johnson"/>
    <s v="Laptops"/>
    <s v="LAP-6160"/>
    <n v="481.71"/>
    <s v="High"/>
    <n v="912.45"/>
    <n v="0.20300000000000001"/>
    <n v="24"/>
    <n v="17084.938320000001"/>
    <n v="11561.039999999999"/>
    <n v="5523.8983200000021"/>
    <n v="0.3233197695266834"/>
  </r>
  <r>
    <s v="ORD-2024-220234"/>
    <d v="2024-03-15T00:00:00"/>
    <d v="2024-04-09T00:00:00"/>
    <n v="25"/>
    <x v="0"/>
    <s v="Q1-2024"/>
    <x v="2"/>
    <s v="Canada"/>
    <s v="Vancouver"/>
    <s v="Consumer"/>
    <x v="1"/>
    <s v="F. Müller"/>
    <s v="Monitors"/>
    <s v="MON-4361"/>
    <n v="648.64"/>
    <s v="High"/>
    <n v="815.19"/>
    <n v="0.22500000000000001"/>
    <n v="28"/>
    <n v="50537.130000000005"/>
    <n v="18161.919999999998"/>
    <n v="32375.210000000006"/>
    <n v="0.64062225140208795"/>
  </r>
  <r>
    <s v="ORD-2024-301260"/>
    <d v="2024-07-29T00:00:00"/>
    <d v="2024-07-31T00:00:00"/>
    <n v="2"/>
    <x v="14"/>
    <s v="Q3-2024"/>
    <x v="2"/>
    <s v="USA"/>
    <s v="New York"/>
    <s v="Education"/>
    <x v="2"/>
    <s v="I. Johnson"/>
    <s v="Printers"/>
    <s v="PRN-2829"/>
    <n v="798.97"/>
    <s v="High"/>
    <n v="1814.06"/>
    <n v="0.122"/>
    <n v="16"/>
    <n v="29033.704000000002"/>
    <n v="12783.52"/>
    <n v="16250.184000000001"/>
    <n v="0.55970068441835741"/>
  </r>
  <r>
    <s v="ORD-2024-350100"/>
    <d v="2024-10-27T00:00:00"/>
    <d v="2024-11-20T00:00:00"/>
    <n v="24"/>
    <x v="1"/>
    <s v="Q4-2024"/>
    <x v="1"/>
    <s v="Japan"/>
    <s v="Nagoya"/>
    <s v="Non-Profit"/>
    <x v="1"/>
    <s v="H. Kim"/>
    <s v="Monitors"/>
    <s v="MON-8939"/>
    <n v="317.25"/>
    <s v="High"/>
    <n v="758.92"/>
    <n v="5.2999999999999999E-2"/>
    <n v="9"/>
    <n v="18599.828130000002"/>
    <n v="2855.25"/>
    <n v="15744.578130000002"/>
    <n v="0.84649051700672895"/>
  </r>
  <r>
    <s v="ORD-2024-855600"/>
    <d v="2024-04-29T00:00:00"/>
    <d v="2024-05-19T00:00:00"/>
    <n v="20"/>
    <x v="20"/>
    <s v="Q2-2024"/>
    <x v="3"/>
    <s v="Germany"/>
    <s v="Frankfurt"/>
    <s v="Enterprise"/>
    <x v="2"/>
    <s v="C. Otieno"/>
    <s v="Laptops"/>
    <s v="LAP-5009"/>
    <n v="668.97"/>
    <s v="High"/>
    <n v="1667.44"/>
    <n v="3.4000000000000002E-2"/>
    <n v="15"/>
    <n v="39508.723799999992"/>
    <n v="10034.550000000001"/>
    <n v="29474.17379999999"/>
    <n v="0.74601685311839905"/>
  </r>
  <r>
    <s v="ORD-2023-474313"/>
    <d v="2023-10-05T00:00:00"/>
    <d v="2023-10-06T00:00:00"/>
    <n v="1"/>
    <x v="32"/>
    <s v="Q4-2023"/>
    <x v="1"/>
    <s v="India"/>
    <s v="Bengaluru"/>
    <s v="Non-Profit"/>
    <x v="1"/>
    <s v="I. Johnson"/>
    <s v="Components"/>
    <s v="CMP-4807"/>
    <n v="1470.26"/>
    <s v="High"/>
    <n v="2562.5500000000002"/>
    <n v="0.17299999999999999"/>
    <n v="9"/>
    <n v="828.33146999999997"/>
    <n v="13232.34"/>
    <n v="-12404.008530000001"/>
    <n v="-14.974691870634834"/>
  </r>
  <r>
    <s v="ORD-2023-256951"/>
    <d v="2023-04-19T00:00:00"/>
    <d v="2023-05-07T00:00:00"/>
    <n v="18"/>
    <x v="12"/>
    <s v="Q2-2023"/>
    <x v="3"/>
    <s v="United Kingdom"/>
    <s v="London"/>
    <s v="Non-Profit"/>
    <x v="4"/>
    <s v="H. Kim"/>
    <s v="Networking"/>
    <s v="NET-2439"/>
    <n v="516.96"/>
    <s v="High"/>
    <n v="745.38"/>
    <n v="0.19700000000000001"/>
    <n v="4"/>
    <n v="3533.4890799999994"/>
    <n v="2067.84"/>
    <n v="1465.6490799999992"/>
    <n v="0.41478805985159561"/>
  </r>
  <r>
    <s v="ORD-2025-184754"/>
    <d v="2025-06-27T00:00:00"/>
    <d v="2025-07-05T00:00:00"/>
    <n v="8"/>
    <x v="16"/>
    <s v="Q2-2025"/>
    <x v="3"/>
    <s v="Germany"/>
    <s v="Munich"/>
    <s v="Small Business"/>
    <x v="4"/>
    <s v="G. Dubois"/>
    <s v="Monitors"/>
    <s v="MON-7626"/>
    <n v="314.93"/>
    <s v="High"/>
    <n v="687.95"/>
    <n v="0.20499999999999999"/>
    <n v="8"/>
    <n v="9725.3304000000007"/>
    <n v="2519.44"/>
    <n v="7205.8904000000002"/>
    <n v="0.74094042090333501"/>
  </r>
  <r>
    <s v="ORD-2023-888140"/>
    <d v="2023-10-11T00:00:00"/>
    <d v="2023-10-13T00:00:00"/>
    <n v="2"/>
    <x v="32"/>
    <s v="Q4-2023"/>
    <x v="2"/>
    <s v="Brazil"/>
    <s v="Brasília"/>
    <s v="Consumer"/>
    <x v="3"/>
    <s v="Not Provided"/>
    <s v="Accessories"/>
    <s v="ACC-3567"/>
    <n v="715.94"/>
    <s v="High"/>
    <n v="550.07000000000005"/>
    <n v="0.14000000000000001"/>
    <n v="16"/>
    <n v="10026.7744"/>
    <n v="11455.04"/>
    <n v="-1428.2656000000006"/>
    <n v="-0.14244517159975201"/>
  </r>
  <r>
    <s v="ORD-2023-638181"/>
    <d v="2023-05-20T00:00:00"/>
    <d v="2023-06-07T00:00:00"/>
    <n v="18"/>
    <x v="15"/>
    <s v="Q2-2023"/>
    <x v="0"/>
    <s v="Nigeria"/>
    <s v="Port Harcourt"/>
    <s v="Enterprise"/>
    <x v="3"/>
    <s v="E. Garcia"/>
    <s v="Components"/>
    <s v="CMP-4630"/>
    <n v="1120.06"/>
    <s v="High"/>
    <n v="2068.21"/>
    <n v="7.8E-2"/>
    <n v="12"/>
    <n v="69.481920000000002"/>
    <n v="13440.72"/>
    <n v="-13371.238079999999"/>
    <n v="-192.44197742376721"/>
  </r>
  <r>
    <s v="ORD-2023-521280"/>
    <d v="2023-05-27T00:00:00"/>
    <d v="2023-06-19T00:00:00"/>
    <n v="23"/>
    <x v="15"/>
    <s v="Q2-2023"/>
    <x v="3"/>
    <s v="Germany"/>
    <s v="Berlin"/>
    <s v="Education"/>
    <x v="0"/>
    <s v="O. Wang"/>
    <s v="Accessories"/>
    <s v="ACC-1882"/>
    <n v="1471.58"/>
    <s v="High"/>
    <n v="2576.65"/>
    <n v="4.0000000000000001E-3"/>
    <n v="7"/>
    <n v="17916.436439999998"/>
    <n v="10301.06"/>
    <n v="7615.3764399999982"/>
    <n v="0.42504972824830334"/>
  </r>
  <r>
    <s v="ORD-2023-630430"/>
    <d v="2023-08-04T00:00:00"/>
    <d v="2023-08-24T00:00:00"/>
    <n v="20"/>
    <x v="25"/>
    <s v="Q3-2023"/>
    <x v="2"/>
    <s v="Brazil"/>
    <s v="Brasília"/>
    <s v="Non-Profit"/>
    <x v="4"/>
    <s v="Not Provided"/>
    <s v="Networking"/>
    <s v="NET-9125"/>
    <n v="582.88"/>
    <s v="High"/>
    <n v="1044.1400000000001"/>
    <n v="0.216"/>
    <n v="10"/>
    <n v="12481.436800000001"/>
    <n v="5828.8"/>
    <n v="6652.6368000000011"/>
    <n v="0.53300248253470306"/>
  </r>
  <r>
    <s v="ORD-2025-908258"/>
    <d v="2025-06-21T00:00:00"/>
    <d v="2025-06-27T00:00:00"/>
    <n v="6"/>
    <x v="16"/>
    <s v="Q2-2025"/>
    <x v="0"/>
    <s v="South Africa"/>
    <s v="Durban"/>
    <s v="Enterprise"/>
    <x v="3"/>
    <s v="N. Brown"/>
    <s v="Phones"/>
    <s v="PHN-3819"/>
    <n v="93.91"/>
    <s v="Medium"/>
    <n v="99.04"/>
    <n v="5.7000000000000002E-2"/>
    <n v="6"/>
    <n v="5632.3692599999995"/>
    <n v="563.46"/>
    <n v="5068.9092599999994"/>
    <n v="0.89996039428707486"/>
  </r>
  <r>
    <s v="ORD-2025-440093"/>
    <d v="2025-04-16T00:00:00"/>
    <d v="2025-04-26T00:00:00"/>
    <n v="10"/>
    <x v="19"/>
    <s v="Q2-2025"/>
    <x v="0"/>
    <s v="Nigeria"/>
    <s v="Port Harcourt"/>
    <s v="Enterprise"/>
    <x v="2"/>
    <s v="F. Müller"/>
    <s v="Laptops"/>
    <s v="LAP-3490"/>
    <n v="1457.44"/>
    <s v="High"/>
    <n v="1996.81"/>
    <n v="0.126"/>
    <n v="23"/>
    <n v="24932.711619999998"/>
    <n v="33521.120000000003"/>
    <n v="-8588.4083800000044"/>
    <n v="-0.3444634707566559"/>
  </r>
  <r>
    <s v="ORD-2025-898022"/>
    <d v="2025-09-02T00:00:00"/>
    <d v="2025-09-11T00:00:00"/>
    <n v="9"/>
    <x v="11"/>
    <s v="Q3-2025"/>
    <x v="2"/>
    <s v="Canada"/>
    <s v="Toronto"/>
    <s v="Corporate"/>
    <x v="3"/>
    <s v="M. Rossi"/>
    <s v="Printers"/>
    <s v="PRN-1276"/>
    <n v="1207.6300000000001"/>
    <s v="High"/>
    <n v="921.68"/>
    <n v="0.19600000000000001"/>
    <n v="17"/>
    <n v="1617.8811600000001"/>
    <n v="20529.710000000003"/>
    <n v="-18911.828840000002"/>
    <n v="-11.689257102171831"/>
  </r>
  <r>
    <s v="ORD-2024-500511"/>
    <d v="2024-10-08T00:00:00"/>
    <d v="2024-10-08T00:00:00"/>
    <n v="0"/>
    <x v="1"/>
    <s v="Q4-2024"/>
    <x v="3"/>
    <s v="United Kingdom"/>
    <s v="London"/>
    <s v="Corporate"/>
    <x v="1"/>
    <s v="E. Garcia"/>
    <s v="Monitors"/>
    <s v="MON-9733"/>
    <n v="1108.1099999999999"/>
    <s v="High"/>
    <n v="2503.79"/>
    <n v="0.184"/>
    <n v="19"/>
    <n v="32644.137120000007"/>
    <n v="21054.089999999997"/>
    <n v="11590.04712000001"/>
    <n v="0.35504222633898824"/>
  </r>
  <r>
    <s v="ORD-2023-632893"/>
    <d v="2023-05-07T00:00:00"/>
    <d v="2023-05-05T00:00:00"/>
    <n v="2"/>
    <x v="15"/>
    <s v="Q2-2023"/>
    <x v="0"/>
    <s v="Nigeria"/>
    <s v="Port Harcourt"/>
    <s v="Non-Profit"/>
    <x v="2"/>
    <s v="A. Patel"/>
    <s v="Components"/>
    <s v="CMP-9392"/>
    <n v="1269.6500000000001"/>
    <s v="High"/>
    <n v="2462.77"/>
    <n v="0.107"/>
    <n v="8"/>
    <n v="3736.3119999999999"/>
    <n v="10157.200000000001"/>
    <n v="-6420.8880000000008"/>
    <n v="-1.7185095891349547"/>
  </r>
  <r>
    <s v="ORD-2023-967239"/>
    <d v="2023-12-24T00:00:00"/>
    <d v="2024-01-01T00:00:00"/>
    <n v="8"/>
    <x v="4"/>
    <s v="Q4-2023"/>
    <x v="2"/>
    <s v="Brazil"/>
    <s v="São Paulo"/>
    <s v="Education"/>
    <x v="4"/>
    <s v="C. Otieno"/>
    <s v="Phones"/>
    <s v="PHN-3014"/>
    <n v="526.49"/>
    <s v="High"/>
    <n v="496.2"/>
    <n v="0"/>
    <n v="14"/>
    <n v="15054.199999999999"/>
    <n v="7370.8600000000006"/>
    <n v="7683.3399999999983"/>
    <n v="0.51037849902352828"/>
  </r>
  <r>
    <s v="ORD-2024-885858"/>
    <d v="2024-01-10T00:00:00"/>
    <d v="2024-01-23T00:00:00"/>
    <n v="13"/>
    <x v="9"/>
    <s v="Q1-2024"/>
    <x v="3"/>
    <s v="France"/>
    <s v="Marseille"/>
    <s v="Corporate"/>
    <x v="4"/>
    <s v="A. Patel"/>
    <s v="Printers"/>
    <s v="PRN-6776"/>
    <n v="720"/>
    <s v="High"/>
    <n v="907.59"/>
    <n v="0.154"/>
    <n v="10"/>
    <n v="27872.062200000004"/>
    <n v="7200"/>
    <n v="20672.062200000004"/>
    <n v="0.7416768106954067"/>
  </r>
  <r>
    <s v="ORD-2023-253245"/>
    <d v="2023-08-03T00:00:00"/>
    <d v="2023-08-14T00:00:00"/>
    <n v="11"/>
    <x v="25"/>
    <s v="Q3-2023"/>
    <x v="2"/>
    <s v="Brazil"/>
    <s v="Brasília"/>
    <s v="Corporate"/>
    <x v="4"/>
    <s v="J. Njeri"/>
    <s v="Accessories"/>
    <s v="ACC-3951"/>
    <n v="232.73"/>
    <s v="High"/>
    <n v="334.19"/>
    <n v="0.13400000000000001"/>
    <n v="25"/>
    <n v="10046.682500000001"/>
    <n v="5818.25"/>
    <n v="4228.4325000000008"/>
    <n v="0.42087848401698774"/>
  </r>
  <r>
    <s v="ORD-2025-484073"/>
    <d v="2025-02-19T00:00:00"/>
    <d v="2025-03-09T00:00:00"/>
    <n v="18"/>
    <x v="26"/>
    <s v="Q1-2025"/>
    <x v="1"/>
    <s v="India"/>
    <s v="Delhi"/>
    <s v="Small Business"/>
    <x v="4"/>
    <s v="O. Wang"/>
    <s v="Monitors"/>
    <s v="MON-1436"/>
    <n v="325.87"/>
    <s v="High"/>
    <n v="538.79"/>
    <n v="0.17399999999999999"/>
    <n v="16"/>
    <n v="6753.7724800000005"/>
    <n v="5213.92"/>
    <n v="1539.8524800000005"/>
    <n v="0.22799886797489516"/>
  </r>
  <r>
    <s v="ORD-2024-745822"/>
    <d v="2024-03-31T00:00:00"/>
    <d v="2024-04-17T00:00:00"/>
    <n v="17"/>
    <x v="0"/>
    <s v="Q1-2024"/>
    <x v="3"/>
    <s v="Germany"/>
    <s v="Frankfurt"/>
    <s v="Education"/>
    <x v="4"/>
    <s v="H. Kim"/>
    <s v="Monitors"/>
    <s v="MON-8651"/>
    <n v="1025.51"/>
    <s v="High"/>
    <n v="1436.54"/>
    <n v="0.13900000000000001"/>
    <n v="28"/>
    <n v="101.73576"/>
    <n v="28714.28"/>
    <n v="-28612.544239999999"/>
    <n v="-281.24372629643699"/>
  </r>
  <r>
    <s v="ORD-2023-369160"/>
    <d v="2023-07-24T00:00:00"/>
    <d v="2023-08-13T00:00:00"/>
    <n v="20"/>
    <x v="24"/>
    <s v="Q3-2023"/>
    <x v="2"/>
    <s v="Canada"/>
    <s v="Montreal"/>
    <s v="Education"/>
    <x v="4"/>
    <s v="C. Otieno"/>
    <s v="Monitors"/>
    <s v="MON-3307"/>
    <n v="1082.3800000000001"/>
    <s v="High"/>
    <n v="1766.55"/>
    <n v="0.16400000000000001"/>
    <n v="20"/>
    <n v="9651.4527999999991"/>
    <n v="21647.600000000002"/>
    <n v="-11996.147200000003"/>
    <n v="-1.242936938986015"/>
  </r>
  <r>
    <s v="ORD-2024-834983"/>
    <d v="2024-03-16T00:00:00"/>
    <d v="2024-04-13T00:00:00"/>
    <n v="28"/>
    <x v="0"/>
    <s v="Q1-2024"/>
    <x v="3"/>
    <s v="France"/>
    <s v="Paris"/>
    <s v="Small Business"/>
    <x v="1"/>
    <s v="K. Singh"/>
    <s v="Printers"/>
    <s v="PRN-8758"/>
    <n v="287.61"/>
    <s v="High"/>
    <n v="628.54"/>
    <n v="0.13500000000000001"/>
    <n v="21"/>
    <n v="25903.83495"/>
    <n v="6039.81"/>
    <n v="19864.024949999999"/>
    <n v="0.76683722654741504"/>
  </r>
  <r>
    <s v="ORD-2024-499009"/>
    <d v="2024-01-25T00:00:00"/>
    <d v="2024-01-27T00:00:00"/>
    <n v="2"/>
    <x v="9"/>
    <s v="Q1-2024"/>
    <x v="2"/>
    <s v="Brazil"/>
    <s v="São Paulo"/>
    <s v="Non-Profit"/>
    <x v="2"/>
    <s v="N. Brown"/>
    <s v="Laptops"/>
    <s v="LAP-7056"/>
    <n v="1410.97"/>
    <s v="High"/>
    <n v="1650.75"/>
    <n v="0.13500000000000001"/>
    <n v="6"/>
    <n v="7059.0227999999997"/>
    <n v="8465.82"/>
    <n v="-1406.7972"/>
    <n v="-0.19929064402511917"/>
  </r>
  <r>
    <s v="ORD-2024-948800"/>
    <d v="2024-03-27T00:00:00"/>
    <d v="2024-04-11T00:00:00"/>
    <n v="15"/>
    <x v="0"/>
    <s v="Q1-2024"/>
    <x v="2"/>
    <s v="USA"/>
    <s v="San Francisco"/>
    <s v="Small Business"/>
    <x v="4"/>
    <s v="O. Wang"/>
    <s v="Networking"/>
    <s v="NET-5523"/>
    <n v="1338.35"/>
    <s v="High"/>
    <n v="2247.14"/>
    <n v="0.115"/>
    <n v="40"/>
    <n v="73316.94"/>
    <n v="53534"/>
    <n v="19782.940000000002"/>
    <n v="0.26982768238827209"/>
  </r>
  <r>
    <s v="ORD-2025-678328"/>
    <d v="2025-06-24T00:00:00"/>
    <d v="2025-07-14T00:00:00"/>
    <n v="20"/>
    <x v="16"/>
    <s v="Q2-2025"/>
    <x v="3"/>
    <s v="Germany"/>
    <s v="Berlin"/>
    <s v="Corporate"/>
    <x v="4"/>
    <s v="O. Wang"/>
    <s v="Accessories"/>
    <s v="ACC-8094"/>
    <n v="385.08"/>
    <s v="High"/>
    <n v="893.19"/>
    <n v="0.151"/>
    <n v="8"/>
    <n v="6655.0732799999996"/>
    <n v="3080.64"/>
    <n v="3574.4332799999997"/>
    <n v="0.53709901147775185"/>
  </r>
  <r>
    <s v="ORD-2024-580808"/>
    <d v="2024-06-16T00:00:00"/>
    <d v="2024-07-03T00:00:00"/>
    <n v="17"/>
    <x v="17"/>
    <s v="Q2-2024"/>
    <x v="0"/>
    <s v="South Africa"/>
    <s v="Johannesburg"/>
    <s v="Enterprise"/>
    <x v="2"/>
    <s v="F. Müller"/>
    <s v="Phones"/>
    <s v="PHN-6832"/>
    <n v="1173.83"/>
    <s v="High"/>
    <n v="2328.9"/>
    <n v="0.12"/>
    <n v="17"/>
    <n v="8039.3543999999993"/>
    <n v="19955.11"/>
    <n v="-11915.7556"/>
    <n v="-1.4821781709237749"/>
  </r>
  <r>
    <s v="ORD-2023-211715"/>
    <d v="2023-10-30T00:00:00"/>
    <d v="2023-11-14T00:00:00"/>
    <n v="15"/>
    <x v="32"/>
    <s v="Q4-2023"/>
    <x v="1"/>
    <s v="India"/>
    <s v="Bengaluru"/>
    <s v="Corporate"/>
    <x v="1"/>
    <s v="F. Müller"/>
    <s v="Laptops"/>
    <s v="LAP-2378"/>
    <n v="953.46"/>
    <s v="High"/>
    <n v="2066.75"/>
    <n v="0.13800000000000001"/>
    <n v="5"/>
    <n v="919.40919999999994"/>
    <n v="4767.3"/>
    <n v="-3847.8908000000001"/>
    <n v="-4.1851776118838062"/>
  </r>
  <r>
    <s v="ORD-2023-715175"/>
    <d v="2023-06-15T00:00:00"/>
    <d v="2023-06-23T00:00:00"/>
    <n v="8"/>
    <x v="23"/>
    <s v="Q2-2023"/>
    <x v="2"/>
    <s v="USA"/>
    <s v="San Francisco"/>
    <s v="Consumer"/>
    <x v="3"/>
    <s v="O. Wang"/>
    <s v="Monitors"/>
    <s v="MON-5424"/>
    <n v="1097.0899999999999"/>
    <s v="High"/>
    <n v="2182.31"/>
    <n v="0.112"/>
    <n v="9"/>
    <n v="15941.402639999998"/>
    <n v="9873.81"/>
    <n v="6067.5926399999989"/>
    <n v="0.38061849242646062"/>
  </r>
  <r>
    <s v="ORD-2025-685236"/>
    <d v="2025-03-14T00:00:00"/>
    <d v="2025-03-29T00:00:00"/>
    <n v="15"/>
    <x v="3"/>
    <s v="Q1-2025"/>
    <x v="1"/>
    <s v="Japan"/>
    <s v="Tokyo"/>
    <s v="Non-Profit"/>
    <x v="4"/>
    <s v="H. Kim"/>
    <s v="Networking"/>
    <s v="NET-8430"/>
    <n v="1106.96"/>
    <s v="High"/>
    <n v="2726.62"/>
    <n v="0.317"/>
    <n v="7"/>
    <n v="2643.1280400000001"/>
    <n v="7748.72"/>
    <n v="-5105.5919599999997"/>
    <n v="-1.9316476094741137"/>
  </r>
  <r>
    <s v="ORD-2023-274037"/>
    <d v="2023-08-15T00:00:00"/>
    <d v="2023-08-25T00:00:00"/>
    <n v="10"/>
    <x v="25"/>
    <s v="Q3-2023"/>
    <x v="0"/>
    <s v="Kenya"/>
    <s v="Nairobi"/>
    <s v="Small Business"/>
    <x v="0"/>
    <s v="N. Brown"/>
    <s v="Phones"/>
    <s v="PHN-1234"/>
    <n v="91.85"/>
    <s v="Medium"/>
    <n v="111.29"/>
    <n v="0"/>
    <n v="6"/>
    <n v="1349.6999999999998"/>
    <n v="551.09999999999991"/>
    <n v="798.59999999999991"/>
    <n v="0.59168704156479224"/>
  </r>
  <r>
    <s v="ORD-2025-983096"/>
    <d v="2025-05-17T00:00:00"/>
    <d v="2025-05-28T00:00:00"/>
    <n v="11"/>
    <x v="8"/>
    <s v="Q2-2025"/>
    <x v="1"/>
    <s v="India"/>
    <s v="Bengaluru"/>
    <s v="Corporate"/>
    <x v="3"/>
    <s v="B. Chen"/>
    <s v="Laptops"/>
    <s v="LAP-9016"/>
    <n v="623.4"/>
    <s v="High"/>
    <n v="1100.0899999999999"/>
    <n v="0.114"/>
    <n v="12"/>
    <n v="8208.8608800000002"/>
    <n v="7480.7999999999993"/>
    <n v="728.06088000000091"/>
    <n v="8.8692071974790357E-2"/>
  </r>
  <r>
    <s v="ORD-2024-366010"/>
    <d v="2024-01-13T00:00:00"/>
    <d v="2024-02-05T00:00:00"/>
    <n v="23"/>
    <x v="9"/>
    <s v="Q1-2024"/>
    <x v="3"/>
    <s v="Germany"/>
    <s v="Frankfurt"/>
    <s v="Education"/>
    <x v="4"/>
    <s v="B. Chen"/>
    <s v="Laptops"/>
    <s v="LAP-9931"/>
    <n v="1017.93"/>
    <s v="High"/>
    <n v="1529.14"/>
    <n v="0.155"/>
    <n v="12"/>
    <n v="31932.989400000002"/>
    <n v="12215.16"/>
    <n v="19717.829400000002"/>
    <n v="0.61747521201381794"/>
  </r>
  <r>
    <s v="ORD-2023-610470"/>
    <d v="2023-06-24T00:00:00"/>
    <d v="2023-07-21T00:00:00"/>
    <n v="27"/>
    <x v="23"/>
    <s v="Q2-2023"/>
    <x v="1"/>
    <s v="Japan"/>
    <s v="Nagoya"/>
    <s v="Consumer"/>
    <x v="2"/>
    <s v="J. Njeri"/>
    <s v="Phones"/>
    <s v="PHN-6818"/>
    <n v="554.76"/>
    <s v="High"/>
    <n v="728.69"/>
    <n v="0.22"/>
    <n v="7"/>
    <n v="314.11380000000003"/>
    <n v="3883.3199999999997"/>
    <n v="-3569.2061999999996"/>
    <n v="-11.362780622818862"/>
  </r>
  <r>
    <s v="ORD-2025-541048"/>
    <d v="2025-04-04T00:00:00"/>
    <d v="2025-04-13T00:00:00"/>
    <n v="9"/>
    <x v="19"/>
    <s v="Q2-2025"/>
    <x v="3"/>
    <s v="Germany"/>
    <s v="Munich"/>
    <s v="Consumer"/>
    <x v="2"/>
    <s v="F. Müller"/>
    <s v="Phones"/>
    <s v="PHN-3803"/>
    <n v="7.02"/>
    <s v="Low"/>
    <n v="6.28"/>
    <n v="0.13400000000000001"/>
    <n v="14"/>
    <n v="9999.9964400000008"/>
    <n v="98.28"/>
    <n v="9901.7164400000001"/>
    <n v="0.99017199650123067"/>
  </r>
  <r>
    <s v="ORD-2024-862371"/>
    <d v="2024-09-07T00:00:00"/>
    <d v="2024-09-07T00:00:00"/>
    <n v="0"/>
    <x v="29"/>
    <s v="Q3-2024"/>
    <x v="1"/>
    <s v="India"/>
    <s v="Mumbai"/>
    <s v="Education"/>
    <x v="3"/>
    <s v="B. Chen"/>
    <s v="Networking"/>
    <s v="NET-9835"/>
    <n v="1066.6500000000001"/>
    <s v="High"/>
    <n v="2569.77"/>
    <n v="0.13400000000000001"/>
    <n v="9"/>
    <n v="11640.572819999999"/>
    <n v="9599.85"/>
    <n v="2040.722819999999"/>
    <n v="0.17531120259767416"/>
  </r>
  <r>
    <s v="ORD-2024-277241"/>
    <d v="2024-01-28T00:00:00"/>
    <d v="2024-01-30T00:00:00"/>
    <n v="2"/>
    <x v="9"/>
    <s v="Q1-2024"/>
    <x v="0"/>
    <s v="South Africa"/>
    <s v="Cape Town"/>
    <s v="Consumer"/>
    <x v="4"/>
    <s v="F. Müller"/>
    <s v="Accessories"/>
    <s v="ACC-6223"/>
    <n v="798.45"/>
    <s v="High"/>
    <n v="1592.02"/>
    <n v="6.6000000000000003E-2"/>
    <n v="18"/>
    <n v="12473.159039999999"/>
    <n v="14372.1"/>
    <n v="-1898.9409600000017"/>
    <n v="-0.15224218290733843"/>
  </r>
  <r>
    <s v="ORD-2023-369150"/>
    <d v="2023-07-18T00:00:00"/>
    <d v="2023-08-10T00:00:00"/>
    <n v="23"/>
    <x v="24"/>
    <s v="Q3-2023"/>
    <x v="0"/>
    <s v="South Africa"/>
    <s v="Johannesburg"/>
    <s v="Small Business"/>
    <x v="0"/>
    <s v="L. Okafor"/>
    <s v="Components"/>
    <s v="CMP-8659"/>
    <n v="1271.56"/>
    <s v="High"/>
    <n v="995.47"/>
    <n v="0.192"/>
    <n v="13"/>
    <n v="7796.3839200000002"/>
    <n v="16530.28"/>
    <n v="-8733.8960799999986"/>
    <n v="-1.1202496143878966"/>
  </r>
  <r>
    <s v="ORD-2025-922513"/>
    <d v="2025-08-28T00:00:00"/>
    <d v="2025-08-26T00:00:00"/>
    <n v="2"/>
    <x v="28"/>
    <s v="Q3-2025"/>
    <x v="0"/>
    <s v="Nigeria"/>
    <s v="Port Harcourt"/>
    <s v="Small Business"/>
    <x v="0"/>
    <s v="A. Patel"/>
    <s v="Accessories"/>
    <s v="ACC-4483"/>
    <n v="521.05999999999995"/>
    <s v="High"/>
    <n v="1240.31"/>
    <n v="0.14599999999999999"/>
    <n v="18"/>
    <n v="7371.4888800000008"/>
    <n v="9379.0799999999981"/>
    <n v="-2007.5911199999973"/>
    <n v="-0.27234540439271437"/>
  </r>
  <r>
    <s v="ORD-2025-752845"/>
    <d v="2025-03-30T00:00:00"/>
    <d v="2025-04-07T00:00:00"/>
    <n v="8"/>
    <x v="3"/>
    <s v="Q1-2025"/>
    <x v="2"/>
    <s v="Brazil"/>
    <s v="São Paulo"/>
    <s v="Non-Profit"/>
    <x v="4"/>
    <s v="L. Okafor"/>
    <s v="Printers"/>
    <s v="PRN-8763"/>
    <n v="71.62"/>
    <s v="Medium"/>
    <n v="118.37"/>
    <n v="0.156"/>
    <n v="11"/>
    <n v="10911.020999999999"/>
    <n v="787.82"/>
    <n v="10123.200999999999"/>
    <n v="0.92779594136973986"/>
  </r>
  <r>
    <s v="ORD-2023-667815"/>
    <d v="2023-10-21T00:00:00"/>
    <d v="2023-11-09T00:00:00"/>
    <n v="19"/>
    <x v="32"/>
    <s v="Q4-2023"/>
    <x v="3"/>
    <s v="United Kingdom"/>
    <s v="London"/>
    <s v="Non-Profit"/>
    <x v="4"/>
    <s v="A. Patel"/>
    <s v="Accessories"/>
    <s v="ACC-8557"/>
    <n v="1142.48"/>
    <s v="High"/>
    <n v="2105.5300000000002"/>
    <n v="0.20699999999999999"/>
    <n v="14"/>
    <n v="2525.1498999999999"/>
    <n v="15994.720000000001"/>
    <n v="-13469.570100000001"/>
    <n v="-5.3341665379944381"/>
  </r>
  <r>
    <s v="ORD-2023-375011"/>
    <d v="2023-08-23T00:00:00"/>
    <d v="2023-09-22T00:00:00"/>
    <n v="30"/>
    <x v="25"/>
    <s v="Q3-2023"/>
    <x v="3"/>
    <s v="United Kingdom"/>
    <s v="London"/>
    <s v="Consumer"/>
    <x v="3"/>
    <s v="O. Wang"/>
    <s v="Accessories"/>
    <s v="ACC-1492"/>
    <n v="209.81"/>
    <s v="High"/>
    <n v="523"/>
    <n v="5.8999999999999997E-2"/>
    <n v="15"/>
    <n v="16636.221300000001"/>
    <n v="3147.15"/>
    <n v="13489.071300000001"/>
    <n v="0.81082543065233215"/>
  </r>
  <r>
    <s v="ORD-2025-487025"/>
    <d v="2025-04-11T00:00:00"/>
    <d v="2025-05-04T00:00:00"/>
    <n v="23"/>
    <x v="19"/>
    <s v="Q2-2025"/>
    <x v="1"/>
    <s v="Japan"/>
    <s v="Osaka"/>
    <s v="Small Business"/>
    <x v="1"/>
    <s v="M. Rossi"/>
    <s v="Components"/>
    <s v="CMP-3743"/>
    <n v="786.2"/>
    <s v="High"/>
    <n v="1075.3"/>
    <n v="0.08"/>
    <n v="9"/>
    <n v="20054.987999999998"/>
    <n v="7075.8"/>
    <n v="12979.187999999998"/>
    <n v="0.64718004318925548"/>
  </r>
  <r>
    <s v="ORD-2025-398335"/>
    <d v="2025-06-01T00:00:00"/>
    <d v="2025-06-27T00:00:00"/>
    <n v="26"/>
    <x v="16"/>
    <s v="Q2-2025"/>
    <x v="3"/>
    <s v="Germany"/>
    <s v="Munich"/>
    <s v="Consumer"/>
    <x v="3"/>
    <s v="E. Garcia"/>
    <s v="Laptops"/>
    <s v="LAP-1619"/>
    <n v="1362.31"/>
    <s v="High"/>
    <n v="3294.57"/>
    <n v="0.113"/>
    <n v="7"/>
    <n v="2693.96092"/>
    <n v="9536.17"/>
    <n v="-6842.2090800000005"/>
    <n v="-2.5398323447097373"/>
  </r>
  <r>
    <s v="ORD-2024-792137"/>
    <d v="2024-03-02T00:00:00"/>
    <d v="2024-03-16T00:00:00"/>
    <n v="14"/>
    <x v="0"/>
    <s v="Q1-2024"/>
    <x v="2"/>
    <s v="Canada"/>
    <s v="Vancouver"/>
    <s v="Non-Profit"/>
    <x v="4"/>
    <s v="O. Wang"/>
    <s v="Printers"/>
    <s v="PRN-7976"/>
    <n v="248.24"/>
    <s v="High"/>
    <n v="464.05"/>
    <n v="0.16900000000000001"/>
    <n v="11"/>
    <n v="28786.197329999999"/>
    <n v="2730.6400000000003"/>
    <n v="26055.55733"/>
    <n v="0.90514064887777934"/>
  </r>
  <r>
    <s v="ORD-2023-602648"/>
    <d v="2023-06-20T00:00:00"/>
    <d v="2023-07-08T00:00:00"/>
    <n v="18"/>
    <x v="23"/>
    <s v="Q2-2023"/>
    <x v="2"/>
    <s v="USA"/>
    <s v="Austin"/>
    <s v="Non-Profit"/>
    <x v="4"/>
    <s v="F. Müller"/>
    <s v="Monitors"/>
    <s v="MON-4326"/>
    <n v="337"/>
    <s v="High"/>
    <n v="511.03"/>
    <n v="0.108"/>
    <n v="7"/>
    <n v="409.91860000000008"/>
    <n v="2359"/>
    <n v="-1949.0814"/>
    <n v="-4.7548010751402829"/>
  </r>
  <r>
    <s v="ORD-2024-207096"/>
    <d v="2024-03-26T00:00:00"/>
    <d v="2024-04-05T00:00:00"/>
    <n v="10"/>
    <x v="0"/>
    <s v="Q1-2024"/>
    <x v="2"/>
    <s v="USA"/>
    <s v="Austin"/>
    <s v="Consumer"/>
    <x v="4"/>
    <s v="J. Njeri"/>
    <s v="Monitors"/>
    <s v="MON-5444"/>
    <n v="5.66"/>
    <s v="Low"/>
    <n v="4.22"/>
    <n v="0.11899999999999999"/>
    <n v="18"/>
    <n v="39520.356119999997"/>
    <n v="101.88"/>
    <n v="39418.476119999999"/>
    <n v="0.99742208800723742"/>
  </r>
  <r>
    <s v="ORD-2025-939953"/>
    <d v="2025-01-22T00:00:00"/>
    <d v="2025-01-22T00:00:00"/>
    <n v="0"/>
    <x v="10"/>
    <s v="Q1-2025"/>
    <x v="3"/>
    <s v="France"/>
    <s v="Lyon"/>
    <s v="Small Business"/>
    <x v="1"/>
    <s v="B. Chen"/>
    <s v="Accessories"/>
    <s v="ACC-5422"/>
    <n v="591.72"/>
    <s v="High"/>
    <n v="577.24"/>
    <n v="0"/>
    <n v="22"/>
    <n v="20500.48"/>
    <n v="13017.84"/>
    <n v="7482.6399999999994"/>
    <n v="0.36499828296703296"/>
  </r>
  <r>
    <s v="ORD-2025-191328"/>
    <d v="2025-05-10T00:00:00"/>
    <d v="2025-05-27T00:00:00"/>
    <n v="17"/>
    <x v="8"/>
    <s v="Q2-2025"/>
    <x v="2"/>
    <s v="Canada"/>
    <s v="Vancouver"/>
    <s v="Education"/>
    <x v="4"/>
    <s v="C. Otieno"/>
    <s v="Components"/>
    <s v="CMP-9307"/>
    <n v="862.89"/>
    <s v="High"/>
    <n v="1426.03"/>
    <n v="5.6000000000000001E-2"/>
    <n v="19"/>
    <n v="11111.531359999999"/>
    <n v="16394.91"/>
    <n v="-5283.3786400000008"/>
    <n v="-0.4754860935747745"/>
  </r>
  <r>
    <s v="ORD-2023-166668"/>
    <d v="2023-10-05T00:00:00"/>
    <d v="2023-10-31T00:00:00"/>
    <n v="26"/>
    <x v="32"/>
    <s v="Q4-2023"/>
    <x v="1"/>
    <s v="China"/>
    <s v="Shanghai"/>
    <s v="Consumer"/>
    <x v="5"/>
    <s v="J. Njeri"/>
    <s v="Printers"/>
    <s v="PRN-6520"/>
    <n v="649.91"/>
    <s v="High"/>
    <n v="1360.12"/>
    <n v="0.19400000000000001"/>
    <n v="9"/>
    <n v="10311.923699999999"/>
    <n v="5849.19"/>
    <n v="4462.7336999999998"/>
    <n v="0.43277411953697836"/>
  </r>
  <r>
    <s v="ORD-2023-594700"/>
    <d v="2023-07-18T00:00:00"/>
    <d v="2023-07-22T00:00:00"/>
    <n v="4"/>
    <x v="24"/>
    <s v="Q3-2023"/>
    <x v="2"/>
    <s v="Brazil"/>
    <s v="São Paulo"/>
    <s v="Consumer"/>
    <x v="4"/>
    <s v="F. Müller"/>
    <s v="Networking"/>
    <s v="NET-1699"/>
    <n v="1269.55"/>
    <s v="High"/>
    <n v="2071.1"/>
    <n v="0.129"/>
    <n v="22"/>
    <n v="18252.954719999998"/>
    <n v="27930.1"/>
    <n v="-9677.1452800000006"/>
    <n v="-0.53016870027057195"/>
  </r>
  <r>
    <s v="ORD-2025-278048"/>
    <d v="2025-06-22T00:00:00"/>
    <d v="2025-07-08T00:00:00"/>
    <n v="16"/>
    <x v="16"/>
    <s v="Q2-2025"/>
    <x v="3"/>
    <s v="United Kingdom"/>
    <s v="London"/>
    <s v="Education"/>
    <x v="4"/>
    <s v="A. Patel"/>
    <s v="Phones"/>
    <s v="PHN-5316"/>
    <n v="892.73"/>
    <s v="High"/>
    <n v="979.84"/>
    <n v="0.17399999999999999"/>
    <n v="10"/>
    <n v="26053.196400000001"/>
    <n v="8927.2999999999993"/>
    <n v="17125.896400000001"/>
    <n v="0.65734338839129935"/>
  </r>
  <r>
    <s v="ORD-2024-878493"/>
    <d v="2024-06-19T00:00:00"/>
    <d v="2024-06-20T00:00:00"/>
    <n v="1"/>
    <x v="17"/>
    <s v="Q2-2024"/>
    <x v="0"/>
    <s v="Kenya"/>
    <s v="Kisumu"/>
    <s v="Small Business"/>
    <x v="4"/>
    <s v="J. Njeri"/>
    <s v="Laptops"/>
    <s v="LAP-4607"/>
    <n v="231.63"/>
    <s v="High"/>
    <n v="537.39"/>
    <n v="0.08"/>
    <n v="12"/>
    <n v="2496.5855999999999"/>
    <n v="2779.56"/>
    <n v="-282.97440000000006"/>
    <n v="-0.11334456146827093"/>
  </r>
  <r>
    <s v="ORD-2025-138578"/>
    <d v="2025-04-09T00:00:00"/>
    <d v="2025-04-12T00:00:00"/>
    <n v="3"/>
    <x v="19"/>
    <s v="Q2-2025"/>
    <x v="3"/>
    <s v="France"/>
    <s v="Lyon"/>
    <s v="Small Business"/>
    <x v="3"/>
    <s v="H. Kim"/>
    <s v="Monitors"/>
    <s v="MON-5276"/>
    <n v="86.68"/>
    <s v="High"/>
    <n v="213.32"/>
    <n v="3.7999999999999999E-2"/>
    <n v="8"/>
    <n v="6818.0403199999992"/>
    <n v="693.44"/>
    <n v="6124.6003199999996"/>
    <n v="0.89829335594190218"/>
  </r>
  <r>
    <s v="ORD-2025-944081"/>
    <d v="2025-03-25T00:00:00"/>
    <d v="2025-03-26T00:00:00"/>
    <n v="1"/>
    <x v="3"/>
    <s v="Q1-2025"/>
    <x v="0"/>
    <s v="Nigeria"/>
    <s v="Lagos"/>
    <s v="Education"/>
    <x v="3"/>
    <s v="G. Dubois"/>
    <s v="Accessories"/>
    <s v="ACC-9533"/>
    <n v="1450.43"/>
    <s v="High"/>
    <n v="1994.67"/>
    <n v="0.1"/>
    <n v="24"/>
    <n v="52560.144000000008"/>
    <n v="34810.32"/>
    <n v="17749.824000000008"/>
    <n v="0.33770501085385163"/>
  </r>
  <r>
    <s v="ORD-2025-364852"/>
    <d v="2025-05-18T00:00:00"/>
    <d v="2025-06-09T00:00:00"/>
    <n v="22"/>
    <x v="8"/>
    <s v="Q2-2025"/>
    <x v="2"/>
    <s v="USA"/>
    <s v="New York"/>
    <s v="Consumer"/>
    <x v="0"/>
    <s v="H. Kim"/>
    <s v="Networking"/>
    <s v="NET-3749"/>
    <n v="382.96"/>
    <s v="High"/>
    <n v="552.84"/>
    <n v="0.17599999999999999"/>
    <n v="8"/>
    <n v="7609.4092799999999"/>
    <n v="3063.68"/>
    <n v="4545.7292799999996"/>
    <n v="0.59738267620164065"/>
  </r>
  <r>
    <s v="ORD-2025-415018"/>
    <d v="2025-01-22T00:00:00"/>
    <d v="2025-02-04T00:00:00"/>
    <n v="13"/>
    <x v="10"/>
    <s v="Q1-2025"/>
    <x v="1"/>
    <s v="Japan"/>
    <s v="Tokyo"/>
    <s v="Small Business"/>
    <x v="3"/>
    <s v="L. Okafor"/>
    <s v="Printers"/>
    <s v="PRN-2991"/>
    <n v="122.29"/>
    <s v="High"/>
    <n v="224.95"/>
    <n v="0.153"/>
    <n v="28"/>
    <n v="26941.13884"/>
    <n v="3424.1200000000003"/>
    <n v="23517.018840000001"/>
    <n v="0.8729036652705956"/>
  </r>
  <r>
    <s v="ORD-2023-884192"/>
    <d v="2023-01-10T00:00:00"/>
    <d v="2023-01-29T00:00:00"/>
    <n v="19"/>
    <x v="5"/>
    <s v="Q1-2023"/>
    <x v="3"/>
    <s v="France"/>
    <s v="Lyon"/>
    <s v="Non-Profit"/>
    <x v="4"/>
    <s v="D. Smith"/>
    <s v="Laptops"/>
    <s v="LAP-4551"/>
    <n v="401.66"/>
    <s v="High"/>
    <n v="772.09"/>
    <n v="8.8999999999999996E-2"/>
    <n v="14"/>
    <n v="35096.967360000002"/>
    <n v="5623.2400000000007"/>
    <n v="29473.727360000001"/>
    <n v="0.83977988917615698"/>
  </r>
  <r>
    <s v="ORD-2024-165942"/>
    <d v="2024-12-29T00:00:00"/>
    <d v="2025-01-12T00:00:00"/>
    <n v="14"/>
    <x v="6"/>
    <s v="Q4-2024"/>
    <x v="3"/>
    <s v="United Kingdom"/>
    <s v="Manchester"/>
    <s v="Corporate"/>
    <x v="4"/>
    <s v="B. Chen"/>
    <s v="Monitors"/>
    <s v="MON-6310"/>
    <n v="1399.72"/>
    <s v="High"/>
    <n v="3149.21"/>
    <n v="0.185"/>
    <n v="12"/>
    <n v="13444.761599999998"/>
    <n v="16796.64"/>
    <n v="-3351.8784000000014"/>
    <n v="-0.24930738823959525"/>
  </r>
  <r>
    <s v="ORD-2024-403664"/>
    <d v="2024-05-23T00:00:00"/>
    <d v="2024-06-06T00:00:00"/>
    <n v="14"/>
    <x v="7"/>
    <s v="Q2-2024"/>
    <x v="2"/>
    <s v="Brazil"/>
    <s v="Rio de Janeiro"/>
    <s v="Non-Profit"/>
    <x v="1"/>
    <s v="I. Johnson"/>
    <s v="Networking"/>
    <s v="NET-1166"/>
    <n v="51.13"/>
    <s v="Medium"/>
    <n v="57.53"/>
    <n v="4.4999999999999998E-2"/>
    <n v="16"/>
    <n v="20144.693599999999"/>
    <n v="818.08"/>
    <n v="19326.613599999997"/>
    <n v="0.95938980178879452"/>
  </r>
  <r>
    <s v="ORD-2023-890605"/>
    <d v="2023-06-24T00:00:00"/>
    <d v="2023-06-22T00:00:00"/>
    <n v="2"/>
    <x v="23"/>
    <s v="Q2-2023"/>
    <x v="2"/>
    <s v="Canada"/>
    <s v="Toronto"/>
    <s v="Non-Profit"/>
    <x v="0"/>
    <s v="M. Rossi"/>
    <s v="Accessories"/>
    <s v="ACC-2903"/>
    <n v="471.42"/>
    <s v="High"/>
    <n v="824.81"/>
    <n v="8.7999999999999995E-2"/>
    <n v="15"/>
    <n v="6043.0032000000001"/>
    <n v="7071.3"/>
    <n v="-1028.2968000000001"/>
    <n v="-0.17016320626803574"/>
  </r>
  <r>
    <s v="ORD-2024-925626"/>
    <d v="2024-11-04T00:00:00"/>
    <d v="2024-11-05T00:00:00"/>
    <n v="1"/>
    <x v="18"/>
    <s v="Q4-2024"/>
    <x v="3"/>
    <s v="United Kingdom"/>
    <s v="London"/>
    <s v="Corporate"/>
    <x v="0"/>
    <s v="M. Rossi"/>
    <s v="Printers"/>
    <s v="PRN-2293"/>
    <n v="840.68"/>
    <s v="High"/>
    <n v="1493.53"/>
    <n v="0"/>
    <n v="27"/>
    <n v="35911.89"/>
    <n v="22698.359999999997"/>
    <n v="13213.530000000002"/>
    <n v="0.36794304059184862"/>
  </r>
  <r>
    <s v="ORD-2024-427031"/>
    <d v="2024-06-08T00:00:00"/>
    <d v="2024-06-24T00:00:00"/>
    <n v="16"/>
    <x v="17"/>
    <s v="Q2-2024"/>
    <x v="0"/>
    <s v="South Africa"/>
    <s v="Durban"/>
    <s v="Education"/>
    <x v="3"/>
    <s v="H. Kim"/>
    <s v="Monitors"/>
    <s v="MON-1389"/>
    <n v="597.85"/>
    <s v="High"/>
    <n v="741.92"/>
    <n v="3.1E-2"/>
    <n v="7"/>
    <n v="11089.255379999999"/>
    <n v="4184.95"/>
    <n v="6904.3053799999989"/>
    <n v="0.62261217217995024"/>
  </r>
  <r>
    <s v="ORD-2025-231184"/>
    <d v="2025-06-01T00:00:00"/>
    <d v="2025-06-06T00:00:00"/>
    <n v="5"/>
    <x v="16"/>
    <s v="Q2-2025"/>
    <x v="3"/>
    <s v="France"/>
    <s v="Paris"/>
    <s v="Consumer"/>
    <x v="3"/>
    <s v="G. Dubois"/>
    <s v="Components"/>
    <s v="CMP-4093"/>
    <n v="379.45"/>
    <s v="High"/>
    <n v="742.23"/>
    <n v="0.09"/>
    <n v="13"/>
    <n v="835.19799999999998"/>
    <n v="4932.8499999999995"/>
    <n v="-4097.6519999999991"/>
    <n v="-4.9062042773090919"/>
  </r>
  <r>
    <s v="ORD-2023-363031"/>
    <d v="2023-05-06T00:00:00"/>
    <d v="2023-05-14T00:00:00"/>
    <n v="8"/>
    <x v="15"/>
    <s v="Q2-2023"/>
    <x v="1"/>
    <s v="Japan"/>
    <s v="Osaka"/>
    <s v="Enterprise"/>
    <x v="2"/>
    <s v="B. Chen"/>
    <s v="Phones"/>
    <s v="PHN-6131"/>
    <n v="291.18"/>
    <s v="High"/>
    <n v="479.54"/>
    <n v="0.14099999999999999"/>
    <n v="22"/>
    <n v="34451.80992"/>
    <n v="6405.96"/>
    <n v="28045.849920000001"/>
    <n v="0.81406027680765747"/>
  </r>
  <r>
    <s v="ORD-2023-619570"/>
    <d v="2023-11-14T00:00:00"/>
    <d v="2023-11-30T00:00:00"/>
    <n v="16"/>
    <x v="30"/>
    <s v="Q4-2023"/>
    <x v="2"/>
    <s v="Brazil"/>
    <s v="São Paulo"/>
    <s v="Enterprise"/>
    <x v="4"/>
    <s v="K. Singh"/>
    <s v="Networking"/>
    <s v="NET-4104"/>
    <n v="1017.92"/>
    <s v="High"/>
    <n v="1175.25"/>
    <n v="7.4999999999999997E-2"/>
    <n v="15"/>
    <n v="27971.861250000002"/>
    <n v="15268.8"/>
    <n v="12703.061250000002"/>
    <n v="0.45413714648681097"/>
  </r>
  <r>
    <s v="ORD-2025-861401"/>
    <d v="2025-04-01T00:00:00"/>
    <d v="2025-04-27T00:00:00"/>
    <n v="26"/>
    <x v="19"/>
    <s v="Q2-2025"/>
    <x v="2"/>
    <s v="USA"/>
    <s v="San Francisco"/>
    <s v="Corporate"/>
    <x v="4"/>
    <s v="I. Johnson"/>
    <s v="Monitors"/>
    <s v="MON-9319"/>
    <n v="156.55000000000001"/>
    <s v="High"/>
    <n v="227.45"/>
    <n v="1.4E-2"/>
    <n v="13"/>
    <n v="3129.2583399999999"/>
    <n v="2035.15"/>
    <n v="1094.1083399999998"/>
    <n v="0.34963822769583153"/>
  </r>
  <r>
    <s v="ORD-2023-835010"/>
    <d v="2023-03-23T00:00:00"/>
    <d v="2023-04-15T00:00:00"/>
    <n v="23"/>
    <x v="22"/>
    <s v="Q1-2023"/>
    <x v="0"/>
    <s v="Kenya"/>
    <s v="Mombasa"/>
    <s v="Small Business"/>
    <x v="0"/>
    <s v="C. Otieno"/>
    <s v="Accessories"/>
    <s v="ACC-2988"/>
    <n v="875.36"/>
    <s v="High"/>
    <n v="1178.6199999999999"/>
    <n v="0.151"/>
    <n v="53"/>
    <n v="125232.05063999999"/>
    <n v="46394.080000000002"/>
    <n v="78837.970639999985"/>
    <n v="0.62953509295022747"/>
  </r>
  <r>
    <s v="ORD-2024-819979"/>
    <d v="2024-05-28T00:00:00"/>
    <d v="2024-06-18T00:00:00"/>
    <n v="21"/>
    <x v="7"/>
    <s v="Q2-2024"/>
    <x v="3"/>
    <s v="Germany"/>
    <s v="Frankfurt"/>
    <s v="Small Business"/>
    <x v="1"/>
    <s v="E. Garcia"/>
    <s v="Phones"/>
    <s v="PHN-9399"/>
    <n v="986.85"/>
    <s v="High"/>
    <n v="2422.1"/>
    <n v="7.5999999999999998E-2"/>
    <n v="10"/>
    <n v="18944.864399999999"/>
    <n v="9868.5"/>
    <n v="9076.3643999999986"/>
    <n v="0.47909365875429538"/>
  </r>
  <r>
    <s v="ORD-2024-719055"/>
    <d v="2024-01-02T00:00:00"/>
    <d v="2024-01-01T00:00:00"/>
    <n v="1"/>
    <x v="9"/>
    <s v="Q1-2024"/>
    <x v="2"/>
    <s v="USA"/>
    <s v="Chicago"/>
    <s v="Education"/>
    <x v="2"/>
    <s v="B. Chen"/>
    <s v="Networking"/>
    <s v="NET-4554"/>
    <n v="404.77"/>
    <s v="High"/>
    <n v="433.88"/>
    <n v="0.215"/>
    <n v="22"/>
    <n v="2540.7624000000005"/>
    <n v="8904.9399999999987"/>
    <n v="-6364.1775999999982"/>
    <n v="-2.504829888855407"/>
  </r>
  <r>
    <s v="ORD-2023-888245"/>
    <d v="2023-02-28T00:00:00"/>
    <d v="2023-02-27T00:00:00"/>
    <n v="1"/>
    <x v="2"/>
    <s v="Q1-2023"/>
    <x v="3"/>
    <s v="France"/>
    <s v="Marseille"/>
    <s v="Corporate"/>
    <x v="0"/>
    <s v="K. Singh"/>
    <s v="Networking"/>
    <s v="NET-5195"/>
    <n v="1299.81"/>
    <s v="High"/>
    <n v="3149.13"/>
    <n v="0.10299999999999999"/>
    <n v="14"/>
    <n v="24902.262840000003"/>
    <n v="18197.34"/>
    <n v="6704.9228400000029"/>
    <n v="0.26924954101881943"/>
  </r>
  <r>
    <s v="ORD-2024-206121"/>
    <d v="2024-02-18T00:00:00"/>
    <d v="2024-03-11T00:00:00"/>
    <n v="22"/>
    <x v="31"/>
    <s v="Q1-2024"/>
    <x v="2"/>
    <s v="Brazil"/>
    <s v="São Paulo"/>
    <s v="Consumer"/>
    <x v="1"/>
    <s v="A. Patel"/>
    <s v="Components"/>
    <s v="CMP-9801"/>
    <n v="80.48"/>
    <s v="Medium"/>
    <n v="65.650000000000006"/>
    <n v="0.17599999999999999"/>
    <n v="13"/>
    <n v="24630.101600000002"/>
    <n v="1046.24"/>
    <n v="23583.8616"/>
    <n v="0.95752189670220433"/>
  </r>
  <r>
    <s v="ORD-2024-500890"/>
    <d v="2024-09-09T00:00:00"/>
    <d v="2024-10-08T00:00:00"/>
    <n v="29"/>
    <x v="29"/>
    <s v="Q3-2024"/>
    <x v="2"/>
    <s v="Brazil"/>
    <s v="São Paulo"/>
    <s v="Education"/>
    <x v="4"/>
    <s v="J. Njeri"/>
    <s v="Components"/>
    <s v="CMP-3093"/>
    <n v="1010.33"/>
    <s v="High"/>
    <n v="2492.14"/>
    <n v="5.0999999999999997E-2"/>
    <n v="11"/>
    <n v="4829.1857899999995"/>
    <n v="11113.630000000001"/>
    <n v="-6284.4442100000015"/>
    <n v="-1.3013465381707756"/>
  </r>
  <r>
    <s v="ORD-2023-144816"/>
    <d v="2023-05-07T00:00:00"/>
    <d v="2023-05-29T00:00:00"/>
    <n v="22"/>
    <x v="15"/>
    <s v="Q2-2023"/>
    <x v="0"/>
    <s v="South Africa"/>
    <s v="Durban"/>
    <s v="Education"/>
    <x v="3"/>
    <s v="K. Singh"/>
    <s v="Accessories"/>
    <s v="ACC-2364"/>
    <n v="653.86"/>
    <s v="High"/>
    <n v="931.84"/>
    <n v="0.121"/>
    <n v="12"/>
    <n v="11533.077720000001"/>
    <n v="7846.32"/>
    <n v="3686.7577200000014"/>
    <n v="0.3196681587956906"/>
  </r>
  <r>
    <s v="ORD-2024-153053"/>
    <d v="2024-01-12T00:00:00"/>
    <d v="2024-01-29T00:00:00"/>
    <n v="17"/>
    <x v="9"/>
    <s v="Q1-2024"/>
    <x v="1"/>
    <s v="India"/>
    <s v="Hyderabad"/>
    <s v="Small Business"/>
    <x v="4"/>
    <s v="B. Chen"/>
    <s v="Components"/>
    <s v="CMP-5138"/>
    <n v="310.02"/>
    <s v="High"/>
    <n v="619.51"/>
    <n v="4.2000000000000003E-2"/>
    <n v="4"/>
    <n v="5572.5710399999998"/>
    <n v="1240.08"/>
    <n v="4332.4910399999999"/>
    <n v="0.77746717070115634"/>
  </r>
  <r>
    <s v="ORD-2023-536542"/>
    <d v="2023-06-10T00:00:00"/>
    <d v="2023-06-18T00:00:00"/>
    <n v="8"/>
    <x v="23"/>
    <s v="Q2-2023"/>
    <x v="0"/>
    <s v="Kenya"/>
    <s v="Nakuru"/>
    <s v="Enterprise"/>
    <x v="4"/>
    <s v="H. Kim"/>
    <s v="Phones"/>
    <s v="PHN-2337"/>
    <n v="894.23"/>
    <s v="High"/>
    <n v="1421.55"/>
    <n v="0.109"/>
    <n v="3"/>
    <n v="5667.829200000001"/>
    <n v="2682.69"/>
    <n v="2985.139200000001"/>
    <n v="0.52668122038681064"/>
  </r>
  <r>
    <s v="ORD-2025-779530"/>
    <d v="2025-05-19T00:00:00"/>
    <d v="2025-05-17T00:00:00"/>
    <n v="2"/>
    <x v="8"/>
    <s v="Q2-2025"/>
    <x v="2"/>
    <s v="Brazil"/>
    <s v="São Paulo"/>
    <s v="Small Business"/>
    <x v="3"/>
    <s v="L. Okafor"/>
    <s v="Monitors"/>
    <s v="MON-2993"/>
    <n v="383.77"/>
    <s v="High"/>
    <n v="952.56"/>
    <n v="0.34599999999999997"/>
    <n v="10"/>
    <n v="841.56720000000018"/>
    <n v="3837.7"/>
    <n v="-2996.1327999999994"/>
    <n v="-3.5601824785946965"/>
  </r>
  <r>
    <s v="ORD-2023-163610"/>
    <d v="2023-10-22T00:00:00"/>
    <d v="2023-11-16T00:00:00"/>
    <n v="25"/>
    <x v="32"/>
    <s v="Q4-2023"/>
    <x v="2"/>
    <s v="Canada"/>
    <s v="Toronto"/>
    <s v="Small Business"/>
    <x v="2"/>
    <s v="I. Johnson"/>
    <s v="Laptops"/>
    <s v="LAP-9024"/>
    <n v="1373.31"/>
    <s v="High"/>
    <n v="3154.14"/>
    <n v="0.2"/>
    <n v="11"/>
    <n v="11668.448000000002"/>
    <n v="15106.41"/>
    <n v="-3437.9619999999977"/>
    <n v="-0.29463747021026249"/>
  </r>
  <r>
    <s v="ORD-2025-653781"/>
    <d v="2025-01-11T00:00:00"/>
    <d v="2025-01-23T00:00:00"/>
    <n v="12"/>
    <x v="10"/>
    <s v="Q1-2025"/>
    <x v="2"/>
    <s v="USA"/>
    <s v="Austin"/>
    <s v="Consumer"/>
    <x v="3"/>
    <s v="H. Kim"/>
    <s v="Phones"/>
    <s v="PHN-6307"/>
    <n v="100.69"/>
    <s v="High"/>
    <n v="226.14"/>
    <n v="6.5000000000000002E-2"/>
    <n v="12"/>
    <n v="27369.282600000002"/>
    <n v="1208.28"/>
    <n v="26161.002600000003"/>
    <n v="0.95585269743241286"/>
  </r>
  <r>
    <s v="ORD-2025-737787"/>
    <d v="2025-09-14T00:00:00"/>
    <d v="2025-09-26T00:00:00"/>
    <n v="12"/>
    <x v="11"/>
    <s v="Q3-2025"/>
    <x v="3"/>
    <s v="United Kingdom"/>
    <s v="London"/>
    <s v="Small Business"/>
    <x v="4"/>
    <s v="N. Brown"/>
    <s v="Networking"/>
    <s v="NET-9003"/>
    <n v="425.15"/>
    <s v="High"/>
    <n v="885.92"/>
    <n v="0.23899999999999999"/>
    <n v="13"/>
    <n v="21779.835220000001"/>
    <n v="5526.95"/>
    <n v="16252.88522"/>
    <n v="0.74623545384196899"/>
  </r>
  <r>
    <s v="ORD-2023-944052"/>
    <d v="2023-08-30T00:00:00"/>
    <d v="2023-09-03T00:00:00"/>
    <n v="4"/>
    <x v="25"/>
    <s v="Q3-2023"/>
    <x v="1"/>
    <s v="India"/>
    <s v="Delhi"/>
    <s v="Small Business"/>
    <x v="2"/>
    <s v="L. Okafor"/>
    <s v="Accessories"/>
    <s v="ACC-3068"/>
    <n v="1082.25"/>
    <s v="High"/>
    <n v="2433.34"/>
    <n v="0.27"/>
    <n v="4"/>
    <n v="2377.9312"/>
    <n v="4329"/>
    <n v="-1951.0688"/>
    <n v="-0.82049001249489473"/>
  </r>
  <r>
    <s v="ORD-2023-181257"/>
    <d v="2023-11-15T00:00:00"/>
    <d v="2023-12-06T00:00:00"/>
    <n v="21"/>
    <x v="30"/>
    <s v="Q4-2023"/>
    <x v="3"/>
    <s v="United Kingdom"/>
    <s v="Manchester"/>
    <s v="Education"/>
    <x v="4"/>
    <s v="H. Kim"/>
    <s v="Accessories"/>
    <s v="ACC-1060"/>
    <n v="1184.99"/>
    <s v="High"/>
    <n v="1154.3399999999999"/>
    <n v="2.8000000000000001E-2"/>
    <n v="5"/>
    <n v="6720.9426000000003"/>
    <n v="5924.95"/>
    <n v="795.99260000000049"/>
    <n v="0.11843466718492737"/>
  </r>
  <r>
    <s v="ORD-2025-323492"/>
    <d v="2025-04-27T00:00:00"/>
    <d v="2025-05-27T00:00:00"/>
    <n v="0"/>
    <x v="19"/>
    <s v="Q2-2025"/>
    <x v="1"/>
    <s v="India"/>
    <s v="Not Provided"/>
    <s v="Enterprise"/>
    <x v="2"/>
    <s v="H. Kim"/>
    <s v="Phones"/>
    <s v="PHN-3854"/>
    <n v="481.32"/>
    <s v="High"/>
    <n v="1135.99"/>
    <n v="0.14499999999999999"/>
    <n v="5"/>
    <n v="7038.4882499999994"/>
    <n v="2406.6"/>
    <n v="4631.88825"/>
    <n v="0.65807998613906904"/>
  </r>
  <r>
    <s v="ORD-2024-332076"/>
    <d v="2024-04-09T00:00:00"/>
    <d v="2024-04-18T00:00:00"/>
    <n v="9"/>
    <x v="20"/>
    <s v="Q2-2024"/>
    <x v="3"/>
    <s v="France"/>
    <s v="Lyon"/>
    <s v="Consumer"/>
    <x v="1"/>
    <s v="E. Garcia"/>
    <s v="Printers"/>
    <s v="PRN-1086"/>
    <n v="1288.8499999999999"/>
    <s v="High"/>
    <n v="2751.84"/>
    <n v="0.158"/>
    <n v="7"/>
    <n v="2362.5509599999996"/>
    <n v="9021.9499999999989"/>
    <n v="-6659.3990399999993"/>
    <n v="-2.8187324433416667"/>
  </r>
  <r>
    <s v="ORD-2024-571797"/>
    <d v="2024-07-11T00:00:00"/>
    <d v="2024-07-31T00:00:00"/>
    <n v="20"/>
    <x v="14"/>
    <s v="Q3-2024"/>
    <x v="1"/>
    <s v="China"/>
    <s v="Shenzhen"/>
    <s v="Consumer"/>
    <x v="1"/>
    <s v="G. Dubois"/>
    <s v="Phones"/>
    <s v="PHN-7815"/>
    <n v="647.26"/>
    <s v="High"/>
    <n v="1374.72"/>
    <n v="6.6000000000000003E-2"/>
    <n v="22"/>
    <n v="36586.946879999996"/>
    <n v="14239.72"/>
    <n v="22347.226879999995"/>
    <n v="0.6107978059305067"/>
  </r>
  <r>
    <s v="ORD-2024-129345"/>
    <d v="2024-02-18T00:00:00"/>
    <d v="2024-03-03T00:00:00"/>
    <n v="14"/>
    <x v="31"/>
    <s v="Q1-2024"/>
    <x v="2"/>
    <s v="Brazil"/>
    <s v="Not Provided"/>
    <s v="Enterprise"/>
    <x v="3"/>
    <s v="A. Patel"/>
    <s v="Printers"/>
    <s v="PRN-5384"/>
    <n v="624.23"/>
    <s v="High"/>
    <n v="1318.37"/>
    <n v="0.21"/>
    <n v="37"/>
    <n v="32691.708900000005"/>
    <n v="23096.510000000002"/>
    <n v="9595.1989000000031"/>
    <n v="0.29350557749521627"/>
  </r>
  <r>
    <s v="ORD-2023-660608"/>
    <d v="2023-07-25T00:00:00"/>
    <d v="2023-08-10T00:00:00"/>
    <n v="16"/>
    <x v="24"/>
    <s v="Q3-2023"/>
    <x v="0"/>
    <s v="Nigeria"/>
    <s v="Port Harcourt"/>
    <s v="Corporate"/>
    <x v="3"/>
    <s v="I. Johnson"/>
    <s v="Accessories"/>
    <s v="ACC-8178"/>
    <n v="506.83"/>
    <s v="High"/>
    <n v="441.74"/>
    <n v="0.24"/>
    <n v="9"/>
    <n v="5274.4607999999998"/>
    <n v="4561.47"/>
    <n v="712.99079999999958"/>
    <n v="0.1351779503224291"/>
  </r>
  <r>
    <s v="ORD-2023-825084"/>
    <d v="2023-07-14T00:00:00"/>
    <d v="2023-07-21T00:00:00"/>
    <n v="7"/>
    <x v="24"/>
    <s v="Q3-2023"/>
    <x v="0"/>
    <s v="South Africa"/>
    <s v="Durban"/>
    <s v="Enterprise"/>
    <x v="2"/>
    <s v="Not Provided"/>
    <s v="Monitors"/>
    <s v="MON-1018"/>
    <n v="620.74"/>
    <s v="High"/>
    <n v="1330.07"/>
    <n v="0.29899999999999999"/>
    <n v="28"/>
    <n v="23750.665119999998"/>
    <n v="17380.72"/>
    <n v="6369.9451199999967"/>
    <n v="0.26820070460409901"/>
  </r>
  <r>
    <s v="ORD-2023-261081"/>
    <d v="2023-07-24T00:00:00"/>
    <d v="2023-08-19T00:00:00"/>
    <n v="26"/>
    <x v="24"/>
    <s v="Q3-2023"/>
    <x v="0"/>
    <s v="Kenya"/>
    <s v="Nairobi"/>
    <s v="Enterprise"/>
    <x v="3"/>
    <s v="M. Rossi"/>
    <s v="Accessories"/>
    <s v="ACC-1238"/>
    <n v="661.45"/>
    <s v="High"/>
    <n v="1634.86"/>
    <n v="0.56499999999999995"/>
    <n v="24"/>
    <n v="31570.873200000005"/>
    <n v="15874.800000000001"/>
    <n v="15696.073200000004"/>
    <n v="0.49716943527555019"/>
  </r>
  <r>
    <s v="ORD-2023-766015"/>
    <d v="2023-04-13T00:00:00"/>
    <d v="2023-04-11T00:00:00"/>
    <n v="2"/>
    <x v="12"/>
    <s v="Q2-2023"/>
    <x v="2"/>
    <s v="USA"/>
    <s v="San Francisco"/>
    <s v="Education"/>
    <x v="2"/>
    <s v="G. Dubois"/>
    <s v="Networking"/>
    <s v="NET-1816"/>
    <n v="32.1"/>
    <s v="Medium"/>
    <n v="70.599999999999994"/>
    <n v="0.28199999999999997"/>
    <n v="22"/>
    <n v="36385.454160000001"/>
    <n v="706.2"/>
    <n v="35679.254160000004"/>
    <n v="0.98059114510720191"/>
  </r>
  <r>
    <s v="ORD-2024-333192"/>
    <d v="2024-10-29T00:00:00"/>
    <d v="2024-11-04T00:00:00"/>
    <n v="6"/>
    <x v="1"/>
    <s v="Q4-2024"/>
    <x v="0"/>
    <s v="Kenya"/>
    <s v="Nairobi"/>
    <s v="Corporate"/>
    <x v="3"/>
    <s v="M. Rossi"/>
    <s v="Printers"/>
    <s v="PRN-4893"/>
    <n v="805.81"/>
    <s v="High"/>
    <n v="1823.04"/>
    <n v="0"/>
    <n v="11"/>
    <n v="33921.800000000003"/>
    <n v="8863.91"/>
    <n v="25057.890000000003"/>
    <n v="0.73869576496530254"/>
  </r>
  <r>
    <s v="ORD-2024-647473"/>
    <d v="2024-02-17T00:00:00"/>
    <d v="2024-03-04T00:00:00"/>
    <n v="16"/>
    <x v="31"/>
    <s v="Q1-2024"/>
    <x v="1"/>
    <s v="India"/>
    <s v="Delhi"/>
    <s v="Small Business"/>
    <x v="2"/>
    <s v="F. Müller"/>
    <s v="Phones"/>
    <s v="PHN-1717"/>
    <n v="1231.8"/>
    <s v="High"/>
    <n v="2015.99"/>
    <n v="0.26100000000000001"/>
    <n v="6"/>
    <n v="1430.8961399999998"/>
    <n v="7390.7999999999993"/>
    <n v="-5959.9038599999994"/>
    <n v="-4.1651547539991265"/>
  </r>
  <r>
    <s v="ORD-2024-892908"/>
    <d v="2024-07-13T00:00:00"/>
    <d v="2024-07-12T00:00:00"/>
    <n v="1"/>
    <x v="14"/>
    <s v="Q3-2024"/>
    <x v="1"/>
    <s v="Japan"/>
    <s v="Nagoya"/>
    <s v="Small Business"/>
    <x v="2"/>
    <s v="F. Müller"/>
    <s v="Networking"/>
    <s v="NET-9575"/>
    <n v="105.13"/>
    <s v="High"/>
    <n v="244.13"/>
    <n v="7.0999999999999994E-2"/>
    <n v="14"/>
    <n v="9511.1577400000006"/>
    <n v="1471.82"/>
    <n v="8039.3377400000008"/>
    <n v="0.84525332874986048"/>
  </r>
  <r>
    <s v="ORD-2023-573146"/>
    <d v="2023-12-01T00:00:00"/>
    <d v="2023-12-18T00:00:00"/>
    <n v="17"/>
    <x v="4"/>
    <s v="Q4-2023"/>
    <x v="1"/>
    <s v="Japan"/>
    <s v="Nagoya"/>
    <s v="Small Business"/>
    <x v="4"/>
    <s v="N. Brown"/>
    <s v="Laptops"/>
    <s v="LAP-3604"/>
    <n v="1495.79"/>
    <s v="High"/>
    <n v="2783.12"/>
    <n v="0.02"/>
    <n v="5"/>
    <n v="7516.3549999999996"/>
    <n v="7478.95"/>
    <n v="37.404999999999745"/>
    <n v="4.9764812864745937E-3"/>
  </r>
  <r>
    <s v="ORD-2024-901115"/>
    <d v="2024-07-25T00:00:00"/>
    <d v="2024-08-02T00:00:00"/>
    <n v="8"/>
    <x v="14"/>
    <s v="Q3-2024"/>
    <x v="2"/>
    <s v="Canada"/>
    <s v="Montreal"/>
    <s v="Consumer"/>
    <x v="4"/>
    <s v="J. Njeri"/>
    <s v="Accessories"/>
    <s v="ACC-6626"/>
    <n v="986.81"/>
    <s v="High"/>
    <n v="2050.31"/>
    <n v="0.10299999999999999"/>
    <n v="43"/>
    <n v="60620.497860000003"/>
    <n v="42432.829999999994"/>
    <n v="18187.667860000009"/>
    <n v="0.30002504931588508"/>
  </r>
  <r>
    <s v="ORD-2023-898009"/>
    <d v="2023-05-04T00:00:00"/>
    <d v="2023-05-16T00:00:00"/>
    <n v="12"/>
    <x v="15"/>
    <s v="Q2-2023"/>
    <x v="0"/>
    <s v="Nigeria"/>
    <s v="Abuja"/>
    <s v="Small Business"/>
    <x v="2"/>
    <s v="J. Njeri"/>
    <s v="Phones"/>
    <s v="PHN-1670"/>
    <n v="77.739999999999995"/>
    <s v="Medium"/>
    <n v="147.12"/>
    <n v="0"/>
    <n v="15"/>
    <n v="3760.95"/>
    <n v="1166.0999999999999"/>
    <n v="2594.85"/>
    <n v="0.68994535955011371"/>
  </r>
  <r>
    <s v="ORD-2023-208944"/>
    <d v="2023-12-21T00:00:00"/>
    <d v="2024-01-06T00:00:00"/>
    <n v="16"/>
    <x v="4"/>
    <s v="Q4-2023"/>
    <x v="0"/>
    <s v="Nigeria"/>
    <s v="Not Provided"/>
    <s v="Corporate"/>
    <x v="2"/>
    <s v="K. Singh"/>
    <s v="Components"/>
    <s v="CMP-4792"/>
    <n v="932.61"/>
    <s v="High"/>
    <n v="1982.98"/>
    <n v="0.14399999999999999"/>
    <n v="16"/>
    <n v="47563.605759999999"/>
    <n v="14921.76"/>
    <n v="32641.845759999997"/>
    <n v="0.68627777979463256"/>
  </r>
  <r>
    <s v="ORD-2025-480172"/>
    <d v="2025-06-17T00:00:00"/>
    <d v="2025-07-05T00:00:00"/>
    <n v="18"/>
    <x v="16"/>
    <s v="Q2-2025"/>
    <x v="1"/>
    <s v="India"/>
    <s v="Delhi"/>
    <s v="Consumer"/>
    <x v="2"/>
    <s v="L. Okafor"/>
    <s v="Laptops"/>
    <s v="LAP-1990"/>
    <n v="982.93"/>
    <s v="High"/>
    <n v="2299.3000000000002"/>
    <n v="0.113"/>
    <n v="6"/>
    <n v="6418.5448799999995"/>
    <n v="5897.58"/>
    <n v="520.96487999999954"/>
    <n v="8.1165574088811171E-2"/>
  </r>
  <r>
    <s v="ORD-2023-735274"/>
    <d v="2023-02-23T00:00:00"/>
    <d v="2023-03-08T00:00:00"/>
    <n v="13"/>
    <x v="2"/>
    <s v="Q1-2023"/>
    <x v="3"/>
    <s v="United Kingdom"/>
    <s v="Manchester"/>
    <s v="Small Business"/>
    <x v="4"/>
    <s v="C. Otieno"/>
    <s v="Printers"/>
    <s v="PRN-7410"/>
    <n v="307.37"/>
    <s v="High"/>
    <n v="462.61"/>
    <n v="0.188"/>
    <n v="11"/>
    <n v="19625.658360000001"/>
    <n v="3381.07"/>
    <n v="16244.588360000002"/>
    <n v="0.82772195775652957"/>
  </r>
  <r>
    <s v="ORD-2023-212701"/>
    <d v="2023-12-02T00:00:00"/>
    <d v="2023-12-16T00:00:00"/>
    <n v="14"/>
    <x v="4"/>
    <s v="Q4-2023"/>
    <x v="3"/>
    <s v="Germany"/>
    <s v="Frankfurt"/>
    <s v="Education"/>
    <x v="4"/>
    <s v="N. Brown"/>
    <s v="Monitors"/>
    <s v="MON-4278"/>
    <n v="879.08"/>
    <s v="High"/>
    <n v="1093.3900000000001"/>
    <n v="0.113"/>
    <n v="17"/>
    <n v="24437.027399999999"/>
    <n v="14944.36"/>
    <n v="9492.6673999999985"/>
    <n v="0.38845426019369272"/>
  </r>
  <r>
    <s v="ORD-2023-479747"/>
    <d v="2023-07-14T00:00:00"/>
    <d v="2023-07-14T00:00:00"/>
    <n v="0"/>
    <x v="24"/>
    <s v="Q3-2023"/>
    <x v="0"/>
    <s v="Nigeria"/>
    <s v="Lagos"/>
    <s v="Education"/>
    <x v="0"/>
    <s v="I. Johnson"/>
    <s v="Accessories"/>
    <s v="ACC-5334"/>
    <n v="956.38"/>
    <s v="High"/>
    <n v="1454.22"/>
    <n v="3.9E-2"/>
    <n v="19"/>
    <n v="18891.856940000001"/>
    <n v="18171.22"/>
    <n v="720.63694000000032"/>
    <n v="3.8145373548440616E-2"/>
  </r>
  <r>
    <s v="ORD-2024-915495"/>
    <d v="2024-08-08T00:00:00"/>
    <d v="2024-08-20T00:00:00"/>
    <n v="12"/>
    <x v="21"/>
    <s v="Q3-2024"/>
    <x v="1"/>
    <s v="Japan"/>
    <s v="Osaka"/>
    <s v="Small Business"/>
    <x v="0"/>
    <s v="H. Kim"/>
    <s v="Networking"/>
    <s v="NET-8957"/>
    <n v="1233.3599999999999"/>
    <s v="High"/>
    <n v="2120.4"/>
    <n v="0.17899999999999999"/>
    <n v="20"/>
    <n v="31286.9964"/>
    <n v="24667.199999999997"/>
    <n v="6619.7964000000029"/>
    <n v="0.21158299490838958"/>
  </r>
  <r>
    <s v="ORD-2024-225829"/>
    <d v="2024-11-07T00:00:00"/>
    <d v="2024-11-26T00:00:00"/>
    <n v="19"/>
    <x v="18"/>
    <s v="Q4-2024"/>
    <x v="2"/>
    <s v="Brazil"/>
    <s v="Rio de Janeiro"/>
    <s v="Non-Profit"/>
    <x v="3"/>
    <s v="J. Njeri"/>
    <s v="Printers"/>
    <s v="PRN-9960"/>
    <n v="55.35"/>
    <s v="Medium"/>
    <n v="128.68"/>
    <n v="0.128"/>
    <n v="10"/>
    <n v="4722.4031999999997"/>
    <n v="553.5"/>
    <n v="4168.9031999999997"/>
    <n v="0.88279272722837387"/>
  </r>
  <r>
    <s v="ORD-2024-921935"/>
    <d v="2024-01-01T00:00:00"/>
    <d v="2024-01-27T00:00:00"/>
    <n v="26"/>
    <x v="9"/>
    <s v="Q1-2024"/>
    <x v="3"/>
    <s v="United Kingdom"/>
    <s v="Manchester"/>
    <s v="Education"/>
    <x v="3"/>
    <s v="D. Smith"/>
    <s v="Accessories"/>
    <s v="ACC-3103"/>
    <n v="657.45"/>
    <s v="High"/>
    <n v="1325.96"/>
    <n v="0.16700000000000001"/>
    <n v="21"/>
    <n v="19532.683799999999"/>
    <n v="13806.45"/>
    <n v="5726.2337999999982"/>
    <n v="0.29316164939914702"/>
  </r>
  <r>
    <s v="ORD-2025-949776"/>
    <d v="2025-08-14T00:00:00"/>
    <d v="2025-09-11T00:00:00"/>
    <n v="28"/>
    <x v="28"/>
    <s v="Q3-2025"/>
    <x v="2"/>
    <s v="Brazil"/>
    <s v="São Paulo"/>
    <s v="Non-Profit"/>
    <x v="4"/>
    <s v="F. Müller"/>
    <s v="Printers"/>
    <s v="PRN-9490"/>
    <n v="1203.02"/>
    <s v="High"/>
    <n v="2439.33"/>
    <n v="0"/>
    <n v="18"/>
    <n v="26190"/>
    <n v="21654.36"/>
    <n v="4535.6399999999994"/>
    <n v="0.17318213058419241"/>
  </r>
  <r>
    <s v="ORD-2024-510591"/>
    <d v="2024-04-03T00:00:00"/>
    <d v="2024-04-21T00:00:00"/>
    <n v="18"/>
    <x v="20"/>
    <s v="Q2-2024"/>
    <x v="2"/>
    <s v="Brazil"/>
    <s v="Brasília"/>
    <s v="Small Business"/>
    <x v="3"/>
    <s v="B. Chen"/>
    <s v="Networking"/>
    <s v="NET-3850"/>
    <n v="1176.69"/>
    <s v="High"/>
    <n v="2201.54"/>
    <n v="0.17"/>
    <n v="27"/>
    <n v="28646.702999999998"/>
    <n v="31770.63"/>
    <n v="-3123.9270000000033"/>
    <n v="-0.1090501409533936"/>
  </r>
  <r>
    <s v="ORD-2024-961756"/>
    <d v="2024-11-25T00:00:00"/>
    <d v="2024-12-07T00:00:00"/>
    <n v="12"/>
    <x v="18"/>
    <s v="Q4-2024"/>
    <x v="1"/>
    <s v="China"/>
    <s v="Shanghai"/>
    <s v="Corporate"/>
    <x v="3"/>
    <s v="A. Patel"/>
    <s v="Accessories"/>
    <s v="ACC-7047"/>
    <n v="769.9"/>
    <s v="High"/>
    <n v="814.36"/>
    <n v="0"/>
    <n v="5"/>
    <n v="4499.1500000000005"/>
    <n v="3849.5"/>
    <n v="649.65000000000055"/>
    <n v="0.14439394107775924"/>
  </r>
  <r>
    <s v="ORD-2024-892173"/>
    <d v="2024-01-18T00:00:00"/>
    <d v="2024-02-03T00:00:00"/>
    <n v="16"/>
    <x v="9"/>
    <s v="Q1-2024"/>
    <x v="0"/>
    <s v="South Africa"/>
    <s v="Cape Town"/>
    <s v="Non-Profit"/>
    <x v="3"/>
    <s v="L. Okafor"/>
    <s v="Printers"/>
    <s v="PRN-6660"/>
    <n v="666.23"/>
    <s v="High"/>
    <n v="1382.91"/>
    <n v="0.17599999999999999"/>
    <n v="13"/>
    <n v="9412.9557600000007"/>
    <n v="8660.99"/>
    <n v="751.96576000000096"/>
    <n v="7.9886252434697616E-2"/>
  </r>
  <r>
    <s v="ORD-2024-704056"/>
    <d v="2024-06-23T00:00:00"/>
    <d v="2024-06-25T00:00:00"/>
    <n v="2"/>
    <x v="17"/>
    <s v="Q2-2024"/>
    <x v="3"/>
    <s v="United Kingdom"/>
    <s v="Birmingham"/>
    <s v="Small Business"/>
    <x v="2"/>
    <s v="L. Okafor"/>
    <s v="Accessories"/>
    <s v="ACC-7838"/>
    <n v="951.44"/>
    <s v="High"/>
    <n v="1646.43"/>
    <n v="0.11"/>
    <n v="24"/>
    <n v="12696.811199999998"/>
    <n v="22834.560000000001"/>
    <n v="-10137.748800000003"/>
    <n v="-0.79844841671741995"/>
  </r>
  <r>
    <s v="ORD-2025-591006"/>
    <d v="2025-06-25T00:00:00"/>
    <d v="2025-07-10T00:00:00"/>
    <n v="15"/>
    <x v="16"/>
    <s v="Q2-2025"/>
    <x v="3"/>
    <s v="United Kingdom"/>
    <s v="Birmingham"/>
    <s v="Non-Profit"/>
    <x v="2"/>
    <s v="D. Smith"/>
    <s v="Phones"/>
    <s v="PHN-5383"/>
    <n v="546.83000000000004"/>
    <s v="High"/>
    <n v="400.84"/>
    <n v="7.8E-2"/>
    <n v="13"/>
    <n v="19391.5501"/>
    <n v="7108.7900000000009"/>
    <n v="12282.7601"/>
    <n v="0.63340785221703344"/>
  </r>
  <r>
    <s v="ORD-2023-159821"/>
    <d v="2023-07-01T00:00:00"/>
    <d v="2023-07-08T00:00:00"/>
    <n v="7"/>
    <x v="24"/>
    <s v="Q3-2023"/>
    <x v="0"/>
    <s v="Nigeria"/>
    <s v="Port Harcourt"/>
    <s v="Corporate"/>
    <x v="0"/>
    <s v="A. Patel"/>
    <s v="Laptops"/>
    <s v="LAP-3904"/>
    <n v="834.26"/>
    <s v="High"/>
    <n v="1780.56"/>
    <n v="1.4E-2"/>
    <n v="47"/>
    <n v="45086.595219999996"/>
    <n v="39210.22"/>
    <n v="5876.3752199999944"/>
    <n v="0.13033530678744376"/>
  </r>
  <r>
    <s v="ORD-2024-343877"/>
    <d v="2024-03-09T00:00:00"/>
    <d v="2024-03-26T00:00:00"/>
    <n v="17"/>
    <x v="0"/>
    <s v="Q1-2024"/>
    <x v="1"/>
    <s v="China"/>
    <s v="Shenzhen"/>
    <s v="Enterprise"/>
    <x v="1"/>
    <s v="K. Singh"/>
    <s v="Monitors"/>
    <s v="MON-5749"/>
    <n v="1029.67"/>
    <s v="High"/>
    <n v="1118.43"/>
    <n v="0.27200000000000002"/>
    <n v="9"/>
    <n v="278.85311999999999"/>
    <n v="9267.0300000000007"/>
    <n v="-8988.1768800000009"/>
    <n v="-32.232656676030743"/>
  </r>
  <r>
    <s v="ORD-2023-386663"/>
    <d v="2023-06-05T00:00:00"/>
    <d v="2023-06-28T00:00:00"/>
    <n v="23"/>
    <x v="23"/>
    <s v="Q2-2023"/>
    <x v="3"/>
    <s v="United Kingdom"/>
    <s v="Birmingham"/>
    <s v="Corporate"/>
    <x v="4"/>
    <s v="K. Singh"/>
    <s v="Printers"/>
    <s v="PRN-3690"/>
    <n v="605.82000000000005"/>
    <s v="High"/>
    <n v="771.12"/>
    <n v="0.13200000000000001"/>
    <n v="19"/>
    <n v="24421.848359999996"/>
    <n v="11510.580000000002"/>
    <n v="12911.268359999995"/>
    <n v="0.52867695227962652"/>
  </r>
  <r>
    <s v="ORD-2025-125517"/>
    <d v="2025-03-21T00:00:00"/>
    <d v="2025-04-09T00:00:00"/>
    <n v="19"/>
    <x v="3"/>
    <s v="Q1-2025"/>
    <x v="1"/>
    <s v="Japan"/>
    <s v="Tokyo"/>
    <s v="Small Business"/>
    <x v="3"/>
    <s v="E. Garcia"/>
    <s v="Components"/>
    <s v="CMP-7055"/>
    <n v="1055.45"/>
    <s v="High"/>
    <n v="1210.04"/>
    <n v="8.9999999999999993E-3"/>
    <n v="18"/>
    <n v="10065.26988"/>
    <n v="18998.100000000002"/>
    <n v="-8932.8301200000024"/>
    <n v="-0.887490372985409"/>
  </r>
  <r>
    <s v="ORD-2024-819778"/>
    <d v="2024-06-02T00:00:00"/>
    <d v="2024-06-15T00:00:00"/>
    <n v="13"/>
    <x v="17"/>
    <s v="Q2-2024"/>
    <x v="0"/>
    <s v="Kenya"/>
    <s v="Mombasa"/>
    <s v="Education"/>
    <x v="1"/>
    <s v="O. Wang"/>
    <s v="Phones"/>
    <s v="PHN-6866"/>
    <n v="1295.18"/>
    <s v="High"/>
    <n v="3024.03"/>
    <n v="0.192"/>
    <n v="8"/>
    <n v="13814.925440000001"/>
    <n v="10361.44"/>
    <n v="3453.4854400000004"/>
    <n v="0.24998219896292109"/>
  </r>
  <r>
    <s v="ORD-2025-624006"/>
    <d v="2025-03-15T00:00:00"/>
    <d v="2025-03-29T00:00:00"/>
    <n v="14"/>
    <x v="3"/>
    <s v="Q1-2025"/>
    <x v="1"/>
    <s v="India"/>
    <s v="Mumbai"/>
    <s v="Enterprise"/>
    <x v="4"/>
    <s v="C. Otieno"/>
    <s v="Components"/>
    <s v="CMP-3259"/>
    <n v="935.83"/>
    <s v="High"/>
    <n v="2303.46"/>
    <n v="0.105"/>
    <n v="9"/>
    <n v="13539.891150000001"/>
    <n v="8422.4700000000012"/>
    <n v="5117.4211500000001"/>
    <n v="0.37795142466858012"/>
  </r>
  <r>
    <s v="ORD-2023-132101"/>
    <d v="2023-09-25T00:00:00"/>
    <d v="2023-10-09T00:00:00"/>
    <n v="14"/>
    <x v="27"/>
    <s v="Q3-2023"/>
    <x v="2"/>
    <s v="USA"/>
    <s v="New York"/>
    <s v="Small Business"/>
    <x v="2"/>
    <s v="J. Njeri"/>
    <s v="Laptops"/>
    <s v="LAP-6750"/>
    <n v="1279.56"/>
    <s v="High"/>
    <n v="3083.8"/>
    <n v="0.106"/>
    <n v="5"/>
    <n v="12985.618199999999"/>
    <n v="6397.7999999999993"/>
    <n v="6587.8181999999997"/>
    <n v="0.50731648648040495"/>
  </r>
  <r>
    <s v="ORD-2025-306903"/>
    <d v="2025-06-24T00:00:00"/>
    <d v="2025-07-23T00:00:00"/>
    <n v="29"/>
    <x v="16"/>
    <s v="Q2-2025"/>
    <x v="2"/>
    <s v="Canada"/>
    <s v="Vancouver"/>
    <s v="Non-Profit"/>
    <x v="2"/>
    <s v="I. Johnson"/>
    <s v="Printers"/>
    <s v="PRN-3775"/>
    <n v="255.4"/>
    <s v="High"/>
    <n v="322.70999999999998"/>
    <n v="0.115"/>
    <n v="16"/>
    <n v="11923.994400000001"/>
    <n v="4086.4"/>
    <n v="7837.5944000000018"/>
    <n v="0.65729604837788258"/>
  </r>
  <r>
    <s v="ORD-2023-813340"/>
    <d v="2023-12-26T00:00:00"/>
    <d v="2024-01-03T00:00:00"/>
    <n v="8"/>
    <x v="4"/>
    <s v="Q4-2023"/>
    <x v="3"/>
    <s v="France"/>
    <s v="Lyon"/>
    <s v="Small Business"/>
    <x v="0"/>
    <s v="M. Rossi"/>
    <s v="Laptops"/>
    <s v="LAP-2942"/>
    <n v="492.75"/>
    <s v="High"/>
    <n v="731.29"/>
    <n v="5.8000000000000003E-2"/>
    <n v="6"/>
    <n v="17698.503240000002"/>
    <n v="2956.5"/>
    <n v="14742.003240000002"/>
    <n v="0.83295197566096557"/>
  </r>
  <r>
    <s v="ORD-2023-855675"/>
    <d v="2023-02-05T00:00:00"/>
    <d v="2023-02-28T00:00:00"/>
    <n v="23"/>
    <x v="2"/>
    <s v="Q1-2023"/>
    <x v="2"/>
    <s v="USA"/>
    <s v="Austin"/>
    <s v="Non-Profit"/>
    <x v="3"/>
    <s v="L. Okafor"/>
    <s v="Phones"/>
    <s v="PHN-2036"/>
    <n v="1214.49"/>
    <s v="High"/>
    <n v="1533.95"/>
    <n v="0"/>
    <n v="11"/>
    <n v="15891.92"/>
    <n v="13359.39"/>
    <n v="2532.5300000000007"/>
    <n v="0.15935959909186559"/>
  </r>
  <r>
    <s v="ORD-2023-545150"/>
    <d v="2023-04-06T00:00:00"/>
    <d v="2023-04-08T00:00:00"/>
    <n v="2"/>
    <x v="12"/>
    <s v="Q2-2023"/>
    <x v="0"/>
    <s v="Nigeria"/>
    <s v="Abuja"/>
    <s v="Small Business"/>
    <x v="2"/>
    <s v="K. Singh"/>
    <s v="Monitors"/>
    <s v="MON-4373"/>
    <n v="720.35"/>
    <s v="High"/>
    <n v="1571.66"/>
    <n v="0.107"/>
    <n v="23"/>
    <n v="59066.056200000006"/>
    <n v="16568.05"/>
    <n v="42498.006200000003"/>
    <n v="0.71949964047201787"/>
  </r>
  <r>
    <s v="ORD-2025-269934"/>
    <d v="2025-04-04T00:00:00"/>
    <d v="2025-04-10T00:00:00"/>
    <n v="6"/>
    <x v="19"/>
    <s v="Q2-2025"/>
    <x v="3"/>
    <s v="United Kingdom"/>
    <s v="Birmingham"/>
    <s v="Non-Profit"/>
    <x v="4"/>
    <s v="N. Brown"/>
    <s v="Printers"/>
    <s v="PRN-8657"/>
    <n v="290.14"/>
    <s v="High"/>
    <n v="250.73"/>
    <n v="3.4000000000000002E-2"/>
    <n v="17"/>
    <n v="26958.519419999997"/>
    <n v="4932.38"/>
    <n v="22026.139419999996"/>
    <n v="0.81703817174986382"/>
  </r>
  <r>
    <s v="ORD-2024-690270"/>
    <d v="2024-05-17T00:00:00"/>
    <d v="2024-05-27T00:00:00"/>
    <n v="10"/>
    <x v="7"/>
    <s v="Q2-2024"/>
    <x v="2"/>
    <s v="USA"/>
    <s v="Austin"/>
    <s v="Non-Profit"/>
    <x v="1"/>
    <s v="C. Otieno"/>
    <s v="Phones"/>
    <s v="PHN-7974"/>
    <n v="1484.23"/>
    <s v="High"/>
    <n v="3472.81"/>
    <n v="0.25600000000000001"/>
    <n v="12"/>
    <n v="11597.65056"/>
    <n v="17810.760000000002"/>
    <n v="-6213.109440000002"/>
    <n v="-0.53572138665988589"/>
  </r>
  <r>
    <s v="ORD-2024-868223"/>
    <d v="2024-03-03T00:00:00"/>
    <d v="2024-03-19T00:00:00"/>
    <n v="16"/>
    <x v="0"/>
    <s v="Q1-2024"/>
    <x v="1"/>
    <s v="China"/>
    <s v="Beijing"/>
    <s v="Consumer"/>
    <x v="3"/>
    <s v="G. Dubois"/>
    <s v="Phones"/>
    <s v="PHN-4915"/>
    <n v="988.83"/>
    <s v="High"/>
    <n v="1206.04"/>
    <n v="6.3E-2"/>
    <n v="34"/>
    <n v="35635.084480000005"/>
    <n v="33620.22"/>
    <n v="2014.8644800000038"/>
    <n v="5.6541594033005182E-2"/>
  </r>
  <r>
    <s v="ORD-2025-188059"/>
    <d v="2025-06-27T00:00:00"/>
    <d v="2025-07-11T00:00:00"/>
    <n v="14"/>
    <x v="16"/>
    <s v="Q2-2025"/>
    <x v="1"/>
    <s v="China"/>
    <s v="Shanghai"/>
    <s v="Small Business"/>
    <x v="2"/>
    <s v="L. Okafor"/>
    <s v="Networking"/>
    <s v="NET-3535"/>
    <n v="1227.7"/>
    <s v="High"/>
    <n v="2197.23"/>
    <n v="9.9000000000000005E-2"/>
    <n v="22"/>
    <n v="23483.321620000002"/>
    <n v="27009.4"/>
    <n v="-3526.078379999999"/>
    <n v="-0.15015245445503542"/>
  </r>
  <r>
    <s v="ORD-2023-281890"/>
    <d v="2023-03-13T00:00:00"/>
    <d v="2023-04-04T00:00:00"/>
    <n v="22"/>
    <x v="22"/>
    <s v="Q1-2023"/>
    <x v="0"/>
    <s v="South Africa"/>
    <s v="Durban"/>
    <s v="Small Business"/>
    <x v="0"/>
    <s v="A. Patel"/>
    <s v="Components"/>
    <s v="CMP-2574"/>
    <n v="1113.7"/>
    <s v="High"/>
    <n v="1620.6"/>
    <n v="0.13900000000000001"/>
    <n v="11"/>
    <n v="11379.122369999999"/>
    <n v="12250.7"/>
    <n v="-871.57763000000159"/>
    <n v="-7.6594450930401736E-2"/>
  </r>
  <r>
    <s v="ORD-2025-636162"/>
    <d v="2025-01-07T00:00:00"/>
    <d v="2025-01-20T00:00:00"/>
    <n v="13"/>
    <x v="10"/>
    <s v="Q1-2025"/>
    <x v="0"/>
    <s v="South Africa"/>
    <s v="Cape Town"/>
    <s v="Corporate"/>
    <x v="4"/>
    <s v="K. Singh"/>
    <s v="Networking"/>
    <s v="NET-7901"/>
    <n v="432.13"/>
    <s v="High"/>
    <n v="1034.6600000000001"/>
    <n v="9.1999999999999998E-2"/>
    <n v="7"/>
    <n v="5599.5724400000008"/>
    <n v="3024.91"/>
    <n v="2574.662440000001"/>
    <n v="0.45979625544410324"/>
  </r>
  <r>
    <s v="ORD-2025-915869"/>
    <d v="2025-02-06T00:00:00"/>
    <d v="2025-02-15T00:00:00"/>
    <n v="9"/>
    <x v="26"/>
    <s v="Q1-2025"/>
    <x v="2"/>
    <s v="Brazil"/>
    <s v="São Paulo"/>
    <s v="Non-Profit"/>
    <x v="3"/>
    <s v="F. Müller"/>
    <s v="Networking"/>
    <s v="NET-5482"/>
    <n v="837.39"/>
    <s v="High"/>
    <n v="1905.42"/>
    <n v="3.2000000000000001E-2"/>
    <n v="18"/>
    <n v="35734.358879999992"/>
    <n v="15073.02"/>
    <n v="20661.338879999992"/>
    <n v="0.57819251632254265"/>
  </r>
  <r>
    <s v="ORD-2025-192876"/>
    <d v="2025-01-31T00:00:00"/>
    <d v="2025-02-17T00:00:00"/>
    <n v="17"/>
    <x v="10"/>
    <s v="Q1-2025"/>
    <x v="3"/>
    <s v="United Kingdom"/>
    <s v="London"/>
    <s v="Enterprise"/>
    <x v="0"/>
    <s v="H. Kim"/>
    <s v="Components"/>
    <s v="CMP-5820"/>
    <n v="378.26"/>
    <s v="High"/>
    <n v="541.55999999999995"/>
    <n v="0.16300000000000001"/>
    <n v="25"/>
    <n v="36365.557499999995"/>
    <n v="9456.5"/>
    <n v="26909.057499999995"/>
    <n v="0.73995998823887132"/>
  </r>
  <r>
    <s v="ORD-2025-822030"/>
    <d v="2025-08-07T00:00:00"/>
    <d v="2025-09-06T00:00:00"/>
    <n v="30"/>
    <x v="28"/>
    <s v="Q3-2025"/>
    <x v="2"/>
    <s v="Canada"/>
    <s v="Montreal"/>
    <s v="Education"/>
    <x v="4"/>
    <s v="M. Rossi"/>
    <s v="Networking"/>
    <s v="NET-1336"/>
    <n v="833.73"/>
    <s v="High"/>
    <n v="1116.5999999999999"/>
    <n v="0.17599999999999999"/>
    <n v="14"/>
    <n v="16015.544160000001"/>
    <n v="11672.220000000001"/>
    <n v="4343.3241600000001"/>
    <n v="0.27119429203334666"/>
  </r>
  <r>
    <s v="ORD-2025-789245"/>
    <d v="2025-07-23T00:00:00"/>
    <d v="2025-08-17T00:00:00"/>
    <n v="25"/>
    <x v="13"/>
    <s v="Q3-2025"/>
    <x v="3"/>
    <s v="United Kingdom"/>
    <s v="Birmingham"/>
    <s v="Education"/>
    <x v="1"/>
    <s v="I. Johnson"/>
    <s v="Printers"/>
    <s v="PRN-5876"/>
    <n v="1142.06"/>
    <s v="High"/>
    <n v="1455"/>
    <n v="7.8E-2"/>
    <n v="28"/>
    <n v="13660.278240000001"/>
    <n v="31977.68"/>
    <n v="-18317.401760000001"/>
    <n v="-1.3409244993533893"/>
  </r>
  <r>
    <s v="ORD-2023-594955"/>
    <d v="2023-06-20T00:00:00"/>
    <d v="2023-07-08T00:00:00"/>
    <n v="18"/>
    <x v="23"/>
    <s v="Q2-2023"/>
    <x v="2"/>
    <s v="USA"/>
    <s v="New York"/>
    <s v="Consumer"/>
    <x v="2"/>
    <s v="O. Wang"/>
    <s v="Networking"/>
    <s v="NET-3828"/>
    <n v="1145.53"/>
    <s v="High"/>
    <n v="1278.3"/>
    <n v="0.09"/>
    <n v="41"/>
    <n v="73589.497799999997"/>
    <n v="46966.729999999996"/>
    <n v="26622.767800000001"/>
    <n v="0.36177401118234026"/>
  </r>
  <r>
    <s v="ORD-2024-398783"/>
    <d v="2024-07-18T00:00:00"/>
    <d v="2024-08-07T00:00:00"/>
    <n v="20"/>
    <x v="14"/>
    <s v="Q3-2024"/>
    <x v="3"/>
    <s v="France"/>
    <s v="Marseille"/>
    <s v="Corporate"/>
    <x v="0"/>
    <s v="F. Müller"/>
    <s v="Monitors"/>
    <s v="MON-7622"/>
    <n v="941.35"/>
    <s v="High"/>
    <n v="899.83"/>
    <n v="5.8000000000000003E-2"/>
    <n v="18"/>
    <n v="14867.190359999997"/>
    <n v="16944.3"/>
    <n v="-2077.1096400000024"/>
    <n v="-0.13971097360725546"/>
  </r>
  <r>
    <s v="ORD-2023-676553"/>
    <d v="2023-05-20T00:00:00"/>
    <d v="2023-06-19T00:00:00"/>
    <n v="30"/>
    <x v="15"/>
    <s v="Q2-2023"/>
    <x v="1"/>
    <s v="India"/>
    <s v="Delhi"/>
    <s v="Non-Profit"/>
    <x v="2"/>
    <s v="H. Kim"/>
    <s v="Laptops"/>
    <s v="LAP-2806"/>
    <n v="1161.2"/>
    <s v="High"/>
    <n v="878.73"/>
    <n v="0.19"/>
    <n v="31"/>
    <n v="20697.168600000001"/>
    <n v="35997.200000000004"/>
    <n v="-15300.031400000003"/>
    <n v="-0.73923306591801174"/>
  </r>
  <r>
    <s v="ORD-2025-866565"/>
    <d v="2025-05-12T00:00:00"/>
    <d v="2025-05-26T00:00:00"/>
    <n v="14"/>
    <x v="8"/>
    <s v="Q2-2025"/>
    <x v="1"/>
    <s v="India"/>
    <s v="Hyderabad"/>
    <s v="Corporate"/>
    <x v="2"/>
    <s v="G. Dubois"/>
    <s v="Printers"/>
    <s v="PRN-8850"/>
    <n v="320.12"/>
    <s v="High"/>
    <n v="594.41999999999996"/>
    <n v="0.104"/>
    <n v="18"/>
    <n v="18697.996800000001"/>
    <n v="5762.16"/>
    <n v="12935.836800000001"/>
    <n v="0.69183008952060576"/>
  </r>
  <r>
    <s v="ORD-2024-527858"/>
    <d v="2024-05-07T00:00:00"/>
    <d v="2024-05-12T00:00:00"/>
    <n v="5"/>
    <x v="7"/>
    <s v="Q2-2024"/>
    <x v="0"/>
    <s v="Nigeria"/>
    <s v="Abuja"/>
    <s v="Non-Profit"/>
    <x v="3"/>
    <s v="L. Okafor"/>
    <s v="Laptops"/>
    <s v="LAP-9100"/>
    <n v="1163.99"/>
    <s v="High"/>
    <n v="1617.85"/>
    <n v="0.127"/>
    <n v="14"/>
    <n v="30720.11922"/>
    <n v="16295.86"/>
    <n v="14424.25922"/>
    <n v="0.4695378659406127"/>
  </r>
  <r>
    <s v="ORD-2023-619385"/>
    <d v="2023-09-30T00:00:00"/>
    <d v="2023-10-03T00:00:00"/>
    <n v="3"/>
    <x v="27"/>
    <s v="Q3-2023"/>
    <x v="1"/>
    <s v="China"/>
    <s v="Beijing"/>
    <s v="Non-Profit"/>
    <x v="0"/>
    <s v="J. Njeri"/>
    <s v="Laptops"/>
    <s v="LAP-5763"/>
    <n v="1019.36"/>
    <s v="High"/>
    <n v="972.91"/>
    <n v="0.14699999999999999"/>
    <n v="17"/>
    <n v="44766.472129999995"/>
    <n v="17329.12"/>
    <n v="27437.352129999996"/>
    <n v="0.61289958365097552"/>
  </r>
  <r>
    <s v="ORD-2023-835226"/>
    <d v="2023-10-26T00:00:00"/>
    <d v="2023-11-05T00:00:00"/>
    <n v="10"/>
    <x v="32"/>
    <s v="Q4-2023"/>
    <x v="0"/>
    <s v="South Africa"/>
    <s v="Cape Town"/>
    <s v="Non-Profit"/>
    <x v="1"/>
    <s v="I. Johnson"/>
    <s v="Laptops"/>
    <s v="LAP-7320"/>
    <n v="20.38"/>
    <s v="Low"/>
    <n v="42.56"/>
    <n v="7.1999999999999995E-2"/>
    <n v="11"/>
    <n v="27736.667200000004"/>
    <n v="224.17999999999998"/>
    <n v="27512.487200000003"/>
    <n v="0.99191755814123195"/>
  </r>
  <r>
    <s v="ORD-2025-485946"/>
    <d v="2025-06-15T00:00:00"/>
    <d v="2025-06-30T00:00:00"/>
    <n v="15"/>
    <x v="16"/>
    <s v="Q2-2025"/>
    <x v="0"/>
    <s v="South Africa"/>
    <s v="Johannesburg"/>
    <s v="Small Business"/>
    <x v="4"/>
    <s v="C. Otieno"/>
    <s v="Monitors"/>
    <s v="MON-5891"/>
    <n v="1487.59"/>
    <s v="High"/>
    <n v="1480.83"/>
    <n v="8.9999999999999993E-3"/>
    <n v="11"/>
    <n v="9830.4127899999985"/>
    <n v="16363.49"/>
    <n v="-6533.0772100000013"/>
    <n v="-0.66457811584939586"/>
  </r>
  <r>
    <s v="ORD-2024-307849"/>
    <d v="2024-08-10T00:00:00"/>
    <d v="2024-09-07T00:00:00"/>
    <n v="28"/>
    <x v="21"/>
    <s v="Q3-2024"/>
    <x v="3"/>
    <s v="France"/>
    <s v="Marseille"/>
    <s v="Non-Profit"/>
    <x v="4"/>
    <s v="F. Müller"/>
    <s v="Printers"/>
    <s v="PRN-1183"/>
    <n v="229.96"/>
    <s v="High"/>
    <n v="564.26"/>
    <n v="0.105"/>
    <n v="5"/>
    <n v="3562.7712500000002"/>
    <n v="1149.8"/>
    <n v="2412.9712500000005"/>
    <n v="0.67727369530109471"/>
  </r>
  <r>
    <s v="ORD-2023-368449"/>
    <d v="2023-10-09T00:00:00"/>
    <d v="2023-10-26T00:00:00"/>
    <n v="17"/>
    <x v="32"/>
    <s v="Q4-2023"/>
    <x v="1"/>
    <s v="China"/>
    <s v="Shanghai"/>
    <s v="Consumer"/>
    <x v="2"/>
    <s v="C. Otieno"/>
    <s v="Components"/>
    <s v="CMP-2096"/>
    <n v="1132.03"/>
    <s v="High"/>
    <n v="2137.21"/>
    <n v="0.35699999999999998"/>
    <n v="35"/>
    <n v="3551.7390999999998"/>
    <n v="39621.049999999996"/>
    <n v="-36069.310899999997"/>
    <n v="-10.155394268683755"/>
  </r>
  <r>
    <s v="ORD-2024-251426"/>
    <d v="2024-03-09T00:00:00"/>
    <d v="2024-03-26T00:00:00"/>
    <n v="17"/>
    <x v="0"/>
    <s v="Q1-2024"/>
    <x v="2"/>
    <s v="USA"/>
    <s v="San Francisco"/>
    <s v="Education"/>
    <x v="4"/>
    <s v="I. Johnson"/>
    <s v="Phones"/>
    <s v="PHN-3398"/>
    <n v="1137.4100000000001"/>
    <s v="High"/>
    <n v="1680.93"/>
    <n v="0.254"/>
    <n v="9"/>
    <n v="5499.1688399999994"/>
    <n v="10236.69"/>
    <n v="-4737.5211600000011"/>
    <n v="-0.86149767316473258"/>
  </r>
  <r>
    <s v="ORD-2023-927385"/>
    <d v="2023-05-29T00:00:00"/>
    <d v="2023-06-20T00:00:00"/>
    <n v="22"/>
    <x v="15"/>
    <s v="Q2-2023"/>
    <x v="3"/>
    <s v="United Kingdom"/>
    <s v="London"/>
    <s v="Small Business"/>
    <x v="4"/>
    <s v="K. Singh"/>
    <s v="Components"/>
    <s v="CMP-8545"/>
    <n v="1295.3900000000001"/>
    <s v="High"/>
    <n v="2905.06"/>
    <n v="0.14799999999999999"/>
    <n v="8"/>
    <n v="11663.26656"/>
    <n v="10363.120000000001"/>
    <n v="1300.1465599999992"/>
    <n v="0.11147362133168971"/>
  </r>
  <r>
    <s v="ORD-2025-486350"/>
    <d v="2025-05-27T00:00:00"/>
    <d v="2025-06-08T00:00:00"/>
    <n v="12"/>
    <x v="8"/>
    <s v="Q2-2025"/>
    <x v="1"/>
    <s v="Japan"/>
    <s v="Osaka"/>
    <s v="Corporate"/>
    <x v="0"/>
    <s v="H. Kim"/>
    <s v="Accessories"/>
    <s v="ACC-1249"/>
    <n v="653.6"/>
    <s v="High"/>
    <n v="842.09"/>
    <n v="9.8000000000000004E-2"/>
    <n v="19"/>
    <n v="29072.046299999998"/>
    <n v="12418.4"/>
    <n v="16653.6463"/>
    <n v="0.5728405261930255"/>
  </r>
  <r>
    <s v="ORD-2025-677880"/>
    <d v="2025-08-21T00:00:00"/>
    <d v="2025-09-14T00:00:00"/>
    <n v="24"/>
    <x v="28"/>
    <s v="Q3-2025"/>
    <x v="3"/>
    <s v="Germany"/>
    <s v="Berlin"/>
    <s v="Non-Profit"/>
    <x v="1"/>
    <s v="A. Patel"/>
    <s v="Monitors"/>
    <s v="MON-9662"/>
    <n v="1397.67"/>
    <s v="High"/>
    <n v="3131.37"/>
    <n v="0.10299999999999999"/>
    <n v="20"/>
    <n v="51745.059600000001"/>
    <n v="27953.4"/>
    <n v="23791.659599999999"/>
    <n v="0.45978610873993464"/>
  </r>
  <r>
    <s v="ORD-2024-102866"/>
    <d v="2024-12-12T00:00:00"/>
    <d v="2024-12-20T00:00:00"/>
    <n v="8"/>
    <x v="6"/>
    <s v="Q4-2024"/>
    <x v="1"/>
    <s v="Japan"/>
    <s v="Tokyo"/>
    <s v="Corporate"/>
    <x v="0"/>
    <s v="B. Chen"/>
    <s v="Laptops"/>
    <s v="LAP-8347"/>
    <n v="1202.47"/>
    <s v="High"/>
    <n v="1444.72"/>
    <n v="0.24099999999999999"/>
    <n v="17"/>
    <n v="19144.697220000002"/>
    <n v="20441.990000000002"/>
    <n v="-1297.2927799999998"/>
    <n v="-6.7762512255599913E-2"/>
  </r>
  <r>
    <s v="ORD-2025-588029"/>
    <d v="2025-09-14T00:00:00"/>
    <d v="2025-09-23T00:00:00"/>
    <n v="9"/>
    <x v="11"/>
    <s v="Q3-2025"/>
    <x v="0"/>
    <s v="South Africa"/>
    <s v="Durban"/>
    <s v="Non-Profit"/>
    <x v="1"/>
    <s v="D. Smith"/>
    <s v="Components"/>
    <s v="CMP-6898"/>
    <n v="1310.3"/>
    <s v="High"/>
    <n v="2875.8"/>
    <n v="8.3000000000000004E-2"/>
    <n v="5"/>
    <n v="14660.399949999999"/>
    <n v="6551.5"/>
    <n v="8108.8999499999991"/>
    <n v="0.55311587525959682"/>
  </r>
  <r>
    <s v="ORD-2024-972999"/>
    <d v="2024-09-06T00:00:00"/>
    <d v="2024-10-04T00:00:00"/>
    <n v="28"/>
    <x v="29"/>
    <s v="Q3-2024"/>
    <x v="0"/>
    <s v="South Africa"/>
    <s v="Cape Town"/>
    <s v="Corporate"/>
    <x v="2"/>
    <s v="D. Smith"/>
    <s v="Monitors"/>
    <s v="MON-3504"/>
    <n v="1174.17"/>
    <s v="High"/>
    <n v="1641.61"/>
    <n v="0.122"/>
    <n v="9"/>
    <n v="18353.975399999999"/>
    <n v="10567.53"/>
    <n v="7786.4453999999987"/>
    <n v="0.42423754147561943"/>
  </r>
  <r>
    <s v="ORD-2025-608069"/>
    <d v="2025-04-12T00:00:00"/>
    <d v="2025-04-30T00:00:00"/>
    <n v="18"/>
    <x v="19"/>
    <s v="Q2-2025"/>
    <x v="0"/>
    <s v="Kenya"/>
    <s v="Kisumu"/>
    <s v="Corporate"/>
    <x v="2"/>
    <s v="F. Müller"/>
    <s v="Networking"/>
    <s v="NET-3432"/>
    <n v="1119.04"/>
    <s v="High"/>
    <n v="1299.02"/>
    <n v="2.5000000000000001E-2"/>
    <n v="14"/>
    <n v="26377.532999999999"/>
    <n v="15666.56"/>
    <n v="10710.973"/>
    <n v="0.40606424414292269"/>
  </r>
  <r>
    <s v="ORD-2024-626750"/>
    <d v="2024-08-12T00:00:00"/>
    <d v="2024-08-15T00:00:00"/>
    <n v="3"/>
    <x v="21"/>
    <s v="Q3-2024"/>
    <x v="2"/>
    <s v="USA"/>
    <s v="Chicago"/>
    <s v="Corporate"/>
    <x v="2"/>
    <s v="D. Smith"/>
    <s v="Printers"/>
    <s v="PRN-5591"/>
    <n v="850.7"/>
    <s v="High"/>
    <n v="1118.56"/>
    <n v="0.18"/>
    <n v="19"/>
    <n v="24777.808799999999"/>
    <n v="16163.300000000001"/>
    <n v="8614.5087999999978"/>
    <n v="0.34767032345491333"/>
  </r>
  <r>
    <s v="ORD-2024-170021"/>
    <d v="2024-11-05T00:00:00"/>
    <d v="2024-11-08T00:00:00"/>
    <n v="3"/>
    <x v="18"/>
    <s v="Q4-2024"/>
    <x v="2"/>
    <s v="Canada"/>
    <s v="Toronto"/>
    <s v="Education"/>
    <x v="2"/>
    <s v="O. Wang"/>
    <s v="Components"/>
    <s v="CMP-2015"/>
    <n v="1020.4"/>
    <s v="High"/>
    <n v="1184.71"/>
    <n v="0.106"/>
    <n v="16"/>
    <n v="5658.8054400000001"/>
    <n v="16326.4"/>
    <n v="-10667.59456"/>
    <n v="-1.8851318839475772"/>
  </r>
  <r>
    <s v="ORD-2024-678110"/>
    <d v="2024-07-24T00:00:00"/>
    <d v="2024-08-08T00:00:00"/>
    <n v="15"/>
    <x v="14"/>
    <s v="Q3-2024"/>
    <x v="3"/>
    <s v="France"/>
    <s v="Marseille"/>
    <s v="Enterprise"/>
    <x v="2"/>
    <s v="H. Kim"/>
    <s v="Laptops"/>
    <s v="LAP-9901"/>
    <n v="501.5"/>
    <s v="High"/>
    <n v="1201.47"/>
    <n v="0.126"/>
    <n v="5"/>
    <n v="9079.5053000000007"/>
    <n v="2507.5"/>
    <n v="6572.0053000000007"/>
    <n v="0.72382856585809807"/>
  </r>
  <r>
    <s v="ORD-2025-909340"/>
    <d v="2025-01-20T00:00:00"/>
    <d v="2025-02-03T00:00:00"/>
    <n v="14"/>
    <x v="10"/>
    <s v="Q1-2025"/>
    <x v="2"/>
    <s v="Brazil"/>
    <s v="Brasília"/>
    <s v="Enterprise"/>
    <x v="2"/>
    <s v="F. Müller"/>
    <s v="Components"/>
    <s v="CMP-8658"/>
    <n v="974.11"/>
    <s v="High"/>
    <n v="880.99"/>
    <n v="0.111"/>
    <n v="10"/>
    <n v="11831.2565"/>
    <n v="9741.1"/>
    <n v="2090.1564999999991"/>
    <n v="0.17666394942920891"/>
  </r>
  <r>
    <s v="ORD-2023-854471"/>
    <d v="2023-03-06T00:00:00"/>
    <d v="2023-04-04T00:00:00"/>
    <n v="29"/>
    <x v="22"/>
    <s v="Q1-2023"/>
    <x v="1"/>
    <s v="China"/>
    <s v="Beijing"/>
    <s v="Small Business"/>
    <x v="4"/>
    <s v="C. Otieno"/>
    <s v="Monitors"/>
    <s v="MON-2073"/>
    <n v="1126.29"/>
    <s v="High"/>
    <n v="2050.87"/>
    <n v="6.4000000000000001E-2"/>
    <n v="7"/>
    <n v="18113.986799999999"/>
    <n v="7884.03"/>
    <n v="10229.9568"/>
    <n v="0.56475456855251771"/>
  </r>
  <r>
    <s v="ORD-2024-390951"/>
    <d v="2024-12-20T00:00:00"/>
    <d v="2025-01-14T00:00:00"/>
    <n v="25"/>
    <x v="6"/>
    <s v="Q4-2024"/>
    <x v="1"/>
    <s v="India"/>
    <s v="Delhi"/>
    <s v="Small Business"/>
    <x v="0"/>
    <s v="M. Rossi"/>
    <s v="Printers"/>
    <s v="PRN-9378"/>
    <n v="1361.34"/>
    <s v="High"/>
    <n v="1737.9"/>
    <n v="7.6999999999999999E-2"/>
    <n v="14"/>
    <n v="3596.8387000000007"/>
    <n v="19058.759999999998"/>
    <n v="-15461.921299999998"/>
    <n v="-4.2987530411080135"/>
  </r>
  <r>
    <s v="ORD-2025-881624"/>
    <d v="2025-02-21T00:00:00"/>
    <d v="2025-03-21T00:00:00"/>
    <n v="0"/>
    <x v="26"/>
    <s v="Q1-2025"/>
    <x v="0"/>
    <s v="Nigeria"/>
    <s v="Abuja"/>
    <s v="Enterprise"/>
    <x v="2"/>
    <s v="I. Johnson"/>
    <s v="Phones"/>
    <s v="PHN-5887"/>
    <n v="1437.39"/>
    <s v="High"/>
    <n v="1388.31"/>
    <n v="0.13800000000000001"/>
    <n v="18"/>
    <n v="15273.329759999999"/>
    <n v="25873.02"/>
    <n v="-10599.690240000002"/>
    <n v="-0.69399995983587026"/>
  </r>
  <r>
    <s v="ORD-2025-512310"/>
    <d v="2025-03-08T00:00:00"/>
    <d v="2025-03-15T00:00:00"/>
    <n v="7"/>
    <x v="3"/>
    <s v="Q1-2025"/>
    <x v="1"/>
    <s v="India"/>
    <s v="Bengaluru"/>
    <s v="Corporate"/>
    <x v="3"/>
    <s v="K. Singh"/>
    <s v="Laptops"/>
    <s v="LAP-8119"/>
    <n v="475.66"/>
    <s v="High"/>
    <n v="529.14"/>
    <n v="0.19600000000000001"/>
    <n v="11"/>
    <n v="1687.7889600000003"/>
    <n v="5232.26"/>
    <n v="-3544.4710399999999"/>
    <n v="-2.1000676767076372"/>
  </r>
  <r>
    <s v="ORD-2023-674887"/>
    <d v="2023-12-16T00:00:00"/>
    <d v="2023-12-19T00:00:00"/>
    <n v="3"/>
    <x v="4"/>
    <s v="Q4-2023"/>
    <x v="1"/>
    <s v="China"/>
    <s v="Beijing"/>
    <s v="Education"/>
    <x v="0"/>
    <s v="A. Patel"/>
    <s v="Accessories"/>
    <s v="ACC-9644"/>
    <n v="1415.05"/>
    <s v="High"/>
    <n v="1972.38"/>
    <n v="0"/>
    <n v="12"/>
    <n v="10899.599999999999"/>
    <n v="16980.599999999999"/>
    <n v="-6081"/>
    <n v="-0.5579103820323682"/>
  </r>
  <r>
    <s v="ORD-2024-542244"/>
    <d v="2024-08-30T00:00:00"/>
    <d v="2024-09-05T00:00:00"/>
    <n v="6"/>
    <x v="21"/>
    <s v="Q3-2024"/>
    <x v="1"/>
    <s v="Japan"/>
    <s v="Nagoya"/>
    <s v="Education"/>
    <x v="1"/>
    <s v="N. Brown"/>
    <s v="Laptops"/>
    <s v="LAP-7009"/>
    <n v="466.16"/>
    <s v="High"/>
    <n v="876.81"/>
    <n v="0.24099999999999999"/>
    <n v="8"/>
    <n v="1725.8445600000002"/>
    <n v="3729.28"/>
    <n v="-2003.43544"/>
    <n v="-1.1608435002976165"/>
  </r>
  <r>
    <s v="ORD-2024-375848"/>
    <d v="2024-05-18T00:00:00"/>
    <d v="2024-05-21T00:00:00"/>
    <n v="3"/>
    <x v="7"/>
    <s v="Q2-2024"/>
    <x v="3"/>
    <s v="France"/>
    <s v="Marseille"/>
    <s v="Non-Profit"/>
    <x v="2"/>
    <s v="D. Smith"/>
    <s v="Printers"/>
    <s v="PRN-1725"/>
    <n v="663.66"/>
    <s v="High"/>
    <n v="824.26"/>
    <n v="0.23899999999999999"/>
    <n v="11"/>
    <n v="10290.80514"/>
    <n v="7300.2599999999993"/>
    <n v="2990.5451400000011"/>
    <n v="0.29060361160429093"/>
  </r>
  <r>
    <s v="ORD-2023-933238"/>
    <d v="2023-03-17T00:00:00"/>
    <d v="2023-04-06T00:00:00"/>
    <n v="20"/>
    <x v="22"/>
    <s v="Q1-2023"/>
    <x v="3"/>
    <s v="Germany"/>
    <s v="Munich"/>
    <s v="Consumer"/>
    <x v="0"/>
    <s v="O. Wang"/>
    <s v="Phones"/>
    <s v="PHN-8483"/>
    <n v="692.18"/>
    <s v="High"/>
    <n v="1159.3499999999999"/>
    <n v="0.112"/>
    <n v="2"/>
    <n v="2175.1027199999999"/>
    <n v="1384.36"/>
    <n v="790.74271999999996"/>
    <n v="0.36354270202006828"/>
  </r>
  <r>
    <s v="ORD-2023-732585"/>
    <d v="2023-08-25T00:00:00"/>
    <d v="2023-09-16T00:00:00"/>
    <n v="22"/>
    <x v="25"/>
    <s v="Q3-2023"/>
    <x v="0"/>
    <s v="Nigeria"/>
    <s v="Abuja"/>
    <s v="Corporate"/>
    <x v="2"/>
    <s v="L. Okafor"/>
    <s v="Phones"/>
    <s v="PHN-3971"/>
    <n v="1196.83"/>
    <s v="High"/>
    <n v="2513.5100000000002"/>
    <n v="8.3000000000000004E-2"/>
    <n v="7"/>
    <n v="3118.7353400000002"/>
    <n v="8377.81"/>
    <n v="-5259.0746599999993"/>
    <n v="-1.6862843706385162"/>
  </r>
  <r>
    <s v="ORD-2024-465898"/>
    <d v="2024-06-06T00:00:00"/>
    <d v="2024-06-24T00:00:00"/>
    <n v="18"/>
    <x v="17"/>
    <s v="Q2-2024"/>
    <x v="1"/>
    <s v="India"/>
    <s v="Bengaluru"/>
    <s v="Small Business"/>
    <x v="4"/>
    <s v="H. Kim"/>
    <s v="Networking"/>
    <s v="NET-6578"/>
    <n v="1253.25"/>
    <s v="High"/>
    <n v="3087.13"/>
    <n v="7.1999999999999995E-2"/>
    <n v="11"/>
    <n v="22569.275520000003"/>
    <n v="13785.75"/>
    <n v="8783.5255200000029"/>
    <n v="0.38918065899884063"/>
  </r>
  <r>
    <s v="ORD-2023-987081"/>
    <d v="2023-08-29T00:00:00"/>
    <d v="2023-09-13T00:00:00"/>
    <n v="15"/>
    <x v="25"/>
    <s v="Q3-2023"/>
    <x v="2"/>
    <s v="Canada"/>
    <s v="Vancouver"/>
    <s v="Small Business"/>
    <x v="2"/>
    <s v="O. Wang"/>
    <s v="Printers"/>
    <s v="PRN-9975"/>
    <n v="1287.6400000000001"/>
    <s v="High"/>
    <n v="2717.15"/>
    <n v="3.2000000000000001E-2"/>
    <n v="7"/>
    <n v="3875.12664"/>
    <n v="9013.4800000000014"/>
    <n v="-5138.353360000001"/>
    <n v="-1.3259833387019324"/>
  </r>
  <r>
    <s v="ORD-2024-655710"/>
    <d v="2024-11-30T00:00:00"/>
    <d v="2024-12-10T00:00:00"/>
    <n v="10"/>
    <x v="18"/>
    <s v="Q4-2024"/>
    <x v="1"/>
    <s v="India"/>
    <s v="Hyderabad"/>
    <s v="Small Business"/>
    <x v="0"/>
    <s v="F. Müller"/>
    <s v="Accessories"/>
    <s v="ACC-1075"/>
    <n v="851.49"/>
    <s v="High"/>
    <n v="901.79"/>
    <n v="0.245"/>
    <n v="16"/>
    <n v="41052.309600000001"/>
    <n v="13623.84"/>
    <n v="27428.4696"/>
    <n v="0.66813462792358946"/>
  </r>
  <r>
    <s v="ORD-2025-411385"/>
    <d v="2025-06-05T00:00:00"/>
    <d v="2025-06-14T00:00:00"/>
    <n v="9"/>
    <x v="16"/>
    <s v="Q2-2025"/>
    <x v="1"/>
    <s v="India"/>
    <s v="Delhi"/>
    <s v="Non-Profit"/>
    <x v="0"/>
    <s v="A. Patel"/>
    <s v="Accessories"/>
    <s v="ACC-2902"/>
    <n v="618.69000000000005"/>
    <s v="High"/>
    <n v="796.15"/>
    <n v="0.09"/>
    <n v="11"/>
    <n v="1948.1462000000001"/>
    <n v="6805.59"/>
    <n v="-4857.4438"/>
    <n v="-2.4933671815801093"/>
  </r>
  <r>
    <s v="ORD-2025-222035"/>
    <d v="2025-03-14T00:00:00"/>
    <d v="2025-04-08T00:00:00"/>
    <n v="25"/>
    <x v="3"/>
    <s v="Q1-2025"/>
    <x v="1"/>
    <s v="China"/>
    <s v="Not Provided"/>
    <s v="Corporate"/>
    <x v="3"/>
    <s v="D. Smith"/>
    <s v="Printers"/>
    <s v="PRN-5815"/>
    <n v="80.59"/>
    <s v="Medium"/>
    <n v="157.82"/>
    <n v="0.217"/>
    <n v="6"/>
    <n v="4846.6447200000002"/>
    <n v="483.54"/>
    <n v="4363.1047200000003"/>
    <n v="0.90023201040409662"/>
  </r>
  <r>
    <s v="ORD-2024-749242"/>
    <d v="2024-01-16T00:00:00"/>
    <d v="2024-02-11T00:00:00"/>
    <n v="26"/>
    <x v="9"/>
    <s v="Q1-2024"/>
    <x v="3"/>
    <s v="Germany"/>
    <s v="Frankfurt"/>
    <s v="Non-Profit"/>
    <x v="3"/>
    <s v="E. Garcia"/>
    <s v="Monitors"/>
    <s v="MON-4195"/>
    <n v="504.93"/>
    <s v="High"/>
    <n v="819.06"/>
    <n v="0.22600000000000001"/>
    <n v="15"/>
    <n v="5749.1559000000007"/>
    <n v="7573.95"/>
    <n v="-1824.7940999999992"/>
    <n v="-0.31740209027902672"/>
  </r>
  <r>
    <s v="ORD-2023-623293"/>
    <d v="2023-10-12T00:00:00"/>
    <d v="2023-10-29T00:00:00"/>
    <n v="17"/>
    <x v="32"/>
    <s v="Q4-2023"/>
    <x v="1"/>
    <s v="Japan"/>
    <s v="Nagoya"/>
    <s v="Non-Profit"/>
    <x v="4"/>
    <s v="H. Kim"/>
    <s v="Phones"/>
    <s v="PHN-8478"/>
    <n v="1102.19"/>
    <s v="High"/>
    <n v="1711.16"/>
    <n v="0.151"/>
    <n v="10"/>
    <n v="11198.649599999999"/>
    <n v="11021.900000000001"/>
    <n v="176.74959999999737"/>
    <n v="1.5783117278711657E-2"/>
  </r>
  <r>
    <s v="ORD-2025-276968"/>
    <d v="2025-02-25T00:00:00"/>
    <d v="2025-03-17T00:00:00"/>
    <n v="20"/>
    <x v="26"/>
    <s v="Q1-2025"/>
    <x v="2"/>
    <s v="USA"/>
    <s v="San Francisco"/>
    <s v="Non-Profit"/>
    <x v="2"/>
    <s v="H. Kim"/>
    <s v="Phones"/>
    <s v="PHN-1044"/>
    <n v="1205.26"/>
    <s v="High"/>
    <n v="1696.35"/>
    <n v="1.9E-2"/>
    <n v="6"/>
    <n v="1853.32482"/>
    <n v="7231.5599999999995"/>
    <n v="-5378.2351799999997"/>
    <n v="-2.9019387869634206"/>
  </r>
  <r>
    <s v="ORD-2025-650841"/>
    <d v="2025-07-03T00:00:00"/>
    <d v="2025-07-06T00:00:00"/>
    <n v="3"/>
    <x v="13"/>
    <s v="Q3-2025"/>
    <x v="0"/>
    <s v="Nigeria"/>
    <s v="Lagos"/>
    <s v="Consumer"/>
    <x v="1"/>
    <s v="Not Provided"/>
    <s v="Laptops"/>
    <s v="LAP-8910"/>
    <n v="1313.3"/>
    <s v="High"/>
    <n v="2884.34"/>
    <n v="0.157"/>
    <n v="42"/>
    <n v="78253.279020000002"/>
    <n v="55158.6"/>
    <n v="23094.679020000003"/>
    <n v="0.29512730085211453"/>
  </r>
  <r>
    <s v="ORD-2025-831576"/>
    <d v="2025-09-15T00:00:00"/>
    <d v="2025-09-25T00:00:00"/>
    <n v="10"/>
    <x v="11"/>
    <s v="Q3-2025"/>
    <x v="1"/>
    <s v="India"/>
    <s v="Delhi"/>
    <s v="Consumer"/>
    <x v="0"/>
    <s v="A. Patel"/>
    <s v="Phones"/>
    <s v="PHN-2859"/>
    <n v="1488.91"/>
    <s v="High"/>
    <n v="1483.74"/>
    <n v="0.16800000000000001"/>
    <n v="24"/>
    <n v="20866.559999999998"/>
    <n v="35733.840000000004"/>
    <n v="-14867.280000000006"/>
    <n v="-0.71249309900625724"/>
  </r>
  <r>
    <s v="ORD-2024-468655"/>
    <d v="2024-02-19T00:00:00"/>
    <d v="2024-03-06T00:00:00"/>
    <n v="16"/>
    <x v="31"/>
    <s v="Q1-2024"/>
    <x v="1"/>
    <s v="China"/>
    <s v="Beijing"/>
    <s v="Education"/>
    <x v="2"/>
    <s v="O. Wang"/>
    <s v="Printers"/>
    <s v="PRN-6308"/>
    <n v="1477.84"/>
    <s v="High"/>
    <n v="3197.47"/>
    <n v="0.24299999999999999"/>
    <n v="24"/>
    <n v="38737.627919999999"/>
    <n v="35468.159999999996"/>
    <n v="3269.4679200000028"/>
    <n v="8.4400312965781696E-2"/>
  </r>
  <r>
    <s v="ORD-2024-515105"/>
    <d v="2024-02-27T00:00:00"/>
    <d v="2024-03-26T00:00:00"/>
    <n v="28"/>
    <x v="31"/>
    <s v="Q1-2024"/>
    <x v="1"/>
    <s v="India"/>
    <s v="Mumbai"/>
    <s v="Education"/>
    <x v="2"/>
    <s v="G. Dubois"/>
    <s v="Laptops"/>
    <s v="LAP-8469"/>
    <n v="1035.19"/>
    <s v="High"/>
    <n v="2322.6999999999998"/>
    <n v="0.17299999999999999"/>
    <n v="8"/>
    <n v="13903.854800000001"/>
    <n v="8281.52"/>
    <n v="5622.3348000000005"/>
    <n v="0.40437237592555986"/>
  </r>
  <r>
    <s v="ORD-2025-803803"/>
    <d v="2025-08-28T00:00:00"/>
    <d v="2025-09-05T00:00:00"/>
    <n v="8"/>
    <x v="28"/>
    <s v="Q3-2025"/>
    <x v="0"/>
    <s v="Nigeria"/>
    <s v="Port Harcourt"/>
    <s v="Small Business"/>
    <x v="2"/>
    <s v="E. Garcia"/>
    <s v="Laptops"/>
    <s v="LAP-7553"/>
    <n v="1271.0999999999999"/>
    <s v="High"/>
    <n v="1932.42"/>
    <n v="0.25"/>
    <n v="21"/>
    <n v="33475.68"/>
    <n v="26693.1"/>
    <n v="6782.5800000000017"/>
    <n v="0.20261216501053905"/>
  </r>
  <r>
    <s v="ORD-2024-993481"/>
    <d v="2024-08-18T00:00:00"/>
    <d v="2024-09-12T00:00:00"/>
    <n v="25"/>
    <x v="21"/>
    <s v="Q3-2024"/>
    <x v="1"/>
    <s v="India"/>
    <s v="Mumbai"/>
    <s v="Consumer"/>
    <x v="2"/>
    <s v="C. Otieno"/>
    <s v="Phones"/>
    <s v="PHN-3077"/>
    <n v="1154.03"/>
    <s v="High"/>
    <n v="1590.36"/>
    <n v="0.314"/>
    <n v="18"/>
    <n v="8801.0369999999984"/>
    <n v="20772.54"/>
    <n v="-11971.503000000002"/>
    <n v="-1.360237776525653"/>
  </r>
  <r>
    <s v="ORD-2024-811752"/>
    <d v="2024-02-25T00:00:00"/>
    <d v="2024-03-09T00:00:00"/>
    <n v="13"/>
    <x v="31"/>
    <s v="Q1-2024"/>
    <x v="3"/>
    <s v="France"/>
    <s v="Marseille"/>
    <s v="Small Business"/>
    <x v="3"/>
    <s v="E. Garcia"/>
    <s v="Monitors"/>
    <s v="MON-3350"/>
    <n v="322.44"/>
    <s v="High"/>
    <n v="395.61"/>
    <n v="0"/>
    <n v="34"/>
    <n v="53340.22"/>
    <n v="10962.96"/>
    <n v="42377.26"/>
    <n v="0.79447103892709858"/>
  </r>
  <r>
    <s v="ORD-2025-673091"/>
    <d v="2025-05-07T00:00:00"/>
    <d v="2025-05-13T00:00:00"/>
    <n v="6"/>
    <x v="8"/>
    <s v="Q2-2025"/>
    <x v="1"/>
    <s v="India"/>
    <s v="Bengaluru"/>
    <s v="Enterprise"/>
    <x v="4"/>
    <s v="J. Njeri"/>
    <s v="Phones"/>
    <s v="PHN-5683"/>
    <n v="935.98"/>
    <s v="High"/>
    <n v="2077.69"/>
    <n v="0.17499999999999999"/>
    <n v="24"/>
    <n v="41071.932000000001"/>
    <n v="22463.52"/>
    <n v="18608.412"/>
    <n v="0.4530688256885505"/>
  </r>
  <r>
    <s v="ORD-2024-381197"/>
    <d v="2024-11-01T00:00:00"/>
    <d v="2024-11-12T00:00:00"/>
    <n v="11"/>
    <x v="18"/>
    <s v="Q4-2024"/>
    <x v="3"/>
    <s v="Germany"/>
    <s v="Frankfurt"/>
    <s v="Consumer"/>
    <x v="1"/>
    <s v="B. Chen"/>
    <s v="Printers"/>
    <s v="PRN-2409"/>
    <n v="599.84"/>
    <s v="High"/>
    <n v="1330.85"/>
    <n v="0.115"/>
    <n v="11"/>
    <n v="4820.6746499999999"/>
    <n v="6598.2400000000007"/>
    <n v="-1777.5653500000008"/>
    <n v="-0.36873787987330792"/>
  </r>
  <r>
    <s v="ORD-2024-651852"/>
    <d v="2024-12-28T00:00:00"/>
    <d v="2025-01-08T00:00:00"/>
    <n v="11"/>
    <x v="6"/>
    <s v="Q4-2024"/>
    <x v="1"/>
    <s v="China"/>
    <s v="Shenzhen"/>
    <s v="Enterprise"/>
    <x v="1"/>
    <s v="K. Singh"/>
    <s v="Laptops"/>
    <s v="LAP-8825"/>
    <n v="1201.31"/>
    <s v="High"/>
    <n v="2764.65"/>
    <n v="0"/>
    <n v="21"/>
    <n v="15909.390000000001"/>
    <n v="25227.51"/>
    <n v="-9318.1199999999972"/>
    <n v="-0.58569938885148942"/>
  </r>
  <r>
    <s v="ORD-2023-659070"/>
    <d v="2023-10-21T00:00:00"/>
    <d v="2023-10-21T00:00:00"/>
    <n v="0"/>
    <x v="32"/>
    <s v="Q4-2023"/>
    <x v="3"/>
    <s v="United Kingdom"/>
    <s v="Manchester"/>
    <s v="Enterprise"/>
    <x v="3"/>
    <s v="J. Njeri"/>
    <s v="Monitors"/>
    <s v="MON-8697"/>
    <n v="384.19"/>
    <s v="High"/>
    <n v="278.35000000000002"/>
    <n v="5.6000000000000001E-2"/>
    <n v="10"/>
    <n v="3926.6623999999993"/>
    <n v="3841.9"/>
    <n v="84.762399999999161"/>
    <n v="2.1586373200812775E-2"/>
  </r>
  <r>
    <s v="ORD-2024-837651"/>
    <d v="2024-12-10T00:00:00"/>
    <d v="2024-12-19T00:00:00"/>
    <n v="9"/>
    <x v="6"/>
    <s v="Q4-2024"/>
    <x v="0"/>
    <s v="Nigeria"/>
    <s v="Lagos"/>
    <s v="Corporate"/>
    <x v="0"/>
    <s v="O. Wang"/>
    <s v="Monitors"/>
    <s v="MON-4789"/>
    <n v="488.68"/>
    <s v="High"/>
    <n v="984.36"/>
    <n v="5.8999999999999997E-2"/>
    <n v="14"/>
    <n v="24647.104860000003"/>
    <n v="6841.52"/>
    <n v="17805.584860000003"/>
    <n v="0.72242094806424251"/>
  </r>
  <r>
    <s v="ORD-2024-581530"/>
    <d v="2024-09-07T00:00:00"/>
    <d v="2024-09-18T00:00:00"/>
    <n v="11"/>
    <x v="29"/>
    <s v="Q3-2024"/>
    <x v="1"/>
    <s v="China"/>
    <s v="Beijing"/>
    <s v="Consumer"/>
    <x v="3"/>
    <s v="O. Wang"/>
    <s v="Networking"/>
    <s v="NET-7998"/>
    <n v="181.74"/>
    <s v="Medium"/>
    <n v="190.84"/>
    <n v="0.214"/>
    <n v="13"/>
    <n v="2113.89984"/>
    <n v="2362.62"/>
    <n v="-248.72015999999985"/>
    <n v="-0.11765938730569177"/>
  </r>
  <r>
    <s v="ORD-2023-378104"/>
    <d v="2023-10-18T00:00:00"/>
    <d v="2023-10-20T00:00:00"/>
    <n v="2"/>
    <x v="32"/>
    <s v="Q4-2023"/>
    <x v="0"/>
    <s v="Kenya"/>
    <s v="Kisumu"/>
    <s v="Consumer"/>
    <x v="0"/>
    <s v="J. Njeri"/>
    <s v="Phones"/>
    <s v="PHN-8891"/>
    <n v="774.12"/>
    <s v="High"/>
    <n v="908.3"/>
    <n v="0"/>
    <n v="30"/>
    <n v="1884.6"/>
    <n v="23223.599999999999"/>
    <n v="-21339"/>
    <n v="-11.322827125119389"/>
  </r>
  <r>
    <s v="ORD-2024-972318"/>
    <d v="2024-12-24T00:00:00"/>
    <d v="2025-01-13T00:00:00"/>
    <n v="20"/>
    <x v="6"/>
    <s v="Q4-2024"/>
    <x v="1"/>
    <s v="India"/>
    <s v="Bengaluru"/>
    <s v="Corporate"/>
    <x v="2"/>
    <s v="D. Smith"/>
    <s v="Networking"/>
    <s v="NET-9832"/>
    <n v="126.15"/>
    <s v="High"/>
    <n v="284.23"/>
    <n v="0.113"/>
    <n v="22"/>
    <n v="18664.94586"/>
    <n v="2775.3"/>
    <n v="15889.645860000001"/>
    <n v="0.85130950709331443"/>
  </r>
  <r>
    <s v="ORD-2023-752962"/>
    <d v="2023-04-21T00:00:00"/>
    <d v="2023-04-19T00:00:00"/>
    <n v="2"/>
    <x v="12"/>
    <s v="Q2-2023"/>
    <x v="1"/>
    <s v="Japan"/>
    <s v="Nagoya"/>
    <s v="Small Business"/>
    <x v="4"/>
    <s v="M. Rossi"/>
    <s v="Components"/>
    <s v="CMP-8604"/>
    <n v="607.04"/>
    <s v="High"/>
    <n v="1229.3399999999999"/>
    <n v="0.14699999999999999"/>
    <n v="7"/>
    <n v="989.39469999999983"/>
    <n v="4249.28"/>
    <n v="-3259.8852999999999"/>
    <n v="-3.2948279387387061"/>
  </r>
  <r>
    <s v="ORD-2023-808024"/>
    <d v="2023-12-30T00:00:00"/>
    <d v="2024-01-08T00:00:00"/>
    <n v="9"/>
    <x v="4"/>
    <s v="Q4-2023"/>
    <x v="3"/>
    <s v="France"/>
    <s v="Marseille"/>
    <s v="Consumer"/>
    <x v="2"/>
    <s v="L. Okafor"/>
    <s v="Accessories"/>
    <s v="ACC-6594"/>
    <n v="861.1"/>
    <s v="High"/>
    <n v="1224.72"/>
    <n v="0.17399999999999999"/>
    <n v="24"/>
    <n v="12060.128640000001"/>
    <n v="20666.400000000001"/>
    <n v="-8606.2713600000006"/>
    <n v="-0.71361356225135586"/>
  </r>
  <r>
    <s v="ORD-2023-156396"/>
    <d v="2023-02-21T00:00:00"/>
    <d v="2023-03-12T00:00:00"/>
    <n v="19"/>
    <x v="2"/>
    <s v="Q1-2023"/>
    <x v="0"/>
    <s v="Kenya"/>
    <s v="Nakuru"/>
    <s v="Corporate"/>
    <x v="1"/>
    <s v="F. Müller"/>
    <s v="Networking"/>
    <s v="NET-2499"/>
    <n v="352.65"/>
    <s v="High"/>
    <n v="485.86"/>
    <n v="4.1000000000000002E-2"/>
    <n v="6"/>
    <n v="15339.646139999999"/>
    <n v="2115.8999999999996"/>
    <n v="13223.746139999999"/>
    <n v="0.86206331093371624"/>
  </r>
  <r>
    <s v="ORD-2023-184577"/>
    <d v="2023-05-17T00:00:00"/>
    <d v="2023-06-03T00:00:00"/>
    <n v="17"/>
    <x v="15"/>
    <s v="Q2-2023"/>
    <x v="1"/>
    <s v="China"/>
    <s v="Beijing"/>
    <s v="Non-Profit"/>
    <x v="3"/>
    <s v="M. Rossi"/>
    <s v="Printers"/>
    <s v="PRN-1923"/>
    <n v="979.59"/>
    <s v="High"/>
    <n v="2210.94"/>
    <n v="0.15"/>
    <n v="11"/>
    <n v="5497.3325000000004"/>
    <n v="10775.49"/>
    <n v="-5278.1574999999993"/>
    <n v="-0.96013066337173514"/>
  </r>
  <r>
    <s v="ORD-2024-446030"/>
    <d v="2024-03-23T00:00:00"/>
    <d v="2024-03-26T00:00:00"/>
    <n v="3"/>
    <x v="0"/>
    <s v="Q1-2024"/>
    <x v="1"/>
    <s v="India"/>
    <s v="Bengaluru"/>
    <s v="Education"/>
    <x v="4"/>
    <s v="G. Dubois"/>
    <s v="Phones"/>
    <s v="PHN-4346"/>
    <n v="382.21"/>
    <s v="High"/>
    <n v="571.89"/>
    <n v="0.14799999999999999"/>
    <n v="26"/>
    <n v="48582.215760000006"/>
    <n v="9937.4599999999991"/>
    <n v="38644.755760000007"/>
    <n v="0.79545066348781124"/>
  </r>
  <r>
    <s v="ORD-2023-842820"/>
    <d v="2023-09-20T00:00:00"/>
    <d v="2023-09-28T00:00:00"/>
    <n v="8"/>
    <x v="27"/>
    <s v="Q3-2023"/>
    <x v="1"/>
    <s v="India"/>
    <s v="Not Provided"/>
    <s v="Corporate"/>
    <x v="5"/>
    <s v="B. Chen"/>
    <s v="Accessories"/>
    <s v="ACC-1375"/>
    <n v="1362.06"/>
    <s v="High"/>
    <n v="3398.37"/>
    <n v="0.157"/>
    <n v="11"/>
    <n v="20287.469400000002"/>
    <n v="14982.66"/>
    <n v="5304.8094000000019"/>
    <n v="0.26148206537775487"/>
  </r>
  <r>
    <s v="ORD-2024-745424"/>
    <d v="2024-08-22T00:00:00"/>
    <d v="2024-09-04T00:00:00"/>
    <n v="13"/>
    <x v="21"/>
    <s v="Q3-2024"/>
    <x v="3"/>
    <s v="Germany"/>
    <s v="Frankfurt"/>
    <s v="Non-Profit"/>
    <x v="0"/>
    <s v="L. Okafor"/>
    <s v="Printers"/>
    <s v="PRN-4892"/>
    <n v="90.04"/>
    <s v="Medium"/>
    <n v="194.62"/>
    <n v="4.2999999999999997E-2"/>
    <n v="32"/>
    <n v="30688.61664"/>
    <n v="2881.28"/>
    <n v="27807.336640000001"/>
    <n v="0.90611241836673417"/>
  </r>
  <r>
    <s v="ORD-2024-510520"/>
    <d v="2024-09-25T00:00:00"/>
    <d v="2024-10-03T00:00:00"/>
    <n v="8"/>
    <x v="29"/>
    <s v="Q3-2024"/>
    <x v="2"/>
    <s v="Canada"/>
    <s v="Toronto"/>
    <s v="Consumer"/>
    <x v="1"/>
    <s v="E. Garcia"/>
    <s v="Printers"/>
    <s v="PRN-9557"/>
    <n v="558.19000000000005"/>
    <s v="High"/>
    <n v="1031.6400000000001"/>
    <n v="0"/>
    <n v="21"/>
    <n v="19189.38"/>
    <n v="11721.990000000002"/>
    <n v="7467.3899999999994"/>
    <n v="0.3891418065617544"/>
  </r>
  <r>
    <s v="ORD-2023-769774"/>
    <d v="2023-06-13T00:00:00"/>
    <d v="2023-06-24T00:00:00"/>
    <n v="11"/>
    <x v="23"/>
    <s v="Q2-2023"/>
    <x v="2"/>
    <s v="Canada"/>
    <s v="Toronto"/>
    <s v="Corporate"/>
    <x v="1"/>
    <s v="C. Otieno"/>
    <s v="Printers"/>
    <s v="PRN-8008"/>
    <n v="247.07"/>
    <s v="High"/>
    <n v="495.19"/>
    <n v="2.8000000000000001E-2"/>
    <n v="4"/>
    <n v="7167.5668799999994"/>
    <n v="988.28"/>
    <n v="6179.2868799999997"/>
    <n v="0.86211778466167588"/>
  </r>
  <r>
    <s v="ORD-2023-580751"/>
    <d v="2023-12-24T00:00:00"/>
    <d v="2024-01-13T00:00:00"/>
    <n v="20"/>
    <x v="4"/>
    <s v="Q4-2023"/>
    <x v="1"/>
    <s v="Japan"/>
    <s v="Nagoya"/>
    <s v="Education"/>
    <x v="4"/>
    <s v="B. Chen"/>
    <s v="Laptops"/>
    <s v="LAP-1946"/>
    <n v="625.37"/>
    <s v="High"/>
    <n v="1319.04"/>
    <n v="7.3999999999999996E-2"/>
    <n v="8"/>
    <n v="10249.7088"/>
    <n v="5002.96"/>
    <n v="5246.7488000000003"/>
    <n v="0.51189247444766428"/>
  </r>
  <r>
    <s v="ORD-2025-473192"/>
    <d v="2025-03-30T00:00:00"/>
    <d v="2025-04-29T00:00:00"/>
    <n v="30"/>
    <x v="3"/>
    <s v="Q1-2025"/>
    <x v="0"/>
    <s v="South Africa"/>
    <s v="Durban"/>
    <s v="Consumer"/>
    <x v="2"/>
    <s v="J. Njeri"/>
    <s v="Monitors"/>
    <s v="MON-7106"/>
    <n v="194.6"/>
    <s v="High"/>
    <n v="314.87"/>
    <n v="0.29299999999999998"/>
    <n v="25"/>
    <n v="28077.267750000003"/>
    <n v="4865"/>
    <n v="23212.267750000003"/>
    <n v="0.82672815448718295"/>
  </r>
  <r>
    <s v="ORD-2024-886939"/>
    <d v="2024-06-03T00:00:00"/>
    <d v="2024-06-24T00:00:00"/>
    <n v="21"/>
    <x v="17"/>
    <s v="Q2-2024"/>
    <x v="2"/>
    <s v="Canada"/>
    <s v="Toronto"/>
    <s v="Small Business"/>
    <x v="4"/>
    <s v="G. Dubois"/>
    <s v="Monitors"/>
    <s v="MON-5386"/>
    <n v="1205.5"/>
    <s v="High"/>
    <n v="2210.17"/>
    <n v="0.104"/>
    <n v="23"/>
    <n v="27698.182399999998"/>
    <n v="27726.5"/>
    <n v="-28.31760000000213"/>
    <n v="-1.0223631136172362E-3"/>
  </r>
  <r>
    <s v="ORD-2024-566589"/>
    <d v="2024-06-11T00:00:00"/>
    <d v="2024-07-09T00:00:00"/>
    <n v="28"/>
    <x v="17"/>
    <s v="Q2-2024"/>
    <x v="0"/>
    <s v="Nigeria"/>
    <s v="Port Harcourt"/>
    <s v="Corporate"/>
    <x v="2"/>
    <s v="I. Johnson"/>
    <s v="Phones"/>
    <s v="PHN-2436"/>
    <n v="895.54"/>
    <s v="High"/>
    <n v="1045"/>
    <n v="0.216"/>
    <n v="15"/>
    <n v="15173.8104"/>
    <n v="13433.099999999999"/>
    <n v="1740.7104000000018"/>
    <n v="0.11471808030499721"/>
  </r>
  <r>
    <s v="ORD-2023-109927"/>
    <d v="2023-07-22T00:00:00"/>
    <d v="2023-07-21T00:00:00"/>
    <n v="1"/>
    <x v="24"/>
    <s v="Q3-2023"/>
    <x v="1"/>
    <s v="India"/>
    <s v="Delhi"/>
    <s v="Small Business"/>
    <x v="3"/>
    <s v="E. Garcia"/>
    <s v="Printers"/>
    <s v="PRN-2301"/>
    <n v="946.99"/>
    <s v="High"/>
    <n v="2132.19"/>
    <n v="0.16500000000000001"/>
    <n v="7"/>
    <n v="1295.1351000000002"/>
    <n v="6628.93"/>
    <n v="-5333.7948999999999"/>
    <n v="-4.1183308984522151"/>
  </r>
  <r>
    <s v="ORD-2023-780206"/>
    <d v="2023-01-19T00:00:00"/>
    <d v="2023-02-03T00:00:00"/>
    <n v="15"/>
    <x v="5"/>
    <s v="Q1-2023"/>
    <x v="3"/>
    <s v="United Kingdom"/>
    <s v="London"/>
    <s v="Enterprise"/>
    <x v="3"/>
    <s v="G. Dubois"/>
    <s v="Accessories"/>
    <s v="ACC-3645"/>
    <n v="873.06"/>
    <s v="High"/>
    <n v="2101.5500000000002"/>
    <n v="6.6000000000000003E-2"/>
    <n v="10"/>
    <n v="3365.5755999999997"/>
    <n v="8730.5999999999985"/>
    <n v="-5365.0243999999984"/>
    <n v="-1.5940882148064062"/>
  </r>
  <r>
    <s v="ORD-2024-851993"/>
    <d v="2024-05-01T00:00:00"/>
    <d v="2024-05-16T00:00:00"/>
    <n v="15"/>
    <x v="7"/>
    <s v="Q2-2024"/>
    <x v="1"/>
    <s v="India"/>
    <s v="Bengaluru"/>
    <s v="Small Business"/>
    <x v="0"/>
    <s v="L. Okafor"/>
    <s v="Components"/>
    <s v="CMP-6811"/>
    <n v="901.19"/>
    <s v="High"/>
    <n v="2125.44"/>
    <n v="7.0999999999999994E-2"/>
    <n v="12"/>
    <n v="28380.689880000002"/>
    <n v="10814.28"/>
    <n v="17566.409879999999"/>
    <n v="0.61895640853956568"/>
  </r>
  <r>
    <s v="ORD-2025-417942"/>
    <d v="2025-06-09T00:00:00"/>
    <d v="2025-06-24T00:00:00"/>
    <n v="15"/>
    <x v="16"/>
    <s v="Q2-2025"/>
    <x v="1"/>
    <s v="Japan"/>
    <s v="Nagoya"/>
    <s v="Corporate"/>
    <x v="4"/>
    <s v="B. Chen"/>
    <s v="Phones"/>
    <s v="PHN-5675"/>
    <n v="400.39"/>
    <s v="High"/>
    <n v="712.75"/>
    <n v="0.115"/>
    <n v="19"/>
    <n v="11761.58805"/>
    <n v="7607.41"/>
    <n v="4154.1780500000004"/>
    <n v="0.35319873747831187"/>
  </r>
  <r>
    <s v="ORD-2023-172095"/>
    <d v="2023-05-24T00:00:00"/>
    <d v="2023-06-21T00:00:00"/>
    <n v="28"/>
    <x v="15"/>
    <s v="Q2-2023"/>
    <x v="2"/>
    <s v="USA"/>
    <s v="Austin"/>
    <s v="Small Business"/>
    <x v="2"/>
    <s v="G. Dubois"/>
    <s v="Monitors"/>
    <s v="MON-6882"/>
    <n v="813.97"/>
    <s v="High"/>
    <n v="1568.83"/>
    <n v="1.7000000000000001E-2"/>
    <n v="15"/>
    <n v="40381.984049999999"/>
    <n v="12209.550000000001"/>
    <n v="28172.434049999996"/>
    <n v="0.69764858544636066"/>
  </r>
  <r>
    <s v="ORD-2024-257550"/>
    <d v="2024-12-27T00:00:00"/>
    <d v="2024-12-29T00:00:00"/>
    <n v="2"/>
    <x v="6"/>
    <s v="Q4-2024"/>
    <x v="2"/>
    <s v="Canada"/>
    <s v="Vancouver"/>
    <s v="Enterprise"/>
    <x v="2"/>
    <s v="C. Otieno"/>
    <s v="Accessories"/>
    <s v="ACC-8620"/>
    <n v="1146.72"/>
    <s v="High"/>
    <n v="2074.34"/>
    <n v="0.111"/>
    <n v="8"/>
    <n v="674.07536000000005"/>
    <n v="9173.76"/>
    <n v="-8499.6846399999995"/>
    <n v="-12.60939821327989"/>
  </r>
  <r>
    <s v="ORD-2023-581799"/>
    <d v="2023-12-05T00:00:00"/>
    <d v="2023-12-12T00:00:00"/>
    <n v="7"/>
    <x v="4"/>
    <s v="Q4-2023"/>
    <x v="2"/>
    <s v="Brazil"/>
    <s v="Brasília"/>
    <s v="Corporate"/>
    <x v="4"/>
    <s v="F. Müller"/>
    <s v="Phones"/>
    <s v="PHN-6506"/>
    <n v="307.43"/>
    <s v="High"/>
    <n v="495.19"/>
    <n v="0"/>
    <n v="42"/>
    <n v="116648.7"/>
    <n v="12912.06"/>
    <n v="103736.64"/>
    <n v="0.88930815345563219"/>
  </r>
  <r>
    <s v="ORD-2023-880296"/>
    <d v="2023-05-02T00:00:00"/>
    <d v="2023-05-19T00:00:00"/>
    <n v="17"/>
    <x v="15"/>
    <s v="Q2-2023"/>
    <x v="1"/>
    <s v="China"/>
    <s v="Shanghai"/>
    <s v="Non-Profit"/>
    <x v="4"/>
    <s v="J. Njeri"/>
    <s v="Monitors"/>
    <s v="MON-5086"/>
    <n v="714.28"/>
    <s v="High"/>
    <n v="757.59"/>
    <n v="0.13600000000000001"/>
    <n v="12"/>
    <n v="5102.9222399999999"/>
    <n v="8571.36"/>
    <n v="-3468.4377600000007"/>
    <n v="-0.67969637726637211"/>
  </r>
  <r>
    <s v="ORD-2023-191563"/>
    <d v="2023-11-30T00:00:00"/>
    <d v="2023-12-10T00:00:00"/>
    <n v="10"/>
    <x v="30"/>
    <s v="Q4-2023"/>
    <x v="3"/>
    <s v="Germany"/>
    <s v="Munich"/>
    <s v="Small Business"/>
    <x v="4"/>
    <s v="F. Müller"/>
    <s v="Laptops"/>
    <s v="LAP-4899"/>
    <n v="174.74"/>
    <s v="High"/>
    <n v="415.96"/>
    <n v="0.125"/>
    <n v="21"/>
    <n v="35310.318749999999"/>
    <n v="3669.54"/>
    <n v="31640.778749999998"/>
    <n v="0.89607740371927391"/>
  </r>
  <r>
    <s v="ORD-2024-202166"/>
    <d v="2024-05-05T00:00:00"/>
    <d v="2024-05-18T00:00:00"/>
    <n v="13"/>
    <x v="7"/>
    <s v="Q2-2024"/>
    <x v="3"/>
    <s v="France"/>
    <s v="Marseille"/>
    <s v="Corporate"/>
    <x v="2"/>
    <s v="A. Patel"/>
    <s v="Components"/>
    <s v="CMP-3313"/>
    <n v="1264.04"/>
    <s v="High"/>
    <n v="1870.89"/>
    <n v="0"/>
    <n v="13"/>
    <n v="3774.29"/>
    <n v="16432.52"/>
    <n v="-12658.23"/>
    <n v="-3.3538042916681019"/>
  </r>
  <r>
    <s v="ORD-2023-539967"/>
    <d v="2023-07-09T00:00:00"/>
    <d v="2023-07-19T00:00:00"/>
    <n v="10"/>
    <x v="24"/>
    <s v="Q3-2023"/>
    <x v="1"/>
    <s v="Japan"/>
    <s v="Tokyo"/>
    <s v="Enterprise"/>
    <x v="3"/>
    <s v="N. Brown"/>
    <s v="Components"/>
    <s v="CMP-6649"/>
    <n v="141.26"/>
    <s v="High"/>
    <n v="206.88"/>
    <n v="0.107"/>
    <n v="9"/>
    <n v="4845.6680399999996"/>
    <n v="1271.3399999999999"/>
    <n v="3574.3280399999994"/>
    <n v="0.737633698902742"/>
  </r>
  <r>
    <s v="ORD-2023-704111"/>
    <d v="2023-05-17T00:00:00"/>
    <d v="2023-06-15T00:00:00"/>
    <n v="29"/>
    <x v="15"/>
    <s v="Q2-2023"/>
    <x v="0"/>
    <s v="South Africa"/>
    <s v="Durban"/>
    <s v="Enterprise"/>
    <x v="0"/>
    <s v="K. Singh"/>
    <s v="Accessories"/>
    <s v="ACC-5206"/>
    <n v="40.89"/>
    <s v="Medium"/>
    <n v="62.82"/>
    <n v="0.129"/>
    <n v="17"/>
    <n v="30761.5425"/>
    <n v="695.13"/>
    <n v="30066.412499999999"/>
    <n v="0.97740262862306071"/>
  </r>
  <r>
    <s v="ORD-2024-356812"/>
    <d v="2024-03-07T00:00:00"/>
    <d v="2024-04-03T00:00:00"/>
    <n v="27"/>
    <x v="0"/>
    <s v="Q1-2024"/>
    <x v="3"/>
    <s v="Germany"/>
    <s v="Frankfurt"/>
    <s v="Corporate"/>
    <x v="4"/>
    <s v="M. Rossi"/>
    <s v="Printers"/>
    <s v="PRN-6911"/>
    <n v="738.16"/>
    <s v="High"/>
    <n v="956.49"/>
    <n v="0.152"/>
    <n v="5"/>
    <n v="733.01119999999992"/>
    <n v="3690.7999999999997"/>
    <n v="-2957.7887999999998"/>
    <n v="-4.0351208821911593"/>
  </r>
  <r>
    <s v="ORD-2025-306251"/>
    <d v="2025-04-10T00:00:00"/>
    <d v="2025-04-19T00:00:00"/>
    <n v="9"/>
    <x v="19"/>
    <s v="Q2-2025"/>
    <x v="0"/>
    <s v="South Africa"/>
    <s v="Durban"/>
    <s v="Enterprise"/>
    <x v="5"/>
    <s v="G. Dubois"/>
    <s v="Networking"/>
    <s v="NET-5270"/>
    <n v="113.74"/>
    <s v="Medium"/>
    <n v="165.7"/>
    <n v="0.124"/>
    <n v="13"/>
    <n v="31644.291119999994"/>
    <n v="1478.62"/>
    <n v="30165.671119999995"/>
    <n v="0.95327372022988777"/>
  </r>
  <r>
    <s v="ORD-2025-496178"/>
    <d v="2025-07-27T00:00:00"/>
    <d v="2025-08-15T00:00:00"/>
    <n v="19"/>
    <x v="13"/>
    <s v="Q3-2025"/>
    <x v="1"/>
    <s v="Japan"/>
    <s v="Tokyo"/>
    <s v="Small Business"/>
    <x v="2"/>
    <s v="J. Njeri"/>
    <s v="Components"/>
    <s v="CMP-5658"/>
    <n v="275.43"/>
    <s v="High"/>
    <n v="608.36"/>
    <n v="0.25700000000000001"/>
    <n v="4"/>
    <n v="919.74484000000007"/>
    <n v="1101.72"/>
    <n v="-181.97515999999996"/>
    <n v="-0.19785396132257718"/>
  </r>
  <r>
    <s v="ORD-2024-508213"/>
    <d v="2024-11-22T00:00:00"/>
    <d v="2024-12-15T00:00:00"/>
    <n v="23"/>
    <x v="18"/>
    <s v="Q4-2024"/>
    <x v="0"/>
    <s v="Kenya"/>
    <s v="Mombasa"/>
    <s v="Non-Profit"/>
    <x v="3"/>
    <s v="C. Otieno"/>
    <s v="Components"/>
    <s v="CMP-3938"/>
    <n v="1335.76"/>
    <s v="High"/>
    <n v="2665.91"/>
    <n v="0.21099999999999999"/>
    <n v="40"/>
    <n v="21031.899600000001"/>
    <n v="53430.400000000001"/>
    <n v="-32398.500400000001"/>
    <n v="-1.5404457522229709"/>
  </r>
  <r>
    <s v="ORD-2024-787018"/>
    <d v="2024-06-23T00:00:00"/>
    <d v="2024-06-28T00:00:00"/>
    <n v="5"/>
    <x v="17"/>
    <s v="Q2-2024"/>
    <x v="0"/>
    <s v="Nigeria"/>
    <s v="Port Harcourt"/>
    <s v="Non-Profit"/>
    <x v="4"/>
    <s v="M. Rossi"/>
    <s v="Accessories"/>
    <s v="ACC-7671"/>
    <n v="242.31"/>
    <s v="High"/>
    <n v="587.95000000000005"/>
    <n v="0.22900000000000001"/>
    <n v="6"/>
    <n v="3442.9930199999999"/>
    <n v="1453.8600000000001"/>
    <n v="1989.1330199999998"/>
    <n v="0.57773367777550699"/>
  </r>
  <r>
    <s v="ORD-2023-728177"/>
    <d v="2023-12-18T00:00:00"/>
    <d v="2024-01-14T00:00:00"/>
    <n v="27"/>
    <x v="4"/>
    <s v="Q4-2023"/>
    <x v="1"/>
    <s v="India"/>
    <s v="Mumbai"/>
    <s v="Consumer"/>
    <x v="3"/>
    <s v="D. Smith"/>
    <s v="Networking"/>
    <s v="NET-6014"/>
    <n v="1408.3"/>
    <s v="High"/>
    <n v="2193.13"/>
    <n v="7.0999999999999994E-2"/>
    <n v="7"/>
    <n v="82.523070000000004"/>
    <n v="9858.1"/>
    <n v="-9775.5769300000011"/>
    <n v="-118.45871621111527"/>
  </r>
  <r>
    <s v="ORD-2025-795385"/>
    <d v="2025-06-01T00:00:00"/>
    <d v="2025-06-05T00:00:00"/>
    <n v="4"/>
    <x v="16"/>
    <s v="Q2-2025"/>
    <x v="3"/>
    <s v="Germany"/>
    <s v="Munich"/>
    <s v="Enterprise"/>
    <x v="4"/>
    <s v="M. Rossi"/>
    <s v="Components"/>
    <s v="CMP-4159"/>
    <n v="1171.42"/>
    <s v="High"/>
    <n v="2187.8000000000002"/>
    <n v="0.23"/>
    <n v="15"/>
    <n v="7525.518"/>
    <n v="17571.300000000003"/>
    <n v="-10045.782000000003"/>
    <n v="-1.3348957506978261"/>
  </r>
  <r>
    <s v="ORD-2025-947929"/>
    <d v="2025-03-23T00:00:00"/>
    <d v="2025-04-02T00:00:00"/>
    <n v="10"/>
    <x v="3"/>
    <s v="Q1-2025"/>
    <x v="3"/>
    <s v="Germany"/>
    <s v="Berlin"/>
    <s v="Enterprise"/>
    <x v="1"/>
    <s v="E. Garcia"/>
    <s v="Printers"/>
    <s v="PRN-3159"/>
    <n v="663.61"/>
    <s v="High"/>
    <n v="1002.11"/>
    <n v="4.5999999999999999E-2"/>
    <n v="17"/>
    <n v="12231.93996"/>
    <n v="11281.37"/>
    <n v="950.5699599999989"/>
    <n v="7.7712117874064429E-2"/>
  </r>
  <r>
    <s v="ORD-2023-931633"/>
    <d v="2023-05-14T00:00:00"/>
    <d v="2023-05-22T00:00:00"/>
    <n v="8"/>
    <x v="15"/>
    <s v="Q2-2023"/>
    <x v="0"/>
    <s v="Kenya"/>
    <s v="Mombasa"/>
    <s v="Small Business"/>
    <x v="3"/>
    <s v="F. Müller"/>
    <s v="Printers"/>
    <s v="PRN-9488"/>
    <n v="432.01"/>
    <s v="High"/>
    <n v="913.78"/>
    <n v="4.9000000000000002E-2"/>
    <n v="12"/>
    <n v="34019.286120000004"/>
    <n v="5184.12"/>
    <n v="28835.166120000005"/>
    <n v="0.84761232255981278"/>
  </r>
  <r>
    <s v="ORD-2023-243704"/>
    <d v="2023-08-29T00:00:00"/>
    <d v="2023-09-19T00:00:00"/>
    <n v="21"/>
    <x v="25"/>
    <s v="Q3-2023"/>
    <x v="3"/>
    <s v="France"/>
    <s v="Lyon"/>
    <s v="Small Business"/>
    <x v="4"/>
    <s v="B. Chen"/>
    <s v="Printers"/>
    <s v="PRN-7079"/>
    <n v="784.46"/>
    <s v="High"/>
    <n v="1843.51"/>
    <n v="0.13800000000000001"/>
    <n v="23"/>
    <n v="19353.546419999999"/>
    <n v="18042.580000000002"/>
    <n v="1310.966419999997"/>
    <n v="6.7737787770268371E-2"/>
  </r>
  <r>
    <s v="ORD-2025-779659"/>
    <d v="2025-07-03T00:00:00"/>
    <d v="2025-07-23T00:00:00"/>
    <n v="20"/>
    <x v="13"/>
    <s v="Q3-2025"/>
    <x v="1"/>
    <s v="China"/>
    <s v="Beijing"/>
    <s v="Small Business"/>
    <x v="1"/>
    <s v="M. Rossi"/>
    <s v="Components"/>
    <s v="CMP-1220"/>
    <n v="647.36"/>
    <s v="High"/>
    <n v="1383.6"/>
    <n v="7.3999999999999996E-2"/>
    <n v="12"/>
    <n v="12733.240800000001"/>
    <n v="7768.32"/>
    <n v="4964.9208000000017"/>
    <n v="0.38991807961410746"/>
  </r>
  <r>
    <s v="ORD-2024-647571"/>
    <d v="2024-02-06T00:00:00"/>
    <d v="2024-02-28T00:00:00"/>
    <n v="22"/>
    <x v="31"/>
    <s v="Q1-2024"/>
    <x v="0"/>
    <s v="Kenya"/>
    <s v="Kisumu"/>
    <s v="Non-Profit"/>
    <x v="1"/>
    <s v="K. Singh"/>
    <s v="Monitors"/>
    <s v="MON-2462"/>
    <n v="834.93"/>
    <s v="High"/>
    <n v="1588.53"/>
    <n v="0.126"/>
    <n v="6"/>
    <n v="8549.7651600000008"/>
    <n v="5009.58"/>
    <n v="3540.1851600000009"/>
    <n v="0.4140681169305942"/>
  </r>
  <r>
    <s v="ORD-2025-683043"/>
    <d v="2025-08-13T00:00:00"/>
    <d v="2025-09-03T00:00:00"/>
    <n v="21"/>
    <x v="28"/>
    <s v="Q3-2025"/>
    <x v="3"/>
    <s v="France"/>
    <s v="Paris"/>
    <s v="Education"/>
    <x v="0"/>
    <s v="I. Johnson"/>
    <s v="Phones"/>
    <s v="PHN-9465"/>
    <n v="603.47"/>
    <s v="High"/>
    <n v="1344.05"/>
    <n v="0.20499999999999999"/>
    <n v="18"/>
    <n v="13790.9763"/>
    <n v="10862.460000000001"/>
    <n v="2928.5162999999993"/>
    <n v="0.21235018002315031"/>
  </r>
  <r>
    <s v="ORD-2023-588455"/>
    <d v="2023-05-23T00:00:00"/>
    <d v="2023-05-25T00:00:00"/>
    <n v="2"/>
    <x v="15"/>
    <s v="Q2-2023"/>
    <x v="2"/>
    <s v="Brazil"/>
    <s v="Rio de Janeiro"/>
    <s v="Enterprise"/>
    <x v="0"/>
    <s v="M. Rossi"/>
    <s v="Printers"/>
    <s v="PRN-1271"/>
    <n v="690.49"/>
    <s v="High"/>
    <n v="1290.29"/>
    <n v="4.2000000000000003E-2"/>
    <n v="22"/>
    <n v="18794.101480000001"/>
    <n v="15190.78"/>
    <n v="3603.3214800000005"/>
    <n v="0.19172619046643566"/>
  </r>
  <r>
    <s v="ORD-2024-641220"/>
    <d v="2024-05-10T00:00:00"/>
    <d v="2024-05-16T00:00:00"/>
    <n v="6"/>
    <x v="7"/>
    <s v="Q2-2024"/>
    <x v="3"/>
    <s v="United Kingdom"/>
    <s v="Birmingham"/>
    <s v="Non-Profit"/>
    <x v="4"/>
    <s v="G. Dubois"/>
    <s v="Laptops"/>
    <s v="LAP-1066"/>
    <n v="210.76"/>
    <s v="High"/>
    <n v="221.58"/>
    <n v="8.8999999999999996E-2"/>
    <n v="5"/>
    <n v="7596.9201000000003"/>
    <n v="1053.8"/>
    <n v="6543.1201000000001"/>
    <n v="0.86128589137063583"/>
  </r>
  <r>
    <s v="ORD-2023-799597"/>
    <d v="2023-03-14T00:00:00"/>
    <d v="2023-03-18T00:00:00"/>
    <n v="4"/>
    <x v="22"/>
    <s v="Q1-2023"/>
    <x v="3"/>
    <s v="Germany"/>
    <s v="Frankfurt"/>
    <s v="Enterprise"/>
    <x v="4"/>
    <s v="A. Patel"/>
    <s v="Components"/>
    <s v="CMP-8675"/>
    <n v="472.33"/>
    <s v="High"/>
    <n v="360.34"/>
    <n v="0.16500000000000001"/>
    <n v="14"/>
    <n v="22462.4519"/>
    <n v="6612.62"/>
    <n v="15849.831900000001"/>
    <n v="0.70561450595693875"/>
  </r>
  <r>
    <s v="ORD-2023-569862"/>
    <d v="2023-07-16T00:00:00"/>
    <d v="2023-08-13T00:00:00"/>
    <n v="28"/>
    <x v="24"/>
    <s v="Q3-2023"/>
    <x v="3"/>
    <s v="United Kingdom"/>
    <s v="Manchester"/>
    <s v="Non-Profit"/>
    <x v="1"/>
    <s v="J. Njeri"/>
    <s v="Laptops"/>
    <s v="LAP-1178"/>
    <n v="1039.03"/>
    <s v="High"/>
    <n v="2545.81"/>
    <n v="0.216"/>
    <n v="21"/>
    <n v="20043.767520000001"/>
    <n v="21819.63"/>
    <n v="-1775.8624799999998"/>
    <n v="-8.8599235559283701E-2"/>
  </r>
  <r>
    <s v="ORD-2023-609394"/>
    <d v="2023-04-16T00:00:00"/>
    <d v="2023-04-19T00:00:00"/>
    <n v="3"/>
    <x v="12"/>
    <s v="Q2-2023"/>
    <x v="3"/>
    <s v="Germany"/>
    <s v="Munich"/>
    <s v="Corporate"/>
    <x v="4"/>
    <s v="B. Chen"/>
    <s v="Accessories"/>
    <s v="ACC-1731"/>
    <n v="553.61"/>
    <s v="High"/>
    <n v="699.47"/>
    <n v="0.02"/>
    <n v="33"/>
    <n v="31378.531800000001"/>
    <n v="18269.13"/>
    <n v="13109.4018"/>
    <n v="0.41778251078018885"/>
  </r>
  <r>
    <s v="ORD-2024-105586"/>
    <d v="2024-01-02T00:00:00"/>
    <d v="2024-01-15T00:00:00"/>
    <n v="13"/>
    <x v="9"/>
    <s v="Q1-2024"/>
    <x v="1"/>
    <s v="Japan"/>
    <s v="Nagoya"/>
    <s v="Small Business"/>
    <x v="2"/>
    <s v="G. Dubois"/>
    <s v="Networking"/>
    <s v="NET-1893"/>
    <n v="1219.06"/>
    <s v="High"/>
    <n v="2738.69"/>
    <n v="7.5999999999999998E-2"/>
    <n v="16"/>
    <n v="24019.121280000003"/>
    <n v="19504.96"/>
    <n v="4514.1612800000039"/>
    <n v="0.18794031752355611"/>
  </r>
  <r>
    <s v="ORD-2024-207792"/>
    <d v="2024-09-03T00:00:00"/>
    <d v="2024-09-07T00:00:00"/>
    <n v="4"/>
    <x v="29"/>
    <s v="Q3-2024"/>
    <x v="1"/>
    <s v="Japan"/>
    <s v="Tokyo"/>
    <s v="Small Business"/>
    <x v="3"/>
    <s v="N. Brown"/>
    <s v="Printers"/>
    <s v="PRN-3917"/>
    <n v="43.23"/>
    <s v="Medium"/>
    <n v="94.78"/>
    <n v="9.0999999999999998E-2"/>
    <n v="55"/>
    <n v="130292.46945000002"/>
    <n v="2377.6499999999996"/>
    <n v="127914.81945000002"/>
    <n v="0.98175143958790023"/>
  </r>
  <r>
    <s v="ORD-2025-417336"/>
    <d v="2025-08-30T00:00:00"/>
    <d v="2025-09-03T00:00:00"/>
    <n v="4"/>
    <x v="28"/>
    <s v="Q3-2025"/>
    <x v="3"/>
    <s v="France"/>
    <s v="Marseille"/>
    <s v="Small Business"/>
    <x v="2"/>
    <s v="J. Njeri"/>
    <s v="Laptops"/>
    <s v="LAP-3220"/>
    <n v="1286.56"/>
    <s v="High"/>
    <n v="2777.35"/>
    <n v="0.13200000000000001"/>
    <n v="15"/>
    <n v="5660.0544"/>
    <n v="19298.399999999998"/>
    <n v="-13638.345599999997"/>
    <n v="-2.4095785369130014"/>
  </r>
  <r>
    <s v="ORD-2025-252117"/>
    <d v="2025-04-28T00:00:00"/>
    <d v="2025-05-19T00:00:00"/>
    <n v="21"/>
    <x v="19"/>
    <s v="Q2-2025"/>
    <x v="3"/>
    <s v="Germany"/>
    <s v="Berlin"/>
    <s v="Corporate"/>
    <x v="3"/>
    <s v="B. Chen"/>
    <s v="Phones"/>
    <s v="PHN-2462"/>
    <n v="350.76"/>
    <s v="High"/>
    <n v="492.18"/>
    <n v="5.2999999999999999E-2"/>
    <n v="11"/>
    <n v="19379.89097"/>
    <n v="3858.3599999999997"/>
    <n v="15521.53097"/>
    <n v="0.80090909665215726"/>
  </r>
  <r>
    <s v="ORD-2023-867175"/>
    <d v="2023-08-10T00:00:00"/>
    <d v="2023-08-15T00:00:00"/>
    <n v="5"/>
    <x v="25"/>
    <s v="Q3-2023"/>
    <x v="2"/>
    <s v="Brazil"/>
    <s v="São Paulo"/>
    <s v="Education"/>
    <x v="4"/>
    <s v="G. Dubois"/>
    <s v="Networking"/>
    <s v="NET-2894"/>
    <n v="1307.52"/>
    <s v="High"/>
    <n v="1921.65"/>
    <n v="0.123"/>
    <n v="13"/>
    <n v="9504.8996900000002"/>
    <n v="16997.759999999998"/>
    <n v="-7492.8603099999982"/>
    <n v="-0.78831555875157244"/>
  </r>
  <r>
    <s v="ORD-2024-382152"/>
    <d v="2024-12-08T00:00:00"/>
    <d v="2024-12-08T00:00:00"/>
    <n v="0"/>
    <x v="6"/>
    <s v="Q4-2024"/>
    <x v="3"/>
    <s v="France"/>
    <s v="Lyon"/>
    <s v="Enterprise"/>
    <x v="0"/>
    <s v="H. Kim"/>
    <s v="Components"/>
    <s v="CMP-2335"/>
    <n v="257.44"/>
    <s v="High"/>
    <n v="290.33"/>
    <n v="9.1999999999999998E-2"/>
    <n v="23"/>
    <n v="6964.3963200000007"/>
    <n v="5921.12"/>
    <n v="1043.2763200000009"/>
    <n v="0.14980140015926044"/>
  </r>
  <r>
    <s v="ORD-2023-597666"/>
    <d v="2023-10-25T00:00:00"/>
    <d v="2023-11-24T00:00:00"/>
    <n v="30"/>
    <x v="32"/>
    <s v="Q4-2023"/>
    <x v="3"/>
    <s v="France"/>
    <s v="Paris"/>
    <s v="Enterprise"/>
    <x v="3"/>
    <s v="C. Otieno"/>
    <s v="Phones"/>
    <s v="PHN-5938"/>
    <n v="287.85000000000002"/>
    <s v="High"/>
    <n v="602.91999999999996"/>
    <n v="0.222"/>
    <n v="11"/>
    <n v="15273.462600000001"/>
    <n v="3166.3500000000004"/>
    <n v="12107.1126"/>
    <n v="0.79268944554851628"/>
  </r>
  <r>
    <s v="ORD-2024-371409"/>
    <d v="2024-11-17T00:00:00"/>
    <d v="2024-11-28T00:00:00"/>
    <n v="11"/>
    <x v="18"/>
    <s v="Q4-2024"/>
    <x v="2"/>
    <s v="Canada"/>
    <s v="Not Provided"/>
    <s v="Consumer"/>
    <x v="3"/>
    <s v="A. Patel"/>
    <s v="Printers"/>
    <s v="PRN-1371"/>
    <n v="1008.16"/>
    <s v="High"/>
    <n v="2077.5"/>
    <n v="7.3999999999999996E-2"/>
    <n v="15"/>
    <n v="14894.108099999999"/>
    <n v="15122.4"/>
    <n v="-228.29190000000017"/>
    <n v="-1.5327665038230801E-2"/>
  </r>
  <r>
    <s v="ORD-2024-973420"/>
    <d v="2024-05-12T00:00:00"/>
    <d v="2024-05-24T00:00:00"/>
    <n v="12"/>
    <x v="7"/>
    <s v="Q2-2024"/>
    <x v="3"/>
    <s v="United Kingdom"/>
    <s v="Manchester"/>
    <s v="Education"/>
    <x v="2"/>
    <s v="K. Singh"/>
    <s v="Printers"/>
    <s v="PRN-5813"/>
    <n v="111.02"/>
    <s v="Medium"/>
    <n v="172.88"/>
    <n v="0.19700000000000001"/>
    <n v="29"/>
    <n v="70514.200349999999"/>
    <n v="3219.58"/>
    <n v="67294.620349999997"/>
    <n v="0.95434139529315387"/>
  </r>
  <r>
    <s v="ORD-2025-254721"/>
    <d v="2025-05-15T00:00:00"/>
    <d v="2025-06-05T00:00:00"/>
    <n v="21"/>
    <x v="8"/>
    <s v="Q2-2025"/>
    <x v="1"/>
    <s v="Japan"/>
    <s v="Osaka"/>
    <s v="Enterprise"/>
    <x v="4"/>
    <s v="H. Kim"/>
    <s v="Phones"/>
    <s v="PHN-6480"/>
    <n v="1466.5"/>
    <s v="High"/>
    <n v="2778.74"/>
    <n v="0.13500000000000001"/>
    <n v="4"/>
    <n v="3415.8503999999998"/>
    <n v="5866"/>
    <n v="-2450.1496000000002"/>
    <n v="-0.71728832152602473"/>
  </r>
  <r>
    <s v="ORD-2024-247032"/>
    <d v="2024-04-21T00:00:00"/>
    <d v="2024-05-19T00:00:00"/>
    <n v="28"/>
    <x v="20"/>
    <s v="Q2-2024"/>
    <x v="0"/>
    <s v="Nigeria"/>
    <s v="Lagos"/>
    <s v="Corporate"/>
    <x v="3"/>
    <s v="A. Patel"/>
    <s v="Accessories"/>
    <s v="ACC-2990"/>
    <n v="187.22"/>
    <s v="High"/>
    <n v="309.47000000000003"/>
    <n v="0"/>
    <n v="5"/>
    <n v="4877.1499999999996"/>
    <n v="936.1"/>
    <n v="3941.0499999999997"/>
    <n v="0.8080641358170243"/>
  </r>
  <r>
    <s v="ORD-2024-792353"/>
    <d v="2024-08-19T00:00:00"/>
    <d v="2024-09-07T00:00:00"/>
    <n v="19"/>
    <x v="21"/>
    <s v="Q3-2024"/>
    <x v="3"/>
    <s v="France"/>
    <s v="Lyon"/>
    <s v="Corporate"/>
    <x v="4"/>
    <s v="J. Njeri"/>
    <s v="Components"/>
    <s v="CMP-5435"/>
    <n v="297.58999999999997"/>
    <s v="High"/>
    <n v="666.41"/>
    <n v="0"/>
    <n v="10"/>
    <n v="1414.3000000000002"/>
    <n v="2975.8999999999996"/>
    <n v="-1561.5999999999995"/>
    <n v="-1.1041504631266346"/>
  </r>
  <r>
    <s v="ORD-2025-703623"/>
    <d v="2025-07-23T00:00:00"/>
    <d v="2025-08-19T00:00:00"/>
    <n v="27"/>
    <x v="13"/>
    <s v="Q3-2025"/>
    <x v="1"/>
    <s v="Japan"/>
    <s v="Nagoya"/>
    <s v="Consumer"/>
    <x v="2"/>
    <s v="B. Chen"/>
    <s v="Accessories"/>
    <s v="ACC-1596"/>
    <n v="896.09"/>
    <s v="High"/>
    <n v="744.27"/>
    <n v="8.3000000000000004E-2"/>
    <n v="11"/>
    <n v="16395.611540000002"/>
    <n v="9856.99"/>
    <n v="6538.6215400000019"/>
    <n v="0.3988031507118765"/>
  </r>
  <r>
    <s v="ORD-2024-516704"/>
    <d v="2024-03-01T00:00:00"/>
    <d v="2024-02-29T00:00:00"/>
    <n v="1"/>
    <x v="0"/>
    <s v="Q1-2024"/>
    <x v="2"/>
    <s v="Brazil"/>
    <s v="São Paulo"/>
    <s v="Non-Profit"/>
    <x v="4"/>
    <s v="I. Johnson"/>
    <s v="Phones"/>
    <s v="PHN-7852"/>
    <n v="5.34"/>
    <s v="Low"/>
    <n v="12.69"/>
    <n v="0.13200000000000001"/>
    <n v="10"/>
    <n v="2603.4792000000002"/>
    <n v="53.4"/>
    <n v="2550.0792000000001"/>
    <n v="0.97948898535467455"/>
  </r>
  <r>
    <s v="ORD-2024-578646"/>
    <d v="2024-05-27T00:00:00"/>
    <d v="2024-06-17T00:00:00"/>
    <n v="21"/>
    <x v="7"/>
    <s v="Q2-2024"/>
    <x v="1"/>
    <s v="India"/>
    <s v="Delhi"/>
    <s v="Small Business"/>
    <x v="1"/>
    <s v="H. Kim"/>
    <s v="Accessories"/>
    <s v="ACC-7240"/>
    <n v="465.02"/>
    <s v="High"/>
    <n v="651.55999999999995"/>
    <n v="4.2000000000000003E-2"/>
    <n v="19"/>
    <n v="27375.07992"/>
    <n v="8835.3799999999992"/>
    <n v="18539.699919999999"/>
    <n v="0.67724733495499501"/>
  </r>
  <r>
    <s v="ORD-2024-433936"/>
    <d v="2024-08-04T00:00:00"/>
    <d v="2024-08-17T00:00:00"/>
    <n v="13"/>
    <x v="21"/>
    <s v="Q3-2024"/>
    <x v="2"/>
    <s v="USA"/>
    <s v="Austin"/>
    <s v="Consumer"/>
    <x v="0"/>
    <s v="D. Smith"/>
    <s v="Monitors"/>
    <s v="MON-8867"/>
    <n v="352.79"/>
    <s v="High"/>
    <n v="754.22"/>
    <n v="0.113"/>
    <n v="7"/>
    <n v="19254.791990000002"/>
    <n v="2469.5300000000002"/>
    <n v="16785.261990000003"/>
    <n v="0.87174465445887173"/>
  </r>
  <r>
    <s v="ORD-2023-434071"/>
    <d v="2023-06-20T00:00:00"/>
    <d v="2023-07-04T00:00:00"/>
    <n v="14"/>
    <x v="23"/>
    <s v="Q2-2023"/>
    <x v="2"/>
    <s v="Brazil"/>
    <s v="Brasília"/>
    <s v="Non-Profit"/>
    <x v="4"/>
    <s v="C. Otieno"/>
    <s v="Networking"/>
    <s v="NET-1228"/>
    <n v="1292.8599999999999"/>
    <s v="High"/>
    <n v="2981.01"/>
    <n v="0.14199999999999999"/>
    <n v="12"/>
    <n v="10084.108319999999"/>
    <n v="15514.32"/>
    <n v="-5430.2116800000003"/>
    <n v="-0.5384920022358507"/>
  </r>
  <r>
    <s v="ORD-2024-728474"/>
    <d v="2024-09-09T00:00:00"/>
    <d v="2024-09-13T00:00:00"/>
    <n v="4"/>
    <x v="29"/>
    <s v="Q3-2024"/>
    <x v="3"/>
    <s v="United Kingdom"/>
    <s v="London"/>
    <s v="Consumer"/>
    <x v="2"/>
    <s v="F. Müller"/>
    <s v="Networking"/>
    <s v="NET-1145"/>
    <n v="1133.08"/>
    <s v="High"/>
    <n v="976.17"/>
    <n v="4.2000000000000003E-2"/>
    <n v="27"/>
    <n v="30683.801159999999"/>
    <n v="30593.159999999996"/>
    <n v="90.641160000002856"/>
    <n v="2.9540394792469337E-3"/>
  </r>
  <r>
    <s v="ORD-2023-406606"/>
    <d v="2023-10-25T00:00:00"/>
    <d v="2023-10-28T00:00:00"/>
    <n v="3"/>
    <x v="32"/>
    <s v="Q4-2023"/>
    <x v="2"/>
    <s v="Brazil"/>
    <s v="Brasília"/>
    <s v="Corporate"/>
    <x v="3"/>
    <s v="L. Okafor"/>
    <s v="Accessories"/>
    <s v="ACC-2867"/>
    <n v="509.31"/>
    <s v="High"/>
    <n v="1145.9000000000001"/>
    <n v="5.7000000000000002E-2"/>
    <n v="8"/>
    <n v="14622.761519999998"/>
    <n v="4074.48"/>
    <n v="10548.281519999999"/>
    <n v="0.7213604287789821"/>
  </r>
  <r>
    <s v="ORD-2025-823055"/>
    <d v="2025-09-08T00:00:00"/>
    <d v="2025-10-05T00:00:00"/>
    <n v="27"/>
    <x v="11"/>
    <s v="Q3-2025"/>
    <x v="2"/>
    <s v="Brazil"/>
    <s v="Rio de Janeiro"/>
    <s v="Education"/>
    <x v="1"/>
    <s v="C. Otieno"/>
    <s v="Monitors"/>
    <s v="MON-9274"/>
    <n v="660.78"/>
    <s v="High"/>
    <n v="1630.39"/>
    <n v="0.218"/>
    <n v="13"/>
    <n v="8401.8940200000015"/>
    <n v="8590.14"/>
    <n v="-188.24597999999787"/>
    <n v="-2.2405183825443903E-2"/>
  </r>
  <r>
    <s v="ORD-2023-573656"/>
    <d v="2023-05-02T00:00:00"/>
    <d v="2023-05-16T00:00:00"/>
    <n v="14"/>
    <x v="15"/>
    <s v="Q2-2023"/>
    <x v="1"/>
    <s v="India"/>
    <s v="Bengaluru"/>
    <s v="Non-Profit"/>
    <x v="0"/>
    <s v="L. Okafor"/>
    <s v="Monitors"/>
    <s v="MON-4830"/>
    <n v="475.37"/>
    <s v="High"/>
    <n v="963.73"/>
    <n v="4.1000000000000002E-2"/>
    <n v="22"/>
    <n v="2493.1506600000002"/>
    <n v="10458.14"/>
    <n v="-7964.9893399999992"/>
    <n v="-3.194748503485946"/>
  </r>
  <r>
    <s v="ORD-2024-567435"/>
    <d v="2024-04-26T00:00:00"/>
    <d v="2024-04-24T00:00:00"/>
    <n v="2"/>
    <x v="20"/>
    <s v="Q2-2024"/>
    <x v="3"/>
    <s v="United Kingdom"/>
    <s v="London"/>
    <s v="Non-Profit"/>
    <x v="3"/>
    <s v="N. Brown"/>
    <s v="Phones"/>
    <s v="PHN-9107"/>
    <n v="1232.77"/>
    <s v="High"/>
    <n v="891.73"/>
    <n v="0.16700000000000001"/>
    <n v="10"/>
    <n v="11877.497099999999"/>
    <n v="12327.7"/>
    <n v="-450.20290000000205"/>
    <n v="-3.7903852655960836E-2"/>
  </r>
  <r>
    <s v="ORD-2023-744942"/>
    <d v="2023-02-23T00:00:00"/>
    <d v="2023-03-18T00:00:00"/>
    <n v="23"/>
    <x v="2"/>
    <s v="Q1-2023"/>
    <x v="1"/>
    <s v="China"/>
    <s v="Beijing"/>
    <s v="Education"/>
    <x v="3"/>
    <s v="K. Singh"/>
    <s v="Printers"/>
    <s v="PRN-1060"/>
    <n v="770.11"/>
    <s v="High"/>
    <n v="1667.82"/>
    <n v="6.9000000000000006E-2"/>
    <n v="7"/>
    <n v="10393.181259999999"/>
    <n v="5390.77"/>
    <n v="5002.4112599999989"/>
    <n v="0.48131665703288229"/>
  </r>
  <r>
    <s v="ORD-2025-331237"/>
    <d v="2025-03-24T00:00:00"/>
    <d v="2025-03-25T00:00:00"/>
    <n v="1"/>
    <x v="3"/>
    <s v="Q1-2025"/>
    <x v="1"/>
    <s v="China"/>
    <s v="Beijing"/>
    <s v="Non-Profit"/>
    <x v="1"/>
    <s v="G. Dubois"/>
    <s v="Networking"/>
    <s v="NET-8329"/>
    <n v="1133.03"/>
    <s v="High"/>
    <n v="1921.51"/>
    <n v="0.10100000000000001"/>
    <n v="5"/>
    <n v="15022.784449999999"/>
    <n v="5665.15"/>
    <n v="9357.6344499999996"/>
    <n v="0.62289614026912299"/>
  </r>
  <r>
    <s v="ORD-2025-680118"/>
    <d v="2025-03-10T00:00:00"/>
    <d v="2025-03-27T00:00:00"/>
    <n v="17"/>
    <x v="3"/>
    <s v="Q1-2025"/>
    <x v="2"/>
    <s v="Brazil"/>
    <s v="Rio de Janeiro"/>
    <s v="Enterprise"/>
    <x v="4"/>
    <s v="F. Müller"/>
    <s v="Networking"/>
    <s v="NET-6269"/>
    <n v="996.73"/>
    <s v="High"/>
    <n v="1217.43"/>
    <n v="7.0000000000000007E-2"/>
    <n v="9"/>
    <n v="8953.9748999999993"/>
    <n v="8970.57"/>
    <n v="-16.595100000000457"/>
    <n v="-1.8533779897015859E-3"/>
  </r>
  <r>
    <s v="ORD-2024-310809"/>
    <d v="2024-04-05T00:00:00"/>
    <d v="2024-04-09T00:00:00"/>
    <n v="4"/>
    <x v="20"/>
    <s v="Q2-2024"/>
    <x v="0"/>
    <s v="Nigeria"/>
    <s v="Lagos"/>
    <s v="Non-Profit"/>
    <x v="4"/>
    <s v="K. Singh"/>
    <s v="Components"/>
    <s v="CMP-6529"/>
    <n v="395.07"/>
    <s v="High"/>
    <n v="970.27"/>
    <n v="0.123"/>
    <n v="38"/>
    <n v="4692.9673199999997"/>
    <n v="15012.66"/>
    <n v="-10319.69268"/>
    <n v="-2.1989696446469185"/>
  </r>
  <r>
    <s v="ORD-2025-474368"/>
    <d v="2025-04-27T00:00:00"/>
    <d v="2025-05-17T00:00:00"/>
    <n v="20"/>
    <x v="19"/>
    <s v="Q2-2025"/>
    <x v="2"/>
    <s v="USA"/>
    <s v="Austin"/>
    <s v="Corporate"/>
    <x v="4"/>
    <s v="N. Brown"/>
    <s v="Phones"/>
    <s v="PHN-8776"/>
    <n v="932.26"/>
    <s v="High"/>
    <n v="1624.67"/>
    <n v="0.23499999999999999"/>
    <n v="28"/>
    <n v="1435.9968000000001"/>
    <n v="26103.279999999999"/>
    <n v="-24667.283199999998"/>
    <n v="-17.177812095402995"/>
  </r>
  <r>
    <s v="ORD-2024-732543"/>
    <d v="2024-10-24T00:00:00"/>
    <d v="2024-10-28T00:00:00"/>
    <n v="4"/>
    <x v="1"/>
    <s v="Q4-2024"/>
    <x v="1"/>
    <s v="China"/>
    <s v="Shanghai"/>
    <s v="Small Business"/>
    <x v="3"/>
    <s v="I. Johnson"/>
    <s v="Networking"/>
    <s v="NET-3728"/>
    <n v="1331.77"/>
    <s v="High"/>
    <n v="2606.11"/>
    <n v="0.02"/>
    <n v="6"/>
    <n v="7506.8196000000007"/>
    <n v="7990.62"/>
    <n v="-483.80039999999917"/>
    <n v="-6.444811861470591E-2"/>
  </r>
  <r>
    <s v="ORD-2023-867166"/>
    <d v="2023-04-13T00:00:00"/>
    <d v="2023-04-20T00:00:00"/>
    <n v="7"/>
    <x v="12"/>
    <s v="Q2-2023"/>
    <x v="3"/>
    <s v="France"/>
    <s v="Lyon"/>
    <s v="Small Business"/>
    <x v="1"/>
    <s v="A. Patel"/>
    <s v="Laptops"/>
    <s v="LAP-3565"/>
    <n v="227.02"/>
    <s v="High"/>
    <n v="434.72"/>
    <n v="9.8000000000000004E-2"/>
    <n v="10"/>
    <n v="25448.667200000004"/>
    <n v="2270.2000000000003"/>
    <n v="23178.467200000003"/>
    <n v="0.91079297072186161"/>
  </r>
  <r>
    <s v="ORD-2024-776337"/>
    <d v="2024-11-12T00:00:00"/>
    <d v="2024-11-21T00:00:00"/>
    <n v="9"/>
    <x v="18"/>
    <s v="Q4-2024"/>
    <x v="1"/>
    <s v="India"/>
    <s v="Mumbai"/>
    <s v="Corporate"/>
    <x v="4"/>
    <s v="H. Kim"/>
    <s v="Laptops"/>
    <s v="LAP-5078"/>
    <n v="903.41"/>
    <s v="High"/>
    <n v="1860.41"/>
    <n v="0.108"/>
    <n v="5"/>
    <n v="6953.9874000000009"/>
    <n v="4517.05"/>
    <n v="2436.9374000000007"/>
    <n v="0.35043741954436103"/>
  </r>
  <r>
    <s v="ORD-2023-913592"/>
    <d v="2023-05-10T00:00:00"/>
    <d v="2023-05-14T00:00:00"/>
    <n v="4"/>
    <x v="15"/>
    <s v="Q2-2023"/>
    <x v="1"/>
    <s v="India"/>
    <s v="Delhi"/>
    <s v="Non-Profit"/>
    <x v="3"/>
    <s v="C. Otieno"/>
    <s v="Monitors"/>
    <s v="MON-2465"/>
    <n v="622.6"/>
    <s v="High"/>
    <n v="833.69"/>
    <n v="0.20899999999999999"/>
    <n v="14"/>
    <n v="7271.8528400000005"/>
    <n v="8716.4"/>
    <n v="-1444.5471599999992"/>
    <n v="-0.19864911897749557"/>
  </r>
  <r>
    <s v="ORD-2024-961501"/>
    <d v="2024-03-02T00:00:00"/>
    <d v="2024-03-23T00:00:00"/>
    <n v="21"/>
    <x v="0"/>
    <s v="Q1-2024"/>
    <x v="2"/>
    <s v="USA"/>
    <s v="Chicago"/>
    <s v="Small Business"/>
    <x v="1"/>
    <s v="F. Müller"/>
    <s v="Components"/>
    <s v="CMP-3223"/>
    <n v="225.01"/>
    <s v="High"/>
    <n v="333.48"/>
    <n v="0.11899999999999999"/>
    <n v="12"/>
    <n v="28098.68448"/>
    <n v="2700.12"/>
    <n v="25398.564480000001"/>
    <n v="0.90390582157246957"/>
  </r>
  <r>
    <s v="ORD-2024-964950"/>
    <d v="2024-10-10T00:00:00"/>
    <d v="2024-10-11T00:00:00"/>
    <n v="1"/>
    <x v="1"/>
    <s v="Q4-2024"/>
    <x v="3"/>
    <s v="United Kingdom"/>
    <s v="Manchester"/>
    <s v="Non-Profit"/>
    <x v="3"/>
    <s v="L. Okafor"/>
    <s v="Components"/>
    <s v="CMP-8127"/>
    <n v="1389.46"/>
    <s v="High"/>
    <n v="1784.7"/>
    <n v="0.14599999999999999"/>
    <n v="33"/>
    <n v="40152.022679999995"/>
    <n v="45852.18"/>
    <n v="-5700.1573200000057"/>
    <n v="-0.14196438783242904"/>
  </r>
  <r>
    <s v="ORD-2023-349264"/>
    <d v="2023-06-01T00:00:00"/>
    <d v="2023-06-08T00:00:00"/>
    <n v="7"/>
    <x v="23"/>
    <s v="Q2-2023"/>
    <x v="3"/>
    <s v="Germany"/>
    <s v="Frankfurt"/>
    <s v="Consumer"/>
    <x v="1"/>
    <s v="A. Patel"/>
    <s v="Phones"/>
    <s v="PHN-1924"/>
    <n v="804.17"/>
    <s v="High"/>
    <n v="1072.29"/>
    <n v="3.2000000000000001E-2"/>
    <n v="5"/>
    <n v="11222.701599999999"/>
    <n v="4020.85"/>
    <n v="7201.8515999999981"/>
    <n v="0.64172174015568584"/>
  </r>
  <r>
    <s v="ORD-2025-137394"/>
    <d v="2025-01-04T00:00:00"/>
    <d v="2025-01-05T00:00:00"/>
    <n v="1"/>
    <x v="10"/>
    <s v="Q1-2025"/>
    <x v="1"/>
    <s v="India"/>
    <s v="Delhi"/>
    <s v="Education"/>
    <x v="0"/>
    <s v="I. Johnson"/>
    <s v="Components"/>
    <s v="CMP-1156"/>
    <n v="1428.33"/>
    <s v="High"/>
    <n v="3028.05"/>
    <n v="0"/>
    <n v="11"/>
    <n v="4033.7"/>
    <n v="15711.63"/>
    <n v="-11677.93"/>
    <n v="-2.8950913553313335"/>
  </r>
  <r>
    <s v="ORD-2025-635337"/>
    <d v="2025-08-05T00:00:00"/>
    <d v="2025-08-28T00:00:00"/>
    <n v="23"/>
    <x v="28"/>
    <s v="Q3-2025"/>
    <x v="1"/>
    <s v="India"/>
    <s v="Mumbai"/>
    <s v="Non-Profit"/>
    <x v="3"/>
    <s v="N. Brown"/>
    <s v="Laptops"/>
    <s v="LAP-3905"/>
    <n v="638.54"/>
    <s v="High"/>
    <n v="987.24"/>
    <n v="0"/>
    <n v="11"/>
    <n v="30771.51"/>
    <n v="7023.94"/>
    <n v="23747.57"/>
    <n v="0.77173885844406076"/>
  </r>
  <r>
    <s v="ORD-2023-568013"/>
    <d v="2023-09-30T00:00:00"/>
    <d v="2023-10-30T00:00:00"/>
    <n v="0"/>
    <x v="27"/>
    <s v="Q3-2023"/>
    <x v="1"/>
    <s v="Japan"/>
    <s v="Tokyo"/>
    <s v="Enterprise"/>
    <x v="1"/>
    <s v="D. Smith"/>
    <s v="Printers"/>
    <s v="PRN-1786"/>
    <n v="649.13"/>
    <s v="High"/>
    <n v="975.43"/>
    <n v="0.157"/>
    <n v="27"/>
    <n v="50294.07125999999"/>
    <n v="17526.509999999998"/>
    <n v="32767.561259999991"/>
    <n v="0.65151936280133227"/>
  </r>
  <r>
    <s v="ORD-2025-828263"/>
    <d v="2025-05-17T00:00:00"/>
    <d v="2025-05-30T00:00:00"/>
    <n v="13"/>
    <x v="8"/>
    <s v="Q2-2025"/>
    <x v="0"/>
    <s v="Nigeria"/>
    <s v="Lagos"/>
    <s v="Consumer"/>
    <x v="3"/>
    <s v="F. Müller"/>
    <s v="Accessories"/>
    <s v="ACC-3349"/>
    <n v="66.400000000000006"/>
    <s v="Medium"/>
    <n v="141.43"/>
    <n v="0.107"/>
    <n v="8"/>
    <n v="5994.1017599999996"/>
    <n v="531.20000000000005"/>
    <n v="5462.9017599999997"/>
    <n v="0.91137954921873066"/>
  </r>
  <r>
    <s v="ORD-2024-402240"/>
    <d v="2024-05-01T00:00:00"/>
    <d v="2024-05-26T00:00:00"/>
    <n v="25"/>
    <x v="7"/>
    <s v="Q2-2024"/>
    <x v="3"/>
    <s v="Germany"/>
    <s v="Berlin"/>
    <s v="Non-Profit"/>
    <x v="0"/>
    <s v="B. Chen"/>
    <s v="Networking"/>
    <s v="NET-4228"/>
    <n v="930.71"/>
    <s v="High"/>
    <n v="1625.42"/>
    <n v="0.13800000000000001"/>
    <n v="7"/>
    <n v="6873.6311000000005"/>
    <n v="6514.97"/>
    <n v="358.66110000000026"/>
    <n v="5.2179276830844216E-2"/>
  </r>
  <r>
    <s v="ORD-2023-125739"/>
    <d v="2023-05-01T00:00:00"/>
    <d v="2023-05-18T00:00:00"/>
    <n v="17"/>
    <x v="15"/>
    <s v="Q2-2023"/>
    <x v="0"/>
    <s v="Nigeria"/>
    <s v="Port Harcourt"/>
    <s v="Corporate"/>
    <x v="4"/>
    <s v="F. Müller"/>
    <s v="Components"/>
    <s v="CMP-5633"/>
    <n v="327.97"/>
    <s v="High"/>
    <n v="299.94"/>
    <n v="4.9000000000000002E-2"/>
    <n v="3"/>
    <n v="4884.4215899999999"/>
    <n v="983.91000000000008"/>
    <n v="3900.5115900000001"/>
    <n v="0.79856161433435968"/>
  </r>
  <r>
    <s v="ORD-2024-892879"/>
    <d v="2024-07-09T00:00:00"/>
    <d v="2024-08-08T00:00:00"/>
    <n v="30"/>
    <x v="14"/>
    <s v="Q3-2024"/>
    <x v="3"/>
    <s v="France"/>
    <s v="Marseille"/>
    <s v="Corporate"/>
    <x v="4"/>
    <s v="J. Njeri"/>
    <s v="Components"/>
    <s v="CMP-5825"/>
    <n v="1062.3800000000001"/>
    <s v="High"/>
    <n v="1503.96"/>
    <n v="0.18"/>
    <n v="6"/>
    <n v="5187.1068000000005"/>
    <n v="6374.2800000000007"/>
    <n v="-1187.1732000000002"/>
    <n v="-0.22887001285572142"/>
  </r>
  <r>
    <s v="ORD-2023-472050"/>
    <d v="2023-05-10T00:00:00"/>
    <d v="2023-05-27T00:00:00"/>
    <n v="17"/>
    <x v="15"/>
    <s v="Q2-2023"/>
    <x v="1"/>
    <s v="India"/>
    <s v="Mumbai"/>
    <s v="Consumer"/>
    <x v="0"/>
    <s v="M. Rossi"/>
    <s v="Laptops"/>
    <s v="LAP-6499"/>
    <n v="1286.1600000000001"/>
    <s v="High"/>
    <n v="3101.11"/>
    <n v="0.1"/>
    <n v="23"/>
    <n v="50740.254000000001"/>
    <n v="29581.68"/>
    <n v="21158.574000000001"/>
    <n v="0.41699779429562966"/>
  </r>
  <r>
    <s v="ORD-2024-468615"/>
    <d v="2024-07-09T00:00:00"/>
    <d v="2024-07-12T00:00:00"/>
    <n v="3"/>
    <x v="14"/>
    <s v="Q3-2024"/>
    <x v="1"/>
    <s v="China"/>
    <s v="Shanghai"/>
    <s v="Small Business"/>
    <x v="0"/>
    <s v="D. Smith"/>
    <s v="Accessories"/>
    <s v="ACC-3721"/>
    <n v="748.39"/>
    <s v="High"/>
    <n v="979.42"/>
    <n v="0"/>
    <n v="23"/>
    <n v="28777.83"/>
    <n v="17212.97"/>
    <n v="11564.86"/>
    <n v="0.401866992751017"/>
  </r>
  <r>
    <s v="ORD-2024-833375"/>
    <d v="2024-04-24T00:00:00"/>
    <d v="2024-05-10T00:00:00"/>
    <n v="16"/>
    <x v="20"/>
    <s v="Q2-2024"/>
    <x v="0"/>
    <s v="Kenya"/>
    <s v="Kisumu"/>
    <s v="Non-Profit"/>
    <x v="1"/>
    <s v="N. Brown"/>
    <s v="Monitors"/>
    <s v="MON-6190"/>
    <n v="513.30999999999995"/>
    <s v="High"/>
    <n v="1186.26"/>
    <n v="9.4E-2"/>
    <n v="15"/>
    <n v="15014.232"/>
    <n v="7699.65"/>
    <n v="7314.5820000000003"/>
    <n v="0.48717656687335059"/>
  </r>
  <r>
    <s v="ORD-2024-206311"/>
    <d v="2024-01-13T00:00:00"/>
    <d v="2024-01-15T00:00:00"/>
    <n v="2"/>
    <x v="9"/>
    <s v="Q1-2024"/>
    <x v="2"/>
    <s v="USA"/>
    <s v="San Francisco"/>
    <s v="Non-Profit"/>
    <x v="4"/>
    <s v="E. Garcia"/>
    <s v="Components"/>
    <s v="CMP-2410"/>
    <n v="1061.3699999999999"/>
    <s v="High"/>
    <n v="1938.33"/>
    <n v="0.17"/>
    <n v="4"/>
    <n v="7912.9211999999989"/>
    <n v="4245.4799999999996"/>
    <n v="3667.4411999999993"/>
    <n v="0.46347500591816837"/>
  </r>
  <r>
    <s v="ORD-2024-364080"/>
    <d v="2024-04-16T00:00:00"/>
    <d v="2024-04-27T00:00:00"/>
    <n v="11"/>
    <x v="20"/>
    <s v="Q2-2024"/>
    <x v="0"/>
    <s v="Kenya"/>
    <s v="Nakuru"/>
    <s v="Enterprise"/>
    <x v="1"/>
    <s v="D. Smith"/>
    <s v="Printers"/>
    <s v="PRN-2641"/>
    <n v="401.3"/>
    <s v="High"/>
    <n v="826.47"/>
    <n v="0.22500000000000001"/>
    <n v="13"/>
    <n v="2146.5795000000003"/>
    <n v="5216.9000000000005"/>
    <n v="-3070.3205000000003"/>
    <n v="-1.4303316043034977"/>
  </r>
  <r>
    <s v="ORD-2025-460466"/>
    <d v="2025-02-07T00:00:00"/>
    <d v="2025-02-16T00:00:00"/>
    <n v="9"/>
    <x v="26"/>
    <s v="Q1-2025"/>
    <x v="0"/>
    <s v="Nigeria"/>
    <s v="Lagos"/>
    <s v="Small Business"/>
    <x v="3"/>
    <s v="C. Otieno"/>
    <s v="Printers"/>
    <s v="PRN-1882"/>
    <n v="90.68"/>
    <s v="Medium"/>
    <n v="118.17"/>
    <n v="0.13500000000000001"/>
    <n v="21"/>
    <n v="36886.575600000004"/>
    <n v="1904.2800000000002"/>
    <n v="34982.295600000005"/>
    <n v="0.94837471440422894"/>
  </r>
  <r>
    <s v="ORD-2023-700699"/>
    <d v="2023-01-12T00:00:00"/>
    <d v="2023-01-26T00:00:00"/>
    <n v="14"/>
    <x v="5"/>
    <s v="Q1-2023"/>
    <x v="1"/>
    <s v="China"/>
    <s v="Shenzhen"/>
    <s v="Non-Profit"/>
    <x v="0"/>
    <s v="M. Rossi"/>
    <s v="Printers"/>
    <s v="PRN-1641"/>
    <n v="1083.0899999999999"/>
    <s v="High"/>
    <n v="1425.87"/>
    <n v="0"/>
    <n v="8"/>
    <n v="7653.6"/>
    <n v="8664.7199999999993"/>
    <n v="-1011.119999999999"/>
    <n v="-0.13211037942928805"/>
  </r>
  <r>
    <s v="ORD-2024-713332"/>
    <d v="2024-06-05T00:00:00"/>
    <d v="2024-06-23T00:00:00"/>
    <n v="18"/>
    <x v="17"/>
    <s v="Q2-2024"/>
    <x v="0"/>
    <s v="Kenya"/>
    <s v="Nairobi"/>
    <s v="Consumer"/>
    <x v="3"/>
    <s v="D. Smith"/>
    <s v="Laptops"/>
    <s v="LAP-1739"/>
    <n v="1208.74"/>
    <s v="High"/>
    <n v="1594.78"/>
    <n v="5.8999999999999997E-2"/>
    <n v="39"/>
    <n v="53128.40832000001"/>
    <n v="47140.86"/>
    <n v="5987.548320000009"/>
    <n v="0.11269956148387032"/>
  </r>
  <r>
    <s v="ORD-2023-640022"/>
    <d v="2023-08-24T00:00:00"/>
    <d v="2023-09-20T00:00:00"/>
    <n v="27"/>
    <x v="25"/>
    <s v="Q3-2023"/>
    <x v="0"/>
    <s v="South Africa"/>
    <s v="Durban"/>
    <s v="Small Business"/>
    <x v="2"/>
    <s v="M. Rossi"/>
    <s v="Printers"/>
    <s v="PRN-4732"/>
    <n v="1399.64"/>
    <s v="High"/>
    <n v="3342.11"/>
    <n v="0"/>
    <n v="10"/>
    <n v="29496.199999999997"/>
    <n v="13996.400000000001"/>
    <n v="15499.799999999996"/>
    <n v="0.52548463869922213"/>
  </r>
  <r>
    <s v="ORD-2024-532184"/>
    <d v="2024-01-25T00:00:00"/>
    <d v="2024-02-08T00:00:00"/>
    <n v="14"/>
    <x v="9"/>
    <s v="Q1-2024"/>
    <x v="1"/>
    <s v="Japan"/>
    <s v="Osaka"/>
    <s v="Consumer"/>
    <x v="2"/>
    <s v="I. Johnson"/>
    <s v="Networking"/>
    <s v="NET-9569"/>
    <n v="937.16"/>
    <s v="High"/>
    <n v="1069.77"/>
    <n v="3.7999999999999999E-2"/>
    <n v="9"/>
    <n v="22342.575059999999"/>
    <n v="8434.44"/>
    <n v="13908.135059999999"/>
    <n v="0.62249472241450754"/>
  </r>
  <r>
    <s v="ORD-2025-926547"/>
    <d v="2025-03-11T00:00:00"/>
    <d v="2025-03-26T00:00:00"/>
    <n v="15"/>
    <x v="3"/>
    <s v="Q1-2025"/>
    <x v="3"/>
    <s v="Germany"/>
    <s v="Berlin"/>
    <s v="Small Business"/>
    <x v="1"/>
    <s v="I. Johnson"/>
    <s v="Phones"/>
    <s v="PHN-3007"/>
    <n v="116.97"/>
    <s v="Medium"/>
    <n v="140.82"/>
    <n v="0.122"/>
    <n v="5"/>
    <n v="8687.4149000000016"/>
    <n v="584.85"/>
    <n v="8102.5649000000012"/>
    <n v="0.93267847723032082"/>
  </r>
  <r>
    <s v="ORD-2025-778145"/>
    <d v="2025-04-22T00:00:00"/>
    <d v="2025-05-12T00:00:00"/>
    <n v="20"/>
    <x v="19"/>
    <s v="Q2-2025"/>
    <x v="3"/>
    <s v="France"/>
    <s v="Lyon"/>
    <s v="Enterprise"/>
    <x v="2"/>
    <s v="K. Singh"/>
    <s v="Monitors"/>
    <s v="MON-9216"/>
    <n v="59.51"/>
    <s v="Medium"/>
    <n v="67.040000000000006"/>
    <n v="0.114"/>
    <n v="9"/>
    <n v="11813.082300000002"/>
    <n v="535.59"/>
    <n v="11277.492300000002"/>
    <n v="0.95466128260191674"/>
  </r>
  <r>
    <s v="ORD-2023-525643"/>
    <d v="2023-08-17T00:00:00"/>
    <d v="2023-09-03T00:00:00"/>
    <n v="17"/>
    <x v="25"/>
    <s v="Q3-2023"/>
    <x v="0"/>
    <s v="South Africa"/>
    <s v="Durban"/>
    <s v="Enterprise"/>
    <x v="0"/>
    <s v="A. Patel"/>
    <s v="Phones"/>
    <s v="PHN-8072"/>
    <n v="676.37"/>
    <s v="High"/>
    <n v="1276.67"/>
    <n v="6.6000000000000003E-2"/>
    <n v="10"/>
    <n v="15494.3128"/>
    <n v="6763.7"/>
    <n v="8730.612799999999"/>
    <n v="0.56347208893317291"/>
  </r>
  <r>
    <s v="ORD-2025-312803"/>
    <d v="2025-06-24T00:00:00"/>
    <d v="2025-07-14T00:00:00"/>
    <n v="20"/>
    <x v="16"/>
    <s v="Q2-2025"/>
    <x v="0"/>
    <s v="South Africa"/>
    <s v="Johannesburg"/>
    <s v="Enterprise"/>
    <x v="2"/>
    <s v="J. Njeri"/>
    <s v="Laptops"/>
    <s v="LAP-1308"/>
    <n v="1151.06"/>
    <s v="High"/>
    <n v="2821.36"/>
    <n v="0.248"/>
    <n v="20"/>
    <n v="9059.1936000000005"/>
    <n v="23021.199999999997"/>
    <n v="-13962.006399999997"/>
    <n v="-1.5411974858336173"/>
  </r>
  <r>
    <s v="ORD-2025-149156"/>
    <d v="2025-01-10T00:00:00"/>
    <d v="2025-02-06T00:00:00"/>
    <n v="27"/>
    <x v="10"/>
    <s v="Q1-2025"/>
    <x v="2"/>
    <s v="Brazil"/>
    <s v="Brasília"/>
    <s v="Non-Profit"/>
    <x v="0"/>
    <s v="B. Chen"/>
    <s v="Laptops"/>
    <s v="LAP-7353"/>
    <n v="725.62"/>
    <s v="High"/>
    <n v="1559.19"/>
    <n v="0.19"/>
    <n v="12"/>
    <n v="5128.6608000000006"/>
    <n v="8707.44"/>
    <n v="-3578.7791999999999"/>
    <n v="-0.69779994028850567"/>
  </r>
  <r>
    <s v="ORD-2023-215819"/>
    <d v="2023-07-01T00:00:00"/>
    <d v="2023-07-11T00:00:00"/>
    <n v="10"/>
    <x v="24"/>
    <s v="Q3-2023"/>
    <x v="3"/>
    <s v="France"/>
    <s v="Paris"/>
    <s v="Corporate"/>
    <x v="4"/>
    <s v="F. Müller"/>
    <s v="Networking"/>
    <s v="NET-6533"/>
    <n v="479.5"/>
    <s v="High"/>
    <n v="656.66"/>
    <n v="0.14899999999999999"/>
    <n v="14"/>
    <n v="21944.3966"/>
    <n v="6713"/>
    <n v="15231.3966"/>
    <n v="0.69409047228029042"/>
  </r>
  <r>
    <s v="ORD-2024-353078"/>
    <d v="2024-08-16T00:00:00"/>
    <d v="2024-08-26T00:00:00"/>
    <n v="10"/>
    <x v="21"/>
    <s v="Q3-2024"/>
    <x v="2"/>
    <s v="USA"/>
    <s v="Chicago"/>
    <s v="Corporate"/>
    <x v="3"/>
    <s v="L. Okafor"/>
    <s v="Laptops"/>
    <s v="LAP-5763"/>
    <n v="1291.7"/>
    <s v="High"/>
    <n v="2657.84"/>
    <n v="8.6999999999999994E-2"/>
    <n v="21"/>
    <n v="31548.788040000003"/>
    <n v="27125.7"/>
    <n v="4423.0880400000024"/>
    <n v="0.14019835038962727"/>
  </r>
  <r>
    <s v="ORD-2023-621393"/>
    <d v="2023-07-07T00:00:00"/>
    <d v="2023-07-13T00:00:00"/>
    <n v="6"/>
    <x v="24"/>
    <s v="Q3-2023"/>
    <x v="0"/>
    <s v="South Africa"/>
    <s v="Cape Town"/>
    <s v="Small Business"/>
    <x v="2"/>
    <s v="B. Chen"/>
    <s v="Accessories"/>
    <s v="ACC-9445"/>
    <n v="612.59"/>
    <s v="High"/>
    <n v="1424.74"/>
    <n v="4.3999999999999997E-2"/>
    <n v="15"/>
    <n v="10428.334800000001"/>
    <n v="9188.85"/>
    <n v="1239.4848000000002"/>
    <n v="0.11885740377265219"/>
  </r>
  <r>
    <s v="ORD-2023-974506"/>
    <d v="2023-12-28T00:00:00"/>
    <d v="2024-01-01T00:00:00"/>
    <n v="4"/>
    <x v="4"/>
    <s v="Q4-2023"/>
    <x v="0"/>
    <s v="South Africa"/>
    <s v="Cape Town"/>
    <s v="Education"/>
    <x v="3"/>
    <s v="A. Patel"/>
    <s v="Printers"/>
    <s v="PRN-1654"/>
    <n v="1141.8"/>
    <s v="High"/>
    <n v="2318.7399999999998"/>
    <n v="0.107"/>
    <n v="32"/>
    <n v="35256.783040000002"/>
    <n v="36537.599999999999"/>
    <n v="-1280.8169599999965"/>
    <n v="-3.6328242385213268E-2"/>
  </r>
  <r>
    <s v="ORD-2023-811823"/>
    <d v="2023-01-26T00:00:00"/>
    <d v="2023-02-15T00:00:00"/>
    <n v="20"/>
    <x v="5"/>
    <s v="Q1-2023"/>
    <x v="3"/>
    <s v="Germany"/>
    <s v="Berlin"/>
    <s v="Small Business"/>
    <x v="1"/>
    <s v="O. Wang"/>
    <s v="Networking"/>
    <s v="NET-8787"/>
    <n v="492.62"/>
    <s v="High"/>
    <n v="366.7"/>
    <n v="8.8999999999999996E-2"/>
    <n v="10"/>
    <n v="14063.653600000001"/>
    <n v="4926.2"/>
    <n v="9137.4536000000007"/>
    <n v="0.6497211791393952"/>
  </r>
  <r>
    <s v="ORD-2023-286720"/>
    <d v="2023-07-08T00:00:00"/>
    <d v="2023-07-09T00:00:00"/>
    <n v="1"/>
    <x v="24"/>
    <s v="Q3-2023"/>
    <x v="0"/>
    <s v="Kenya"/>
    <s v="Nairobi"/>
    <s v="Consumer"/>
    <x v="1"/>
    <s v="D. Smith"/>
    <s v="Laptops"/>
    <s v="LAP-1989"/>
    <n v="1258.72"/>
    <s v="High"/>
    <n v="2797.41"/>
    <n v="0"/>
    <n v="7"/>
    <n v="14806.33"/>
    <n v="8811.0400000000009"/>
    <n v="5995.2899999999991"/>
    <n v="0.40491397935882822"/>
  </r>
  <r>
    <s v="ORD-2024-626925"/>
    <d v="2024-06-07T00:00:00"/>
    <d v="2024-06-09T00:00:00"/>
    <n v="2"/>
    <x v="17"/>
    <s v="Q2-2024"/>
    <x v="1"/>
    <s v="China"/>
    <s v="Shanghai"/>
    <s v="Corporate"/>
    <x v="0"/>
    <s v="O. Wang"/>
    <s v="Monitors"/>
    <s v="MON-8688"/>
    <n v="1370.28"/>
    <s v="High"/>
    <n v="2209.66"/>
    <n v="0.13300000000000001"/>
    <n v="16"/>
    <n v="25485.499680000001"/>
    <n v="21924.48"/>
    <n v="3561.0196800000012"/>
    <n v="0.13972728511164123"/>
  </r>
  <r>
    <s v="ORD-2023-960380"/>
    <d v="2023-02-11T00:00:00"/>
    <d v="2023-02-12T00:00:00"/>
    <n v="1"/>
    <x v="2"/>
    <s v="Q1-2023"/>
    <x v="0"/>
    <s v="Nigeria"/>
    <s v="Port Harcourt"/>
    <s v="Non-Profit"/>
    <x v="4"/>
    <s v="D. Smith"/>
    <s v="Accessories"/>
    <s v="ACC-8242"/>
    <n v="944.61"/>
    <s v="High"/>
    <n v="839.04"/>
    <n v="5.8999999999999997E-2"/>
    <n v="6"/>
    <n v="16141.518779999999"/>
    <n v="5667.66"/>
    <n v="10473.858779999999"/>
    <n v="0.64887690698458544"/>
  </r>
  <r>
    <s v="ORD-2023-453699"/>
    <d v="2023-07-01T00:00:00"/>
    <d v="2023-07-08T00:00:00"/>
    <n v="7"/>
    <x v="24"/>
    <s v="Q3-2023"/>
    <x v="3"/>
    <s v="Germany"/>
    <s v="Frankfurt"/>
    <s v="Small Business"/>
    <x v="3"/>
    <s v="N. Brown"/>
    <s v="Laptops"/>
    <s v="LAP-4666"/>
    <n v="460.21"/>
    <s v="High"/>
    <n v="1139.1500000000001"/>
    <n v="0.115"/>
    <n v="14"/>
    <n v="3592.1088"/>
    <n v="6442.94"/>
    <n v="-2850.8311999999996"/>
    <n v="-0.79363720831618456"/>
  </r>
  <r>
    <s v="ORD-2025-960931"/>
    <d v="2025-08-20T00:00:00"/>
    <d v="2025-08-26T00:00:00"/>
    <n v="6"/>
    <x v="28"/>
    <s v="Q3-2025"/>
    <x v="2"/>
    <s v="USA"/>
    <s v="New York"/>
    <s v="Corporate"/>
    <x v="0"/>
    <s v="M. Rossi"/>
    <s v="Networking"/>
    <s v="NET-5196"/>
    <n v="1304.95"/>
    <s v="High"/>
    <n v="1712.03"/>
    <n v="0.21199999999999999"/>
    <n v="8"/>
    <n v="6286.3488000000007"/>
    <n v="10439.6"/>
    <n v="-4153.2511999999997"/>
    <n v="-0.66067781666839731"/>
  </r>
  <r>
    <s v="ORD-2024-419248"/>
    <d v="2024-03-04T00:00:00"/>
    <d v="2024-03-16T00:00:00"/>
    <n v="12"/>
    <x v="0"/>
    <s v="Q1-2024"/>
    <x v="0"/>
    <s v="South Africa"/>
    <s v="Johannesburg"/>
    <s v="Enterprise"/>
    <x v="3"/>
    <s v="M. Rossi"/>
    <s v="Monitors"/>
    <s v="MON-8422"/>
    <n v="441.08"/>
    <s v="High"/>
    <n v="1054.29"/>
    <n v="0.23699999999999999"/>
    <n v="6"/>
    <n v="216.49362000000002"/>
    <n v="2646.48"/>
    <n v="-2429.9863799999998"/>
    <n v="-11.224286332317782"/>
  </r>
  <r>
    <s v="ORD-2023-488227"/>
    <d v="2023-09-08T00:00:00"/>
    <d v="2023-10-02T00:00:00"/>
    <n v="24"/>
    <x v="27"/>
    <s v="Q3-2023"/>
    <x v="2"/>
    <s v="Canada"/>
    <s v="Toronto"/>
    <s v="Education"/>
    <x v="4"/>
    <s v="A. Patel"/>
    <s v="Accessories"/>
    <s v="ACC-3415"/>
    <n v="1299.03"/>
    <s v="High"/>
    <n v="2451.2199999999998"/>
    <n v="0.20799999999999999"/>
    <n v="8"/>
    <n v="4778.8646400000007"/>
    <n v="10392.24"/>
    <n v="-5613.3753599999991"/>
    <n v="-1.1746253101657214"/>
  </r>
  <r>
    <s v="ORD-2023-472078"/>
    <d v="2023-02-28T00:00:00"/>
    <d v="2023-03-06T00:00:00"/>
    <n v="6"/>
    <x v="2"/>
    <s v="Q1-2023"/>
    <x v="3"/>
    <s v="Germany"/>
    <s v="Frankfurt"/>
    <s v="Small Business"/>
    <x v="2"/>
    <s v="D. Smith"/>
    <s v="Printers"/>
    <s v="PRN-9624"/>
    <n v="880.02"/>
    <s v="High"/>
    <n v="1251.21"/>
    <n v="0.123"/>
    <n v="29"/>
    <n v="22927.340840000001"/>
    <n v="25520.579999999998"/>
    <n v="-2593.2391599999974"/>
    <n v="-0.1131068438375428"/>
  </r>
  <r>
    <s v="ORD-2024-202877"/>
    <d v="2024-07-13T00:00:00"/>
    <d v="2024-08-03T00:00:00"/>
    <n v="21"/>
    <x v="14"/>
    <s v="Q3-2024"/>
    <x v="2"/>
    <s v="Brazil"/>
    <s v="Rio de Janeiro"/>
    <s v="Corporate"/>
    <x v="2"/>
    <s v="M. Rossi"/>
    <s v="Monitors"/>
    <s v="MON-6287"/>
    <n v="702.98"/>
    <s v="High"/>
    <n v="1104.8"/>
    <n v="0.17499999999999999"/>
    <n v="12"/>
    <n v="1119.492"/>
    <n v="8435.76"/>
    <n v="-7316.268"/>
    <n v="-6.5353463892551265"/>
  </r>
  <r>
    <s v="ORD-2024-140633"/>
    <d v="2024-12-07T00:00:00"/>
    <d v="2024-12-26T00:00:00"/>
    <n v="19"/>
    <x v="6"/>
    <s v="Q4-2024"/>
    <x v="3"/>
    <s v="United Kingdom"/>
    <s v="London"/>
    <s v="Enterprise"/>
    <x v="1"/>
    <s v="D. Smith"/>
    <s v="Networking"/>
    <s v="NET-4491"/>
    <n v="1035.24"/>
    <s v="High"/>
    <n v="2383.41"/>
    <n v="0.17"/>
    <n v="15"/>
    <n v="10814.319"/>
    <n v="15528.6"/>
    <n v="-4714.2810000000009"/>
    <n v="-0.43592953009801183"/>
  </r>
  <r>
    <s v="ORD-2025-419532"/>
    <d v="2025-08-06T00:00:00"/>
    <d v="2025-08-23T00:00:00"/>
    <n v="17"/>
    <x v="28"/>
    <s v="Q3-2025"/>
    <x v="2"/>
    <s v="Brazil"/>
    <s v="Brasília"/>
    <s v="Consumer"/>
    <x v="3"/>
    <s v="A. Patel"/>
    <s v="Monitors"/>
    <s v="MON-4317"/>
    <n v="86.64"/>
    <s v="High"/>
    <n v="213.06"/>
    <n v="0.21199999999999999"/>
    <n v="11"/>
    <n v="3015.5971999999997"/>
    <n v="953.04"/>
    <n v="2062.5571999999997"/>
    <n v="0.68396309692819712"/>
  </r>
  <r>
    <s v="ORD-2023-139236"/>
    <d v="2023-03-03T00:00:00"/>
    <d v="2023-03-20T00:00:00"/>
    <n v="17"/>
    <x v="22"/>
    <s v="Q1-2023"/>
    <x v="1"/>
    <s v="Japan"/>
    <s v="Nagoya"/>
    <s v="Small Business"/>
    <x v="1"/>
    <s v="D. Smith"/>
    <s v="Networking"/>
    <s v="NET-7349"/>
    <n v="1171.17"/>
    <s v="High"/>
    <n v="2030.64"/>
    <n v="0.157"/>
    <n v="11"/>
    <n v="10310.463239999999"/>
    <n v="12882.87"/>
    <n v="-2572.4067600000017"/>
    <n v="-0.24949478021707217"/>
  </r>
  <r>
    <s v="ORD-2025-337268"/>
    <d v="2025-02-16T00:00:00"/>
    <d v="2025-03-17T00:00:00"/>
    <n v="1"/>
    <x v="26"/>
    <s v="Q1-2025"/>
    <x v="3"/>
    <s v="Germany"/>
    <s v="Munich"/>
    <s v="Consumer"/>
    <x v="0"/>
    <s v="L. Okafor"/>
    <s v="Accessories"/>
    <s v="ACC-5150"/>
    <n v="730.42"/>
    <s v="High"/>
    <n v="956.7"/>
    <n v="4.2000000000000003E-2"/>
    <n v="22"/>
    <n v="6907.0267199999998"/>
    <n v="16069.24"/>
    <n v="-9162.2132799999999"/>
    <n v="-1.3265061293986133"/>
  </r>
  <r>
    <s v="ORD-2025-332931"/>
    <d v="2025-02-15T00:00:00"/>
    <d v="2025-03-01T00:00:00"/>
    <n v="14"/>
    <x v="26"/>
    <s v="Q1-2025"/>
    <x v="0"/>
    <s v="Kenya"/>
    <s v="Mombasa"/>
    <s v="Education"/>
    <x v="4"/>
    <s v="L. Okafor"/>
    <s v="Accessories"/>
    <s v="ACC-5144"/>
    <n v="1162.8599999999999"/>
    <s v="High"/>
    <n v="1447.68"/>
    <n v="8.6999999999999994E-2"/>
    <n v="12"/>
    <n v="5326.0402800000002"/>
    <n v="13954.32"/>
    <n v="-8628.2797199999986"/>
    <n v="-1.6200177367040112"/>
  </r>
  <r>
    <s v="ORD-2024-536442"/>
    <d v="2024-08-31T00:00:00"/>
    <d v="2024-09-26T00:00:00"/>
    <n v="26"/>
    <x v="21"/>
    <s v="Q3-2024"/>
    <x v="1"/>
    <s v="Japan"/>
    <s v="Tokyo"/>
    <s v="Education"/>
    <x v="1"/>
    <s v="I. Johnson"/>
    <s v="Phones"/>
    <s v="PHN-6111"/>
    <n v="1189.03"/>
    <s v="High"/>
    <n v="2949.62"/>
    <n v="0.125"/>
    <n v="13"/>
    <n v="23507.575000000001"/>
    <n v="15457.39"/>
    <n v="8050.1850000000013"/>
    <n v="0.34245067813247437"/>
  </r>
  <r>
    <s v="ORD-2023-957692"/>
    <d v="2023-05-07T00:00:00"/>
    <d v="2023-05-20T00:00:00"/>
    <n v="13"/>
    <x v="15"/>
    <s v="Q2-2023"/>
    <x v="1"/>
    <s v="India"/>
    <s v="Mumbai"/>
    <s v="Enterprise"/>
    <x v="0"/>
    <s v="D. Smith"/>
    <s v="Accessories"/>
    <s v="ACC-9283"/>
    <n v="1443.28"/>
    <s v="High"/>
    <n v="2580.5700000000002"/>
    <n v="0"/>
    <n v="18"/>
    <n v="1551.6000000000001"/>
    <n v="25979.040000000001"/>
    <n v="-24427.440000000002"/>
    <n v="-15.74338747099768"/>
  </r>
  <r>
    <s v="ORD-2025-874124"/>
    <d v="2025-05-14T00:00:00"/>
    <d v="2025-05-12T00:00:00"/>
    <n v="2"/>
    <x v="8"/>
    <s v="Q2-2025"/>
    <x v="2"/>
    <s v="Canada"/>
    <s v="Vancouver"/>
    <s v="Non-Profit"/>
    <x v="3"/>
    <s v="F. Müller"/>
    <s v="Printers"/>
    <s v="PRN-2407"/>
    <n v="883.5"/>
    <s v="High"/>
    <n v="1978.91"/>
    <n v="5.3999999999999999E-2"/>
    <n v="27"/>
    <n v="58944.550499999998"/>
    <n v="23854.5"/>
    <n v="35090.050499999998"/>
    <n v="0.59530610043416987"/>
  </r>
  <r>
    <s v="ORD-2024-687073"/>
    <d v="2024-03-11T00:00:00"/>
    <d v="2024-03-29T00:00:00"/>
    <n v="18"/>
    <x v="0"/>
    <s v="Q1-2024"/>
    <x v="2"/>
    <s v="USA"/>
    <s v="New York"/>
    <s v="Corporate"/>
    <x v="0"/>
    <s v="M. Rossi"/>
    <s v="Monitors"/>
    <s v="MON-7099"/>
    <n v="710.98"/>
    <s v="High"/>
    <n v="1481.45"/>
    <n v="0.21099999999999999"/>
    <n v="9"/>
    <n v="7902.0638099999996"/>
    <n v="6398.82"/>
    <n v="1503.2438099999999"/>
    <n v="0.19023432942893434"/>
  </r>
  <r>
    <s v="ORD-2024-555229"/>
    <d v="2024-05-18T00:00:00"/>
    <d v="2024-05-22T00:00:00"/>
    <n v="4"/>
    <x v="7"/>
    <s v="Q2-2024"/>
    <x v="0"/>
    <s v="Kenya"/>
    <s v="Nairobi"/>
    <s v="Corporate"/>
    <x v="4"/>
    <s v="H. Kim"/>
    <s v="Accessories"/>
    <s v="ACC-7354"/>
    <n v="857.42"/>
    <s v="High"/>
    <n v="1658.92"/>
    <n v="0.122"/>
    <n v="9"/>
    <n v="8897.572979999999"/>
    <n v="7716.78"/>
    <n v="1180.7929799999993"/>
    <n v="0.13270955828675871"/>
  </r>
  <r>
    <s v="ORD-2024-872291"/>
    <d v="2024-01-08T00:00:00"/>
    <d v="2024-01-12T00:00:00"/>
    <n v="4"/>
    <x v="9"/>
    <s v="Q1-2024"/>
    <x v="1"/>
    <s v="India"/>
    <s v="Bengaluru"/>
    <s v="Corporate"/>
    <x v="4"/>
    <s v="E. Garcia"/>
    <s v="Printers"/>
    <s v="PRN-6585"/>
    <n v="802.32"/>
    <s v="High"/>
    <n v="602.34"/>
    <n v="0.12"/>
    <n v="25"/>
    <n v="2719.64"/>
    <n v="20058"/>
    <n v="-17338.36"/>
    <n v="-6.3752408406995045"/>
  </r>
  <r>
    <s v="ORD-2024-250862"/>
    <d v="2024-10-25T00:00:00"/>
    <d v="2024-11-05T00:00:00"/>
    <n v="11"/>
    <x v="1"/>
    <s v="Q4-2024"/>
    <x v="2"/>
    <s v="USA"/>
    <s v="New York"/>
    <s v="Corporate"/>
    <x v="3"/>
    <s v="N. Brown"/>
    <s v="Components"/>
    <s v="CMP-9498"/>
    <n v="446.66"/>
    <s v="High"/>
    <n v="527.64"/>
    <n v="0.14499999999999999"/>
    <n v="15"/>
    <n v="22209.693749999999"/>
    <n v="6699.9000000000005"/>
    <n v="15509.793749999997"/>
    <n v="0.6983344266059498"/>
  </r>
  <r>
    <s v="ORD-2024-331226"/>
    <d v="2024-11-30T00:00:00"/>
    <d v="2024-12-19T00:00:00"/>
    <n v="19"/>
    <x v="18"/>
    <s v="Q4-2024"/>
    <x v="0"/>
    <s v="Kenya"/>
    <s v="Kisumu"/>
    <s v="Corporate"/>
    <x v="1"/>
    <s v="L. Okafor"/>
    <s v="Phones"/>
    <s v="PHN-1919"/>
    <n v="1195.98"/>
    <s v="High"/>
    <n v="1841.9"/>
    <n v="5.5E-2"/>
    <n v="19"/>
    <n v="54978.38955"/>
    <n v="22723.62"/>
    <n v="32254.769550000001"/>
    <n v="0.58668087250293055"/>
  </r>
  <r>
    <s v="ORD-2023-356427"/>
    <d v="2023-04-13T00:00:00"/>
    <d v="2023-05-02T00:00:00"/>
    <n v="19"/>
    <x v="12"/>
    <s v="Q2-2023"/>
    <x v="2"/>
    <s v="Canada"/>
    <s v="Montreal"/>
    <s v="Consumer"/>
    <x v="3"/>
    <s v="E. Garcia"/>
    <s v="Monitors"/>
    <s v="MON-6053"/>
    <n v="671.05"/>
    <s v="High"/>
    <n v="1645.48"/>
    <n v="0.13700000000000001"/>
    <n v="6"/>
    <n v="11393.722979999999"/>
    <n v="4026.2999999999997"/>
    <n v="7367.4229799999994"/>
    <n v="0.64662121353419111"/>
  </r>
  <r>
    <s v="ORD-2025-659650"/>
    <d v="2025-02-04T00:00:00"/>
    <d v="2025-02-08T00:00:00"/>
    <n v="4"/>
    <x v="26"/>
    <s v="Q1-2025"/>
    <x v="3"/>
    <s v="United Kingdom"/>
    <s v="Manchester"/>
    <s v="Enterprise"/>
    <x v="2"/>
    <s v="L. Okafor"/>
    <s v="Networking"/>
    <s v="NET-2502"/>
    <n v="586.21"/>
    <s v="High"/>
    <n v="727.22"/>
    <n v="6.8000000000000005E-2"/>
    <n v="15"/>
    <n v="8408.8302000000003"/>
    <n v="8793.1500000000015"/>
    <n v="-384.31980000000112"/>
    <n v="-4.5704312117041096E-2"/>
  </r>
  <r>
    <s v="ORD-2024-207669"/>
    <d v="2024-01-24T00:00:00"/>
    <d v="2024-02-04T00:00:00"/>
    <n v="11"/>
    <x v="9"/>
    <s v="Q1-2024"/>
    <x v="3"/>
    <s v="United Kingdom"/>
    <s v="Manchester"/>
    <s v="Consumer"/>
    <x v="0"/>
    <s v="B. Chen"/>
    <s v="Laptops"/>
    <s v="LAP-5689"/>
    <n v="525.34"/>
    <s v="High"/>
    <n v="1233.79"/>
    <n v="0.14299999999999999"/>
    <n v="4"/>
    <n v="3248.9555599999999"/>
    <n v="2101.36"/>
    <n v="1147.5955599999998"/>
    <n v="0.35321983905498533"/>
  </r>
  <r>
    <s v="ORD-2024-979401"/>
    <d v="2024-02-08T00:00:00"/>
    <d v="2024-02-09T00:00:00"/>
    <n v="1"/>
    <x v="31"/>
    <s v="Q1-2024"/>
    <x v="0"/>
    <s v="Kenya"/>
    <s v="Mombasa"/>
    <s v="Corporate"/>
    <x v="4"/>
    <s v="F. Müller"/>
    <s v="Components"/>
    <s v="CMP-5911"/>
    <n v="1233.52"/>
    <s v="High"/>
    <n v="1543.76"/>
    <n v="0.126"/>
    <n v="13"/>
    <n v="26490.27576"/>
    <n v="16035.76"/>
    <n v="10454.51576"/>
    <n v="0.39465484824382968"/>
  </r>
  <r>
    <s v="ORD-2025-929414"/>
    <d v="2025-06-26T00:00:00"/>
    <d v="2025-07-11T00:00:00"/>
    <n v="15"/>
    <x v="16"/>
    <s v="Q2-2025"/>
    <x v="0"/>
    <s v="Nigeria"/>
    <s v="Port Harcourt"/>
    <s v="Small Business"/>
    <x v="1"/>
    <s v="A. Patel"/>
    <s v="Laptops"/>
    <s v="LAP-7523"/>
    <n v="1170.1500000000001"/>
    <s v="High"/>
    <n v="2115.19"/>
    <n v="9.1999999999999998E-2"/>
    <n v="23"/>
    <n v="29597.640160000003"/>
    <n v="26913.45"/>
    <n v="2684.1901600000019"/>
    <n v="9.0689330145569333E-2"/>
  </r>
  <r>
    <s v="ORD-2024-766980"/>
    <d v="2024-11-04T00:00:00"/>
    <d v="2024-11-07T00:00:00"/>
    <n v="3"/>
    <x v="18"/>
    <s v="Q4-2024"/>
    <x v="3"/>
    <s v="France"/>
    <s v="Lyon"/>
    <s v="Corporate"/>
    <x v="1"/>
    <s v="O. Wang"/>
    <s v="Monitors"/>
    <s v="MON-1118"/>
    <n v="740.68"/>
    <s v="High"/>
    <n v="1837.19"/>
    <n v="0.19700000000000001"/>
    <n v="17"/>
    <n v="9548.8744999999999"/>
    <n v="12591.56"/>
    <n v="-3042.6854999999996"/>
    <n v="-0.31864336472324561"/>
  </r>
  <r>
    <s v="ORD-2024-437164"/>
    <d v="2024-02-20T00:00:00"/>
    <d v="2024-02-20T00:00:00"/>
    <n v="0"/>
    <x v="31"/>
    <s v="Q1-2024"/>
    <x v="2"/>
    <s v="USA"/>
    <s v="New York"/>
    <s v="Enterprise"/>
    <x v="1"/>
    <s v="C. Otieno"/>
    <s v="Networking"/>
    <s v="NET-9177"/>
    <n v="1407.05"/>
    <s v="High"/>
    <n v="2858.93"/>
    <n v="0"/>
    <n v="12"/>
    <n v="21446.400000000001"/>
    <n v="16884.599999999999"/>
    <n v="4561.8000000000029"/>
    <n v="0.2127070277529097"/>
  </r>
  <r>
    <s v="ORD-2025-169093"/>
    <d v="2025-04-13T00:00:00"/>
    <d v="2025-04-14T00:00:00"/>
    <n v="1"/>
    <x v="19"/>
    <s v="Q2-2025"/>
    <x v="1"/>
    <s v="Japan"/>
    <s v="Osaka"/>
    <s v="Enterprise"/>
    <x v="1"/>
    <s v="G. Dubois"/>
    <s v="Components"/>
    <s v="CMP-6495"/>
    <n v="138.9"/>
    <s v="High"/>
    <n v="289.92"/>
    <n v="2.9000000000000001E-2"/>
    <n v="12"/>
    <n v="19793.834999999999"/>
    <n v="1666.8000000000002"/>
    <n v="18127.035"/>
    <n v="0.91579196249741401"/>
  </r>
  <r>
    <s v="ORD-2023-868460"/>
    <d v="2023-06-01T00:00:00"/>
    <d v="2023-06-01T00:00:00"/>
    <n v="0"/>
    <x v="23"/>
    <s v="Q2-2023"/>
    <x v="1"/>
    <s v="India"/>
    <s v="Bengaluru"/>
    <s v="Corporate"/>
    <x v="0"/>
    <s v="E. Garcia"/>
    <s v="Accessories"/>
    <s v="ACC-4587"/>
    <n v="669.37"/>
    <s v="High"/>
    <n v="997.2"/>
    <n v="8.2000000000000003E-2"/>
    <n v="5"/>
    <n v="3326.373"/>
    <n v="3346.85"/>
    <n v="-20.476999999999862"/>
    <n v="-6.1559542480653434E-3"/>
  </r>
  <r>
    <s v="ORD-2025-177994"/>
    <d v="2025-03-24T00:00:00"/>
    <d v="2025-04-04T00:00:00"/>
    <n v="11"/>
    <x v="3"/>
    <s v="Q1-2025"/>
    <x v="1"/>
    <s v="India"/>
    <s v="Mumbai"/>
    <s v="Education"/>
    <x v="2"/>
    <s v="J. Njeri"/>
    <s v="Phones"/>
    <s v="PHN-4395"/>
    <n v="23.83"/>
    <s v="Low"/>
    <n v="47.29"/>
    <n v="6.4000000000000001E-2"/>
    <n v="19"/>
    <n v="24114.036959999998"/>
    <n v="452.77"/>
    <n v="23661.266959999997"/>
    <n v="0.98122379920247083"/>
  </r>
  <r>
    <s v="ORD-2024-355095"/>
    <d v="2024-01-02T00:00:00"/>
    <d v="2024-01-02T00:00:00"/>
    <n v="0"/>
    <x v="9"/>
    <s v="Q1-2024"/>
    <x v="2"/>
    <s v="Canada"/>
    <s v="Vancouver"/>
    <s v="Education"/>
    <x v="4"/>
    <s v="A. Patel"/>
    <s v="Laptops"/>
    <s v="LAP-3581"/>
    <n v="444.41"/>
    <s v="High"/>
    <n v="754.24"/>
    <n v="0.20699999999999999"/>
    <n v="32"/>
    <n v="6980.1763200000005"/>
    <n v="14221.12"/>
    <n v="-7240.9436800000003"/>
    <n v="-1.0373582769324659"/>
  </r>
  <r>
    <s v="ORD-2023-126505"/>
    <d v="2023-12-19T00:00:00"/>
    <d v="2024-01-01T00:00:00"/>
    <n v="13"/>
    <x v="4"/>
    <s v="Q4-2023"/>
    <x v="2"/>
    <s v="Canada"/>
    <s v="Toronto"/>
    <s v="Enterprise"/>
    <x v="0"/>
    <s v="K. Singh"/>
    <s v="Monitors"/>
    <s v="MON-6065"/>
    <n v="856.1"/>
    <s v="High"/>
    <n v="901.48"/>
    <n v="5.6000000000000001E-2"/>
    <n v="17"/>
    <n v="28925.557119999998"/>
    <n v="14553.7"/>
    <n v="14371.857119999997"/>
    <n v="0.49685670911634278"/>
  </r>
  <r>
    <s v="ORD-2023-340056"/>
    <d v="2023-04-26T00:00:00"/>
    <d v="2023-04-26T00:00:00"/>
    <n v="0"/>
    <x v="12"/>
    <s v="Q2-2023"/>
    <x v="3"/>
    <s v="France"/>
    <s v="Marseille"/>
    <s v="Consumer"/>
    <x v="4"/>
    <s v="M. Rossi"/>
    <s v="Components"/>
    <s v="CMP-4945"/>
    <n v="81.489999999999995"/>
    <s v="Medium"/>
    <n v="113.08"/>
    <n v="0.121"/>
    <n v="5"/>
    <n v="5580.6830999999993"/>
    <n v="407.45"/>
    <n v="5173.2330999999995"/>
    <n v="0.92698922467036338"/>
  </r>
  <r>
    <s v="ORD-2025-281413"/>
    <d v="2025-08-03T00:00:00"/>
    <d v="2025-08-16T00:00:00"/>
    <n v="13"/>
    <x v="28"/>
    <s v="Q3-2025"/>
    <x v="2"/>
    <s v="Canada"/>
    <s v="Montreal"/>
    <s v="Enterprise"/>
    <x v="3"/>
    <s v="O. Wang"/>
    <s v="Networking"/>
    <s v="NET-3785"/>
    <n v="698.66"/>
    <s v="High"/>
    <n v="868.62"/>
    <n v="7.1999999999999995E-2"/>
    <n v="15"/>
    <n v="7960.848"/>
    <n v="10479.9"/>
    <n v="-2519.0519999999997"/>
    <n v="-0.31643010895321699"/>
  </r>
  <r>
    <s v="ORD-2023-713614"/>
    <d v="2023-08-02T00:00:00"/>
    <d v="2023-08-19T00:00:00"/>
    <n v="17"/>
    <x v="25"/>
    <s v="Q3-2023"/>
    <x v="2"/>
    <s v="Canada"/>
    <s v="Vancouver"/>
    <s v="Corporate"/>
    <x v="1"/>
    <s v="F. Müller"/>
    <s v="Networking"/>
    <s v="NET-3689"/>
    <n v="175.38"/>
    <s v="High"/>
    <n v="347.9"/>
    <n v="7.1999999999999995E-2"/>
    <n v="43"/>
    <n v="109937.11616000001"/>
    <n v="7541.34"/>
    <n v="102395.77616000001"/>
    <n v="0.93140314878712571"/>
  </r>
  <r>
    <s v="ORD-2023-173313"/>
    <d v="2023-06-15T00:00:00"/>
    <d v="2023-07-12T00:00:00"/>
    <n v="27"/>
    <x v="23"/>
    <s v="Q2-2023"/>
    <x v="3"/>
    <s v="United Kingdom"/>
    <s v="Manchester"/>
    <s v="Consumer"/>
    <x v="4"/>
    <s v="I. Johnson"/>
    <s v="Accessories"/>
    <s v="ACC-3833"/>
    <n v="751.28"/>
    <s v="High"/>
    <n v="1111.8800000000001"/>
    <n v="0.13500000000000001"/>
    <n v="7"/>
    <n v="5827.9980499999992"/>
    <n v="5258.96"/>
    <n v="569.0380499999992"/>
    <n v="9.7638682291597417E-2"/>
  </r>
  <r>
    <s v="ORD-2024-496601"/>
    <d v="2024-11-11T00:00:00"/>
    <d v="2024-11-24T00:00:00"/>
    <n v="13"/>
    <x v="18"/>
    <s v="Q4-2024"/>
    <x v="3"/>
    <s v="United Kingdom"/>
    <s v="London"/>
    <s v="Corporate"/>
    <x v="0"/>
    <s v="E. Garcia"/>
    <s v="Networking"/>
    <s v="NET-2932"/>
    <n v="164.53"/>
    <s v="High"/>
    <n v="327.72"/>
    <n v="6.7000000000000004E-2"/>
    <n v="14"/>
    <n v="8728.9427399999986"/>
    <n v="2303.42"/>
    <n v="6425.5227399999985"/>
    <n v="0.73611695383855846"/>
  </r>
  <r>
    <s v="ORD-2025-155182"/>
    <d v="2025-07-11T00:00:00"/>
    <d v="2025-08-03T00:00:00"/>
    <n v="23"/>
    <x v="13"/>
    <s v="Q3-2025"/>
    <x v="0"/>
    <s v="Kenya"/>
    <s v="Nakuru"/>
    <s v="Small Business"/>
    <x v="0"/>
    <s v="C. Otieno"/>
    <s v="Phones"/>
    <s v="PHN-7636"/>
    <n v="389.93"/>
    <s v="High"/>
    <n v="486.13"/>
    <n v="0.13200000000000001"/>
    <n v="17"/>
    <n v="20722.29348"/>
    <n v="6628.81"/>
    <n v="14093.483479999999"/>
    <n v="0.6801121455789747"/>
  </r>
  <r>
    <s v="ORD-2023-244375"/>
    <d v="2023-06-03T00:00:00"/>
    <d v="2023-07-01T00:00:00"/>
    <n v="28"/>
    <x v="23"/>
    <s v="Q2-2023"/>
    <x v="2"/>
    <s v="Brazil"/>
    <s v="Brasília"/>
    <s v="Small Business"/>
    <x v="2"/>
    <s v="A. Patel"/>
    <s v="Components"/>
    <s v="CMP-1223"/>
    <n v="860.4"/>
    <s v="High"/>
    <n v="2066.6"/>
    <n v="0.01"/>
    <n v="3"/>
    <n v="10661.9733"/>
    <n v="2581.1999999999998"/>
    <n v="8080.7732999999998"/>
    <n v="0.7579059778737206"/>
  </r>
  <r>
    <s v="ORD-2023-856322"/>
    <d v="2023-01-29T00:00:00"/>
    <d v="2023-02-06T00:00:00"/>
    <n v="8"/>
    <x v="5"/>
    <s v="Q1-2023"/>
    <x v="2"/>
    <s v="Brazil"/>
    <s v="Brasília"/>
    <s v="Corporate"/>
    <x v="2"/>
    <s v="D. Smith"/>
    <s v="Monitors"/>
    <s v="MON-7207"/>
    <n v="41.84"/>
    <s v="Medium"/>
    <n v="86.2"/>
    <n v="0.22600000000000001"/>
    <n v="27"/>
    <n v="4879.8919799999994"/>
    <n v="1129.68"/>
    <n v="3750.2119799999991"/>
    <n v="0.76850307247989524"/>
  </r>
  <r>
    <s v="ORD-2024-594527"/>
    <d v="2024-09-06T00:00:00"/>
    <d v="2024-09-04T00:00:00"/>
    <n v="2"/>
    <x v="29"/>
    <s v="Q3-2024"/>
    <x v="1"/>
    <s v="Japan"/>
    <s v="Osaka"/>
    <s v="Corporate"/>
    <x v="4"/>
    <s v="A. Patel"/>
    <s v="Laptops"/>
    <s v="LAP-4483"/>
    <n v="1368.17"/>
    <s v="High"/>
    <n v="2307.75"/>
    <n v="0.16300000000000001"/>
    <n v="21"/>
    <n v="2183.9422500000001"/>
    <n v="28731.57"/>
    <n v="-26547.62775"/>
    <n v="-12.155828639699607"/>
  </r>
  <r>
    <s v="ORD-2024-689872"/>
    <d v="2024-08-03T00:00:00"/>
    <d v="2024-08-09T00:00:00"/>
    <n v="6"/>
    <x v="21"/>
    <s v="Q3-2024"/>
    <x v="0"/>
    <s v="Kenya"/>
    <s v="Mombasa"/>
    <s v="Consumer"/>
    <x v="2"/>
    <s v="H. Kim"/>
    <s v="Laptops"/>
    <s v="LAP-1969"/>
    <n v="643.21"/>
    <s v="High"/>
    <n v="1112.81"/>
    <n v="0.14099999999999999"/>
    <n v="4"/>
    <n v="4918.1873199999991"/>
    <n v="2572.84"/>
    <n v="2345.3473199999989"/>
    <n v="0.47687230424562183"/>
  </r>
  <r>
    <s v="ORD-2025-246692"/>
    <d v="2025-04-17T00:00:00"/>
    <d v="2025-04-17T00:00:00"/>
    <n v="0"/>
    <x v="19"/>
    <s v="Q2-2025"/>
    <x v="2"/>
    <s v="Brazil"/>
    <s v="São Paulo"/>
    <s v="Corporate"/>
    <x v="3"/>
    <s v="L. Okafor"/>
    <s v="Phones"/>
    <s v="PHN-4566"/>
    <n v="719.41"/>
    <s v="High"/>
    <n v="1125.99"/>
    <n v="4.1000000000000002E-2"/>
    <n v="21"/>
    <n v="32132.177279999996"/>
    <n v="15107.609999999999"/>
    <n v="17024.567279999996"/>
    <n v="0.52982924660373332"/>
  </r>
  <r>
    <s v="ORD-2023-378676"/>
    <d v="2023-05-03T00:00:00"/>
    <d v="2023-05-16T00:00:00"/>
    <n v="13"/>
    <x v="15"/>
    <s v="Q2-2023"/>
    <x v="2"/>
    <s v="USA"/>
    <s v="New York"/>
    <s v="Corporate"/>
    <x v="2"/>
    <s v="L. Okafor"/>
    <s v="Phones"/>
    <s v="PHN-5366"/>
    <n v="64.5"/>
    <s v="Medium"/>
    <n v="123.62"/>
    <n v="0"/>
    <n v="3"/>
    <n v="3085.38"/>
    <n v="193.5"/>
    <n v="2891.88"/>
    <n v="0.93728487252785719"/>
  </r>
  <r>
    <s v="ORD-2024-243988"/>
    <d v="2024-03-13T00:00:00"/>
    <d v="2024-04-06T00:00:00"/>
    <n v="24"/>
    <x v="0"/>
    <s v="Q1-2024"/>
    <x v="0"/>
    <s v="Nigeria"/>
    <s v="Abuja"/>
    <s v="Consumer"/>
    <x v="3"/>
    <s v="L. Okafor"/>
    <s v="Components"/>
    <s v="CMP-9001"/>
    <n v="1232.78"/>
    <s v="High"/>
    <n v="1731.75"/>
    <n v="9.2999999999999999E-2"/>
    <n v="16"/>
    <n v="46878.839200000002"/>
    <n v="19724.48"/>
    <n v="27154.359200000003"/>
    <n v="0.5792455543566446"/>
  </r>
  <r>
    <s v="ORD-2024-572312"/>
    <d v="2024-06-16T00:00:00"/>
    <d v="2024-06-21T00:00:00"/>
    <n v="5"/>
    <x v="17"/>
    <s v="Q2-2024"/>
    <x v="1"/>
    <s v="Japan"/>
    <s v="Tokyo"/>
    <s v="Small Business"/>
    <x v="3"/>
    <s v="F. Müller"/>
    <s v="Phones"/>
    <s v="PHN-9677"/>
    <n v="1367.13"/>
    <s v="High"/>
    <n v="3062.01"/>
    <n v="0.10299999999999999"/>
    <n v="25"/>
    <n v="62557.004249999998"/>
    <n v="34178.25"/>
    <n v="28378.754249999998"/>
    <n v="0.45364631171576603"/>
  </r>
  <r>
    <s v="ORD-2025-281062"/>
    <d v="2025-02-15T00:00:00"/>
    <d v="2025-02-27T00:00:00"/>
    <n v="12"/>
    <x v="26"/>
    <s v="Q1-2025"/>
    <x v="3"/>
    <s v="France"/>
    <s v="Lyon"/>
    <s v="Non-Profit"/>
    <x v="4"/>
    <s v="K. Singh"/>
    <s v="Accessories"/>
    <s v="ACC-1604"/>
    <n v="1027.26"/>
    <s v="High"/>
    <n v="2200.41"/>
    <n v="8.7999999999999995E-2"/>
    <n v="6"/>
    <n v="10384.433280000001"/>
    <n v="6163.5599999999995"/>
    <n v="4220.8732800000016"/>
    <n v="0.40646159171047236"/>
  </r>
  <r>
    <s v="ORD-2023-727290"/>
    <d v="2023-04-03T00:00:00"/>
    <d v="2023-04-16T00:00:00"/>
    <n v="13"/>
    <x v="12"/>
    <s v="Q2-2023"/>
    <x v="3"/>
    <s v="France"/>
    <s v="Marseille"/>
    <s v="Non-Profit"/>
    <x v="2"/>
    <s v="M. Rossi"/>
    <s v="Accessories"/>
    <s v="ACC-4815"/>
    <n v="790.54"/>
    <s v="High"/>
    <n v="601.49"/>
    <n v="0"/>
    <n v="15"/>
    <n v="13537.050000000001"/>
    <n v="11858.099999999999"/>
    <n v="1678.9500000000025"/>
    <n v="0.12402628342216379"/>
  </r>
  <r>
    <s v="ORD-2025-993993"/>
    <d v="2025-08-30T00:00:00"/>
    <d v="2025-09-22T00:00:00"/>
    <n v="23"/>
    <x v="28"/>
    <s v="Q3-2025"/>
    <x v="3"/>
    <s v="France"/>
    <s v="Marseille"/>
    <s v="Corporate"/>
    <x v="4"/>
    <s v="E. Garcia"/>
    <s v="Components"/>
    <s v="CMP-5311"/>
    <n v="663.9"/>
    <s v="High"/>
    <n v="947.77"/>
    <n v="0.17399999999999999"/>
    <n v="15"/>
    <n v="-417.04740000000004"/>
    <n v="9958.5"/>
    <n v="-10375.547399999999"/>
    <n v="24.878580708092169"/>
  </r>
  <r>
    <s v="ORD-2023-619493"/>
    <d v="2023-02-27T00:00:00"/>
    <d v="2023-02-26T00:00:00"/>
    <n v="1"/>
    <x v="2"/>
    <s v="Q1-2023"/>
    <x v="2"/>
    <s v="USA"/>
    <s v="San Francisco"/>
    <s v="Non-Profit"/>
    <x v="1"/>
    <s v="L. Okafor"/>
    <s v="Networking"/>
    <s v="NET-1282"/>
    <n v="1015.91"/>
    <s v="High"/>
    <n v="2331.48"/>
    <n v="0.14599999999999999"/>
    <n v="26"/>
    <n v="24128.64272"/>
    <n v="26413.66"/>
    <n v="-2285.01728"/>
    <n v="-9.4701442866737429E-2"/>
  </r>
  <r>
    <s v="ORD-2024-947056"/>
    <d v="2024-07-31T00:00:00"/>
    <d v="2024-08-15T00:00:00"/>
    <n v="15"/>
    <x v="14"/>
    <s v="Q3-2024"/>
    <x v="1"/>
    <s v="Japan"/>
    <s v="Tokyo"/>
    <s v="Corporate"/>
    <x v="2"/>
    <s v="F. Müller"/>
    <s v="Monitors"/>
    <s v="MON-1564"/>
    <n v="1252.52"/>
    <s v="High"/>
    <n v="1417.24"/>
    <n v="0.192"/>
    <n v="5"/>
    <n v="4083.4300000000003"/>
    <n v="6262.6"/>
    <n v="-2179.17"/>
    <n v="-0.53366165209150151"/>
  </r>
  <r>
    <s v="ORD-2025-856556"/>
    <d v="2025-06-15T00:00:00"/>
    <d v="2025-07-12T00:00:00"/>
    <n v="27"/>
    <x v="16"/>
    <s v="Q2-2025"/>
    <x v="3"/>
    <s v="France"/>
    <s v="Marseille"/>
    <s v="Consumer"/>
    <x v="4"/>
    <s v="C. Otieno"/>
    <s v="Accessories"/>
    <s v="ACC-7906"/>
    <n v="318.83"/>
    <s v="High"/>
    <n v="699.5"/>
    <n v="0.08"/>
    <n v="13"/>
    <n v="4921.3008"/>
    <n v="4144.79"/>
    <n v="776.51080000000002"/>
    <n v="0.15778568137919957"/>
  </r>
  <r>
    <s v="ORD-2024-442776"/>
    <d v="2024-06-30T00:00:00"/>
    <d v="2024-07-21T00:00:00"/>
    <n v="21"/>
    <x v="17"/>
    <s v="Q2-2024"/>
    <x v="0"/>
    <s v="Kenya"/>
    <s v="Kisumu"/>
    <s v="Small Business"/>
    <x v="0"/>
    <s v="K. Singh"/>
    <s v="Laptops"/>
    <s v="LAP-6577"/>
    <n v="753.43"/>
    <s v="High"/>
    <n v="1787.2"/>
    <n v="7.2999999999999995E-2"/>
    <n v="9"/>
    <n v="3448.4956200000001"/>
    <n v="6780.87"/>
    <n v="-3332.3743799999997"/>
    <n v="-0.9663269863744236"/>
  </r>
  <r>
    <s v="ORD-2025-705398"/>
    <d v="2025-02-17T00:00:00"/>
    <d v="2025-02-15T00:00:00"/>
    <n v="2"/>
    <x v="26"/>
    <s v="Q1-2025"/>
    <x v="2"/>
    <s v="Canada"/>
    <s v="Toronto"/>
    <s v="Small Business"/>
    <x v="0"/>
    <s v="D. Smith"/>
    <s v="Components"/>
    <s v="CMP-5065"/>
    <n v="1133.47"/>
    <s v="High"/>
    <n v="1698.75"/>
    <n v="4.2999999999999997E-2"/>
    <n v="5"/>
    <n v="7459.2886500000004"/>
    <n v="5667.35"/>
    <n v="1791.9386500000001"/>
    <n v="0.24022916045754578"/>
  </r>
  <r>
    <s v="ORD-2023-689428"/>
    <d v="2023-01-07T00:00:00"/>
    <d v="2023-01-30T00:00:00"/>
    <n v="23"/>
    <x v="5"/>
    <s v="Q1-2023"/>
    <x v="0"/>
    <s v="South Africa"/>
    <s v="Cape Town"/>
    <s v="Consumer"/>
    <x v="1"/>
    <s v="A. Patel"/>
    <s v="Printers"/>
    <s v="PRN-4787"/>
    <n v="299.02"/>
    <s v="High"/>
    <n v="724.7"/>
    <n v="0.14000000000000001"/>
    <n v="5"/>
    <n v="3702.9880000000003"/>
    <n v="1495.1"/>
    <n v="2207.8880000000004"/>
    <n v="0.59624497837962209"/>
  </r>
  <r>
    <s v="ORD-2025-683247"/>
    <d v="2025-03-10T00:00:00"/>
    <d v="2025-04-04T00:00:00"/>
    <n v="25"/>
    <x v="3"/>
    <s v="Q1-2025"/>
    <x v="1"/>
    <s v="Japan"/>
    <s v="Osaka"/>
    <s v="Corporate"/>
    <x v="4"/>
    <s v="H. Kim"/>
    <s v="Printers"/>
    <s v="PRN-9867"/>
    <n v="783.72"/>
    <s v="High"/>
    <n v="1355.94"/>
    <n v="0.187"/>
    <n v="4"/>
    <n v="7467.4049999999997"/>
    <n v="3134.88"/>
    <n v="4332.5249999999996"/>
    <n v="0.58019151231251009"/>
  </r>
  <r>
    <s v="ORD-2024-585443"/>
    <d v="2024-08-17T00:00:00"/>
    <d v="2024-08-15T00:00:00"/>
    <n v="2"/>
    <x v="21"/>
    <s v="Q3-2024"/>
    <x v="2"/>
    <s v="Brazil"/>
    <s v="Rio de Janeiro"/>
    <s v="Consumer"/>
    <x v="4"/>
    <s v="M. Rossi"/>
    <s v="Monitors"/>
    <s v="MON-2849"/>
    <n v="165.3"/>
    <s v="High"/>
    <n v="275.07"/>
    <n v="0.13300000000000001"/>
    <n v="25"/>
    <n v="57148.305"/>
    <n v="4132.5"/>
    <n v="53015.805"/>
    <n v="0.92768814403156841"/>
  </r>
  <r>
    <s v="ORD-2024-907733"/>
    <d v="2024-03-09T00:00:00"/>
    <d v="2024-03-22T00:00:00"/>
    <n v="13"/>
    <x v="0"/>
    <s v="Q1-2024"/>
    <x v="3"/>
    <s v="United Kingdom"/>
    <s v="Manchester"/>
    <s v="Consumer"/>
    <x v="1"/>
    <s v="E. Garcia"/>
    <s v="Laptops"/>
    <s v="LAP-8633"/>
    <n v="985.45"/>
    <s v="High"/>
    <n v="1802.44"/>
    <n v="8.9999999999999993E-3"/>
    <n v="19"/>
    <n v="18416.456609999997"/>
    <n v="18723.55"/>
    <n v="-307.09339000000182"/>
    <n v="-1.6674944399089911E-2"/>
  </r>
  <r>
    <s v="ORD-2024-550400"/>
    <d v="2024-08-19T00:00:00"/>
    <d v="2024-09-02T00:00:00"/>
    <n v="14"/>
    <x v="21"/>
    <s v="Q3-2024"/>
    <x v="2"/>
    <s v="Canada"/>
    <s v="Toronto"/>
    <s v="Consumer"/>
    <x v="3"/>
    <s v="C. Otieno"/>
    <s v="Printers"/>
    <s v="PRN-9793"/>
    <n v="1337.01"/>
    <s v="High"/>
    <n v="1269.78"/>
    <n v="0.16"/>
    <n v="7"/>
    <n v="3208.8335999999999"/>
    <n v="9359.07"/>
    <n v="-6150.2363999999998"/>
    <n v="-1.916657940754547"/>
  </r>
  <r>
    <s v="ORD-2025-189846"/>
    <d v="2025-08-11T00:00:00"/>
    <d v="2025-08-28T00:00:00"/>
    <n v="17"/>
    <x v="28"/>
    <s v="Q3-2025"/>
    <x v="3"/>
    <s v="France"/>
    <s v="Paris"/>
    <s v="Education"/>
    <x v="1"/>
    <s v="F. Müller"/>
    <s v="Networking"/>
    <s v="NET-6218"/>
    <n v="416.16"/>
    <s v="High"/>
    <n v="571.9"/>
    <n v="7.0999999999999994E-2"/>
    <n v="2"/>
    <n v="2667.2333200000003"/>
    <n v="832.32"/>
    <n v="1834.9133200000001"/>
    <n v="0.6879463098488886"/>
  </r>
  <r>
    <s v="ORD-2025-752192"/>
    <d v="2025-05-16T00:00:00"/>
    <d v="2025-05-18T00:00:00"/>
    <n v="2"/>
    <x v="8"/>
    <s v="Q2-2025"/>
    <x v="1"/>
    <s v="Japan"/>
    <s v="Tokyo"/>
    <s v="Enterprise"/>
    <x v="0"/>
    <s v="J. Njeri"/>
    <s v="Printers"/>
    <s v="PRN-6131"/>
    <n v="1144.3800000000001"/>
    <s v="High"/>
    <n v="2755.04"/>
    <n v="0.15"/>
    <n v="17"/>
    <n v="34640.985000000001"/>
    <n v="19454.460000000003"/>
    <n v="15186.524999999998"/>
    <n v="0.4383976090749151"/>
  </r>
  <r>
    <s v="ORD-2023-294716"/>
    <d v="2023-04-10T00:00:00"/>
    <d v="2023-04-25T00:00:00"/>
    <n v="15"/>
    <x v="12"/>
    <s v="Q2-2023"/>
    <x v="3"/>
    <s v="United Kingdom"/>
    <s v="London"/>
    <s v="Small Business"/>
    <x v="0"/>
    <s v="D. Smith"/>
    <s v="Printers"/>
    <s v="PRN-5067"/>
    <n v="405.66"/>
    <s v="High"/>
    <n v="962.51"/>
    <n v="0.19"/>
    <n v="7"/>
    <n v="10511.386199999999"/>
    <n v="2839.6200000000003"/>
    <n v="7671.7661999999982"/>
    <n v="0.72985294746377016"/>
  </r>
  <r>
    <s v="ORD-2023-552115"/>
    <d v="2023-09-17T00:00:00"/>
    <d v="2023-10-02T00:00:00"/>
    <n v="15"/>
    <x v="27"/>
    <s v="Q3-2023"/>
    <x v="2"/>
    <s v="Brazil"/>
    <s v="Rio de Janeiro"/>
    <s v="Small Business"/>
    <x v="0"/>
    <s v="B. Chen"/>
    <s v="Laptops"/>
    <s v="LAP-4932"/>
    <n v="689.33"/>
    <s v="High"/>
    <n v="668.27"/>
    <n v="0.186"/>
    <n v="13"/>
    <n v="486.56036000000006"/>
    <n v="8961.2900000000009"/>
    <n v="-8474.7296400000014"/>
    <n v="-17.417632706453933"/>
  </r>
  <r>
    <s v="ORD-2023-107265"/>
    <d v="2023-04-22T00:00:00"/>
    <d v="2023-05-14T00:00:00"/>
    <n v="22"/>
    <x v="12"/>
    <s v="Q2-2023"/>
    <x v="1"/>
    <s v="Japan"/>
    <s v="Nagoya"/>
    <s v="Enterprise"/>
    <x v="0"/>
    <s v="A. Patel"/>
    <s v="Accessories"/>
    <s v="ACC-7713"/>
    <n v="1209.22"/>
    <s v="High"/>
    <n v="1404.33"/>
    <n v="0.10299999999999999"/>
    <n v="11"/>
    <n v="0"/>
    <n v="13301.42"/>
    <n v="-13301.42"/>
    <n v="0"/>
  </r>
  <r>
    <s v="ORD-2025-262434"/>
    <d v="2025-06-19T00:00:00"/>
    <d v="2025-06-21T00:00:00"/>
    <n v="2"/>
    <x v="16"/>
    <s v="Q2-2025"/>
    <x v="0"/>
    <s v="South Africa"/>
    <s v="Johannesburg"/>
    <s v="Small Business"/>
    <x v="5"/>
    <s v="H. Kim"/>
    <s v="Phones"/>
    <s v="PHN-7379"/>
    <n v="1466.27"/>
    <s v="High"/>
    <n v="3589.89"/>
    <n v="9.7000000000000003E-2"/>
    <n v="9"/>
    <n v="0"/>
    <n v="13196.43"/>
    <n v="-13196.43"/>
    <n v="0"/>
  </r>
  <r>
    <s v="ORD-2024-266562"/>
    <d v="2024-11-27T00:00:00"/>
    <d v="2024-12-24T00:00:00"/>
    <n v="27"/>
    <x v="18"/>
    <s v="Q4-2024"/>
    <x v="0"/>
    <s v="Kenya"/>
    <s v="Mombasa"/>
    <s v="Corporate"/>
    <x v="3"/>
    <s v="B. Chen"/>
    <s v="Printers"/>
    <s v="PRN-5569"/>
    <n v="143.33000000000001"/>
    <s v="High"/>
    <n v="233.51"/>
    <n v="0.16300000000000001"/>
    <n v="14"/>
    <n v="0"/>
    <n v="2006.6200000000001"/>
    <n v="-2006.6200000000001"/>
    <n v="0"/>
  </r>
  <r>
    <s v="ORD-2024-838925"/>
    <d v="2024-01-28T00:00:00"/>
    <d v="2024-01-27T00:00:00"/>
    <n v="1"/>
    <x v="9"/>
    <s v="Q1-2024"/>
    <x v="0"/>
    <s v="South Africa"/>
    <s v="Cape Town"/>
    <s v="Enterprise"/>
    <x v="4"/>
    <s v="O. Wang"/>
    <s v="Components"/>
    <s v="CMP-1470"/>
    <n v="109.75"/>
    <s v="Medium"/>
    <n v="124.25"/>
    <n v="0.12"/>
    <n v="19"/>
    <n v="0"/>
    <n v="2085.25"/>
    <n v="-2085.25"/>
    <n v="0"/>
  </r>
  <r>
    <s v="ORD-2023-664790"/>
    <d v="2023-04-16T00:00:00"/>
    <d v="2023-04-23T00:00:00"/>
    <n v="7"/>
    <x v="12"/>
    <s v="Q2-2023"/>
    <x v="2"/>
    <s v="USA"/>
    <s v="Austin"/>
    <s v="Corporate"/>
    <x v="3"/>
    <s v="O. Wang"/>
    <s v="Printers"/>
    <s v="PRN-9249"/>
    <n v="1099.1500000000001"/>
    <s v="High"/>
    <n v="1431.37"/>
    <n v="0.104"/>
    <n v="8"/>
    <n v="0"/>
    <n v="8793.2000000000007"/>
    <n v="-8793.2000000000007"/>
    <n v="0"/>
  </r>
  <r>
    <s v="ORD-2024-331408"/>
    <d v="2024-02-01T00:00:00"/>
    <d v="2024-02-01T00:00:00"/>
    <n v="0"/>
    <x v="31"/>
    <s v="Q1-2024"/>
    <x v="2"/>
    <s v="USA"/>
    <s v="Austin"/>
    <s v="Consumer"/>
    <x v="3"/>
    <s v="H. Kim"/>
    <s v="Printers"/>
    <s v="PRN-4906"/>
    <n v="714.43"/>
    <s v="High"/>
    <n v="1595.52"/>
    <n v="0.19400000000000001"/>
    <n v="14"/>
    <n v="0"/>
    <n v="10002.019999999999"/>
    <n v="-10002.019999999999"/>
    <n v="0"/>
  </r>
  <r>
    <s v="ORD-2024-741404"/>
    <d v="2024-10-19T00:00:00"/>
    <d v="2024-11-06T00:00:00"/>
    <n v="18"/>
    <x v="1"/>
    <s v="Q4-2024"/>
    <x v="2"/>
    <s v="USA"/>
    <s v="Chicago"/>
    <s v="Education"/>
    <x v="5"/>
    <s v="C. Otieno"/>
    <s v="Monitors"/>
    <s v="MON-8129"/>
    <n v="942.02"/>
    <s v="High"/>
    <n v="1028.46"/>
    <n v="0"/>
    <n v="9"/>
    <n v="0"/>
    <n v="8478.18"/>
    <n v="-8478.18"/>
    <n v="0"/>
  </r>
  <r>
    <s v="ORD-2024-341535"/>
    <d v="2024-06-25T00:00:00"/>
    <d v="2024-06-30T00:00:00"/>
    <n v="5"/>
    <x v="17"/>
    <s v="Q2-2024"/>
    <x v="0"/>
    <s v="Kenya"/>
    <s v="Kisumu"/>
    <s v="Education"/>
    <x v="4"/>
    <s v="M. Rossi"/>
    <s v="Networking"/>
    <s v="NET-5987"/>
    <n v="1323.55"/>
    <s v="High"/>
    <n v="3230.35"/>
    <n v="2.1999999999999999E-2"/>
    <n v="26"/>
    <n v="0"/>
    <n v="34412.299999999996"/>
    <n v="-34412.299999999996"/>
    <n v="0"/>
  </r>
  <r>
    <s v="ORD-2023-451931"/>
    <d v="2023-07-30T00:00:00"/>
    <d v="2023-08-19T00:00:00"/>
    <n v="20"/>
    <x v="24"/>
    <s v="Q3-2023"/>
    <x v="3"/>
    <s v="France"/>
    <s v="Paris"/>
    <s v="Enterprise"/>
    <x v="2"/>
    <s v="G. Dubois"/>
    <s v="Networking"/>
    <s v="NET-5423"/>
    <n v="1418.51"/>
    <s v="High"/>
    <n v="2789.61"/>
    <n v="0.17100000000000001"/>
    <n v="8"/>
    <n v="0"/>
    <n v="11348.08"/>
    <n v="-11348.08"/>
    <n v="0"/>
  </r>
  <r>
    <s v="ORD-2025-532859"/>
    <d v="2025-03-11T00:00:00"/>
    <d v="2025-03-27T00:00:00"/>
    <n v="16"/>
    <x v="3"/>
    <s v="Q1-2025"/>
    <x v="1"/>
    <s v="Japan"/>
    <s v="Tokyo"/>
    <s v="Enterprise"/>
    <x v="3"/>
    <s v="B. Chen"/>
    <s v="Printers"/>
    <s v="PRN-5264"/>
    <n v="1317.58"/>
    <s v="High"/>
    <n v="1897.74"/>
    <n v="8.1000000000000003E-2"/>
    <n v="6"/>
    <n v="0"/>
    <n v="7905.48"/>
    <n v="-7905.48"/>
    <n v="0"/>
  </r>
  <r>
    <s v="ORD-2023-502205"/>
    <d v="2023-10-09T00:00:00"/>
    <d v="2023-10-11T00:00:00"/>
    <n v="2"/>
    <x v="32"/>
    <s v="Q4-2023"/>
    <x v="0"/>
    <s v="Nigeria"/>
    <s v="Port Harcourt"/>
    <s v="Education"/>
    <x v="2"/>
    <s v="K. Singh"/>
    <s v="Networking"/>
    <s v="NET-8856"/>
    <n v="391.16"/>
    <s v="High"/>
    <n v="902.47"/>
    <n v="4.0000000000000001E-3"/>
    <n v="12"/>
    <n v="0"/>
    <n v="4693.92"/>
    <n v="-4693.92"/>
    <n v="0"/>
  </r>
  <r>
    <s v="ORD-2024-930679"/>
    <d v="2024-12-17T00:00:00"/>
    <d v="2025-01-16T00:00:00"/>
    <n v="30"/>
    <x v="6"/>
    <s v="Q4-2024"/>
    <x v="3"/>
    <s v="United Kingdom"/>
    <s v="Manchester"/>
    <s v="Corporate"/>
    <x v="0"/>
    <s v="D. Smith"/>
    <s v="Monitors"/>
    <s v="MON-4215"/>
    <n v="722.87"/>
    <s v="Low"/>
    <n v="-33.659999999999997"/>
    <n v="0.10199999999999999"/>
    <n v="28"/>
    <n v="0"/>
    <n v="20240.36"/>
    <n v="-20240.36"/>
    <n v="0"/>
  </r>
  <r>
    <s v="ORD-2025-150713"/>
    <d v="2025-07-11T00:00:00"/>
    <d v="2025-07-16T00:00:00"/>
    <n v="5"/>
    <x v="13"/>
    <s v="Q3-2025"/>
    <x v="3"/>
    <s v="United Kingdom"/>
    <s v="London"/>
    <s v="Enterprise"/>
    <x v="1"/>
    <s v="K. Singh"/>
    <s v="Printers"/>
    <s v="PRN-5753"/>
    <n v="930.03"/>
    <s v="High"/>
    <n v="1086.68"/>
    <n v="0.109"/>
    <n v="26"/>
    <n v="0"/>
    <n v="24180.78"/>
    <n v="-24180.78"/>
    <n v="0"/>
  </r>
  <r>
    <s v="ORD-2024-756884"/>
    <d v="2024-10-13T00:00:00"/>
    <d v="2024-10-24T00:00:00"/>
    <n v="11"/>
    <x v="1"/>
    <s v="Q4-2024"/>
    <x v="3"/>
    <s v="France"/>
    <s v="Paris"/>
    <s v="Education"/>
    <x v="3"/>
    <s v="F. Müller"/>
    <s v="Components"/>
    <s v="CMP-5006"/>
    <n v="816.7"/>
    <s v="High"/>
    <n v="1010.75"/>
    <n v="4.7E-2"/>
    <n v="43"/>
    <n v="0"/>
    <n v="35118.1"/>
    <n v="-35118.1"/>
    <n v="0"/>
  </r>
  <r>
    <s v="ORD-2023-755337"/>
    <d v="2023-09-08T00:00:00"/>
    <d v="2023-09-14T00:00:00"/>
    <n v="6"/>
    <x v="27"/>
    <s v="Q3-2023"/>
    <x v="0"/>
    <s v="Kenya"/>
    <s v="Nakuru"/>
    <s v="Education"/>
    <x v="4"/>
    <s v="I. Johnson"/>
    <s v="Accessories"/>
    <s v="ACC-4766"/>
    <n v="251.03"/>
    <s v="High"/>
    <n v="411.48"/>
    <n v="0.16500000000000001"/>
    <n v="3"/>
    <n v="0"/>
    <n v="753.09"/>
    <n v="-753.09"/>
    <n v="0"/>
  </r>
  <r>
    <s v="ORD-2025-907040"/>
    <d v="2025-04-17T00:00:00"/>
    <d v="2025-05-03T00:00:00"/>
    <n v="16"/>
    <x v="19"/>
    <s v="Q2-2025"/>
    <x v="2"/>
    <s v="Brazil"/>
    <s v="Rio de Janeiro"/>
    <s v="Consumer"/>
    <x v="2"/>
    <s v="J. Njeri"/>
    <s v="Networking"/>
    <s v="NET-8610"/>
    <n v="168.68"/>
    <s v="High"/>
    <n v="413.34"/>
    <n v="0.186"/>
    <n v="7"/>
    <n v="0"/>
    <n v="1180.76"/>
    <n v="-1180.76"/>
    <n v="0"/>
  </r>
  <r>
    <s v="ORD-2024-817997"/>
    <d v="2024-07-28T00:00:00"/>
    <d v="2024-08-23T00:00:00"/>
    <n v="26"/>
    <x v="14"/>
    <s v="Q3-2024"/>
    <x v="1"/>
    <s v="India"/>
    <s v="Hyderabad"/>
    <s v="Corporate"/>
    <x v="0"/>
    <s v="J. Njeri"/>
    <s v="Networking"/>
    <s v="NET-4675"/>
    <n v="1339.24"/>
    <s v="High"/>
    <n v="1558.89"/>
    <n v="0.192"/>
    <n v="24"/>
    <n v="0"/>
    <n v="32141.760000000002"/>
    <n v="-32141.760000000002"/>
    <n v="0"/>
  </r>
  <r>
    <s v="ORD-2025-649633"/>
    <d v="2025-07-19T00:00:00"/>
    <d v="2025-07-31T00:00:00"/>
    <n v="12"/>
    <x v="13"/>
    <s v="Q3-2025"/>
    <x v="0"/>
    <s v="Kenya"/>
    <s v="Nairobi"/>
    <s v="Small Business"/>
    <x v="2"/>
    <s v="O. Wang"/>
    <s v="Accessories"/>
    <s v="ACC-1028"/>
    <n v="619.64"/>
    <s v="High"/>
    <n v="861.16"/>
    <n v="0.113"/>
    <n v="14"/>
    <n v="0"/>
    <n v="8674.9599999999991"/>
    <n v="-8674.9599999999991"/>
    <n v="0"/>
  </r>
  <r>
    <s v="ORD-2023-885216"/>
    <d v="2023-08-03T00:00:00"/>
    <d v="2023-08-02T00:00:00"/>
    <n v="1"/>
    <x v="25"/>
    <s v="Q3-2023"/>
    <x v="1"/>
    <s v="China"/>
    <s v="Shanghai"/>
    <s v="Non-Profit"/>
    <x v="4"/>
    <s v="J. Njeri"/>
    <s v="Networking"/>
    <s v="NET-4735"/>
    <n v="1021.97"/>
    <s v="High"/>
    <n v="2296.25"/>
    <n v="0.161"/>
    <n v="26"/>
    <n v="0"/>
    <n v="26571.22"/>
    <n v="-26571.22"/>
    <n v="0"/>
  </r>
  <r>
    <s v="ORD-2023-561823"/>
    <d v="2023-11-19T00:00:00"/>
    <d v="2023-12-12T00:00:00"/>
    <n v="23"/>
    <x v="30"/>
    <s v="Q4-2023"/>
    <x v="1"/>
    <s v="India"/>
    <s v="Delhi"/>
    <s v="Small Business"/>
    <x v="4"/>
    <s v="C. Otieno"/>
    <s v="Networking"/>
    <s v="NET-2460"/>
    <n v="1349.04"/>
    <s v="High"/>
    <n v="2636.6"/>
    <n v="0.114"/>
    <n v="14"/>
    <n v="0"/>
    <n v="18886.559999999998"/>
    <n v="-18886.559999999998"/>
    <n v="0"/>
  </r>
  <r>
    <s v="ORD-2023-249805"/>
    <d v="2023-12-22T00:00:00"/>
    <d v="2024-01-16T00:00:00"/>
    <n v="25"/>
    <x v="4"/>
    <s v="Q4-2023"/>
    <x v="1"/>
    <s v="India"/>
    <s v="Hyderabad"/>
    <s v="Small Business"/>
    <x v="0"/>
    <s v="A. Patel"/>
    <s v="Components"/>
    <s v="CMP-1555"/>
    <n v="1346.81"/>
    <s v="High"/>
    <n v="978.09"/>
    <n v="0.159"/>
    <n v="17"/>
    <n v="0"/>
    <n v="22895.77"/>
    <n v="-22895.77"/>
    <n v="0"/>
  </r>
  <r>
    <s v="ORD-2023-548934"/>
    <d v="2023-08-03T00:00:00"/>
    <d v="2023-08-30T00:00:00"/>
    <n v="27"/>
    <x v="25"/>
    <s v="Q3-2023"/>
    <x v="1"/>
    <s v="China"/>
    <s v="Shanghai"/>
    <s v="Consumer"/>
    <x v="3"/>
    <s v="N. Brown"/>
    <s v="Monitors"/>
    <s v="MON-3773"/>
    <n v="226.04"/>
    <s v="High"/>
    <n v="545.72"/>
    <n v="0.151"/>
    <n v="11"/>
    <n v="0"/>
    <n v="2486.44"/>
    <n v="-2486.44"/>
    <n v="0"/>
  </r>
  <r>
    <s v="ORD-2023-921939"/>
    <d v="2023-06-23T00:00:00"/>
    <d v="2023-07-18T00:00:00"/>
    <n v="25"/>
    <x v="23"/>
    <s v="Q2-2023"/>
    <x v="2"/>
    <s v="Canada"/>
    <s v="Vancouver"/>
    <s v="Enterprise"/>
    <x v="1"/>
    <s v="N. Brown"/>
    <s v="Phones"/>
    <s v="PHN-4677"/>
    <n v="807.02"/>
    <s v="High"/>
    <n v="1435.54"/>
    <n v="0"/>
    <n v="23"/>
    <n v="0"/>
    <n v="18561.46"/>
    <n v="-18561.46"/>
    <n v="0"/>
  </r>
  <r>
    <s v="ORD-2023-961864"/>
    <d v="2023-12-07T00:00:00"/>
    <d v="2024-01-02T00:00:00"/>
    <n v="26"/>
    <x v="4"/>
    <s v="Q4-2023"/>
    <x v="3"/>
    <s v="Germany"/>
    <s v="Frankfurt"/>
    <s v="Enterprise"/>
    <x v="3"/>
    <s v="E. Garcia"/>
    <s v="Components"/>
    <s v="CMP-1940"/>
    <n v="1071.99"/>
    <s v="High"/>
    <n v="2397.3000000000002"/>
    <n v="6.2E-2"/>
    <n v="18"/>
    <n v="0"/>
    <n v="19295.82"/>
    <n v="-19295.82"/>
    <n v="0"/>
  </r>
  <r>
    <s v="ORD-2023-455933"/>
    <d v="2023-11-19T00:00:00"/>
    <d v="2023-12-19T00:00:00"/>
    <n v="0"/>
    <x v="30"/>
    <s v="Q4-2023"/>
    <x v="1"/>
    <s v="Japan"/>
    <s v="Nagoya"/>
    <s v="Consumer"/>
    <x v="0"/>
    <s v="Not Provided"/>
    <s v="Phones"/>
    <s v="PHN-9184"/>
    <n v="807.11"/>
    <s v="High"/>
    <n v="1853.86"/>
    <n v="0.13900000000000001"/>
    <n v="8"/>
    <n v="0"/>
    <n v="6456.88"/>
    <n v="-6456.88"/>
    <n v="0"/>
  </r>
  <r>
    <s v="ORD-2025-728935"/>
    <d v="2025-02-28T00:00:00"/>
    <d v="2025-03-10T00:00:00"/>
    <n v="10"/>
    <x v="26"/>
    <s v="Q1-2025"/>
    <x v="1"/>
    <s v="Japan"/>
    <s v="Osaka"/>
    <s v="Education"/>
    <x v="3"/>
    <s v="N. Brown"/>
    <s v="Laptops"/>
    <s v="LAP-3017"/>
    <n v="51.86"/>
    <s v="Low"/>
    <n v="45.98"/>
    <n v="0.17299999999999999"/>
    <n v="7"/>
    <n v="0"/>
    <n v="363.02"/>
    <n v="-363.02"/>
    <n v="0"/>
  </r>
  <r>
    <m/>
    <m/>
    <m/>
    <m/>
    <x v="33"/>
    <m/>
    <x v="4"/>
    <m/>
    <m/>
    <m/>
    <x v="6"/>
    <m/>
    <m/>
    <m/>
    <m/>
    <m/>
    <m/>
    <m/>
    <m/>
    <m/>
    <m/>
    <m/>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3">
  <r>
    <s v="ORD-2024-275203"/>
    <d v="2024-03-11T00:00:00"/>
    <d v="2024-04-06T00:00:00"/>
    <n v="26"/>
    <s v="Mar-2024"/>
    <s v="Q1-2024"/>
    <x v="0"/>
    <s v="Kenya"/>
    <s v="Kisumu"/>
    <s v="Corporate"/>
    <s v="Retail"/>
    <x v="0"/>
    <s v="Components"/>
    <s v="CMP-8270"/>
    <n v="279.24"/>
    <s v="High"/>
    <n v="608.9"/>
    <x v="0"/>
    <n v="9"/>
    <n v="1403.9546399999999"/>
    <n v="2513.16"/>
    <n v="-1109.2053599999999"/>
    <n v="-0.79005783263766982"/>
  </r>
  <r>
    <s v="ORD-2024-358795"/>
    <d v="2024-10-23T00:00:00"/>
    <d v="2024-10-22T00:00:00"/>
    <n v="1"/>
    <s v="Oct-2024"/>
    <s v="Q4-2024"/>
    <x v="0"/>
    <s v="Nigeria"/>
    <s v="Port Harcourt"/>
    <s v="Education"/>
    <s v="Online"/>
    <x v="1"/>
    <s v="Printers"/>
    <s v="PRN-9322"/>
    <n v="1084.3900000000001"/>
    <s v="High"/>
    <n v="759.33"/>
    <x v="1"/>
    <n v="31"/>
    <n v="17934.41419"/>
    <n v="33616.090000000004"/>
    <n v="-15681.675810000004"/>
    <n v="-0.87439018882166253"/>
  </r>
  <r>
    <s v="ORD-2023-373538"/>
    <d v="2023-02-28T00:00:00"/>
    <d v="2023-03-25T00:00:00"/>
    <n v="25"/>
    <s v="Feb-2023"/>
    <s v="Q1-2023"/>
    <x v="0"/>
    <s v="Kenya"/>
    <s v="Nairobi"/>
    <s v="Corporate"/>
    <s v="Retail"/>
    <x v="2"/>
    <s v="Networking"/>
    <s v="NET-9666"/>
    <n v="1460.76"/>
    <s v="Low"/>
    <n v="-30.66"/>
    <x v="2"/>
    <n v="12"/>
    <n v="4534.0944"/>
    <n v="17529.12"/>
    <n v="-12995.025599999999"/>
    <n v="-2.8660686023652264"/>
  </r>
  <r>
    <s v="ORD-2025-168148"/>
    <d v="2025-03-29T00:00:00"/>
    <d v="2025-04-02T00:00:00"/>
    <n v="4"/>
    <s v="Mar-2025"/>
    <s v="Q1-2025"/>
    <x v="0"/>
    <s v="Nigeria"/>
    <s v="Lagos"/>
    <s v="Non-Profit"/>
    <s v="Marketplace"/>
    <x v="3"/>
    <s v="Phones"/>
    <s v="PHN-4556"/>
    <n v="259.93"/>
    <s v="High"/>
    <n v="255.94"/>
    <x v="3"/>
    <n v="22"/>
    <n v="34016.730880000003"/>
    <n v="5718.46"/>
    <n v="28298.270880000004"/>
    <n v="0.83189272301994943"/>
  </r>
  <r>
    <s v="ORD-2023-824839"/>
    <d v="2023-12-06T00:00:00"/>
    <d v="2023-12-31T00:00:00"/>
    <n v="25"/>
    <s v="Dec-2023"/>
    <s v="Q4-2023"/>
    <x v="1"/>
    <s v="Japan"/>
    <s v="Osaka"/>
    <s v="Consumer"/>
    <s v="Retail"/>
    <x v="4"/>
    <s v="Printers"/>
    <s v="PRN-8041"/>
    <n v="663.03"/>
    <s v="High"/>
    <n v="813.51"/>
    <x v="4"/>
    <n v="15"/>
    <n v="8510.0765999999985"/>
    <n v="9945.4499999999989"/>
    <n v="-1435.3734000000004"/>
    <n v="-0.16866750647109341"/>
  </r>
  <r>
    <s v="ORD-2023-723587"/>
    <d v="2023-01-02T00:00:00"/>
    <d v="2023-01-05T00:00:00"/>
    <n v="3"/>
    <s v="Jan-2023"/>
    <s v="Q1-2023"/>
    <x v="2"/>
    <s v="Canada"/>
    <s v="Toronto"/>
    <s v="Corporate"/>
    <s v="Distributor"/>
    <x v="5"/>
    <s v="Laptops"/>
    <s v="LAP-8555"/>
    <n v="315.87"/>
    <s v="High"/>
    <n v="591.67999999999995"/>
    <x v="5"/>
    <n v="7"/>
    <n v="12558.49"/>
    <n v="2211.09"/>
    <n v="10347.4"/>
    <n v="0.82393663569425946"/>
  </r>
  <r>
    <s v="ORD-2024-336584"/>
    <d v="2024-12-27T00:00:00"/>
    <d v="2025-01-14T00:00:00"/>
    <n v="18"/>
    <s v="Dec-2024"/>
    <s v="Q4-2024"/>
    <x v="1"/>
    <s v="India"/>
    <s v="Bengaluru"/>
    <s v="Small Business"/>
    <s v="Marketplace"/>
    <x v="6"/>
    <s v="Monitors"/>
    <s v="MON-8629"/>
    <n v="586.07000000000005"/>
    <s v="High"/>
    <n v="845.97"/>
    <x v="6"/>
    <n v="4"/>
    <n v="8983.864239999999"/>
    <n v="2344.2800000000002"/>
    <n v="6639.5842399999983"/>
    <n v="0.73905660889639613"/>
  </r>
  <r>
    <s v="ORD-2023-112666"/>
    <d v="2023-01-15T00:00:00"/>
    <d v="2023-01-13T00:00:00"/>
    <n v="2"/>
    <s v="Jan-2023"/>
    <s v="Q1-2023"/>
    <x v="0"/>
    <s v="Nigeria"/>
    <s v="Abuja"/>
    <s v="Education"/>
    <s v="Online"/>
    <x v="7"/>
    <s v="Printers"/>
    <s v="PRN-6276"/>
    <n v="28.38"/>
    <s v="Low"/>
    <n v="47.22"/>
    <x v="7"/>
    <n v="18"/>
    <n v="19177.399799999999"/>
    <n v="510.84"/>
    <n v="18666.559799999999"/>
    <n v="0.97336239504168864"/>
  </r>
  <r>
    <s v="ORD-2024-589570"/>
    <d v="2024-05-04T00:00:00"/>
    <d v="2024-05-29T00:00:00"/>
    <n v="25"/>
    <s v="May-2024"/>
    <s v="Q2-2024"/>
    <x v="0"/>
    <s v="Nigeria"/>
    <s v="Abuja"/>
    <s v="Non-Profit"/>
    <s v="Marketplace"/>
    <x v="7"/>
    <s v="Monitors"/>
    <s v="MON-6892"/>
    <n v="1295.3399999999999"/>
    <s v="High"/>
    <n v="2530.81"/>
    <x v="8"/>
    <n v="6"/>
    <n v="17656.36218"/>
    <n v="7772.0399999999991"/>
    <n v="9884.322180000001"/>
    <n v="0.55981646044825306"/>
  </r>
  <r>
    <s v="ORD-2025-997421"/>
    <d v="2025-05-21T00:00:00"/>
    <d v="2025-06-09T00:00:00"/>
    <n v="19"/>
    <s v="May-2025"/>
    <s v="Q2-2025"/>
    <x v="2"/>
    <s v="Brazil"/>
    <s v="São Paulo"/>
    <s v="Non-Profit"/>
    <s v="Online"/>
    <x v="8"/>
    <s v="Components"/>
    <s v="CMP-3731"/>
    <n v="1331.38"/>
    <s v="High"/>
    <n v="2309.56"/>
    <x v="9"/>
    <n v="31"/>
    <n v="5259.5799699999998"/>
    <n v="41272.780000000006"/>
    <n v="-36013.200030000007"/>
    <n v="-6.8471627459635354"/>
  </r>
  <r>
    <s v="ORD-2024-210687"/>
    <d v="2024-01-28T00:00:00"/>
    <d v="2024-02-09T00:00:00"/>
    <n v="12"/>
    <s v="Jan-2024"/>
    <s v="Q1-2024"/>
    <x v="3"/>
    <s v="Germany"/>
    <s v="Berlin"/>
    <s v="Corporate"/>
    <s v="Online"/>
    <x v="3"/>
    <s v="Accessories"/>
    <s v="ACC-7938"/>
    <n v="644.16999999999996"/>
    <s v="High"/>
    <n v="700.12"/>
    <x v="10"/>
    <n v="23"/>
    <n v="21204.733619999999"/>
    <n v="14815.91"/>
    <n v="6388.8236199999992"/>
    <n v="0.30129233097152197"/>
  </r>
  <r>
    <s v="ORD-2025-515515"/>
    <d v="2025-01-03T00:00:00"/>
    <d v="2025-01-23T00:00:00"/>
    <n v="20"/>
    <s v="Jan-2025"/>
    <s v="Q1-2025"/>
    <x v="1"/>
    <s v="Japan"/>
    <s v="Osaka"/>
    <s v="Corporate"/>
    <s v="Distributor"/>
    <x v="9"/>
    <s v="Phones"/>
    <s v="PHN-7019"/>
    <n v="908.6"/>
    <s v="High"/>
    <n v="691.37"/>
    <x v="11"/>
    <n v="20"/>
    <n v="26031.15"/>
    <n v="18172"/>
    <n v="7859.1500000000015"/>
    <n v="0.30191328466087747"/>
  </r>
  <r>
    <s v="ORD-2025-487261"/>
    <d v="2025-03-06T00:00:00"/>
    <d v="2025-03-31T00:00:00"/>
    <n v="25"/>
    <s v="Mar-2025"/>
    <s v="Q1-2025"/>
    <x v="2"/>
    <s v="Brazil"/>
    <s v="Brasília"/>
    <s v="Non-Profit"/>
    <s v="Online"/>
    <x v="1"/>
    <s v="Components"/>
    <s v="CMP-3693"/>
    <n v="331.57"/>
    <s v="High"/>
    <n v="548.4"/>
    <x v="12"/>
    <n v="10"/>
    <n v="12644.498400000002"/>
    <n v="3315.7"/>
    <n v="9328.7984000000033"/>
    <n v="0.73777528415045723"/>
  </r>
  <r>
    <s v="ORD-2024-890180"/>
    <d v="2024-01-20T00:00:00"/>
    <d v="2024-02-13T00:00:00"/>
    <n v="24"/>
    <s v="Jan-2024"/>
    <s v="Q1-2024"/>
    <x v="3"/>
    <s v="France"/>
    <s v="Marseille"/>
    <s v="Corporate"/>
    <s v="Retail"/>
    <x v="10"/>
    <s v="Printers"/>
    <s v="PRN-8392"/>
    <n v="643.53"/>
    <s v="High"/>
    <n v="1439.01"/>
    <x v="5"/>
    <n v="15"/>
    <n v="6816.3"/>
    <n v="9652.9499999999989"/>
    <n v="-2836.6499999999987"/>
    <n v="-0.4161568592931647"/>
  </r>
  <r>
    <s v="ORD-2025-840976"/>
    <d v="2025-09-01T00:00:00"/>
    <d v="2025-09-30T00:00:00"/>
    <n v="29"/>
    <s v="Sept-2025"/>
    <s v="Q3-2025"/>
    <x v="2"/>
    <s v="Brazil"/>
    <s v="Brasília"/>
    <s v="Education"/>
    <s v="Retail"/>
    <x v="11"/>
    <s v="Accessories"/>
    <s v="ACC-1663"/>
    <n v="780.59"/>
    <s v="High"/>
    <n v="631.57000000000005"/>
    <x v="5"/>
    <n v="12"/>
    <n v="18971.64"/>
    <n v="9367.08"/>
    <n v="9604.56"/>
    <n v="0.50625881579030596"/>
  </r>
  <r>
    <s v="ORD-2023-937291"/>
    <d v="2023-04-23T00:00:00"/>
    <d v="2023-04-22T00:00:00"/>
    <n v="1"/>
    <s v="Apr-2023"/>
    <s v="Q2-2023"/>
    <x v="0"/>
    <s v="Kenya"/>
    <s v="Nairobi"/>
    <s v="Small Business"/>
    <s v="Direct"/>
    <x v="6"/>
    <s v="Laptops"/>
    <s v="LAP-1698"/>
    <n v="756.51"/>
    <s v="High"/>
    <n v="850.8"/>
    <x v="13"/>
    <n v="9"/>
    <n v="14666.089860000002"/>
    <n v="6808.59"/>
    <n v="7857.4998600000017"/>
    <n v="0.53575969702943038"/>
  </r>
  <r>
    <s v="ORD-2024-206081"/>
    <d v="2024-12-10T00:00:00"/>
    <d v="2025-01-08T00:00:00"/>
    <n v="29"/>
    <s v="Dec-2024"/>
    <s v="Q4-2024"/>
    <x v="3"/>
    <s v="France"/>
    <s v="Marseille"/>
    <s v="Small Business"/>
    <s v="Retail"/>
    <x v="11"/>
    <s v="Printers"/>
    <s v="PRN-6791"/>
    <n v="891.08"/>
    <s v="High"/>
    <n v="1040.0999999999999"/>
    <x v="14"/>
    <n v="28"/>
    <n v="79945.865999999995"/>
    <n v="24950.240000000002"/>
    <n v="54995.625999999989"/>
    <n v="0.68791081705212864"/>
  </r>
  <r>
    <s v="ORD-2025-233883"/>
    <d v="2025-09-08T00:00:00"/>
    <d v="2025-09-16T00:00:00"/>
    <n v="8"/>
    <s v="Sept-2025"/>
    <s v="Q3-2025"/>
    <x v="1"/>
    <s v="Japan"/>
    <s v="Osaka"/>
    <s v="Corporate"/>
    <s v="Distributor"/>
    <x v="0"/>
    <s v="Phones"/>
    <s v="PHN-1197"/>
    <n v="1225.57"/>
    <s v="High"/>
    <n v="2705.57"/>
    <x v="15"/>
    <n v="16"/>
    <n v="14842.34096"/>
    <n v="19609.12"/>
    <n v="-4766.7790399999994"/>
    <n v="-0.32116086356232038"/>
  </r>
  <r>
    <s v="ORD-2025-843974"/>
    <d v="2025-07-20T00:00:00"/>
    <d v="2025-08-05T00:00:00"/>
    <n v="16"/>
    <s v="Jul-2025"/>
    <s v="Q3-2025"/>
    <x v="2"/>
    <s v="Brazil"/>
    <s v="Brasília"/>
    <s v="Enterprise"/>
    <s v="Marketplace"/>
    <x v="3"/>
    <s v="Accessories"/>
    <s v="ACC-8098"/>
    <n v="1068.17"/>
    <s v="High"/>
    <n v="2375.37"/>
    <x v="14"/>
    <n v="18"/>
    <n v="15979.62168"/>
    <n v="19227.060000000001"/>
    <n v="-3247.4383200000011"/>
    <n v="-0.20322372988745258"/>
  </r>
  <r>
    <s v="ORD-2025-745263"/>
    <d v="2025-05-21T00:00:00"/>
    <d v="2025-05-19T00:00:00"/>
    <n v="2"/>
    <s v="May-2025"/>
    <s v="Q2-2025"/>
    <x v="3"/>
    <s v="United Kingdom"/>
    <s v="Birmingham"/>
    <s v="Enterprise"/>
    <s v="Online"/>
    <x v="12"/>
    <s v="Laptops"/>
    <s v="LAP-3385"/>
    <n v="1015.16"/>
    <s v="High"/>
    <n v="2148.14"/>
    <x v="16"/>
    <n v="19"/>
    <n v="25535.279900000001"/>
    <n v="19288.04"/>
    <n v="6247.2399000000005"/>
    <n v="0.24465131866441769"/>
  </r>
  <r>
    <s v="ORD-2024-798002"/>
    <d v="2024-07-25T00:00:00"/>
    <d v="2024-07-24T00:00:00"/>
    <n v="1"/>
    <s v="Jul-2024"/>
    <s v="Q3-2024"/>
    <x v="0"/>
    <s v="Kenya"/>
    <s v="Mombasa"/>
    <s v="Non-Profit"/>
    <s v="Direct"/>
    <x v="1"/>
    <s v="Laptops"/>
    <s v="LAP-9815"/>
    <n v="1494.4"/>
    <s v="High"/>
    <n v="3661.07"/>
    <x v="3"/>
    <n v="7"/>
    <n v="3565.5894400000002"/>
    <n v="10460.800000000001"/>
    <n v="-6895.2105600000014"/>
    <n v="-1.9338206700544864"/>
  </r>
  <r>
    <s v="ORD-2023-867836"/>
    <d v="2023-05-11T00:00:00"/>
    <d v="2023-05-28T00:00:00"/>
    <n v="17"/>
    <s v="May-2023"/>
    <s v="Q2-2023"/>
    <x v="1"/>
    <s v="China"/>
    <s v="Shenzhen"/>
    <s v="Enterprise"/>
    <s v="Marketplace"/>
    <x v="6"/>
    <s v="Networking"/>
    <s v="NET-3255"/>
    <n v="1331.19"/>
    <s v="High"/>
    <n v="2903.09"/>
    <x v="17"/>
    <n v="8"/>
    <n v="24160.543999999998"/>
    <n v="10649.52"/>
    <n v="13511.023999999998"/>
    <n v="0.55921853415221112"/>
  </r>
  <r>
    <s v="ORD-2025-580047"/>
    <d v="2025-06-14T00:00:00"/>
    <d v="2025-06-29T00:00:00"/>
    <n v="15"/>
    <s v="Jun-2025"/>
    <s v="Q2-2025"/>
    <x v="0"/>
    <s v="Nigeria"/>
    <s v="Port Harcourt"/>
    <s v="Consumer"/>
    <s v="Marketplace"/>
    <x v="12"/>
    <s v="Accessories"/>
    <s v="ACC-3961"/>
    <n v="730.99"/>
    <s v="High"/>
    <n v="1242.8399999999999"/>
    <x v="18"/>
    <n v="10"/>
    <n v="16065.367999999999"/>
    <n v="7309.9"/>
    <n v="8755.4679999999989"/>
    <n v="0.54499019256826231"/>
  </r>
  <r>
    <s v="ORD-2024-500109"/>
    <d v="2024-05-18T00:00:00"/>
    <d v="2024-05-23T00:00:00"/>
    <n v="5"/>
    <s v="May-2024"/>
    <s v="Q2-2024"/>
    <x v="2"/>
    <s v="USA"/>
    <s v="Chicago"/>
    <s v="Enterprise"/>
    <s v="Retail"/>
    <x v="10"/>
    <s v="Laptops"/>
    <s v="LAP-4987"/>
    <n v="1274.5899999999999"/>
    <s v="High"/>
    <n v="2553.69"/>
    <x v="19"/>
    <n v="8"/>
    <n v="14187.650399999999"/>
    <n v="10196.719999999999"/>
    <n v="3990.9303999999993"/>
    <n v="0.28129607704458237"/>
  </r>
  <r>
    <s v="ORD-2023-271836"/>
    <d v="2023-02-07T00:00:00"/>
    <d v="2023-02-12T00:00:00"/>
    <n v="5"/>
    <s v="Feb-2023"/>
    <s v="Q1-2023"/>
    <x v="2"/>
    <s v="Brazil"/>
    <s v="São Paulo"/>
    <s v="Education"/>
    <s v="Online"/>
    <x v="13"/>
    <s v="Components"/>
    <s v="CMP-2693"/>
    <n v="948.55"/>
    <s v="High"/>
    <n v="2089.16"/>
    <x v="20"/>
    <n v="12"/>
    <n v="31336.100999999999"/>
    <n v="11382.599999999999"/>
    <n v="19953.501"/>
    <n v="0.63675761703729516"/>
  </r>
  <r>
    <s v="ORD-2024-215294"/>
    <d v="2024-06-30T00:00:00"/>
    <d v="2024-07-14T00:00:00"/>
    <n v="14"/>
    <s v="Jun-2024"/>
    <s v="Q2-2024"/>
    <x v="2"/>
    <s v="Brazil"/>
    <s v="Brasília"/>
    <s v="Education"/>
    <s v="Retail"/>
    <x v="0"/>
    <s v="Accessories"/>
    <s v="ACC-8683"/>
    <n v="1491.85"/>
    <s v="High"/>
    <n v="2583.02"/>
    <x v="21"/>
    <n v="4"/>
    <n v="353.76639999999998"/>
    <n v="5967.4"/>
    <n v="-5613.6335999999992"/>
    <n v="-15.868193248426079"/>
  </r>
  <r>
    <s v="ORD-2024-788105"/>
    <d v="2024-11-30T00:00:00"/>
    <d v="2024-12-30T00:00:00"/>
    <n v="0"/>
    <s v="Nov-2024"/>
    <s v="Q4-2024"/>
    <x v="3"/>
    <s v="France"/>
    <s v="Marseille"/>
    <s v="Consumer"/>
    <s v="Marketplace"/>
    <x v="9"/>
    <s v="Printers"/>
    <s v="PRN-4170"/>
    <n v="117.64"/>
    <s v="Medium"/>
    <n v="175.67"/>
    <x v="5"/>
    <n v="10"/>
    <n v="3857.2000000000003"/>
    <n v="1176.4000000000001"/>
    <n v="2680.8"/>
    <n v="0.69501192574924819"/>
  </r>
  <r>
    <s v="ORD-2024-855073"/>
    <d v="2024-07-19T00:00:00"/>
    <d v="2024-07-19T00:00:00"/>
    <n v="0"/>
    <s v="Jul-2024"/>
    <s v="Q3-2024"/>
    <x v="0"/>
    <s v="Kenya"/>
    <s v="Kisumu"/>
    <s v="Small Business"/>
    <s v="Retail"/>
    <x v="8"/>
    <s v="Phones"/>
    <s v="PHN-6854"/>
    <n v="857.24"/>
    <s v="High"/>
    <n v="758.23"/>
    <x v="22"/>
    <n v="6"/>
    <n v="1243.5675000000001"/>
    <n v="5143.4400000000005"/>
    <n v="-3899.8725000000004"/>
    <n v="-3.1360360414694015"/>
  </r>
  <r>
    <s v="ORD-2023-897079"/>
    <d v="2023-04-14T00:00:00"/>
    <d v="2023-05-14T00:00:00"/>
    <n v="0"/>
    <s v="Apr-2023"/>
    <s v="Q2-2023"/>
    <x v="0"/>
    <s v="Kenya"/>
    <s v="Nakuru"/>
    <s v="Consumer"/>
    <s v="Marketplace"/>
    <x v="12"/>
    <s v="Phones"/>
    <s v="PHN-1784"/>
    <n v="209.25"/>
    <s v="High"/>
    <n v="434.8"/>
    <x v="5"/>
    <n v="9"/>
    <n v="377.09999999999997"/>
    <n v="1883.25"/>
    <n v="-1506.15"/>
    <n v="-3.9940334128878288"/>
  </r>
  <r>
    <s v="ORD-2025-548982"/>
    <d v="2025-04-07T00:00:00"/>
    <d v="2025-04-11T00:00:00"/>
    <n v="4"/>
    <s v="Apr-2025"/>
    <s v="Q2-2025"/>
    <x v="3"/>
    <s v="France"/>
    <s v="Lyon"/>
    <s v="Education"/>
    <s v="Retail"/>
    <x v="6"/>
    <s v="Networking"/>
    <s v="NET-9716"/>
    <n v="754.77"/>
    <s v="High"/>
    <n v="1666.18"/>
    <x v="23"/>
    <n v="14"/>
    <n v="11781.338519999999"/>
    <n v="10566.779999999999"/>
    <n v="1214.5585200000005"/>
    <n v="0.10309172577786183"/>
  </r>
  <r>
    <s v="ORD-2024-170313"/>
    <d v="2024-12-27T00:00:00"/>
    <d v="2025-01-15T00:00:00"/>
    <n v="19"/>
    <s v="Dec-2024"/>
    <s v="Q4-2024"/>
    <x v="1"/>
    <s v="India"/>
    <s v="Delhi"/>
    <s v="Non-Profit"/>
    <s v="Distributor"/>
    <x v="3"/>
    <s v="Components"/>
    <s v="CMP-6919"/>
    <n v="495.59"/>
    <s v="High"/>
    <n v="631.78"/>
    <x v="24"/>
    <n v="17"/>
    <n v="43367.691729999999"/>
    <n v="8425.0299999999988"/>
    <n v="34942.66173"/>
    <n v="0.8057302645376464"/>
  </r>
  <r>
    <s v="ORD-2023-562894"/>
    <d v="2023-02-23T00:00:00"/>
    <d v="2023-03-25T00:00:00"/>
    <n v="2"/>
    <s v="Feb-2023"/>
    <s v="Q1-2023"/>
    <x v="2"/>
    <s v="Canada"/>
    <s v="Montreal"/>
    <s v="Enterprise"/>
    <s v="Online"/>
    <x v="14"/>
    <s v="Phones"/>
    <s v="PHN-4854"/>
    <n v="1242.6600000000001"/>
    <s v="High"/>
    <n v="1794.07"/>
    <x v="25"/>
    <n v="16"/>
    <n v="10231.623200000002"/>
    <n v="19882.560000000001"/>
    <n v="-9650.9367999999995"/>
    <n v="-0.94324591624914389"/>
  </r>
  <r>
    <s v="ORD-2025-474710"/>
    <d v="2025-07-24T00:00:00"/>
    <d v="2025-08-06T00:00:00"/>
    <n v="13"/>
    <s v="Jul-2025"/>
    <s v="Q3-2025"/>
    <x v="0"/>
    <s v="South Africa"/>
    <s v="Johannesburg"/>
    <s v="Education"/>
    <s v="Marketplace"/>
    <x v="14"/>
    <s v="Networking"/>
    <s v="NET-7966"/>
    <n v="1463.9"/>
    <s v="High"/>
    <n v="2633.02"/>
    <x v="26"/>
    <n v="4"/>
    <n v="-19.309279999999998"/>
    <n v="5855.6"/>
    <n v="-5874.9092800000008"/>
    <n v="304.25315081660227"/>
  </r>
  <r>
    <s v="ORD-2024-629525"/>
    <d v="2024-04-18T00:00:00"/>
    <d v="2024-05-08T00:00:00"/>
    <n v="20"/>
    <s v="Apr-2024"/>
    <s v="Q2-2024"/>
    <x v="3"/>
    <s v="United Kingdom"/>
    <s v="London"/>
    <s v="Non-Profit"/>
    <s v="Not Provided"/>
    <x v="14"/>
    <s v="Laptops"/>
    <s v="LAP-9932"/>
    <n v="645.33000000000004"/>
    <s v="High"/>
    <n v="1321.85"/>
    <x v="5"/>
    <n v="10"/>
    <n v="14370.599999999999"/>
    <n v="6453.3"/>
    <n v="7917.2999999999984"/>
    <n v="0.55093733038286496"/>
  </r>
  <r>
    <s v="ORD-2024-167215"/>
    <d v="2024-08-23T00:00:00"/>
    <d v="2024-08-21T00:00:00"/>
    <n v="2"/>
    <s v="Aug-2024"/>
    <s v="Q3-2024"/>
    <x v="0"/>
    <s v="South Africa"/>
    <s v="Johannesburg"/>
    <s v="Education"/>
    <s v="Retail"/>
    <x v="6"/>
    <s v="Components"/>
    <s v="CMP-1559"/>
    <n v="1432.52"/>
    <s v="High"/>
    <n v="3036.87"/>
    <x v="5"/>
    <n v="9"/>
    <n v="17207.010000000002"/>
    <n v="12892.68"/>
    <n v="4314.3300000000017"/>
    <n v="0.25073095209452434"/>
  </r>
  <r>
    <s v="ORD-2023-864121"/>
    <d v="2023-03-27T00:00:00"/>
    <d v="2023-04-22T00:00:00"/>
    <n v="26"/>
    <s v="Mar-2023"/>
    <s v="Q1-2023"/>
    <x v="1"/>
    <s v="India"/>
    <s v="Delhi"/>
    <s v="Non-Profit"/>
    <s v="Marketplace"/>
    <x v="1"/>
    <s v="Printers"/>
    <s v="PRN-4506"/>
    <n v="178.53"/>
    <s v="Medium"/>
    <n v="199.37"/>
    <x v="27"/>
    <n v="37"/>
    <n v="86276.904139999999"/>
    <n v="6605.61"/>
    <n v="79671.294139999998"/>
    <n v="0.92343709981432354"/>
  </r>
  <r>
    <s v="ORD-2024-692673"/>
    <d v="2024-03-07T00:00:00"/>
    <d v="2024-03-25T00:00:00"/>
    <n v="18"/>
    <s v="Mar-2024"/>
    <s v="Q1-2024"/>
    <x v="3"/>
    <s v="Germany"/>
    <s v="Munich"/>
    <s v="Corporate"/>
    <s v="Online"/>
    <x v="5"/>
    <s v="Components"/>
    <s v="CMP-7617"/>
    <n v="712.84"/>
    <s v="High"/>
    <n v="927.51"/>
    <x v="28"/>
    <n v="27"/>
    <n v="25427.751119999997"/>
    <n v="19246.68"/>
    <n v="6181.0711199999969"/>
    <n v="0.24308367227718869"/>
  </r>
  <r>
    <s v="ORD-2025-718992"/>
    <d v="2025-06-24T00:00:00"/>
    <d v="2025-07-10T00:00:00"/>
    <n v="16"/>
    <s v="Jun-2025"/>
    <s v="Q2-2025"/>
    <x v="1"/>
    <s v="China"/>
    <s v="Shanghai"/>
    <s v="Enterprise"/>
    <s v="Direct"/>
    <x v="13"/>
    <s v="Components"/>
    <s v="CMP-8390"/>
    <n v="757.19"/>
    <s v="High"/>
    <n v="1735.41"/>
    <x v="29"/>
    <n v="8"/>
    <n v="13219.269119999999"/>
    <n v="6057.52"/>
    <n v="7161.7491199999986"/>
    <n v="0.54176589151700383"/>
  </r>
  <r>
    <s v="ORD-2024-599522"/>
    <d v="2024-04-19T00:00:00"/>
    <d v="2024-05-06T00:00:00"/>
    <n v="17"/>
    <s v="Apr-2024"/>
    <s v="Q2-2024"/>
    <x v="0"/>
    <s v="Nigeria"/>
    <s v="Port Harcourt"/>
    <s v="Non-Profit"/>
    <s v="Online"/>
    <x v="8"/>
    <s v="Printers"/>
    <s v="PRN-7303"/>
    <n v="865.33"/>
    <s v="High"/>
    <n v="1395.64"/>
    <x v="30"/>
    <n v="13"/>
    <n v="8106.7057499999992"/>
    <n v="11249.29"/>
    <n v="-3142.5842500000017"/>
    <n v="-0.38765243822991874"/>
  </r>
  <r>
    <s v="ORD-2023-651638"/>
    <d v="2023-06-17T00:00:00"/>
    <d v="2023-06-24T00:00:00"/>
    <n v="7"/>
    <s v="Jun-2023"/>
    <s v="Q2-2023"/>
    <x v="2"/>
    <s v="USA"/>
    <s v="San Francisco"/>
    <s v="Corporate"/>
    <s v="Retail"/>
    <x v="2"/>
    <s v="Printers"/>
    <s v="PRN-6536"/>
    <n v="313.99"/>
    <s v="High"/>
    <n v="454.42"/>
    <x v="31"/>
    <n v="9"/>
    <n v="8980.9071300000014"/>
    <n v="2825.91"/>
    <n v="6154.9971300000016"/>
    <n v="0.68534247608904963"/>
  </r>
  <r>
    <s v="ORD-2024-635626"/>
    <d v="2024-08-27T00:00:00"/>
    <d v="2024-09-19T00:00:00"/>
    <n v="23"/>
    <s v="Aug-2024"/>
    <s v="Q3-2024"/>
    <x v="3"/>
    <s v="Germany"/>
    <s v="Berlin"/>
    <s v="Small Business"/>
    <s v="Direct"/>
    <x v="14"/>
    <s v="Monitors"/>
    <s v="MON-9967"/>
    <n v="1024.01"/>
    <s v="High"/>
    <n v="1580.97"/>
    <x v="32"/>
    <n v="27"/>
    <n v="32087.834099999996"/>
    <n v="27648.27"/>
    <n v="4439.564099999996"/>
    <n v="0.13835661472707492"/>
  </r>
  <r>
    <s v="ORD-2024-296582"/>
    <d v="2024-01-11T00:00:00"/>
    <d v="2024-02-02T00:00:00"/>
    <n v="22"/>
    <s v="Jan-2024"/>
    <s v="Q1-2024"/>
    <x v="0"/>
    <s v="South Africa"/>
    <s v="Durban"/>
    <s v="Consumer"/>
    <s v="Online"/>
    <x v="11"/>
    <s v="Networking"/>
    <s v="NET-1412"/>
    <n v="1206.2"/>
    <s v="High"/>
    <n v="1759.79"/>
    <x v="5"/>
    <n v="6"/>
    <n v="7368.0599999999995"/>
    <n v="7237.2000000000007"/>
    <n v="130.85999999999876"/>
    <n v="1.7760441690214082E-2"/>
  </r>
  <r>
    <s v="ORD-2024-998320"/>
    <d v="2024-10-25T00:00:00"/>
    <d v="2024-11-14T00:00:00"/>
    <n v="20"/>
    <s v="Oct-2024"/>
    <s v="Q4-2024"/>
    <x v="0"/>
    <s v="Kenya"/>
    <s v="Mombasa"/>
    <s v="Corporate"/>
    <s v="Direct"/>
    <x v="10"/>
    <s v="Printers"/>
    <s v="PRN-3143"/>
    <n v="1396.48"/>
    <s v="High"/>
    <n v="3204.5"/>
    <x v="33"/>
    <n v="14"/>
    <n v="5778.7360400000007"/>
    <n v="19550.72"/>
    <n v="-13771.983960000001"/>
    <n v="-2.3832173445319715"/>
  </r>
  <r>
    <s v="ORD-2025-820255"/>
    <d v="2025-05-29T00:00:00"/>
    <d v="2025-06-20T00:00:00"/>
    <n v="22"/>
    <s v="May-2025"/>
    <s v="Q2-2025"/>
    <x v="3"/>
    <s v="Germany"/>
    <s v="Berlin"/>
    <s v="Corporate"/>
    <s v="Direct"/>
    <x v="8"/>
    <s v="Printers"/>
    <s v="PRN-9787"/>
    <n v="483.47"/>
    <s v="High"/>
    <n v="1135.43"/>
    <x v="34"/>
    <n v="11"/>
    <n v="17662.129100000002"/>
    <n v="5318.17"/>
    <n v="12343.959100000002"/>
    <n v="0.6988941723905755"/>
  </r>
  <r>
    <s v="ORD-2024-389336"/>
    <d v="2024-05-20T00:00:00"/>
    <d v="2024-06-02T00:00:00"/>
    <n v="13"/>
    <s v="May-2024"/>
    <s v="Q2-2024"/>
    <x v="2"/>
    <s v="Canada"/>
    <s v="Vancouver"/>
    <s v="Enterprise"/>
    <s v="Marketplace"/>
    <x v="11"/>
    <s v="Components"/>
    <s v="CMP-5946"/>
    <n v="675.43"/>
    <s v="High"/>
    <n v="996.36"/>
    <x v="35"/>
    <n v="22"/>
    <n v="22844.122400000004"/>
    <n v="14859.46"/>
    <n v="7984.6624000000047"/>
    <n v="0.34952808692707771"/>
  </r>
  <r>
    <s v="ORD-2023-308124"/>
    <d v="2023-04-19T00:00:00"/>
    <d v="2023-04-30T00:00:00"/>
    <n v="11"/>
    <s v="Apr-2023"/>
    <s v="Q2-2023"/>
    <x v="1"/>
    <s v="India"/>
    <s v="Delhi"/>
    <s v="Small Business"/>
    <s v="Retail"/>
    <x v="8"/>
    <s v="Networking"/>
    <s v="NET-2062"/>
    <n v="826.55"/>
    <s v="High"/>
    <n v="1397.05"/>
    <x v="36"/>
    <n v="28"/>
    <n v="14447.799239999997"/>
    <n v="23143.399999999998"/>
    <n v="-8695.6007600000012"/>
    <n v="-0.6018633437212686"/>
  </r>
  <r>
    <s v="ORD-2023-128295"/>
    <d v="2023-06-23T00:00:00"/>
    <d v="2023-07-03T00:00:00"/>
    <n v="10"/>
    <s v="Jun-2023"/>
    <s v="Q2-2023"/>
    <x v="0"/>
    <s v="Nigeria"/>
    <s v="Abuja"/>
    <s v="Consumer"/>
    <s v="Online"/>
    <x v="1"/>
    <s v="Printers"/>
    <s v="PRN-2542"/>
    <n v="337.75"/>
    <s v="High"/>
    <n v="548.89"/>
    <x v="5"/>
    <n v="13"/>
    <n v="18926.830000000002"/>
    <n v="4390.75"/>
    <n v="14536.080000000002"/>
    <n v="0.76801450639119173"/>
  </r>
  <r>
    <s v="ORD-2024-548345"/>
    <d v="2024-05-14T00:00:00"/>
    <d v="2024-05-28T00:00:00"/>
    <n v="14"/>
    <s v="May-2024"/>
    <s v="Q2-2024"/>
    <x v="3"/>
    <s v="United Kingdom"/>
    <s v="Birmingham"/>
    <s v="Consumer"/>
    <s v="Retail"/>
    <x v="5"/>
    <s v="Networking"/>
    <s v="NET-2365"/>
    <n v="1421.14"/>
    <s v="High"/>
    <n v="3524"/>
    <x v="5"/>
    <n v="31"/>
    <n v="16939.329999999998"/>
    <n v="44055.340000000004"/>
    <n v="-27116.010000000006"/>
    <n v="-1.6007722855626527"/>
  </r>
  <r>
    <s v="ORD-2024-966651"/>
    <d v="2024-10-14T00:00:00"/>
    <d v="2024-11-08T00:00:00"/>
    <n v="25"/>
    <s v="Oct-2024"/>
    <s v="Q4-2024"/>
    <x v="0"/>
    <s v="Nigeria"/>
    <s v="Lagos"/>
    <s v="Enterprise"/>
    <s v="Online"/>
    <x v="7"/>
    <s v="Networking"/>
    <s v="NET-5268"/>
    <n v="859.35"/>
    <s v="High"/>
    <n v="1825.61"/>
    <x v="37"/>
    <n v="24"/>
    <n v="26300.615040000001"/>
    <n v="20624.400000000001"/>
    <n v="5676.2150399999991"/>
    <n v="0.21582061983596865"/>
  </r>
  <r>
    <s v="ORD-2023-292714"/>
    <d v="2023-07-10T00:00:00"/>
    <d v="2023-08-01T00:00:00"/>
    <n v="22"/>
    <s v="Jul-2023"/>
    <s v="Q3-2023"/>
    <x v="3"/>
    <s v="France"/>
    <s v="Marseille"/>
    <s v="Consumer"/>
    <s v="Marketplace"/>
    <x v="5"/>
    <s v="Printers"/>
    <s v="PRN-1504"/>
    <n v="1303.56"/>
    <s v="High"/>
    <n v="1791.37"/>
    <x v="38"/>
    <n v="22"/>
    <n v="21312.892040000002"/>
    <n v="28678.32"/>
    <n v="-7365.4279599999973"/>
    <n v="-0.34558557075110097"/>
  </r>
  <r>
    <s v="ORD-2024-468501"/>
    <d v="2024-11-06T00:00:00"/>
    <d v="2024-11-22T00:00:00"/>
    <n v="16"/>
    <s v="Nov-2024"/>
    <s v="Q4-2024"/>
    <x v="2"/>
    <s v="Canada"/>
    <s v="Toronto"/>
    <s v="Non-Profit"/>
    <s v="Distributor"/>
    <x v="14"/>
    <s v="Accessories"/>
    <s v="ACC-6348"/>
    <n v="1454.11"/>
    <s v="High"/>
    <n v="2629.75"/>
    <x v="39"/>
    <n v="8"/>
    <n v="17808.182399999998"/>
    <n v="11632.88"/>
    <n v="6175.3023999999987"/>
    <n v="0.34676769707839467"/>
  </r>
  <r>
    <s v="ORD-2024-260775"/>
    <d v="2024-10-17T00:00:00"/>
    <d v="2024-11-06T00:00:00"/>
    <n v="20"/>
    <s v="Oct-2024"/>
    <s v="Q4-2024"/>
    <x v="1"/>
    <s v="India"/>
    <s v="Bengaluru"/>
    <s v="Enterprise"/>
    <s v="Distributor"/>
    <x v="7"/>
    <s v="Monitors"/>
    <s v="MON-4330"/>
    <n v="72.94"/>
    <s v="Medium"/>
    <n v="106.3"/>
    <x v="40"/>
    <n v="8"/>
    <n v="11819.917200000002"/>
    <n v="583.52"/>
    <n v="11236.397200000001"/>
    <n v="0.95063247989588284"/>
  </r>
  <r>
    <s v="ORD-2023-419187"/>
    <d v="2023-03-31T00:00:00"/>
    <d v="2023-04-05T00:00:00"/>
    <n v="5"/>
    <s v="Mar-2023"/>
    <s v="Q1-2023"/>
    <x v="0"/>
    <s v="Kenya"/>
    <s v="Nakuru"/>
    <s v="Education"/>
    <s v="Marketplace"/>
    <x v="5"/>
    <s v="Laptops"/>
    <s v="LAP-7819"/>
    <n v="533.26"/>
    <s v="High"/>
    <n v="385.72"/>
    <x v="5"/>
    <n v="15"/>
    <n v="10554.3"/>
    <n v="7998.9"/>
    <n v="2555.3999999999996"/>
    <n v="0.24211932577243397"/>
  </r>
  <r>
    <s v="ORD-2025-578007"/>
    <d v="2025-01-21T00:00:00"/>
    <d v="2025-02-16T00:00:00"/>
    <n v="26"/>
    <s v="Jan-2025"/>
    <s v="Q1-2025"/>
    <x v="3"/>
    <s v="France"/>
    <s v="Lyon"/>
    <s v="Corporate"/>
    <s v="Distributor"/>
    <x v="7"/>
    <s v="Laptops"/>
    <s v="LAP-3779"/>
    <n v="204.11"/>
    <s v="High"/>
    <n v="236.87"/>
    <x v="35"/>
    <n v="13"/>
    <n v="21238.118460000002"/>
    <n v="2653.4300000000003"/>
    <n v="18584.688460000001"/>
    <n v="0.87506284961177294"/>
  </r>
  <r>
    <s v="ORD-2023-235230"/>
    <d v="2023-08-30T00:00:00"/>
    <d v="2023-09-01T00:00:00"/>
    <n v="2"/>
    <s v="Aug-2023"/>
    <s v="Q3-2023"/>
    <x v="3"/>
    <s v="Germany"/>
    <s v="Munich"/>
    <s v="Corporate"/>
    <s v="Direct"/>
    <x v="13"/>
    <s v="Networking"/>
    <s v="NET-9989"/>
    <n v="44.42"/>
    <s v="Low"/>
    <n v="41.9"/>
    <x v="41"/>
    <n v="6"/>
    <n v="14195.647199999998"/>
    <n v="266.52"/>
    <n v="13929.127199999997"/>
    <n v="0.9812252307876459"/>
  </r>
  <r>
    <s v="ORD-2025-765220"/>
    <d v="2025-04-06T00:00:00"/>
    <d v="2025-04-30T00:00:00"/>
    <n v="24"/>
    <s v="Apr-2025"/>
    <s v="Q2-2025"/>
    <x v="2"/>
    <s v="Brazil"/>
    <s v="Brasília"/>
    <s v="Education"/>
    <s v="Online"/>
    <x v="11"/>
    <s v="Monitors"/>
    <s v="MON-4925"/>
    <n v="855.78"/>
    <s v="High"/>
    <n v="977.38"/>
    <x v="6"/>
    <n v="38"/>
    <n v="48735.421419999999"/>
    <n v="32519.64"/>
    <n v="16215.781419999999"/>
    <n v="0.33273091619036216"/>
  </r>
  <r>
    <s v="ORD-2025-931538"/>
    <d v="2025-02-09T00:00:00"/>
    <d v="2025-03-01T00:00:00"/>
    <n v="20"/>
    <s v="Feb-2025"/>
    <s v="Q1-2025"/>
    <x v="2"/>
    <s v="Brazil"/>
    <s v="São Paulo"/>
    <s v="Corporate"/>
    <s v="Distributor"/>
    <x v="5"/>
    <s v="Laptops"/>
    <s v="LAP-6989"/>
    <n v="1154.6400000000001"/>
    <s v="High"/>
    <n v="2794.13"/>
    <x v="42"/>
    <n v="11"/>
    <n v="4119.0446000000002"/>
    <n v="12701.04"/>
    <n v="-8581.9953999999998"/>
    <n v="-2.0834917398078185"/>
  </r>
  <r>
    <s v="ORD-2024-289089"/>
    <d v="2024-12-17T00:00:00"/>
    <d v="2024-12-18T00:00:00"/>
    <n v="1"/>
    <s v="Dec-2024"/>
    <s v="Q4-2024"/>
    <x v="3"/>
    <s v="Germany"/>
    <s v="Munich"/>
    <s v="Education"/>
    <s v="Retail"/>
    <x v="4"/>
    <s v="Accessories"/>
    <s v="ACC-5780"/>
    <n v="346.82"/>
    <s v="High"/>
    <n v="701.95"/>
    <x v="6"/>
    <n v="8"/>
    <n v="304.14567999999997"/>
    <n v="2774.56"/>
    <n v="-2470.4143199999999"/>
    <n v="-8.122470521363315"/>
  </r>
  <r>
    <s v="ORD-2025-639542"/>
    <d v="2025-06-09T00:00:00"/>
    <d v="2025-06-18T00:00:00"/>
    <n v="9"/>
    <s v="Jun-2025"/>
    <s v="Q2-2025"/>
    <x v="3"/>
    <s v="France"/>
    <s v="Marseille"/>
    <s v="Small Business"/>
    <s v="Marketplace"/>
    <x v="10"/>
    <s v="Accessories"/>
    <s v="ACC-1770"/>
    <n v="1225.5"/>
    <s v="Low"/>
    <n v="-5.27"/>
    <x v="43"/>
    <n v="56"/>
    <n v="93667.868000000002"/>
    <n v="68628"/>
    <n v="25039.868000000002"/>
    <n v="0.2673261229774121"/>
  </r>
  <r>
    <s v="ORD-2025-762301"/>
    <d v="2025-05-02T00:00:00"/>
    <d v="2025-05-13T00:00:00"/>
    <n v="11"/>
    <s v="May-2025"/>
    <s v="Q2-2025"/>
    <x v="0"/>
    <s v="Kenya"/>
    <s v="Nakuru"/>
    <s v="Small Business"/>
    <s v="Online"/>
    <x v="8"/>
    <s v="Accessories"/>
    <s v="ACC-2252"/>
    <n v="1057.5999999999999"/>
    <s v="High"/>
    <n v="1437.06"/>
    <x v="44"/>
    <n v="4"/>
    <n v="4086.5861999999997"/>
    <n v="4230.3999999999996"/>
    <n v="-143.8137999999999"/>
    <n v="-3.5191671718560573E-2"/>
  </r>
  <r>
    <s v="ORD-2024-906395"/>
    <d v="2024-03-10T00:00:00"/>
    <d v="2024-04-09T00:00:00"/>
    <n v="30"/>
    <s v="Mar-2024"/>
    <s v="Q1-2024"/>
    <x v="3"/>
    <s v="France"/>
    <s v="Lyon"/>
    <s v="Corporate"/>
    <s v="Direct"/>
    <x v="2"/>
    <s v="Components"/>
    <s v="CMP-8002"/>
    <n v="1176.56"/>
    <s v="High"/>
    <n v="1911.89"/>
    <x v="45"/>
    <n v="20"/>
    <n v="29568.826800000003"/>
    <n v="23531.199999999997"/>
    <n v="6037.6268000000055"/>
    <n v="0.20418891966319086"/>
  </r>
  <r>
    <s v="ORD-2025-779574"/>
    <d v="2025-09-10T00:00:00"/>
    <d v="2025-09-12T00:00:00"/>
    <n v="2"/>
    <s v="Sept-2025"/>
    <s v="Q3-2025"/>
    <x v="1"/>
    <s v="Japan"/>
    <s v="Tokyo"/>
    <s v="Consumer"/>
    <s v="Online"/>
    <x v="7"/>
    <s v="Components"/>
    <s v="CMP-6971"/>
    <n v="1470.15"/>
    <s v="High"/>
    <n v="2593.7800000000002"/>
    <x v="46"/>
    <n v="12"/>
    <n v="7255.4580000000005"/>
    <n v="17641.800000000003"/>
    <n v="-10386.342000000002"/>
    <n v="-1.4315212078961799"/>
  </r>
  <r>
    <s v="ORD-2025-526650"/>
    <d v="2025-04-27T00:00:00"/>
    <d v="2025-05-25T00:00:00"/>
    <n v="28"/>
    <s v="Apr-2025"/>
    <s v="Q2-2025"/>
    <x v="3"/>
    <s v="France"/>
    <s v="Paris"/>
    <s v="Small Business"/>
    <s v="Marketplace"/>
    <x v="2"/>
    <s v="Phones"/>
    <s v="PHN-8350"/>
    <n v="603.45000000000005"/>
    <s v="High"/>
    <n v="1244.08"/>
    <x v="47"/>
    <n v="11"/>
    <n v="9767.2960000000003"/>
    <n v="6637.9500000000007"/>
    <n v="3129.3459999999995"/>
    <n v="0.32039020830330106"/>
  </r>
  <r>
    <s v="ORD-2024-247979"/>
    <d v="2024-11-02T00:00:00"/>
    <d v="2024-11-18T00:00:00"/>
    <n v="16"/>
    <s v="Nov-2024"/>
    <s v="Q4-2024"/>
    <x v="1"/>
    <s v="India"/>
    <s v="Mumbai"/>
    <s v="Small Business"/>
    <s v="Distributor"/>
    <x v="7"/>
    <s v="Monitors"/>
    <s v="MON-5188"/>
    <n v="1233.58"/>
    <s v="High"/>
    <n v="1912.51"/>
    <x v="48"/>
    <n v="51"/>
    <n v="3175.2421499999996"/>
    <n v="62912.579999999994"/>
    <n v="-59737.337849999996"/>
    <n v="-18.813474698299782"/>
  </r>
  <r>
    <s v="ORD-2023-480975"/>
    <d v="2023-02-15T00:00:00"/>
    <d v="2023-02-26T00:00:00"/>
    <n v="11"/>
    <s v="Feb-2023"/>
    <s v="Q1-2023"/>
    <x v="0"/>
    <s v="South Africa"/>
    <s v="Johannesburg"/>
    <s v="Non-Profit"/>
    <s v="Retail"/>
    <x v="11"/>
    <s v="Laptops"/>
    <s v="LAP-3393"/>
    <n v="498.5"/>
    <s v="High"/>
    <n v="755.87"/>
    <x v="49"/>
    <n v="40"/>
    <n v="44693.64"/>
    <n v="19940"/>
    <n v="24753.64"/>
    <n v="0.55385150996875621"/>
  </r>
  <r>
    <s v="ORD-2023-239789"/>
    <d v="2023-12-03T00:00:00"/>
    <d v="2023-12-26T00:00:00"/>
    <n v="23"/>
    <s v="Dec-2023"/>
    <s v="Q4-2023"/>
    <x v="2"/>
    <s v="Brazil"/>
    <s v="Rio de Janeiro"/>
    <s v="Education"/>
    <s v="Retail"/>
    <x v="7"/>
    <s v="Phones"/>
    <s v="PHN-4644"/>
    <n v="1303.1099999999999"/>
    <s v="High"/>
    <n v="1145.67"/>
    <x v="50"/>
    <n v="13"/>
    <n v="9671.5257600000004"/>
    <n v="16940.43"/>
    <n v="-7268.9042399999998"/>
    <n v="-0.75157781929952694"/>
  </r>
  <r>
    <s v="ORD-2023-548874"/>
    <d v="2023-03-19T00:00:00"/>
    <d v="2023-04-09T00:00:00"/>
    <n v="21"/>
    <s v="Mar-2023"/>
    <s v="Q1-2023"/>
    <x v="3"/>
    <s v="United Kingdom"/>
    <s v="Manchester"/>
    <s v="Consumer"/>
    <s v="Retail"/>
    <x v="4"/>
    <s v="Accessories"/>
    <s v="ACC-9150"/>
    <n v="1082.17"/>
    <s v="High"/>
    <n v="1234.0999999999999"/>
    <x v="51"/>
    <n v="16"/>
    <n v="18232.188319999997"/>
    <n v="17314.72"/>
    <n v="917.46831999999631"/>
    <n v="5.0321349467061474E-2"/>
  </r>
  <r>
    <s v="ORD-2024-347736"/>
    <d v="2024-05-22T00:00:00"/>
    <d v="2024-06-06T00:00:00"/>
    <n v="15"/>
    <s v="May-2024"/>
    <s v="Q2-2024"/>
    <x v="1"/>
    <s v="Japan"/>
    <s v="Nagoya"/>
    <s v="Corporate"/>
    <s v="Distributor"/>
    <x v="0"/>
    <s v="Monitors"/>
    <s v="MON-6870"/>
    <n v="673.88"/>
    <s v="High"/>
    <n v="1228.01"/>
    <x v="52"/>
    <n v="13"/>
    <n v="11273.616900000001"/>
    <n v="8760.44"/>
    <n v="2513.1769000000004"/>
    <n v="0.22292551913840536"/>
  </r>
  <r>
    <s v="ORD-2023-749324"/>
    <d v="2023-08-19T00:00:00"/>
    <d v="2023-09-07T00:00:00"/>
    <n v="19"/>
    <s v="Aug-2023"/>
    <s v="Q3-2023"/>
    <x v="0"/>
    <s v="South Africa"/>
    <s v="Johannesburg"/>
    <s v="Enterprise"/>
    <s v="Retail"/>
    <x v="14"/>
    <s v="Monitors"/>
    <s v="MON-2296"/>
    <n v="494.61"/>
    <s v="High"/>
    <n v="605.23"/>
    <x v="53"/>
    <n v="18"/>
    <n v="15600.46968"/>
    <n v="8902.98"/>
    <n v="6697.4896800000006"/>
    <n v="0.42931333590464055"/>
  </r>
  <r>
    <s v="ORD-2023-809913"/>
    <d v="2023-04-21T00:00:00"/>
    <d v="2023-05-10T00:00:00"/>
    <n v="19"/>
    <s v="Apr-2023"/>
    <s v="Q2-2023"/>
    <x v="1"/>
    <s v="China"/>
    <s v="Shanghai"/>
    <s v="Corporate"/>
    <s v="Retail"/>
    <x v="8"/>
    <s v="Components"/>
    <s v="CMP-7371"/>
    <n v="882.33"/>
    <s v="High"/>
    <n v="1880.15"/>
    <x v="54"/>
    <n v="5"/>
    <n v="11803.702499999998"/>
    <n v="4411.6500000000005"/>
    <n v="7392.0524999999971"/>
    <n v="0.6262486283435218"/>
  </r>
  <r>
    <s v="ORD-2024-287210"/>
    <d v="2024-03-18T00:00:00"/>
    <d v="2024-03-21T00:00:00"/>
    <n v="3"/>
    <s v="Mar-2024"/>
    <s v="Q1-2024"/>
    <x v="3"/>
    <s v="Germany"/>
    <s v="Munich"/>
    <s v="Small Business"/>
    <s v="Online"/>
    <x v="12"/>
    <s v="Accessories"/>
    <s v="ACC-2761"/>
    <n v="910.63"/>
    <s v="High"/>
    <n v="1269.4000000000001"/>
    <x v="55"/>
    <n v="9"/>
    <n v="240.65172000000001"/>
    <n v="8195.67"/>
    <n v="-7955.0182800000002"/>
    <n v="-33.05614553679483"/>
  </r>
  <r>
    <s v="ORD-2025-640677"/>
    <d v="2025-04-09T00:00:00"/>
    <d v="2025-05-06T00:00:00"/>
    <n v="27"/>
    <s v="Apr-2025"/>
    <s v="Q2-2025"/>
    <x v="2"/>
    <s v="Brazil"/>
    <s v="Brasília"/>
    <s v="Enterprise"/>
    <s v="Marketplace"/>
    <x v="9"/>
    <s v="Laptops"/>
    <s v="LAP-4517"/>
    <n v="264.19"/>
    <s v="High"/>
    <n v="620.92999999999995"/>
    <x v="56"/>
    <n v="12"/>
    <n v="19527.59952"/>
    <n v="3170.2799999999997"/>
    <n v="16357.319520000001"/>
    <n v="0.83765132028885447"/>
  </r>
  <r>
    <s v="ORD-2024-939873"/>
    <d v="2024-04-12T00:00:00"/>
    <d v="2024-05-07T00:00:00"/>
    <n v="25"/>
    <s v="Apr-2024"/>
    <s v="Q2-2024"/>
    <x v="0"/>
    <s v="South Africa"/>
    <s v="Johannesburg"/>
    <s v="Education"/>
    <s v="Distributor"/>
    <x v="8"/>
    <s v="Laptops"/>
    <s v="LAP-8489"/>
    <n v="1376.51"/>
    <s v="High"/>
    <n v="1455.91"/>
    <x v="57"/>
    <n v="17"/>
    <n v="5807.6003499999997"/>
    <n v="23400.67"/>
    <n v="-17593.069649999998"/>
    <n v="-3.0293182364037841"/>
  </r>
  <r>
    <s v="ORD-2024-800947"/>
    <d v="2024-12-15T00:00:00"/>
    <d v="2024-12-20T00:00:00"/>
    <n v="5"/>
    <s v="Dec-2024"/>
    <s v="Q4-2024"/>
    <x v="1"/>
    <s v="China"/>
    <s v="Shenzhen"/>
    <s v="Small Business"/>
    <s v="Direct"/>
    <x v="1"/>
    <s v="Networking"/>
    <s v="NET-1846"/>
    <n v="717.55"/>
    <s v="High"/>
    <n v="546.42999999999995"/>
    <x v="58"/>
    <n v="18"/>
    <n v="34328.070179999995"/>
    <n v="12915.9"/>
    <n v="21412.170179999994"/>
    <n v="0.62375106050893059"/>
  </r>
  <r>
    <s v="ORD-2023-382272"/>
    <d v="2023-05-20T00:00:00"/>
    <d v="2023-05-18T00:00:00"/>
    <n v="2"/>
    <s v="May-2023"/>
    <s v="Q2-2023"/>
    <x v="0"/>
    <s v="South Africa"/>
    <s v="Durban"/>
    <s v="Corporate"/>
    <s v="Distributor"/>
    <x v="8"/>
    <s v="Components"/>
    <s v="CMP-5208"/>
    <n v="917.88"/>
    <s v="High"/>
    <n v="1347.92"/>
    <x v="59"/>
    <n v="5"/>
    <n v="10198.97235"/>
    <n v="4589.3999999999996"/>
    <n v="5609.5723500000004"/>
    <n v="0.55001348738826616"/>
  </r>
  <r>
    <s v="ORD-2023-722117"/>
    <d v="2023-09-18T00:00:00"/>
    <d v="2023-10-08T00:00:00"/>
    <n v="20"/>
    <s v="Sept-2023"/>
    <s v="Q3-2023"/>
    <x v="1"/>
    <s v="India"/>
    <s v="Delhi"/>
    <s v="Small Business"/>
    <s v="Direct"/>
    <x v="5"/>
    <s v="Components"/>
    <s v="CMP-1009"/>
    <n v="825.64"/>
    <s v="High"/>
    <n v="1108.43"/>
    <x v="60"/>
    <n v="7"/>
    <n v="2073.2045600000001"/>
    <n v="5779.48"/>
    <n v="-3706.2754399999994"/>
    <n v="-1.7877036890175464"/>
  </r>
  <r>
    <s v="ORD-2024-446699"/>
    <d v="2024-08-28T00:00:00"/>
    <d v="2024-09-25T00:00:00"/>
    <n v="28"/>
    <s v="Aug-2024"/>
    <s v="Q3-2024"/>
    <x v="2"/>
    <s v="Brazil"/>
    <s v="Rio de Janeiro"/>
    <s v="Non-Profit"/>
    <s v="Online"/>
    <x v="15"/>
    <s v="Accessories"/>
    <s v="ACC-4490"/>
    <n v="1394.65"/>
    <s v="High"/>
    <n v="3144.1"/>
    <x v="61"/>
    <n v="13"/>
    <n v="21984.960139999999"/>
    <n v="18130.45"/>
    <n v="3854.5101399999985"/>
    <n v="0.17532486370020767"/>
  </r>
  <r>
    <s v="ORD-2024-451005"/>
    <d v="2024-06-30T00:00:00"/>
    <d v="2024-06-28T00:00:00"/>
    <n v="2"/>
    <s v="Jun-2024"/>
    <s v="Q2-2024"/>
    <x v="2"/>
    <s v="Brazil"/>
    <s v="Rio de Janeiro"/>
    <s v="Small Business"/>
    <s v="Direct"/>
    <x v="4"/>
    <s v="Accessories"/>
    <s v="ACC-9162"/>
    <n v="1112.98"/>
    <s v="High"/>
    <n v="2095.73"/>
    <x v="3"/>
    <n v="17"/>
    <n v="3822.3670400000005"/>
    <n v="18920.66"/>
    <n v="-15098.292959999999"/>
    <n v="-3.9499851275402365"/>
  </r>
  <r>
    <s v="ORD-2023-290279"/>
    <d v="2023-06-14T00:00:00"/>
    <d v="2023-06-16T00:00:00"/>
    <n v="2"/>
    <s v="Jun-2023"/>
    <s v="Q2-2023"/>
    <x v="3"/>
    <s v="United Kingdom"/>
    <s v="Manchester"/>
    <s v="Non-Profit"/>
    <s v="Direct"/>
    <x v="11"/>
    <s v="Components"/>
    <s v="CMP-5820"/>
    <n v="357.36"/>
    <s v="High"/>
    <n v="703.62"/>
    <x v="62"/>
    <n v="20"/>
    <n v="44117.408199999998"/>
    <n v="7147.2000000000007"/>
    <n v="36970.208199999994"/>
    <n v="0.83799592288832592"/>
  </r>
  <r>
    <s v="ORD-2024-192263"/>
    <d v="2024-11-21T00:00:00"/>
    <d v="2024-12-21T00:00:00"/>
    <n v="0"/>
    <s v="Nov-2024"/>
    <s v="Q4-2024"/>
    <x v="3"/>
    <s v="France"/>
    <s v="Marseille"/>
    <s v="Small Business"/>
    <s v="Direct"/>
    <x v="2"/>
    <s v="Monitors"/>
    <s v="MON-7943"/>
    <n v="1122.68"/>
    <s v="High"/>
    <n v="1997.19"/>
    <x v="63"/>
    <n v="3"/>
    <n v="3404.8806"/>
    <n v="3368.04"/>
    <n v="36.840599999999995"/>
    <n v="1.081993888420052E-2"/>
  </r>
  <r>
    <s v="ORD-2023-159379"/>
    <d v="2023-02-08T00:00:00"/>
    <d v="2023-02-11T00:00:00"/>
    <n v="3"/>
    <s v="Feb-2023"/>
    <s v="Q1-2023"/>
    <x v="0"/>
    <s v="South Africa"/>
    <s v="Cape Town"/>
    <s v="Corporate"/>
    <s v="Direct"/>
    <x v="12"/>
    <s v="Networking"/>
    <s v="NET-5018"/>
    <n v="1410.05"/>
    <s v="High"/>
    <n v="2763.95"/>
    <x v="64"/>
    <n v="26"/>
    <n v="336.15374000000003"/>
    <n v="36661.299999999996"/>
    <n v="-36325.146259999994"/>
    <n v="-108.06110995522462"/>
  </r>
  <r>
    <s v="ORD-2023-343322"/>
    <d v="2023-08-19T00:00:00"/>
    <d v="2023-09-12T00:00:00"/>
    <n v="24"/>
    <s v="Aug-2023"/>
    <s v="Q3-2023"/>
    <x v="2"/>
    <s v="Canada"/>
    <s v="Vancouver"/>
    <s v="Enterprise"/>
    <s v="Retail"/>
    <x v="2"/>
    <s v="Printers"/>
    <s v="PRN-9669"/>
    <n v="1183.95"/>
    <s v="High"/>
    <n v="1503.53"/>
    <x v="65"/>
    <n v="16"/>
    <n v="27333.836640000001"/>
    <n v="18943.2"/>
    <n v="8390.6366400000006"/>
    <n v="0.30696885879976488"/>
  </r>
  <r>
    <s v="ORD-2025-114382"/>
    <d v="2025-05-14T00:00:00"/>
    <d v="2025-05-24T00:00:00"/>
    <n v="10"/>
    <s v="May-2025"/>
    <s v="Q2-2025"/>
    <x v="3"/>
    <s v="France"/>
    <s v="Paris"/>
    <s v="Small Business"/>
    <s v="Marketplace"/>
    <x v="11"/>
    <s v="Components"/>
    <s v="CMP-2865"/>
    <n v="170.39"/>
    <s v="High"/>
    <n v="388.04"/>
    <x v="26"/>
    <n v="15"/>
    <n v="2281.3896"/>
    <n v="2555.85"/>
    <n v="-274.46039999999994"/>
    <n v="-0.12030404627074653"/>
  </r>
  <r>
    <s v="ORD-2025-488349"/>
    <d v="2025-04-23T00:00:00"/>
    <d v="2025-04-22T00:00:00"/>
    <n v="1"/>
    <s v="Apr-2025"/>
    <s v="Q2-2025"/>
    <x v="2"/>
    <s v="USA"/>
    <s v="San Francisco"/>
    <s v="Non-Profit"/>
    <s v="Distributor"/>
    <x v="14"/>
    <s v="Monitors"/>
    <s v="MON-3371"/>
    <n v="23.24"/>
    <s v="Low"/>
    <n v="44.57"/>
    <x v="66"/>
    <n v="15"/>
    <n v="4198.3762500000003"/>
    <n v="348.59999999999997"/>
    <n v="3849.7762500000003"/>
    <n v="0.91696789919674304"/>
  </r>
  <r>
    <s v="ORD-2025-330203"/>
    <d v="2025-03-25T00:00:00"/>
    <d v="2025-04-17T00:00:00"/>
    <n v="23"/>
    <s v="Mar-2025"/>
    <s v="Q1-2025"/>
    <x v="3"/>
    <s v="United Kingdom"/>
    <s v="London"/>
    <s v="Consumer"/>
    <s v="Retail"/>
    <x v="10"/>
    <s v="Networking"/>
    <s v="NET-7166"/>
    <n v="1421.19"/>
    <s v="High"/>
    <n v="1808.26"/>
    <x v="67"/>
    <n v="13"/>
    <n v="11939.7824"/>
    <n v="18475.47"/>
    <n v="-6535.6876000000011"/>
    <n v="-0.54738749677716081"/>
  </r>
  <r>
    <s v="ORD-2023-841426"/>
    <d v="2023-12-22T00:00:00"/>
    <d v="2023-12-23T00:00:00"/>
    <n v="1"/>
    <s v="Dec-2023"/>
    <s v="Q4-2023"/>
    <x v="0"/>
    <s v="South Africa"/>
    <s v="Cape Town"/>
    <s v="Non-Profit"/>
    <s v="Marketplace"/>
    <x v="14"/>
    <s v="Components"/>
    <s v="CMP-4531"/>
    <n v="1186.18"/>
    <s v="High"/>
    <n v="1285.0899999999999"/>
    <x v="68"/>
    <n v="11"/>
    <n v="18364.589100000001"/>
    <n v="13047.980000000001"/>
    <n v="5316.6090999999997"/>
    <n v="0.28950329740838032"/>
  </r>
  <r>
    <s v="ORD-2024-594592"/>
    <d v="2024-04-06T00:00:00"/>
    <d v="2024-04-25T00:00:00"/>
    <n v="19"/>
    <s v="Apr-2024"/>
    <s v="Q2-2024"/>
    <x v="1"/>
    <s v="China"/>
    <s v="Shanghai"/>
    <s v="Corporate"/>
    <s v="Retail"/>
    <x v="11"/>
    <s v="Components"/>
    <s v="CMP-8196"/>
    <n v="1366.48"/>
    <s v="High"/>
    <n v="1678.14"/>
    <x v="69"/>
    <n v="10"/>
    <n v="36.970199999999998"/>
    <n v="13664.8"/>
    <n v="-13627.8298"/>
    <n v="-368.61661013464897"/>
  </r>
  <r>
    <s v="ORD-2025-863978"/>
    <d v="2025-08-07T00:00:00"/>
    <d v="2025-08-19T00:00:00"/>
    <n v="12"/>
    <s v="Aug-2025"/>
    <s v="Q3-2025"/>
    <x v="0"/>
    <s v="Kenya"/>
    <s v="Nakuru"/>
    <s v="Corporate"/>
    <s v="Not Provided"/>
    <x v="12"/>
    <s v="Components"/>
    <s v="CMP-2854"/>
    <n v="601.51"/>
    <s v="High"/>
    <n v="679.35"/>
    <x v="70"/>
    <n v="3"/>
    <n v="532.26600000000008"/>
    <n v="1804.53"/>
    <n v="-1272.2639999999999"/>
    <n v="-2.3902785449380568"/>
  </r>
  <r>
    <s v="ORD-2024-604471"/>
    <d v="2024-01-21T00:00:00"/>
    <d v="2024-01-25T00:00:00"/>
    <n v="4"/>
    <s v="Jan-2024"/>
    <s v="Q1-2024"/>
    <x v="1"/>
    <s v="India"/>
    <s v="Delhi"/>
    <s v="Consumer"/>
    <s v="Direct"/>
    <x v="0"/>
    <s v="Monitors"/>
    <s v="MON-8973"/>
    <n v="523.70000000000005"/>
    <s v="High"/>
    <n v="1109.92"/>
    <x v="71"/>
    <n v="11"/>
    <n v="2666.1129000000001"/>
    <n v="5760.7000000000007"/>
    <n v="-3094.5871000000006"/>
    <n v="-1.160711198689298"/>
  </r>
  <r>
    <s v="ORD-2023-258768"/>
    <d v="2023-06-29T00:00:00"/>
    <d v="2023-07-02T00:00:00"/>
    <n v="3"/>
    <s v="Jun-2023"/>
    <s v="Q2-2023"/>
    <x v="1"/>
    <s v="Japan"/>
    <s v="Nagoya"/>
    <s v="Education"/>
    <s v="Marketplace"/>
    <x v="9"/>
    <s v="Monitors"/>
    <s v="MON-2990"/>
    <n v="55.65"/>
    <s v="Medium"/>
    <n v="83.57"/>
    <x v="72"/>
    <n v="8"/>
    <n v="25677.677439999999"/>
    <n v="445.2"/>
    <n v="25232.477439999999"/>
    <n v="0.98266198331059018"/>
  </r>
  <r>
    <s v="ORD-2025-626047"/>
    <d v="2025-04-28T00:00:00"/>
    <d v="2025-05-15T00:00:00"/>
    <n v="17"/>
    <s v="Apr-2025"/>
    <s v="Q2-2025"/>
    <x v="1"/>
    <s v="Japan"/>
    <s v="Nagoya"/>
    <s v="Education"/>
    <s v="Direct"/>
    <x v="13"/>
    <s v="Networking"/>
    <s v="NET-1966"/>
    <n v="691.19"/>
    <s v="High"/>
    <n v="1284.3"/>
    <x v="13"/>
    <n v="7"/>
    <n v="346.46290000000005"/>
    <n v="4838.33"/>
    <n v="-4491.8670999999995"/>
    <n v="-12.964929578318483"/>
  </r>
  <r>
    <s v="ORD-2025-526752"/>
    <d v="2025-06-09T00:00:00"/>
    <d v="2025-06-25T00:00:00"/>
    <n v="16"/>
    <s v="Jun-2025"/>
    <s v="Q2-2025"/>
    <x v="1"/>
    <s v="India"/>
    <s v="Hyderabad"/>
    <s v="Enterprise"/>
    <s v="Distributor"/>
    <x v="12"/>
    <s v="Phones"/>
    <s v="PHN-3482"/>
    <n v="527.33000000000004"/>
    <s v="High"/>
    <n v="911.72"/>
    <x v="41"/>
    <n v="25"/>
    <n v="74251.58"/>
    <n v="13183.250000000002"/>
    <n v="61068.33"/>
    <n v="0.82245158958233622"/>
  </r>
  <r>
    <s v="ORD-2023-374486"/>
    <d v="2023-06-24T00:00:00"/>
    <d v="2023-06-23T00:00:00"/>
    <n v="1"/>
    <s v="Jun-2023"/>
    <s v="Q2-2023"/>
    <x v="2"/>
    <s v="Brazil"/>
    <s v="Rio de Janeiro"/>
    <s v="Non-Profit"/>
    <s v="Retail"/>
    <x v="6"/>
    <s v="Printers"/>
    <s v="PRN-6490"/>
    <n v="804.01"/>
    <s v="High"/>
    <n v="1405.07"/>
    <x v="73"/>
    <n v="8"/>
    <n v="4491.2166399999996"/>
    <n v="6432.08"/>
    <n v="-1940.8633600000003"/>
    <n v="-0.43214645731273393"/>
  </r>
  <r>
    <s v="ORD-2024-997336"/>
    <d v="2024-10-04T00:00:00"/>
    <d v="2024-11-02T00:00:00"/>
    <n v="29"/>
    <s v="Oct-2024"/>
    <s v="Q4-2024"/>
    <x v="0"/>
    <s v="Nigeria"/>
    <s v="Abuja"/>
    <s v="Corporate"/>
    <s v="Distributor"/>
    <x v="9"/>
    <s v="Accessories"/>
    <s v="ACC-9038"/>
    <n v="412.09"/>
    <s v="High"/>
    <n v="968.94"/>
    <x v="74"/>
    <n v="23"/>
    <n v="1834.19273"/>
    <n v="9478.07"/>
    <n v="-7643.87727"/>
    <n v="-4.1674340678473847"/>
  </r>
  <r>
    <s v="ORD-2025-725646"/>
    <d v="2025-09-10T00:00:00"/>
    <d v="2025-09-30T00:00:00"/>
    <n v="20"/>
    <s v="Sept-2025"/>
    <s v="Q3-2025"/>
    <x v="0"/>
    <s v="Kenya"/>
    <s v="Mombasa"/>
    <s v="Corporate"/>
    <s v="Direct"/>
    <x v="4"/>
    <s v="Phones"/>
    <s v="PHN-6954"/>
    <n v="1009.48"/>
    <s v="High"/>
    <n v="1088.81"/>
    <x v="75"/>
    <n v="6"/>
    <n v="9873.8135999999995"/>
    <n v="6056.88"/>
    <n v="3816.9335999999994"/>
    <n v="0.38657136488782812"/>
  </r>
  <r>
    <s v="ORD-2023-868734"/>
    <d v="2023-04-06T00:00:00"/>
    <d v="2023-04-27T00:00:00"/>
    <n v="21"/>
    <s v="Apr-2023"/>
    <s v="Q2-2023"/>
    <x v="3"/>
    <s v="United Kingdom"/>
    <s v="Manchester"/>
    <s v="Enterprise"/>
    <s v="Distributor"/>
    <x v="2"/>
    <s v="Printers"/>
    <s v="PRN-8970"/>
    <n v="1084.79"/>
    <s v="High"/>
    <n v="2484.9899999999998"/>
    <x v="76"/>
    <n v="18"/>
    <n v="47694.762360000001"/>
    <n v="19526.22"/>
    <n v="28168.542359999999"/>
    <n v="0.59060032939013052"/>
  </r>
  <r>
    <s v="ORD-2025-262491"/>
    <d v="2025-08-01T00:00:00"/>
    <d v="2025-08-16T00:00:00"/>
    <n v="15"/>
    <s v="Aug-2025"/>
    <s v="Q3-2025"/>
    <x v="1"/>
    <s v="India"/>
    <s v="Not Provided"/>
    <s v="Enterprise"/>
    <s v="Direct"/>
    <x v="7"/>
    <s v="Monitors"/>
    <s v="MON-1822"/>
    <n v="24.44"/>
    <s v="Low"/>
    <n v="28.69"/>
    <x v="34"/>
    <n v="6"/>
    <n v="8605.3480799999998"/>
    <n v="146.64000000000001"/>
    <n v="8458.7080800000003"/>
    <n v="0.98295943422197984"/>
  </r>
  <r>
    <s v="ORD-2024-638884"/>
    <d v="2024-05-28T00:00:00"/>
    <d v="2024-05-26T00:00:00"/>
    <n v="2"/>
    <s v="May-2024"/>
    <s v="Q2-2024"/>
    <x v="0"/>
    <s v="Nigeria"/>
    <s v="Abuja"/>
    <s v="Enterprise"/>
    <s v="Online"/>
    <x v="9"/>
    <s v="Accessories"/>
    <s v="ACC-5177"/>
    <n v="1227.08"/>
    <s v="High"/>
    <n v="1896.62"/>
    <x v="5"/>
    <n v="18"/>
    <n v="25810.2"/>
    <n v="22087.439999999999"/>
    <n v="3722.760000000002"/>
    <n v="0.14423599972104059"/>
  </r>
  <r>
    <s v="ORD-2025-541501"/>
    <d v="2025-07-22T00:00:00"/>
    <d v="2025-08-18T00:00:00"/>
    <n v="27"/>
    <s v="Jul-2025"/>
    <s v="Q3-2025"/>
    <x v="1"/>
    <s v="China"/>
    <s v="Shenzhen"/>
    <s v="Non-Profit"/>
    <s v="Marketplace"/>
    <x v="12"/>
    <s v="Networking"/>
    <s v="NET-1804"/>
    <n v="547.32000000000005"/>
    <s v="High"/>
    <n v="419.17"/>
    <x v="77"/>
    <n v="14"/>
    <n v="3615.67416"/>
    <n v="7662.4800000000005"/>
    <n v="-4046.8058400000004"/>
    <n v="-1.1192396385630061"/>
  </r>
  <r>
    <s v="ORD-2023-422918"/>
    <d v="2023-02-28T00:00:00"/>
    <d v="2023-03-20T00:00:00"/>
    <n v="20"/>
    <s v="Feb-2023"/>
    <s v="Q1-2023"/>
    <x v="3"/>
    <s v="Germany"/>
    <s v="Berlin"/>
    <s v="Small Business"/>
    <s v="Direct"/>
    <x v="10"/>
    <s v="Laptops"/>
    <s v="LAP-3679"/>
    <n v="1200.78"/>
    <s v="High"/>
    <n v="2001.17"/>
    <x v="39"/>
    <n v="18"/>
    <n v="8854.276319999999"/>
    <n v="21614.04"/>
    <n v="-12759.763680000002"/>
    <n v="-1.4410848745682701"/>
  </r>
  <r>
    <s v="ORD-2025-328504"/>
    <d v="2025-01-27T00:00:00"/>
    <d v="2025-02-15T00:00:00"/>
    <n v="19"/>
    <s v="Jan-2025"/>
    <s v="Q1-2025"/>
    <x v="1"/>
    <s v="China"/>
    <s v="Shenzhen"/>
    <s v="Non-Profit"/>
    <s v="Direct"/>
    <x v="4"/>
    <s v="Phones"/>
    <s v="PHN-8368"/>
    <n v="1253.22"/>
    <s v="High"/>
    <n v="3104.71"/>
    <x v="5"/>
    <n v="17"/>
    <n v="31422.63"/>
    <n v="21304.74"/>
    <n v="10117.89"/>
    <n v="0.3219937350883742"/>
  </r>
  <r>
    <s v="ORD-2024-851883"/>
    <d v="2024-01-13T00:00:00"/>
    <d v="2024-01-22T00:00:00"/>
    <n v="9"/>
    <s v="Jan-2024"/>
    <s v="Q1-2024"/>
    <x v="1"/>
    <s v="India"/>
    <s v="Mumbai"/>
    <s v="Enterprise"/>
    <s v="Marketplace"/>
    <x v="1"/>
    <s v="Components"/>
    <s v="CMP-8141"/>
    <n v="313.60000000000002"/>
    <s v="High"/>
    <n v="334.28"/>
    <x v="78"/>
    <n v="22"/>
    <n v="854.99479999999994"/>
    <n v="6899.2000000000007"/>
    <n v="-6044.2052000000003"/>
    <n v="-7.0692888424584579"/>
  </r>
  <r>
    <s v="ORD-2025-662997"/>
    <d v="2025-03-31T00:00:00"/>
    <d v="2025-04-04T00:00:00"/>
    <n v="4"/>
    <s v="Mar-2025"/>
    <s v="Q1-2025"/>
    <x v="0"/>
    <s v="Kenya"/>
    <s v="Nakuru"/>
    <s v="Corporate"/>
    <s v="Direct"/>
    <x v="0"/>
    <s v="Laptops"/>
    <s v="LAP-7136"/>
    <n v="862.08"/>
    <s v="High"/>
    <n v="1952.83"/>
    <x v="5"/>
    <n v="7"/>
    <n v="2527.7000000000003"/>
    <n v="6034.56"/>
    <n v="-3506.86"/>
    <n v="-1.3873719191359732"/>
  </r>
  <r>
    <s v="ORD-2024-478165"/>
    <d v="2024-12-05T00:00:00"/>
    <d v="2024-12-28T00:00:00"/>
    <n v="23"/>
    <s v="Dec-2024"/>
    <s v="Q4-2024"/>
    <x v="2"/>
    <s v="Canada"/>
    <s v="Vancouver"/>
    <s v="Corporate"/>
    <s v="Direct"/>
    <x v="9"/>
    <s v="Accessories"/>
    <s v="ACC-2386"/>
    <n v="107.03"/>
    <s v="High"/>
    <n v="242.29"/>
    <x v="79"/>
    <n v="30"/>
    <n v="24706.764000000003"/>
    <n v="3210.9"/>
    <n v="21495.864000000001"/>
    <n v="0.87003963772835646"/>
  </r>
  <r>
    <s v="ORD-2024-771210"/>
    <d v="2024-09-14T00:00:00"/>
    <d v="2024-10-05T00:00:00"/>
    <n v="21"/>
    <s v="Sept-2024"/>
    <s v="Q3-2024"/>
    <x v="1"/>
    <s v="China"/>
    <s v="Shanghai"/>
    <s v="Small Business"/>
    <s v="Online"/>
    <x v="10"/>
    <s v="Laptops"/>
    <s v="LAP-5150"/>
    <n v="1405.56"/>
    <s v="High"/>
    <n v="2968.87"/>
    <x v="36"/>
    <n v="5"/>
    <n v="4270.2181499999997"/>
    <n v="7027.7999999999993"/>
    <n v="-2757.5818499999996"/>
    <n v="-0.64577072016800818"/>
  </r>
  <r>
    <s v="ORD-2024-155337"/>
    <d v="2024-05-21T00:00:00"/>
    <d v="2024-05-27T00:00:00"/>
    <n v="6"/>
    <s v="May-2024"/>
    <s v="Q2-2024"/>
    <x v="0"/>
    <s v="South Africa"/>
    <s v="Johannesburg"/>
    <s v="Non-Profit"/>
    <s v="Online"/>
    <x v="12"/>
    <s v="Components"/>
    <s v="CMP-8101"/>
    <n v="1157.51"/>
    <s v="High"/>
    <n v="1394.3"/>
    <x v="80"/>
    <n v="12"/>
    <n v="4055.5317599999998"/>
    <n v="13890.119999999999"/>
    <n v="-9834.5882399999991"/>
    <n v="-2.4249811916156712"/>
  </r>
  <r>
    <s v="ORD-2023-251563"/>
    <d v="2023-05-11T00:00:00"/>
    <d v="2023-06-07T00:00:00"/>
    <n v="27"/>
    <s v="May-2023"/>
    <s v="Q2-2023"/>
    <x v="0"/>
    <s v="Kenya"/>
    <s v="Mombasa"/>
    <s v="Corporate"/>
    <s v="Online"/>
    <x v="1"/>
    <s v="Phones"/>
    <s v="PHN-8970"/>
    <n v="12.85"/>
    <s v="Low"/>
    <n v="15.41"/>
    <x v="81"/>
    <n v="39"/>
    <n v="22483.549139999999"/>
    <n v="501.15"/>
    <n v="21982.399139999998"/>
    <n v="0.97771036961827273"/>
  </r>
  <r>
    <s v="ORD-2024-286833"/>
    <d v="2024-08-14T00:00:00"/>
    <d v="2024-09-04T00:00:00"/>
    <n v="21"/>
    <s v="Aug-2024"/>
    <s v="Q3-2024"/>
    <x v="3"/>
    <s v="United Kingdom"/>
    <s v="Manchester"/>
    <s v="Non-Profit"/>
    <s v="Online"/>
    <x v="1"/>
    <s v="Phones"/>
    <s v="PHN-2341"/>
    <n v="1138.8"/>
    <s v="High"/>
    <n v="2250.81"/>
    <x v="82"/>
    <n v="12"/>
    <n v="5654.22948"/>
    <n v="13665.599999999999"/>
    <n v="-8011.3705199999986"/>
    <n v="-1.4168810353979475"/>
  </r>
  <r>
    <s v="ORD-2024-792558"/>
    <d v="2024-10-16T00:00:00"/>
    <d v="2024-11-08T00:00:00"/>
    <n v="23"/>
    <s v="Oct-2024"/>
    <s v="Q4-2024"/>
    <x v="1"/>
    <s v="Japan"/>
    <s v="Osaka"/>
    <s v="Small Business"/>
    <s v="Retail"/>
    <x v="1"/>
    <s v="Networking"/>
    <s v="NET-6387"/>
    <n v="82.14"/>
    <s v="Medium"/>
    <n v="166.04"/>
    <x v="5"/>
    <n v="10"/>
    <n v="5727.1"/>
    <n v="821.4"/>
    <n v="4905.7000000000007"/>
    <n v="0.85657662691414516"/>
  </r>
  <r>
    <s v="ORD-2024-166150"/>
    <d v="2024-06-02T00:00:00"/>
    <d v="2024-06-08T00:00:00"/>
    <n v="6"/>
    <s v="Jun-2024"/>
    <s v="Q2-2024"/>
    <x v="0"/>
    <s v="Kenya"/>
    <s v="Kisumu"/>
    <s v="Consumer"/>
    <s v="Marketplace"/>
    <x v="8"/>
    <s v="Accessories"/>
    <s v="ACC-9820"/>
    <n v="292.94"/>
    <s v="High"/>
    <n v="356.55"/>
    <x v="83"/>
    <n v="2"/>
    <n v="3583.4075399999997"/>
    <n v="585.88"/>
    <n v="2997.5275399999996"/>
    <n v="0.83650199050482543"/>
  </r>
  <r>
    <s v="ORD-2024-909942"/>
    <d v="2024-06-09T00:00:00"/>
    <d v="2024-07-07T00:00:00"/>
    <n v="28"/>
    <s v="Jun-2024"/>
    <s v="Q2-2024"/>
    <x v="1"/>
    <s v="China"/>
    <s v="Shenzhen"/>
    <s v="Corporate"/>
    <s v="Online"/>
    <x v="1"/>
    <s v="Components"/>
    <s v="CMP-6392"/>
    <n v="550.22"/>
    <s v="High"/>
    <n v="1025.05"/>
    <x v="5"/>
    <n v="27"/>
    <n v="44038.080000000002"/>
    <n v="14855.94"/>
    <n v="29182.14"/>
    <n v="0.66265695507161071"/>
  </r>
  <r>
    <s v="ORD-2024-223618"/>
    <d v="2024-06-10T00:00:00"/>
    <d v="2024-06-11T00:00:00"/>
    <n v="1"/>
    <s v="Jun-2024"/>
    <s v="Q2-2024"/>
    <x v="3"/>
    <s v="United Kingdom"/>
    <s v="Birmingham"/>
    <s v="Small Business"/>
    <s v="Marketplace"/>
    <x v="12"/>
    <s v="Laptops"/>
    <s v="LAP-9230"/>
    <n v="1187.1300000000001"/>
    <s v="High"/>
    <n v="1795.17"/>
    <x v="84"/>
    <n v="17"/>
    <n v="6606.0347600000005"/>
    <n v="20181.210000000003"/>
    <n v="-13575.175240000002"/>
    <n v="-2.0549657598229172"/>
  </r>
  <r>
    <s v="ORD-2024-919471"/>
    <d v="2024-06-29T00:00:00"/>
    <d v="2024-07-26T00:00:00"/>
    <n v="27"/>
    <s v="Jun-2024"/>
    <s v="Q2-2024"/>
    <x v="0"/>
    <s v="South Africa"/>
    <s v="Durban"/>
    <s v="Enterprise"/>
    <s v="Distributor"/>
    <x v="5"/>
    <s v="Networking"/>
    <s v="NET-4241"/>
    <n v="5.36"/>
    <s v="Low"/>
    <n v="4.37"/>
    <x v="85"/>
    <n v="9"/>
    <n v="14734.198080000002"/>
    <n v="48.24"/>
    <n v="14685.958080000002"/>
    <n v="0.99672598401771995"/>
  </r>
  <r>
    <s v="ORD-2025-649239"/>
    <d v="2025-01-17T00:00:00"/>
    <d v="2025-01-24T00:00:00"/>
    <n v="7"/>
    <s v="Jan-2025"/>
    <s v="Q1-2025"/>
    <x v="2"/>
    <s v="USA"/>
    <s v="Austin"/>
    <s v="Enterprise"/>
    <s v="Online"/>
    <x v="3"/>
    <s v="Accessories"/>
    <s v="ACC-4511"/>
    <n v="142.09"/>
    <s v="High"/>
    <n v="218.5"/>
    <x v="45"/>
    <n v="11"/>
    <n v="822.7659000000001"/>
    <n v="1562.99"/>
    <n v="-740.22409999999991"/>
    <n v="-0.89967766043779862"/>
  </r>
  <r>
    <s v="ORD-2023-975863"/>
    <d v="2023-11-20T00:00:00"/>
    <d v="2023-12-05T00:00:00"/>
    <n v="15"/>
    <s v="Nov-2023"/>
    <s v="Q4-2023"/>
    <x v="1"/>
    <s v="Japan"/>
    <s v="Tokyo"/>
    <s v="Enterprise"/>
    <s v="Retail"/>
    <x v="4"/>
    <s v="Networking"/>
    <s v="NET-3033"/>
    <n v="354.24"/>
    <s v="High"/>
    <n v="249.87"/>
    <x v="5"/>
    <n v="6"/>
    <n v="13513.439999999999"/>
    <n v="2125.44"/>
    <n v="11387.999999999998"/>
    <n v="0.84271658437821895"/>
  </r>
  <r>
    <s v="ORD-2023-869884"/>
    <d v="2023-03-02T00:00:00"/>
    <d v="2023-03-05T00:00:00"/>
    <n v="3"/>
    <s v="Mar-2023"/>
    <s v="Q1-2023"/>
    <x v="2"/>
    <s v="Brazil"/>
    <s v="Brasília"/>
    <s v="Enterprise"/>
    <s v="Direct"/>
    <x v="3"/>
    <s v="Monitors"/>
    <s v="MON-2828"/>
    <n v="1473.58"/>
    <s v="High"/>
    <n v="3436.52"/>
    <x v="86"/>
    <n v="8"/>
    <n v="6576.6803200000004"/>
    <n v="11788.64"/>
    <n v="-5211.959679999999"/>
    <n v="-0.79249095689662452"/>
  </r>
  <r>
    <s v="ORD-2025-698069"/>
    <d v="2025-06-03T00:00:00"/>
    <d v="2025-06-10T00:00:00"/>
    <n v="7"/>
    <s v="Jun-2025"/>
    <s v="Q2-2025"/>
    <x v="2"/>
    <s v="Canada"/>
    <s v="Toronto"/>
    <s v="Consumer"/>
    <s v="Distributor"/>
    <x v="7"/>
    <s v="Printers"/>
    <s v="PRN-6429"/>
    <n v="75.180000000000007"/>
    <s v="Medium"/>
    <n v="53.45"/>
    <x v="87"/>
    <n v="17"/>
    <n v="23548.41258"/>
    <n v="1278.0600000000002"/>
    <n v="22270.352579999999"/>
    <n v="0.94572627791117114"/>
  </r>
  <r>
    <s v="ORD-2024-474999"/>
    <d v="2024-12-27T00:00:00"/>
    <d v="2025-01-02T00:00:00"/>
    <n v="6"/>
    <s v="Dec-2024"/>
    <s v="Q4-2024"/>
    <x v="3"/>
    <s v="Germany"/>
    <s v="Frankfurt"/>
    <s v="Education"/>
    <s v="Direct"/>
    <x v="9"/>
    <s v="Laptops"/>
    <s v="LAP-8214"/>
    <n v="1391.99"/>
    <s v="High"/>
    <n v="3469.7"/>
    <x v="50"/>
    <n v="23"/>
    <n v="27535.846560000005"/>
    <n v="32015.77"/>
    <n v="-4479.923439999995"/>
    <n v="-0.16269423314218215"/>
  </r>
  <r>
    <s v="ORD-2023-427304"/>
    <d v="2023-06-09T00:00:00"/>
    <d v="2023-06-19T00:00:00"/>
    <n v="10"/>
    <s v="Jun-2023"/>
    <s v="Q2-2023"/>
    <x v="1"/>
    <s v="China"/>
    <s v="Beijing"/>
    <s v="Enterprise"/>
    <s v="Retail"/>
    <x v="9"/>
    <s v="Monitors"/>
    <s v="MON-9194"/>
    <n v="339.61"/>
    <s v="High"/>
    <n v="621.02"/>
    <x v="88"/>
    <n v="10"/>
    <n v="9278.4804000000004"/>
    <n v="3396.1000000000004"/>
    <n v="5882.3804"/>
    <n v="0.63398101266668616"/>
  </r>
  <r>
    <s v="ORD-2025-956101"/>
    <d v="2025-07-09T00:00:00"/>
    <d v="2025-07-18T00:00:00"/>
    <n v="9"/>
    <s v="Jul-2025"/>
    <s v="Q3-2025"/>
    <x v="2"/>
    <s v="Canada"/>
    <s v="Vancouver"/>
    <s v="Education"/>
    <s v="Distributor"/>
    <x v="2"/>
    <s v="Laptops"/>
    <s v="LAP-2218"/>
    <n v="57.96"/>
    <s v="Medium"/>
    <n v="88.51"/>
    <x v="89"/>
    <n v="7"/>
    <n v="4225.1932799999995"/>
    <n v="405.72"/>
    <n v="3819.4732799999992"/>
    <n v="0.90397599041907017"/>
  </r>
  <r>
    <s v="ORD-2025-184082"/>
    <d v="2025-06-19T00:00:00"/>
    <d v="2025-07-12T00:00:00"/>
    <n v="23"/>
    <s v="Jun-2025"/>
    <s v="Q2-2025"/>
    <x v="3"/>
    <s v="United Kingdom"/>
    <s v="Not Provided"/>
    <s v="Non-Profit"/>
    <s v="Direct"/>
    <x v="15"/>
    <s v="Networking"/>
    <s v="NET-6370"/>
    <n v="801.24"/>
    <s v="High"/>
    <n v="1959.09"/>
    <x v="82"/>
    <n v="23"/>
    <n v="14696.792309999999"/>
    <n v="18428.52"/>
    <n v="-3731.7276900000015"/>
    <n v="-0.25391443325091134"/>
  </r>
  <r>
    <s v="ORD-2023-576840"/>
    <d v="2023-11-19T00:00:00"/>
    <d v="2023-12-13T00:00:00"/>
    <n v="24"/>
    <s v="Nov-2023"/>
    <s v="Q4-2023"/>
    <x v="3"/>
    <s v="France"/>
    <s v="Lyon"/>
    <s v="Non-Profit"/>
    <s v="Direct"/>
    <x v="10"/>
    <s v="Monitors"/>
    <s v="MON-3745"/>
    <n v="1297.42"/>
    <s v="High"/>
    <n v="2742.97"/>
    <x v="90"/>
    <n v="9"/>
    <n v="7972.7022900000002"/>
    <n v="11676.78"/>
    <n v="-3704.0777100000005"/>
    <n v="-0.46459501123551927"/>
  </r>
  <r>
    <s v="ORD-2023-178249"/>
    <d v="2023-12-29T00:00:00"/>
    <d v="2024-01-20T00:00:00"/>
    <n v="22"/>
    <s v="Dec-2023"/>
    <s v="Q4-2023"/>
    <x v="0"/>
    <s v="Kenya"/>
    <s v="Kisumu"/>
    <s v="Corporate"/>
    <s v="Direct"/>
    <x v="4"/>
    <s v="Phones"/>
    <s v="PHN-7924"/>
    <n v="1395.49"/>
    <s v="High"/>
    <n v="1679.42"/>
    <x v="91"/>
    <n v="12"/>
    <n v="7009.2643199999993"/>
    <n v="16745.88"/>
    <n v="-9736.6156800000026"/>
    <n v="-1.3891066502111884"/>
  </r>
  <r>
    <s v="ORD-2024-588972"/>
    <d v="2024-11-02T00:00:00"/>
    <d v="2024-11-29T00:00:00"/>
    <n v="27"/>
    <s v="Nov-2024"/>
    <s v="Q4-2024"/>
    <x v="2"/>
    <s v="Brazil"/>
    <s v="Brasília"/>
    <s v="Small Business"/>
    <s v="Direct"/>
    <x v="2"/>
    <s v="Networking"/>
    <s v="NET-8561"/>
    <n v="1363.51"/>
    <s v="High"/>
    <n v="1433.9"/>
    <x v="92"/>
    <n v="8"/>
    <n v="18192.506879999997"/>
    <n v="10908.08"/>
    <n v="7284.4268799999973"/>
    <n v="0.4004080871343883"/>
  </r>
  <r>
    <s v="ORD-2023-603238"/>
    <d v="2023-08-21T00:00:00"/>
    <d v="2023-09-04T00:00:00"/>
    <n v="14"/>
    <s v="Aug-2023"/>
    <s v="Q3-2023"/>
    <x v="2"/>
    <s v="Canada"/>
    <s v="Montreal"/>
    <s v="Education"/>
    <s v="Distributor"/>
    <x v="9"/>
    <s v="Components"/>
    <s v="CMP-2136"/>
    <n v="178.19"/>
    <s v="High"/>
    <n v="284.43"/>
    <x v="25"/>
    <n v="8"/>
    <n v="4141.6975199999997"/>
    <n v="1425.52"/>
    <n v="2716.1775199999997"/>
    <n v="0.65581262438498888"/>
  </r>
  <r>
    <s v="ORD-2023-883066"/>
    <d v="2023-08-12T00:00:00"/>
    <d v="2023-09-06T00:00:00"/>
    <n v="25"/>
    <s v="Aug-2023"/>
    <s v="Q3-2023"/>
    <x v="1"/>
    <s v="China"/>
    <s v="Shanghai"/>
    <s v="Small Business"/>
    <s v="Retail"/>
    <x v="5"/>
    <s v="Components"/>
    <s v="CMP-6352"/>
    <n v="950.77"/>
    <s v="High"/>
    <n v="694.78"/>
    <x v="26"/>
    <n v="14"/>
    <n v="16093.478800000001"/>
    <n v="13310.779999999999"/>
    <n v="2782.6988000000019"/>
    <n v="0.17290847023081185"/>
  </r>
  <r>
    <s v="ORD-2024-584090"/>
    <d v="2024-06-07T00:00:00"/>
    <d v="2024-06-26T00:00:00"/>
    <n v="19"/>
    <s v="Jun-2024"/>
    <s v="Q2-2024"/>
    <x v="3"/>
    <s v="Germany"/>
    <s v="Berlin"/>
    <s v="Non-Profit"/>
    <s v="Marketplace"/>
    <x v="12"/>
    <s v="Components"/>
    <s v="CMP-2040"/>
    <n v="1064.32"/>
    <s v="High"/>
    <n v="1848.39"/>
    <x v="93"/>
    <n v="38"/>
    <n v="29785.344300000001"/>
    <n v="40444.159999999996"/>
    <n v="-10658.815699999996"/>
    <n v="-0.35785437269563458"/>
  </r>
  <r>
    <s v="ORD-2025-537785"/>
    <d v="2025-08-05T00:00:00"/>
    <d v="2025-08-14T00:00:00"/>
    <n v="9"/>
    <s v="Aug-2025"/>
    <s v="Q3-2025"/>
    <x v="3"/>
    <s v="United Kingdom"/>
    <s v="London"/>
    <s v="Non-Profit"/>
    <s v="Direct"/>
    <x v="6"/>
    <s v="Components"/>
    <s v="CMP-6346"/>
    <n v="41.76"/>
    <s v="Low"/>
    <n v="45.19"/>
    <x v="94"/>
    <n v="23"/>
    <n v="40507.245110000003"/>
    <n v="960.4799999999999"/>
    <n v="39546.76511"/>
    <n v="0.97628868619942533"/>
  </r>
  <r>
    <s v="ORD-2024-605518"/>
    <d v="2024-05-30T00:00:00"/>
    <d v="2024-06-13T00:00:00"/>
    <n v="14"/>
    <s v="May-2024"/>
    <s v="Q2-2024"/>
    <x v="2"/>
    <s v="USA"/>
    <s v="San Francisco"/>
    <s v="Small Business"/>
    <s v="Retail"/>
    <x v="9"/>
    <s v="Phones"/>
    <s v="PHN-4356"/>
    <n v="157.78"/>
    <s v="High"/>
    <n v="361.1"/>
    <x v="37"/>
    <n v="9"/>
    <n v="9877.5109800000009"/>
    <n v="1420.02"/>
    <n v="8457.4909800000005"/>
    <n v="0.85623706185948478"/>
  </r>
  <r>
    <s v="ORD-2023-521818"/>
    <d v="2023-01-22T00:00:00"/>
    <d v="2023-01-30T00:00:00"/>
    <n v="8"/>
    <s v="Jan-2023"/>
    <s v="Q1-2023"/>
    <x v="2"/>
    <s v="USA"/>
    <s v="San Francisco"/>
    <s v="Small Business"/>
    <s v="Online"/>
    <x v="8"/>
    <s v="Networking"/>
    <s v="NET-4155"/>
    <n v="413.52"/>
    <s v="High"/>
    <n v="1004.34"/>
    <x v="95"/>
    <n v="18"/>
    <n v="8440.7349599999998"/>
    <n v="7443.36"/>
    <n v="997.3749600000001"/>
    <n v="0.11816209900281008"/>
  </r>
  <r>
    <s v="ORD-2025-650719"/>
    <d v="2025-02-12T00:00:00"/>
    <d v="2025-02-28T00:00:00"/>
    <n v="16"/>
    <s v="Feb-2025"/>
    <s v="Q1-2025"/>
    <x v="2"/>
    <s v="Brazil"/>
    <s v="São Paulo"/>
    <s v="Non-Profit"/>
    <s v="Direct"/>
    <x v="5"/>
    <s v="Monitors"/>
    <s v="MON-5179"/>
    <n v="414.95"/>
    <s v="High"/>
    <n v="1027.73"/>
    <x v="96"/>
    <n v="8"/>
    <n v="10997.906320000002"/>
    <n v="3319.6"/>
    <n v="7678.3063200000015"/>
    <n v="0.69816073137818835"/>
  </r>
  <r>
    <s v="ORD-2025-501927"/>
    <d v="2025-03-03T00:00:00"/>
    <d v="2025-03-24T00:00:00"/>
    <n v="21"/>
    <s v="Mar-2025"/>
    <s v="Q1-2025"/>
    <x v="0"/>
    <s v="Nigeria"/>
    <s v="Abuja"/>
    <s v="Enterprise"/>
    <s v="Direct"/>
    <x v="10"/>
    <s v="Accessories"/>
    <s v="ACC-4056"/>
    <n v="555.95000000000005"/>
    <s v="High"/>
    <n v="468.09"/>
    <x v="56"/>
    <n v="11"/>
    <n v="15583.45932"/>
    <n v="6115.4500000000007"/>
    <n v="9468.0093199999992"/>
    <n v="0.60756787858063332"/>
  </r>
  <r>
    <s v="ORD-2023-430904"/>
    <d v="2023-01-27T00:00:00"/>
    <d v="2023-01-31T00:00:00"/>
    <n v="4"/>
    <s v="Jan-2023"/>
    <s v="Q1-2023"/>
    <x v="3"/>
    <s v="United Kingdom"/>
    <s v="Manchester"/>
    <s v="Enterprise"/>
    <s v="Online"/>
    <x v="13"/>
    <s v="Laptops"/>
    <s v="LAP-9782"/>
    <n v="941.2"/>
    <s v="High"/>
    <n v="668.02"/>
    <x v="97"/>
    <n v="16"/>
    <n v="24737.606400000001"/>
    <n v="15059.2"/>
    <n v="9678.4063999999998"/>
    <n v="0.3912426385763822"/>
  </r>
  <r>
    <s v="ORD-2025-354346"/>
    <d v="2025-01-09T00:00:00"/>
    <d v="2025-01-15T00:00:00"/>
    <n v="6"/>
    <s v="Jan-2025"/>
    <s v="Q1-2025"/>
    <x v="1"/>
    <s v="China"/>
    <s v="Beijing"/>
    <s v="Education"/>
    <s v="Online"/>
    <x v="0"/>
    <s v="Phones"/>
    <s v="PHN-2875"/>
    <n v="304.77999999999997"/>
    <s v="High"/>
    <n v="537.27"/>
    <x v="37"/>
    <n v="8"/>
    <n v="16599.638879999999"/>
    <n v="2438.2399999999998"/>
    <n v="14161.398879999999"/>
    <n v="0.85311487691833454"/>
  </r>
  <r>
    <s v="ORD-2024-164288"/>
    <d v="2024-12-21T00:00:00"/>
    <d v="2024-12-26T00:00:00"/>
    <n v="5"/>
    <s v="Dec-2024"/>
    <s v="Q4-2024"/>
    <x v="2"/>
    <s v="USA"/>
    <s v="San Francisco"/>
    <s v="Consumer"/>
    <s v="Marketplace"/>
    <x v="12"/>
    <s v="Printers"/>
    <s v="PRN-4788"/>
    <n v="699.57"/>
    <s v="High"/>
    <n v="572.71"/>
    <x v="98"/>
    <n v="26"/>
    <n v="10987.39408"/>
    <n v="18188.82"/>
    <n v="-7201.4259199999997"/>
    <n v="-0.65542619729172391"/>
  </r>
  <r>
    <s v="ORD-2023-867285"/>
    <d v="2023-04-12T00:00:00"/>
    <d v="2023-04-17T00:00:00"/>
    <n v="5"/>
    <s v="Apr-2023"/>
    <s v="Q2-2023"/>
    <x v="3"/>
    <s v="France"/>
    <s v="Lyon"/>
    <s v="Enterprise"/>
    <s v="Direct"/>
    <x v="6"/>
    <s v="Monitors"/>
    <s v="MON-3043"/>
    <n v="1087.81"/>
    <s v="High"/>
    <n v="2323.87"/>
    <x v="12"/>
    <n v="13"/>
    <n v="14342.18838"/>
    <n v="14141.529999999999"/>
    <n v="200.65838000000076"/>
    <n v="1.399077844213902E-2"/>
  </r>
  <r>
    <s v="ORD-2024-836421"/>
    <d v="2024-12-14T00:00:00"/>
    <d v="2025-01-12T00:00:00"/>
    <n v="29"/>
    <s v="Dec-2024"/>
    <s v="Q4-2024"/>
    <x v="1"/>
    <s v="China"/>
    <s v="Shenzhen"/>
    <s v="Education"/>
    <s v="Online"/>
    <x v="1"/>
    <s v="Components"/>
    <s v="CMP-3720"/>
    <n v="1412.15"/>
    <s v="High"/>
    <n v="1631.04"/>
    <x v="99"/>
    <n v="6"/>
    <n v="7989.2834400000002"/>
    <n v="8472.9000000000015"/>
    <n v="-483.6165600000013"/>
    <n v="-6.0533158403002073E-2"/>
  </r>
  <r>
    <s v="ORD-2023-613287"/>
    <d v="2023-03-31T00:00:00"/>
    <d v="2023-04-12T00:00:00"/>
    <n v="12"/>
    <s v="Mar-2023"/>
    <s v="Q1-2023"/>
    <x v="0"/>
    <s v="Kenya"/>
    <s v="Mombasa"/>
    <s v="Small Business"/>
    <s v="Online"/>
    <x v="0"/>
    <s v="Phones"/>
    <s v="PHN-8014"/>
    <n v="304.22000000000003"/>
    <s v="High"/>
    <n v="393.31"/>
    <x v="100"/>
    <n v="15"/>
    <n v="3326.2424999999998"/>
    <n v="4563.3"/>
    <n v="-1237.0575000000003"/>
    <n v="-0.3719083921271526"/>
  </r>
  <r>
    <s v="ORD-2024-783321"/>
    <d v="2024-11-20T00:00:00"/>
    <d v="2024-12-15T00:00:00"/>
    <n v="25"/>
    <s v="Nov-2024"/>
    <s v="Q4-2024"/>
    <x v="3"/>
    <s v="France"/>
    <s v="Paris"/>
    <s v="Corporate"/>
    <s v="Online"/>
    <x v="3"/>
    <s v="Printers"/>
    <s v="PRN-4911"/>
    <n v="1203.58"/>
    <s v="High"/>
    <n v="1856.16"/>
    <x v="31"/>
    <n v="22"/>
    <n v="28967.387020000002"/>
    <n v="26478.76"/>
    <n v="2488.6270200000035"/>
    <n v="8.591133947572753E-2"/>
  </r>
  <r>
    <s v="ORD-2024-232632"/>
    <d v="2024-02-14T00:00:00"/>
    <d v="2024-02-14T00:00:00"/>
    <n v="0"/>
    <s v="Feb-2024"/>
    <s v="Q1-2024"/>
    <x v="1"/>
    <s v="China"/>
    <s v="Beijing"/>
    <s v="Corporate"/>
    <s v="Distributor"/>
    <x v="4"/>
    <s v="Accessories"/>
    <s v="ACC-1021"/>
    <n v="65.930000000000007"/>
    <s v="Medium"/>
    <n v="84.9"/>
    <x v="101"/>
    <n v="23"/>
    <n v="35027.455319999994"/>
    <n v="1516.39"/>
    <n v="33511.065319999994"/>
    <n v="0.95670853088964847"/>
  </r>
  <r>
    <s v="ORD-2023-906481"/>
    <d v="2023-05-02T00:00:00"/>
    <d v="2023-05-18T00:00:00"/>
    <n v="16"/>
    <s v="May-2023"/>
    <s v="Q2-2023"/>
    <x v="1"/>
    <s v="India"/>
    <s v="Delhi"/>
    <s v="Small Business"/>
    <s v="Marketplace"/>
    <x v="11"/>
    <s v="Monitors"/>
    <s v="MON-2266"/>
    <n v="1463.92"/>
    <s v="High"/>
    <n v="2252.2399999999998"/>
    <x v="85"/>
    <n v="44"/>
    <n v="15179.749199999998"/>
    <n v="64412.480000000003"/>
    <n v="-49232.730800000005"/>
    <n v="-3.2433164837795876"/>
  </r>
  <r>
    <s v="ORD-2024-902741"/>
    <d v="2024-12-23T00:00:00"/>
    <d v="2025-01-11T00:00:00"/>
    <n v="19"/>
    <s v="Dec-2024"/>
    <s v="Q4-2024"/>
    <x v="3"/>
    <s v="Germany"/>
    <s v="Berlin"/>
    <s v="Education"/>
    <s v="Retail"/>
    <x v="11"/>
    <s v="Phones"/>
    <s v="PHN-8057"/>
    <n v="501.81"/>
    <s v="High"/>
    <n v="921.62"/>
    <x v="19"/>
    <n v="9"/>
    <n v="16474.322700000001"/>
    <n v="4516.29"/>
    <n v="11958.0327"/>
    <n v="0.72585883606614066"/>
  </r>
  <r>
    <s v="ORD-2023-912395"/>
    <d v="2023-07-26T00:00:00"/>
    <d v="2023-08-25T00:00:00"/>
    <n v="30"/>
    <s v="Jul-2023"/>
    <s v="Q3-2023"/>
    <x v="2"/>
    <s v="USA"/>
    <s v="New York"/>
    <s v="Consumer"/>
    <s v="Retail"/>
    <x v="12"/>
    <s v="Accessories"/>
    <s v="ACC-7078"/>
    <n v="1261.48"/>
    <s v="High"/>
    <n v="1643.18"/>
    <x v="102"/>
    <n v="23"/>
    <n v="27251.100119999996"/>
    <n v="29014.04"/>
    <n v="-1762.9398800000054"/>
    <n v="-6.4692429745475011E-2"/>
  </r>
  <r>
    <s v="ORD-2024-389102"/>
    <d v="2024-06-15T00:00:00"/>
    <d v="2024-07-06T00:00:00"/>
    <n v="21"/>
    <s v="Jun-2024"/>
    <s v="Q2-2024"/>
    <x v="2"/>
    <s v="Canada"/>
    <s v="Toronto"/>
    <s v="Enterprise"/>
    <s v="Distributor"/>
    <x v="4"/>
    <s v="Printers"/>
    <s v="PRN-4453"/>
    <n v="817.23"/>
    <s v="High"/>
    <n v="1467.17"/>
    <x v="103"/>
    <n v="9"/>
    <n v="3655.9817999999996"/>
    <n v="7355.07"/>
    <n v="-3699.0882000000001"/>
    <n v="-1.0117906495048745"/>
  </r>
  <r>
    <s v="ORD-2023-309373"/>
    <d v="2023-07-05T00:00:00"/>
    <d v="2023-07-14T00:00:00"/>
    <n v="9"/>
    <s v="Jul-2023"/>
    <s v="Q3-2023"/>
    <x v="2"/>
    <s v="Brazil"/>
    <s v="Brasília"/>
    <s v="Enterprise"/>
    <s v="Direct"/>
    <x v="5"/>
    <s v="Networking"/>
    <s v="NET-2394"/>
    <n v="578.85"/>
    <s v="High"/>
    <n v="998.76"/>
    <x v="104"/>
    <n v="28"/>
    <n v="31331.119680000003"/>
    <n v="16207.800000000001"/>
    <n v="15123.319680000002"/>
    <n v="0.4826932402819254"/>
  </r>
  <r>
    <s v="ORD-2023-825495"/>
    <d v="2023-11-30T00:00:00"/>
    <d v="2023-11-29T00:00:00"/>
    <n v="1"/>
    <s v="Nov-2023"/>
    <s v="Q4-2023"/>
    <x v="0"/>
    <s v="South Africa"/>
    <s v="Durban"/>
    <s v="Small Business"/>
    <s v="Marketplace"/>
    <x v="6"/>
    <s v="Laptops"/>
    <s v="LAP-1525"/>
    <n v="275.56"/>
    <s v="High"/>
    <n v="630.72"/>
    <x v="105"/>
    <n v="23"/>
    <n v="42353.882679999995"/>
    <n v="6337.88"/>
    <n v="36016.002679999998"/>
    <n v="0.85035893762361436"/>
  </r>
  <r>
    <s v="ORD-2025-244832"/>
    <d v="2025-09-11T00:00:00"/>
    <d v="2025-09-28T00:00:00"/>
    <n v="17"/>
    <s v="Sept-2025"/>
    <s v="Q3-2025"/>
    <x v="0"/>
    <s v="Kenya"/>
    <s v="Nairobi"/>
    <s v="Non-Profit"/>
    <s v="Distributor"/>
    <x v="1"/>
    <s v="Laptops"/>
    <s v="LAP-3278"/>
    <n v="891.46"/>
    <s v="High"/>
    <n v="728.61"/>
    <x v="57"/>
    <n v="6"/>
    <n v="49.780199999999994"/>
    <n v="5348.76"/>
    <n v="-5298.9798000000001"/>
    <n v="-106.44753938312824"/>
  </r>
  <r>
    <s v="ORD-2024-211453"/>
    <d v="2024-04-04T00:00:00"/>
    <d v="2024-04-24T00:00:00"/>
    <n v="20"/>
    <s v="Apr-2024"/>
    <s v="Q2-2024"/>
    <x v="3"/>
    <s v="Germany"/>
    <s v="Frankfurt"/>
    <s v="Non-Profit"/>
    <s v="Direct"/>
    <x v="7"/>
    <s v="Accessories"/>
    <s v="ACC-6543"/>
    <n v="683.42"/>
    <s v="High"/>
    <n v="951.51"/>
    <x v="5"/>
    <n v="14"/>
    <n v="31944.079999999998"/>
    <n v="9567.8799999999992"/>
    <n v="22376.199999999997"/>
    <n v="0.7004803393930894"/>
  </r>
  <r>
    <s v="ORD-2023-192324"/>
    <d v="2023-09-14T00:00:00"/>
    <d v="2023-09-16T00:00:00"/>
    <n v="2"/>
    <s v="Sept-2023"/>
    <s v="Q3-2023"/>
    <x v="3"/>
    <s v="France"/>
    <s v="Lyon"/>
    <s v="Non-Profit"/>
    <s v="Direct"/>
    <x v="5"/>
    <s v="Printers"/>
    <s v="PRN-4432"/>
    <n v="376.83"/>
    <s v="High"/>
    <n v="732.88"/>
    <x v="70"/>
    <n v="25"/>
    <n v="5066.2710000000006"/>
    <n v="9420.75"/>
    <n v="-4354.4789999999994"/>
    <n v="-0.85950376519534755"/>
  </r>
  <r>
    <s v="ORD-2024-438404"/>
    <d v="2024-09-23T00:00:00"/>
    <d v="2024-10-18T00:00:00"/>
    <n v="25"/>
    <s v="Sept-2024"/>
    <s v="Q3-2024"/>
    <x v="2"/>
    <s v="Canada"/>
    <s v="Vancouver"/>
    <s v="Small Business"/>
    <s v="Online"/>
    <x v="13"/>
    <s v="Phones"/>
    <s v="PHN-4568"/>
    <n v="1297"/>
    <s v="High"/>
    <n v="2411.52"/>
    <x v="106"/>
    <n v="18"/>
    <n v="57712.049999999996"/>
    <n v="23346"/>
    <n v="34366.049999999996"/>
    <n v="0.59547442865051581"/>
  </r>
  <r>
    <s v="ORD-2025-246470"/>
    <d v="2025-04-16T00:00:00"/>
    <d v="2025-05-16T00:00:00"/>
    <n v="0"/>
    <s v="Apr-2025"/>
    <s v="Q2-2025"/>
    <x v="2"/>
    <s v="Canada"/>
    <s v="Montreal"/>
    <s v="Enterprise"/>
    <s v="Distributor"/>
    <x v="11"/>
    <s v="Printers"/>
    <s v="PRN-6178"/>
    <n v="763.32"/>
    <s v="High"/>
    <n v="568.29"/>
    <x v="2"/>
    <n v="16"/>
    <n v="26608.919040000001"/>
    <n v="12213.12"/>
    <n v="14395.79904"/>
    <n v="0.54101404940048248"/>
  </r>
  <r>
    <s v="ORD-2023-497686"/>
    <d v="2023-07-03T00:00:00"/>
    <d v="2023-07-23T00:00:00"/>
    <n v="20"/>
    <s v="Jul-2023"/>
    <s v="Q3-2023"/>
    <x v="0"/>
    <s v="South Africa"/>
    <s v="Johannesburg"/>
    <s v="Small Business"/>
    <s v="Distributor"/>
    <x v="9"/>
    <s v="Laptops"/>
    <s v="LAP-6342"/>
    <n v="1001.96"/>
    <s v="High"/>
    <n v="1254.95"/>
    <x v="107"/>
    <n v="18"/>
    <n v="517.24709999999993"/>
    <n v="18035.28"/>
    <n v="-17518.032899999998"/>
    <n v="-33.867822361884677"/>
  </r>
  <r>
    <s v="ORD-2023-596758"/>
    <d v="2023-12-07T00:00:00"/>
    <d v="2023-12-05T00:00:00"/>
    <n v="2"/>
    <s v="Dec-2023"/>
    <s v="Q4-2023"/>
    <x v="1"/>
    <s v="Japan"/>
    <s v="Tokyo"/>
    <s v="Non-Profit"/>
    <s v="Marketplace"/>
    <x v="10"/>
    <s v="Printers"/>
    <s v="PRN-8175"/>
    <n v="1097.5899999999999"/>
    <s v="High"/>
    <n v="845.55"/>
    <x v="50"/>
    <n v="6"/>
    <n v="2454.4137600000004"/>
    <n v="6585.5399999999991"/>
    <n v="-4131.1262399999987"/>
    <n v="-1.6831417372757875"/>
  </r>
  <r>
    <s v="ORD-2024-201376"/>
    <d v="2024-02-18T00:00:00"/>
    <d v="2024-03-04T00:00:00"/>
    <n v="15"/>
    <s v="Feb-2024"/>
    <s v="Q1-2024"/>
    <x v="0"/>
    <s v="Kenya"/>
    <s v="Kisumu"/>
    <s v="Education"/>
    <s v="Direct"/>
    <x v="11"/>
    <s v="Printers"/>
    <s v="PRN-7089"/>
    <n v="928.68"/>
    <s v="High"/>
    <n v="2145.17"/>
    <x v="29"/>
    <n v="16"/>
    <n v="5684.1523200000001"/>
    <n v="14858.88"/>
    <n v="-9174.72768"/>
    <n v="-1.6140889904934848"/>
  </r>
  <r>
    <s v="ORD-2023-842488"/>
    <d v="2023-10-31T00:00:00"/>
    <d v="2023-11-02T00:00:00"/>
    <n v="2"/>
    <s v="Oct-2023"/>
    <s v="Q4-2023"/>
    <x v="0"/>
    <s v="Kenya"/>
    <s v="Kisumu"/>
    <s v="Education"/>
    <s v="Retail"/>
    <x v="7"/>
    <s v="Accessories"/>
    <s v="ACC-4124"/>
    <n v="867.89"/>
    <s v="High"/>
    <n v="1349.94"/>
    <x v="50"/>
    <n v="10"/>
    <n v="48.307200000000009"/>
    <n v="8678.9"/>
    <n v="-8630.5928000000004"/>
    <n v="-178.66058889772123"/>
  </r>
  <r>
    <s v="ORD-2024-136321"/>
    <d v="2024-08-07T00:00:00"/>
    <d v="2024-08-17T00:00:00"/>
    <n v="10"/>
    <s v="Aug-2024"/>
    <s v="Q3-2024"/>
    <x v="1"/>
    <s v="Japan"/>
    <s v="Osaka"/>
    <s v="Consumer"/>
    <s v="Online"/>
    <x v="11"/>
    <s v="Networking"/>
    <s v="NET-7924"/>
    <n v="436.58"/>
    <s v="High"/>
    <n v="527.48"/>
    <x v="95"/>
    <n v="19"/>
    <n v="37272.187330000001"/>
    <n v="8295.02"/>
    <n v="28977.16733"/>
    <n v="0.77744745897101064"/>
  </r>
  <r>
    <s v="ORD-2024-764468"/>
    <d v="2024-02-01T00:00:00"/>
    <d v="2024-02-21T00:00:00"/>
    <n v="20"/>
    <s v="Feb-2024"/>
    <s v="Q1-2024"/>
    <x v="3"/>
    <s v="France"/>
    <s v="Paris"/>
    <s v="Small Business"/>
    <s v="Marketplace"/>
    <x v="8"/>
    <s v="Networking"/>
    <s v="NET-8761"/>
    <n v="656.2"/>
    <s v="High"/>
    <n v="1467.17"/>
    <x v="108"/>
    <n v="5"/>
    <n v="9391.848"/>
    <n v="3281"/>
    <n v="6110.848"/>
    <n v="0.65065448248310664"/>
  </r>
  <r>
    <s v="ORD-2024-553449"/>
    <d v="2024-08-27T00:00:00"/>
    <d v="2024-09-18T00:00:00"/>
    <n v="22"/>
    <s v="Aug-2024"/>
    <s v="Q3-2024"/>
    <x v="1"/>
    <s v="India"/>
    <s v="Delhi"/>
    <s v="Consumer"/>
    <s v="Direct"/>
    <x v="5"/>
    <s v="Components"/>
    <s v="CMP-3875"/>
    <n v="896.75"/>
    <s v="High"/>
    <n v="1651.14"/>
    <x v="109"/>
    <n v="15"/>
    <n v="20216.283749999999"/>
    <n v="13451.25"/>
    <n v="6765.0337499999987"/>
    <n v="0.3346329045267778"/>
  </r>
  <r>
    <s v="ORD-2025-766923"/>
    <d v="2025-02-15T00:00:00"/>
    <d v="2025-02-15T00:00:00"/>
    <n v="0"/>
    <s v="Feb-2025"/>
    <s v="Q1-2025"/>
    <x v="3"/>
    <s v="Germany"/>
    <s v="Frankfurt"/>
    <s v="Small Business"/>
    <s v="Marketplace"/>
    <x v="4"/>
    <s v="Accessories"/>
    <s v="ACC-3989"/>
    <n v="815.83"/>
    <s v="High"/>
    <n v="1982.18"/>
    <x v="110"/>
    <n v="6"/>
    <n v="7100.6851799999995"/>
    <n v="4894.9800000000005"/>
    <n v="2205.705179999999"/>
    <n v="0.31063272403804826"/>
  </r>
  <r>
    <s v="ORD-2025-418232"/>
    <d v="2025-08-01T00:00:00"/>
    <d v="2025-08-21T00:00:00"/>
    <n v="20"/>
    <s v="Aug-2025"/>
    <s v="Q3-2025"/>
    <x v="1"/>
    <s v="China"/>
    <s v="Shanghai"/>
    <s v="Corporate"/>
    <s v="Direct"/>
    <x v="2"/>
    <s v="Phones"/>
    <s v="PHN-9234"/>
    <n v="1220.4100000000001"/>
    <s v="High"/>
    <n v="2552.2199999999998"/>
    <x v="111"/>
    <n v="14"/>
    <n v="10180.661399999999"/>
    <n v="17085.740000000002"/>
    <n v="-6905.0786000000026"/>
    <n v="-0.6782544206803699"/>
  </r>
  <r>
    <s v="ORD-2023-848013"/>
    <d v="2023-02-20T00:00:00"/>
    <d v="2023-03-04T00:00:00"/>
    <n v="12"/>
    <s v="Feb-2023"/>
    <s v="Q1-2023"/>
    <x v="1"/>
    <s v="India"/>
    <s v="Delhi"/>
    <s v="Consumer"/>
    <s v="Distributor"/>
    <x v="12"/>
    <s v="Monitors"/>
    <s v="MON-9906"/>
    <n v="299.75"/>
    <s v="High"/>
    <n v="523.01"/>
    <x v="87"/>
    <n v="50"/>
    <n v="43022.083500000001"/>
    <n v="14987.5"/>
    <n v="28034.583500000001"/>
    <n v="0.65163239943969709"/>
  </r>
  <r>
    <s v="ORD-2024-357368"/>
    <d v="2024-10-30T00:00:00"/>
    <d v="2024-11-24T00:00:00"/>
    <n v="25"/>
    <s v="Oct-2024"/>
    <s v="Q4-2024"/>
    <x v="1"/>
    <s v="China"/>
    <s v="Shenzhen"/>
    <s v="Small Business"/>
    <s v="Online"/>
    <x v="6"/>
    <s v="Components"/>
    <s v="CMP-4610"/>
    <n v="811.05"/>
    <s v="High"/>
    <n v="1217.71"/>
    <x v="3"/>
    <n v="5"/>
    <n v="6475.2592000000004"/>
    <n v="4055.25"/>
    <n v="2420.0092000000004"/>
    <n v="0.37373163378540897"/>
  </r>
  <r>
    <s v="ORD-2024-219735"/>
    <d v="2024-04-03T00:00:00"/>
    <d v="2024-04-07T00:00:00"/>
    <n v="4"/>
    <s v="Apr-2024"/>
    <s v="Q2-2024"/>
    <x v="2"/>
    <s v="Brazil"/>
    <s v="Brasília"/>
    <s v="Non-Profit"/>
    <s v="Direct"/>
    <x v="13"/>
    <s v="Phones"/>
    <s v="PHN-5445"/>
    <n v="1023.27"/>
    <s v="High"/>
    <n v="1343.64"/>
    <x v="112"/>
    <n v="7"/>
    <n v="13797.385980000001"/>
    <n v="7162.8899999999994"/>
    <n v="6634.4959800000015"/>
    <n v="0.48085166201895302"/>
  </r>
  <r>
    <s v="ORD-2023-240507"/>
    <d v="2023-03-25T00:00:00"/>
    <d v="2023-03-26T00:00:00"/>
    <n v="1"/>
    <s v="Mar-2023"/>
    <s v="Q1-2023"/>
    <x v="1"/>
    <s v="Japan"/>
    <s v="Osaka"/>
    <s v="Small Business"/>
    <s v="Distributor"/>
    <x v="2"/>
    <s v="Monitors"/>
    <s v="MON-9227"/>
    <n v="135.12"/>
    <s v="High"/>
    <n v="301.7"/>
    <x v="78"/>
    <n v="47"/>
    <n v="50207.703000000001"/>
    <n v="6350.64"/>
    <n v="43857.063000000002"/>
    <n v="0.87351263609888707"/>
  </r>
  <r>
    <s v="ORD-2024-134084"/>
    <d v="2024-06-04T00:00:00"/>
    <d v="2024-06-16T00:00:00"/>
    <n v="12"/>
    <s v="Jun-2024"/>
    <s v="Q2-2024"/>
    <x v="1"/>
    <s v="China"/>
    <s v="Shanghai"/>
    <s v="Corporate"/>
    <s v="Retail"/>
    <x v="1"/>
    <s v="Printers"/>
    <s v="PRN-4097"/>
    <n v="918.42"/>
    <s v="High"/>
    <n v="1511.71"/>
    <x v="113"/>
    <n v="8"/>
    <n v="10272.6736"/>
    <n v="7347.36"/>
    <n v="2925.3136000000004"/>
    <n v="0.28476652855007489"/>
  </r>
  <r>
    <s v="ORD-2023-884625"/>
    <d v="2023-02-19T00:00:00"/>
    <d v="2023-03-12T00:00:00"/>
    <n v="21"/>
    <s v="Feb-2023"/>
    <s v="Q1-2023"/>
    <x v="3"/>
    <s v="Germany"/>
    <s v="Berlin"/>
    <s v="Small Business"/>
    <s v="Direct"/>
    <x v="4"/>
    <s v="Monitors"/>
    <s v="MON-6699"/>
    <n v="1234.81"/>
    <s v="High"/>
    <n v="2055.2399999999998"/>
    <x v="114"/>
    <n v="44"/>
    <n v="40303.373"/>
    <n v="54331.64"/>
    <n v="-14028.267"/>
    <n v="-0.34806682309195314"/>
  </r>
  <r>
    <s v="ORD-2023-157993"/>
    <d v="2023-04-18T00:00:00"/>
    <d v="2023-05-18T00:00:00"/>
    <n v="0"/>
    <s v="Apr-2023"/>
    <s v="Q2-2023"/>
    <x v="1"/>
    <s v="China"/>
    <s v="Shenzhen"/>
    <s v="Non-Profit"/>
    <s v="Retail"/>
    <x v="10"/>
    <s v="Laptops"/>
    <s v="LAP-1482"/>
    <n v="329.03"/>
    <s v="High"/>
    <n v="391.15"/>
    <x v="115"/>
    <n v="46"/>
    <n v="32735.194359999998"/>
    <n v="15135.38"/>
    <n v="17599.814359999997"/>
    <n v="0.53764196926552166"/>
  </r>
  <r>
    <s v="ORD-2024-329104"/>
    <d v="2024-05-23T00:00:00"/>
    <d v="2024-06-14T00:00:00"/>
    <n v="22"/>
    <s v="May-2024"/>
    <s v="Q2-2024"/>
    <x v="3"/>
    <s v="France"/>
    <s v="Marseille"/>
    <s v="Small Business"/>
    <s v="Online"/>
    <x v="13"/>
    <s v="Monitors"/>
    <s v="MON-2100"/>
    <n v="1481.74"/>
    <s v="High"/>
    <n v="1848.97"/>
    <x v="116"/>
    <n v="9"/>
    <n v="5308.1555399999997"/>
    <n v="13335.66"/>
    <n v="-8027.5044600000001"/>
    <n v="-1.5122963898680333"/>
  </r>
  <r>
    <s v="ORD-2023-304451"/>
    <d v="2023-10-07T00:00:00"/>
    <d v="2023-10-23T00:00:00"/>
    <n v="16"/>
    <s v="Oct-2023"/>
    <s v="Q4-2023"/>
    <x v="1"/>
    <s v="India"/>
    <s v="Hyderabad"/>
    <s v="Consumer"/>
    <s v="Retail"/>
    <x v="3"/>
    <s v="Monitors"/>
    <s v="MON-7602"/>
    <n v="906.81"/>
    <s v="High"/>
    <n v="1395.56"/>
    <x v="57"/>
    <n v="6"/>
    <n v="1766.9036999999998"/>
    <n v="5440.86"/>
    <n v="-3673.9562999999998"/>
    <n v="-2.079318923832691"/>
  </r>
  <r>
    <s v="ORD-2024-942981"/>
    <d v="2024-10-09T00:00:00"/>
    <d v="2024-11-08T00:00:00"/>
    <n v="30"/>
    <s v="Oct-2024"/>
    <s v="Q4-2024"/>
    <x v="3"/>
    <s v="United Kingdom"/>
    <s v="Manchester"/>
    <s v="Small Business"/>
    <s v="Distributor"/>
    <x v="1"/>
    <s v="Components"/>
    <s v="CMP-1072"/>
    <n v="343.85"/>
    <s v="High"/>
    <n v="538.04"/>
    <x v="23"/>
    <n v="5"/>
    <n v="8403.5321999999996"/>
    <n v="1719.25"/>
    <n v="6684.2821999999996"/>
    <n v="0.79541340961363838"/>
  </r>
  <r>
    <s v="ORD-2024-605629"/>
    <d v="2024-07-15T00:00:00"/>
    <d v="2024-07-15T00:00:00"/>
    <n v="0"/>
    <s v="Jul-2024"/>
    <s v="Q3-2024"/>
    <x v="1"/>
    <s v="Japan"/>
    <s v="Tokyo"/>
    <s v="Small Business"/>
    <s v="Marketplace"/>
    <x v="3"/>
    <s v="Accessories"/>
    <s v="ACC-2735"/>
    <n v="801.77"/>
    <s v="High"/>
    <n v="1218.92"/>
    <x v="116"/>
    <n v="16"/>
    <n v="18676.97536"/>
    <n v="12828.32"/>
    <n v="5848.6553600000007"/>
    <n v="0.31314788648947495"/>
  </r>
  <r>
    <s v="ORD-2023-450877"/>
    <d v="2023-09-21T00:00:00"/>
    <d v="2023-10-10T00:00:00"/>
    <n v="19"/>
    <s v="Sept-2023"/>
    <s v="Q3-2023"/>
    <x v="1"/>
    <s v="Japan"/>
    <s v="Tokyo"/>
    <s v="Education"/>
    <s v="Online"/>
    <x v="14"/>
    <s v="Components"/>
    <s v="CMP-5211"/>
    <n v="845.63"/>
    <s v="High"/>
    <n v="2062.12"/>
    <x v="61"/>
    <n v="5"/>
    <n v="3691.4982"/>
    <n v="4228.1499999999996"/>
    <n v="-536.65179999999964"/>
    <n v="-0.1453750674996942"/>
  </r>
  <r>
    <s v="ORD-2023-286994"/>
    <d v="2023-02-24T00:00:00"/>
    <d v="2023-03-09T00:00:00"/>
    <n v="13"/>
    <s v="Feb-2023"/>
    <s v="Q1-2023"/>
    <x v="2"/>
    <s v="USA"/>
    <s v="New York"/>
    <s v="Enterprise"/>
    <s v="Online"/>
    <x v="12"/>
    <s v="Components"/>
    <s v="CMP-1632"/>
    <n v="6.85"/>
    <s v="Low"/>
    <n v="10.18"/>
    <x v="58"/>
    <n v="10"/>
    <n v="13964.213699999998"/>
    <n v="68.5"/>
    <n v="13895.713699999998"/>
    <n v="0.99509460385871928"/>
  </r>
  <r>
    <s v="ORD-2025-700847"/>
    <d v="2025-05-21T00:00:00"/>
    <d v="2025-05-19T00:00:00"/>
    <n v="2"/>
    <s v="May-2025"/>
    <s v="Q2-2025"/>
    <x v="0"/>
    <s v="South Africa"/>
    <s v="Johannesburg"/>
    <s v="Non-Profit"/>
    <s v="Distributor"/>
    <x v="7"/>
    <s v="Laptops"/>
    <s v="LAP-7099"/>
    <n v="1263.8399999999999"/>
    <s v="High"/>
    <n v="2281.7199999999998"/>
    <x v="117"/>
    <n v="15"/>
    <n v="36583.530899999998"/>
    <n v="18957.599999999999"/>
    <n v="17625.930899999999"/>
    <n v="0.48179960945213191"/>
  </r>
  <r>
    <s v="ORD-2024-970848"/>
    <d v="2024-05-23T00:00:00"/>
    <d v="2024-06-03T00:00:00"/>
    <n v="11"/>
    <s v="May-2024"/>
    <s v="Q2-2024"/>
    <x v="0"/>
    <s v="South Africa"/>
    <s v="Johannesburg"/>
    <s v="Small Business"/>
    <s v="Distributor"/>
    <x v="9"/>
    <s v="Printers"/>
    <s v="PRN-3785"/>
    <n v="180.89"/>
    <s v="High"/>
    <n v="249.57"/>
    <x v="118"/>
    <n v="8"/>
    <n v="6897.4036800000003"/>
    <n v="1447.12"/>
    <n v="5450.2836800000005"/>
    <n v="0.79019351815000627"/>
  </r>
  <r>
    <s v="ORD-2025-845715"/>
    <d v="2025-04-14T00:00:00"/>
    <d v="2025-05-04T00:00:00"/>
    <n v="20"/>
    <s v="Apr-2025"/>
    <s v="Q2-2025"/>
    <x v="3"/>
    <s v="United Kingdom"/>
    <s v="Birmingham"/>
    <s v="Enterprise"/>
    <s v="Marketplace"/>
    <x v="11"/>
    <s v="Monitors"/>
    <s v="MON-6962"/>
    <n v="1413.87"/>
    <s v="High"/>
    <n v="3275"/>
    <x v="48"/>
    <n v="38"/>
    <n v="17694.882399999999"/>
    <n v="53727.06"/>
    <n v="-36032.177599999995"/>
    <n v="-2.0363050053387188"/>
  </r>
  <r>
    <s v="ORD-2023-664749"/>
    <d v="2023-08-27T00:00:00"/>
    <d v="2023-09-11T00:00:00"/>
    <n v="15"/>
    <s v="Aug-2023"/>
    <s v="Q3-2023"/>
    <x v="3"/>
    <s v="United Kingdom"/>
    <s v="London"/>
    <s v="Consumer"/>
    <s v="Marketplace"/>
    <x v="13"/>
    <s v="Printers"/>
    <s v="PRN-5107"/>
    <n v="943.79"/>
    <s v="High"/>
    <n v="1913.76"/>
    <x v="119"/>
    <n v="9"/>
    <n v="7960.4402400000008"/>
    <n v="8494.11"/>
    <n v="-533.66975999999977"/>
    <n v="-6.7040231935715122E-2"/>
  </r>
  <r>
    <s v="ORD-2024-960952"/>
    <d v="2024-02-03T00:00:00"/>
    <d v="2024-02-21T00:00:00"/>
    <n v="18"/>
    <s v="Feb-2024"/>
    <s v="Q1-2024"/>
    <x v="3"/>
    <s v="Germany"/>
    <s v="Frankfurt"/>
    <s v="Corporate"/>
    <s v="Retail"/>
    <x v="10"/>
    <s v="Components"/>
    <s v="CMP-9264"/>
    <n v="39.229999999999997"/>
    <s v="Low"/>
    <n v="30.09"/>
    <x v="120"/>
    <n v="13"/>
    <n v="16533.592659999998"/>
    <n v="509.98999999999995"/>
    <n v="16023.602659999999"/>
    <n v="0.96915431446222655"/>
  </r>
  <r>
    <s v="ORD-2023-987700"/>
    <d v="2023-04-05T00:00:00"/>
    <d v="2023-04-16T00:00:00"/>
    <n v="11"/>
    <s v="Apr-2023"/>
    <s v="Q2-2023"/>
    <x v="2"/>
    <s v="Canada"/>
    <s v="Vancouver"/>
    <s v="Non-Profit"/>
    <s v="Online"/>
    <x v="7"/>
    <s v="Monitors"/>
    <s v="MON-5259"/>
    <n v="213.1"/>
    <s v="High"/>
    <n v="501.31"/>
    <x v="121"/>
    <n v="15"/>
    <n v="31908.427200000002"/>
    <n v="3196.5"/>
    <n v="28711.927200000002"/>
    <n v="0.89982270263700115"/>
  </r>
  <r>
    <s v="ORD-2025-652467"/>
    <d v="2025-08-21T00:00:00"/>
    <d v="2025-09-12T00:00:00"/>
    <n v="22"/>
    <s v="Aug-2025"/>
    <s v="Q3-2025"/>
    <x v="1"/>
    <s v="China"/>
    <s v="Shenzhen"/>
    <s v="Education"/>
    <s v="Retail"/>
    <x v="5"/>
    <s v="Printers"/>
    <s v="PRN-8137"/>
    <n v="352.66"/>
    <s v="High"/>
    <n v="411.18"/>
    <x v="122"/>
    <n v="13"/>
    <n v="26302.966559999997"/>
    <n v="4584.58"/>
    <n v="21718.386559999999"/>
    <n v="0.82570102921501043"/>
  </r>
  <r>
    <s v="ORD-2025-667201"/>
    <d v="2025-09-15T00:00:00"/>
    <d v="2025-09-18T00:00:00"/>
    <n v="3"/>
    <s v="Sept-2025"/>
    <s v="Q3-2025"/>
    <x v="2"/>
    <s v="Brazil"/>
    <s v="Rio de Janeiro"/>
    <s v="Non-Profit"/>
    <s v="Direct"/>
    <x v="4"/>
    <s v="Accessories"/>
    <s v="ACC-6777"/>
    <n v="5.5"/>
    <s v="Low"/>
    <n v="5.92"/>
    <x v="123"/>
    <n v="4"/>
    <n v="593.52160000000003"/>
    <n v="22"/>
    <n v="571.52160000000003"/>
    <n v="0.96293310976382329"/>
  </r>
  <r>
    <s v="ORD-2024-237478"/>
    <d v="2024-10-03T00:00:00"/>
    <d v="2024-10-11T00:00:00"/>
    <n v="8"/>
    <s v="Oct-2024"/>
    <s v="Q4-2024"/>
    <x v="1"/>
    <s v="China"/>
    <s v="Beijing"/>
    <s v="Enterprise"/>
    <s v="Direct"/>
    <x v="5"/>
    <s v="Phones"/>
    <s v="PHN-7488"/>
    <n v="1132.6099999999999"/>
    <s v="High"/>
    <n v="2206.63"/>
    <x v="96"/>
    <n v="20"/>
    <n v="48027.621600000006"/>
    <n v="22652.199999999997"/>
    <n v="25375.421600000009"/>
    <n v="0.52835057732694402"/>
  </r>
  <r>
    <s v="ORD-2025-898843"/>
    <d v="2025-02-02T00:00:00"/>
    <d v="2025-03-04T00:00:00"/>
    <n v="2"/>
    <s v="Feb-2025"/>
    <s v="Q1-2025"/>
    <x v="1"/>
    <s v="Japan"/>
    <s v="Osaka"/>
    <s v="Education"/>
    <s v="Distributor"/>
    <x v="4"/>
    <s v="Accessories"/>
    <s v="ACC-9591"/>
    <n v="766.59"/>
    <s v="High"/>
    <n v="1912.8"/>
    <x v="124"/>
    <n v="5"/>
    <n v="7256.5421999999999"/>
    <n v="3832.9500000000003"/>
    <n v="3423.5921999999996"/>
    <n v="0.47179388001078526"/>
  </r>
  <r>
    <s v="ORD-2023-334213"/>
    <d v="2023-08-19T00:00:00"/>
    <d v="2023-08-23T00:00:00"/>
    <n v="4"/>
    <s v="Aug-2023"/>
    <s v="Q3-2023"/>
    <x v="0"/>
    <s v="Nigeria"/>
    <s v="Abuja"/>
    <s v="Small Business"/>
    <s v="Online"/>
    <x v="1"/>
    <s v="Monitors"/>
    <s v="MON-5517"/>
    <n v="790.63"/>
    <s v="High"/>
    <n v="1382.31"/>
    <x v="27"/>
    <n v="7"/>
    <n v="12999.63889"/>
    <n v="5534.41"/>
    <n v="7465.2288900000003"/>
    <n v="0.57426432789164961"/>
  </r>
  <r>
    <s v="ORD-2024-640340"/>
    <d v="2024-10-22T00:00:00"/>
    <d v="2024-10-29T00:00:00"/>
    <n v="7"/>
    <s v="Oct-2024"/>
    <s v="Q4-2024"/>
    <x v="0"/>
    <s v="Nigeria"/>
    <s v="Port Harcourt"/>
    <s v="Enterprise"/>
    <s v="Distributor"/>
    <x v="12"/>
    <s v="Monitors"/>
    <s v="MON-8758"/>
    <n v="1023.06"/>
    <s v="High"/>
    <n v="1355.61"/>
    <x v="125"/>
    <n v="23"/>
    <n v="46101.981310000003"/>
    <n v="23530.379999999997"/>
    <n v="22571.601310000005"/>
    <n v="0.4896015457171683"/>
  </r>
  <r>
    <s v="ORD-2023-399631"/>
    <d v="2023-06-22T00:00:00"/>
    <d v="2023-07-21T00:00:00"/>
    <n v="29"/>
    <s v="Jun-2023"/>
    <s v="Q2-2023"/>
    <x v="3"/>
    <s v="France"/>
    <s v="Lyon"/>
    <s v="Corporate"/>
    <s v="Retail"/>
    <x v="1"/>
    <s v="Accessories"/>
    <s v="ACC-3385"/>
    <n v="734.34"/>
    <s v="High"/>
    <n v="887.9"/>
    <x v="109"/>
    <n v="12"/>
    <n v="1541.5919999999999"/>
    <n v="8812.08"/>
    <n v="-7270.4880000000003"/>
    <n v="-4.7162206342534221"/>
  </r>
  <r>
    <s v="ORD-2025-542939"/>
    <d v="2025-01-13T00:00:00"/>
    <d v="2025-02-08T00:00:00"/>
    <n v="26"/>
    <s v="Jan-2025"/>
    <s v="Q1-2025"/>
    <x v="3"/>
    <s v="France"/>
    <s v="Paris"/>
    <s v="Non-Profit"/>
    <s v="Not Provided"/>
    <x v="6"/>
    <s v="Monitors"/>
    <s v="MON-1593"/>
    <n v="594.74"/>
    <s v="High"/>
    <n v="1020.69"/>
    <x v="126"/>
    <n v="6"/>
    <n v="6319.9846800000005"/>
    <n v="3568.44"/>
    <n v="2751.5446800000004"/>
    <n v="0.43537204903477711"/>
  </r>
  <r>
    <s v="ORD-2023-521818"/>
    <d v="2023-01-29T00:00:00"/>
    <d v="2023-02-28T00:00:00"/>
    <n v="30"/>
    <s v="Jan-2023"/>
    <s v="Q1-2023"/>
    <x v="1"/>
    <s v="India"/>
    <s v="Bengaluru"/>
    <s v="Non-Profit"/>
    <s v="Retail"/>
    <x v="5"/>
    <s v="Accessories"/>
    <s v="ACC-4631"/>
    <n v="1262.0999999999999"/>
    <s v="High"/>
    <n v="1395.53"/>
    <x v="127"/>
    <n v="25"/>
    <n v="51608.553749999999"/>
    <n v="31552.499999999996"/>
    <n v="20056.053750000003"/>
    <n v="0.38861879073679723"/>
  </r>
  <r>
    <s v="ORD-2023-825836"/>
    <d v="2023-07-19T00:00:00"/>
    <d v="2023-07-31T00:00:00"/>
    <n v="12"/>
    <s v="Jul-2023"/>
    <s v="Q3-2023"/>
    <x v="2"/>
    <s v="Brazil"/>
    <s v="Rio de Janeiro"/>
    <s v="Corporate"/>
    <s v="Retail"/>
    <x v="0"/>
    <s v="Monitors"/>
    <s v="MON-7869"/>
    <n v="1334.64"/>
    <s v="High"/>
    <n v="2273.42"/>
    <x v="85"/>
    <n v="14"/>
    <n v="9587.7280800000008"/>
    <n v="18684.960000000003"/>
    <n v="-9097.231920000002"/>
    <n v="-0.94884125249409468"/>
  </r>
  <r>
    <s v="ORD-2024-503082"/>
    <d v="2024-05-19T00:00:00"/>
    <d v="2024-06-08T00:00:00"/>
    <n v="20"/>
    <s v="May-2024"/>
    <s v="Q2-2024"/>
    <x v="2"/>
    <s v="Brazil"/>
    <s v="Brasília"/>
    <s v="Small Business"/>
    <s v="Retail"/>
    <x v="6"/>
    <s v="Monitors"/>
    <s v="MON-4271"/>
    <n v="1075.9000000000001"/>
    <s v="High"/>
    <n v="1242.1500000000001"/>
    <x v="84"/>
    <n v="7"/>
    <n v="2200.4637200000002"/>
    <n v="7531.3000000000011"/>
    <n v="-5330.8362800000014"/>
    <n v="-2.4225967606500691"/>
  </r>
  <r>
    <s v="ORD-2024-760799"/>
    <d v="2024-02-03T00:00:00"/>
    <d v="2024-02-19T00:00:00"/>
    <n v="16"/>
    <s v="Feb-2024"/>
    <s v="Q1-2024"/>
    <x v="1"/>
    <s v="China"/>
    <s v="Shenzhen"/>
    <s v="Small Business"/>
    <s v="Online"/>
    <x v="10"/>
    <s v="Laptops"/>
    <s v="LAP-5531"/>
    <n v="993.75"/>
    <s v="High"/>
    <n v="1310.29"/>
    <x v="66"/>
    <n v="19"/>
    <n v="18590.205150000002"/>
    <n v="18881.25"/>
    <n v="-291.04484999999841"/>
    <n v="-1.5655817009636301E-2"/>
  </r>
  <r>
    <s v="ORD-2023-197661"/>
    <d v="2023-08-08T00:00:00"/>
    <d v="2023-08-22T00:00:00"/>
    <n v="14"/>
    <s v="Aug-2023"/>
    <s v="Q3-2023"/>
    <x v="3"/>
    <s v="United Kingdom"/>
    <s v="Birmingham"/>
    <s v="Non-Profit"/>
    <s v="Direct"/>
    <x v="13"/>
    <s v="Monitors"/>
    <s v="MON-7511"/>
    <n v="446.69"/>
    <s v="High"/>
    <n v="967.25"/>
    <x v="12"/>
    <n v="10"/>
    <n v="3143.4576000000002"/>
    <n v="4466.8999999999996"/>
    <n v="-1323.4423999999995"/>
    <n v="-0.42101487228585471"/>
  </r>
  <r>
    <s v="ORD-2024-212990"/>
    <d v="2024-08-12T00:00:00"/>
    <d v="2024-09-03T00:00:00"/>
    <n v="22"/>
    <s v="Aug-2024"/>
    <s v="Q3-2024"/>
    <x v="2"/>
    <s v="USA"/>
    <s v="Austin"/>
    <s v="Consumer"/>
    <s v="Distributor"/>
    <x v="2"/>
    <s v="Laptops"/>
    <s v="LAP-7979"/>
    <n v="797.8"/>
    <s v="High"/>
    <n v="886.22"/>
    <x v="128"/>
    <n v="36"/>
    <n v="13882.919040000001"/>
    <n v="28720.799999999999"/>
    <n v="-14837.880959999999"/>
    <n v="-1.06878682482038"/>
  </r>
  <r>
    <s v="ORD-2023-925146"/>
    <d v="2023-10-15T00:00:00"/>
    <d v="2023-11-13T00:00:00"/>
    <n v="29"/>
    <s v="Oct-2023"/>
    <s v="Q4-2023"/>
    <x v="1"/>
    <s v="China"/>
    <s v="Shenzhen"/>
    <s v="Non-Profit"/>
    <s v="Distributor"/>
    <x v="1"/>
    <s v="Printers"/>
    <s v="PRN-4983"/>
    <n v="986.44"/>
    <s v="High"/>
    <n v="790.61"/>
    <x v="3"/>
    <n v="6"/>
    <n v="5219.7772800000002"/>
    <n v="5918.64"/>
    <n v="-698.86272000000008"/>
    <n v="-0.13388745965804888"/>
  </r>
  <r>
    <s v="ORD-2023-177794"/>
    <d v="2023-05-04T00:00:00"/>
    <d v="2023-05-26T00:00:00"/>
    <n v="22"/>
    <s v="May-2023"/>
    <s v="Q2-2023"/>
    <x v="2"/>
    <s v="USA"/>
    <s v="San Francisco"/>
    <s v="Enterprise"/>
    <s v="Online"/>
    <x v="1"/>
    <s v="Networking"/>
    <s v="NET-5941"/>
    <n v="249.71"/>
    <s v="High"/>
    <n v="361.33"/>
    <x v="12"/>
    <n v="12"/>
    <n v="14139.90576"/>
    <n v="2996.52"/>
    <n v="11143.385759999999"/>
    <n v="0.7880806243789279"/>
  </r>
  <r>
    <s v="ORD-2024-444710"/>
    <d v="2024-09-22T00:00:00"/>
    <d v="2024-10-01T00:00:00"/>
    <n v="9"/>
    <s v="Sept-2024"/>
    <s v="Q3-2024"/>
    <x v="2"/>
    <s v="Brazil"/>
    <s v="São Paulo"/>
    <s v="Non-Profit"/>
    <s v="Online"/>
    <x v="11"/>
    <s v="Monitors"/>
    <s v="MON-6341"/>
    <n v="1378.8"/>
    <s v="High"/>
    <n v="1952.04"/>
    <x v="129"/>
    <n v="19"/>
    <n v="3645.6088500000001"/>
    <n v="26197.200000000001"/>
    <n v="-22551.59115"/>
    <n v="-6.1859601723317077"/>
  </r>
  <r>
    <s v="ORD-2024-668926"/>
    <d v="2024-10-23T00:00:00"/>
    <d v="2024-11-14T00:00:00"/>
    <n v="22"/>
    <s v="Oct-2024"/>
    <s v="Q4-2024"/>
    <x v="1"/>
    <s v="Japan"/>
    <s v="Osaka"/>
    <s v="Non-Profit"/>
    <s v="Direct"/>
    <x v="5"/>
    <s v="Phones"/>
    <s v="PHN-9789"/>
    <n v="1406.4"/>
    <s v="High"/>
    <n v="1564.76"/>
    <x v="57"/>
    <n v="17"/>
    <n v="6879.2846"/>
    <n v="23908.800000000003"/>
    <n v="-17029.515400000004"/>
    <n v="-2.4754776681284567"/>
  </r>
  <r>
    <s v="ORD-2024-968374"/>
    <d v="2024-02-11T00:00:00"/>
    <d v="2024-03-03T00:00:00"/>
    <n v="21"/>
    <s v="Feb-2024"/>
    <s v="Q1-2024"/>
    <x v="0"/>
    <s v="Kenya"/>
    <s v="Kisumu"/>
    <s v="Enterprise"/>
    <s v="Online"/>
    <x v="5"/>
    <s v="Phones"/>
    <s v="PHN-5082"/>
    <n v="516.86"/>
    <s v="High"/>
    <n v="852.54"/>
    <x v="130"/>
    <n v="14"/>
    <n v="39076.783199999991"/>
    <n v="7236.04"/>
    <n v="31840.74319999999"/>
    <n v="0.81482508519278518"/>
  </r>
  <r>
    <s v="ORD-2023-575584"/>
    <d v="2023-01-30T00:00:00"/>
    <d v="2023-02-21T00:00:00"/>
    <n v="22"/>
    <s v="Jan-2023"/>
    <s v="Q1-2023"/>
    <x v="3"/>
    <s v="Germany"/>
    <s v="Munich"/>
    <s v="Small Business"/>
    <s v="Marketplace"/>
    <x v="3"/>
    <s v="Networking"/>
    <s v="NET-3460"/>
    <n v="1142.8800000000001"/>
    <s v="High"/>
    <n v="1465.29"/>
    <x v="63"/>
    <n v="7"/>
    <n v="6200.5636000000013"/>
    <n v="8000.1600000000008"/>
    <n v="-1799.5963999999994"/>
    <n v="-0.29023110092766391"/>
  </r>
  <r>
    <s v="ORD-2023-701153"/>
    <d v="2023-04-14T00:00:00"/>
    <d v="2023-05-13T00:00:00"/>
    <n v="29"/>
    <s v="Apr-2023"/>
    <s v="Q2-2023"/>
    <x v="3"/>
    <s v="Germany"/>
    <s v="Frankfurt"/>
    <s v="Consumer"/>
    <s v="Direct"/>
    <x v="1"/>
    <s v="Printers"/>
    <s v="PRN-7019"/>
    <n v="1320.33"/>
    <s v="High"/>
    <n v="2645.23"/>
    <x v="131"/>
    <n v="25"/>
    <n v="53428.293749999997"/>
    <n v="33008.25"/>
    <n v="20420.043749999997"/>
    <n v="0.38219531856189959"/>
  </r>
  <r>
    <s v="ORD-2023-382017"/>
    <d v="2023-01-13T00:00:00"/>
    <d v="2023-01-19T00:00:00"/>
    <n v="6"/>
    <s v="Jan-2023"/>
    <s v="Q1-2023"/>
    <x v="2"/>
    <s v="USA"/>
    <s v="Chicago"/>
    <s v="Corporate"/>
    <s v="Direct"/>
    <x v="10"/>
    <s v="Phones"/>
    <s v="PHN-3159"/>
    <n v="833.57"/>
    <s v="High"/>
    <n v="881.57"/>
    <x v="92"/>
    <n v="18"/>
    <n v="45796.021740000004"/>
    <n v="15004.26"/>
    <n v="30791.761740000002"/>
    <n v="0.67236761120464961"/>
  </r>
  <r>
    <s v="ORD-2024-999607"/>
    <d v="2024-01-12T00:00:00"/>
    <d v="2024-01-29T00:00:00"/>
    <n v="17"/>
    <s v="Jan-2024"/>
    <s v="Q1-2024"/>
    <x v="2"/>
    <s v="USA"/>
    <s v="Chicago"/>
    <s v="Education"/>
    <s v="Distributor"/>
    <x v="8"/>
    <s v="Printers"/>
    <s v="PRN-8604"/>
    <n v="493.76"/>
    <s v="High"/>
    <n v="625.04"/>
    <x v="132"/>
    <n v="10"/>
    <n v="11002.004999999999"/>
    <n v="4937.6000000000004"/>
    <n v="6064.4049999999988"/>
    <n v="0.55120907507313432"/>
  </r>
  <r>
    <s v="ORD-2023-133848"/>
    <d v="2023-08-15T00:00:00"/>
    <d v="2023-09-07T00:00:00"/>
    <n v="23"/>
    <s v="Aug-2023"/>
    <s v="Q3-2023"/>
    <x v="2"/>
    <s v="USA"/>
    <s v="New York"/>
    <s v="Enterprise"/>
    <s v="Online"/>
    <x v="11"/>
    <s v="Phones"/>
    <s v="PHN-2013"/>
    <n v="590.33000000000004"/>
    <s v="High"/>
    <n v="973.04"/>
    <x v="5"/>
    <n v="26"/>
    <n v="37877.06"/>
    <n v="15348.580000000002"/>
    <n v="22528.479999999996"/>
    <n v="0.59477900343902079"/>
  </r>
  <r>
    <s v="ORD-2023-586275"/>
    <d v="2023-01-20T00:00:00"/>
    <d v="2023-02-03T00:00:00"/>
    <n v="14"/>
    <s v="Jan-2023"/>
    <s v="Q1-2023"/>
    <x v="0"/>
    <s v="Kenya"/>
    <s v="Kisumu"/>
    <s v="Corporate"/>
    <s v="Retail"/>
    <x v="12"/>
    <s v="Networking"/>
    <s v="NET-6036"/>
    <n v="884.36"/>
    <s v="High"/>
    <n v="1545.34"/>
    <x v="28"/>
    <n v="41"/>
    <n v="28497.86303"/>
    <n v="36258.76"/>
    <n v="-7760.8969700000016"/>
    <n v="-0.27233259426610423"/>
  </r>
  <r>
    <s v="ORD-2025-964661"/>
    <d v="2025-02-04T00:00:00"/>
    <d v="2025-02-25T00:00:00"/>
    <n v="21"/>
    <s v="Feb-2025"/>
    <s v="Q1-2025"/>
    <x v="3"/>
    <s v="United Kingdom"/>
    <s v="Birmingham"/>
    <s v="Corporate"/>
    <s v="Marketplace"/>
    <x v="14"/>
    <s v="Monitors"/>
    <s v="MON-4959"/>
    <n v="1016.32"/>
    <s v="High"/>
    <n v="2253.42"/>
    <x v="133"/>
    <n v="12"/>
    <n v="554.97959999999989"/>
    <n v="12195.84"/>
    <n v="-11640.8604"/>
    <n v="-20.97529422703105"/>
  </r>
  <r>
    <s v="ORD-2023-390998"/>
    <d v="2023-04-19T00:00:00"/>
    <d v="2023-04-28T00:00:00"/>
    <n v="9"/>
    <s v="Apr-2023"/>
    <s v="Q2-2023"/>
    <x v="3"/>
    <s v="Germany"/>
    <s v="Berlin"/>
    <s v="Education"/>
    <s v="Online"/>
    <x v="6"/>
    <s v="Monitors"/>
    <s v="MON-1663"/>
    <n v="1178.42"/>
    <s v="High"/>
    <n v="2446.56"/>
    <x v="134"/>
    <n v="11"/>
    <n v="9957.7894899999992"/>
    <n v="12962.62"/>
    <n v="-3004.8305100000016"/>
    <n v="-0.30175678176542792"/>
  </r>
  <r>
    <s v="ORD-2023-920483"/>
    <d v="2023-07-02T00:00:00"/>
    <d v="2023-08-01T00:00:00"/>
    <n v="30"/>
    <s v="Jul-2023"/>
    <s v="Q3-2023"/>
    <x v="3"/>
    <s v="United Kingdom"/>
    <s v="Birmingham"/>
    <s v="Small Business"/>
    <s v="Retail"/>
    <x v="5"/>
    <s v="Components"/>
    <s v="CMP-7256"/>
    <n v="137.46"/>
    <s v="Medium"/>
    <n v="188.3"/>
    <x v="16"/>
    <n v="37"/>
    <n v="11596.169260000001"/>
    <n v="5086.0200000000004"/>
    <n v="6510.1492600000001"/>
    <n v="0.56140516010370822"/>
  </r>
  <r>
    <s v="ORD-2025-146850"/>
    <d v="2025-01-21T00:00:00"/>
    <d v="2025-02-14T00:00:00"/>
    <n v="24"/>
    <s v="Jan-2025"/>
    <s v="Q1-2025"/>
    <x v="0"/>
    <s v="Kenya"/>
    <s v="Nairobi"/>
    <s v="Small Business"/>
    <s v="Retail"/>
    <x v="1"/>
    <s v="Accessories"/>
    <s v="ACC-1659"/>
    <n v="1030.44"/>
    <s v="High"/>
    <n v="2562.84"/>
    <x v="135"/>
    <n v="13"/>
    <n v="4496.5237200000001"/>
    <n v="13395.720000000001"/>
    <n v="-8899.1962800000001"/>
    <n v="-1.9791280629561541"/>
  </r>
  <r>
    <s v="ORD-2024-687100"/>
    <d v="2024-09-10T00:00:00"/>
    <d v="2024-10-07T00:00:00"/>
    <n v="27"/>
    <s v="Sept-2024"/>
    <s v="Q3-2024"/>
    <x v="0"/>
    <s v="Kenya"/>
    <s v="Kisumu"/>
    <s v="Consumer"/>
    <s v="Retail"/>
    <x v="4"/>
    <s v="Printers"/>
    <s v="PRN-6068"/>
    <n v="1248.3900000000001"/>
    <s v="High"/>
    <n v="1805.11"/>
    <x v="91"/>
    <n v="11"/>
    <n v="13931.376689999999"/>
    <n v="13732.29"/>
    <n v="199.08668999999827"/>
    <n v="1.4290525224467122E-2"/>
  </r>
  <r>
    <s v="ORD-2025-629393"/>
    <d v="2025-07-21T00:00:00"/>
    <d v="2025-08-07T00:00:00"/>
    <n v="17"/>
    <s v="Jul-2025"/>
    <s v="Q3-2025"/>
    <x v="0"/>
    <s v="Nigeria"/>
    <s v="Lagos"/>
    <s v="Enterprise"/>
    <s v="Direct"/>
    <x v="12"/>
    <s v="Accessories"/>
    <s v="ACC-8999"/>
    <n v="1204.95"/>
    <s v="High"/>
    <n v="2065.73"/>
    <x v="29"/>
    <n v="10"/>
    <n v="12379.392"/>
    <n v="12049.5"/>
    <n v="329.89199999999983"/>
    <n v="2.6648481605558643E-2"/>
  </r>
  <r>
    <s v="ORD-2024-686712"/>
    <d v="2024-10-02T00:00:00"/>
    <d v="2024-10-23T00:00:00"/>
    <n v="21"/>
    <s v="Oct-2024"/>
    <s v="Q4-2024"/>
    <x v="0"/>
    <s v="South Africa"/>
    <s v="Durban"/>
    <s v="Corporate"/>
    <s v="Marketplace"/>
    <x v="8"/>
    <s v="Components"/>
    <s v="CMP-3978"/>
    <n v="1095.6099999999999"/>
    <s v="High"/>
    <n v="2366.5100000000002"/>
    <x v="136"/>
    <n v="9"/>
    <n v="13476.28032"/>
    <n v="9860.49"/>
    <n v="3615.7903200000001"/>
    <n v="0.26830774027710341"/>
  </r>
  <r>
    <s v="ORD-2025-586799"/>
    <d v="2025-07-14T00:00:00"/>
    <d v="2025-08-04T00:00:00"/>
    <n v="21"/>
    <s v="Jul-2025"/>
    <s v="Q3-2025"/>
    <x v="2"/>
    <s v="Canada"/>
    <s v="Montreal"/>
    <s v="Consumer"/>
    <s v="Online"/>
    <x v="10"/>
    <s v="Monitors"/>
    <s v="MON-7868"/>
    <n v="90.3"/>
    <s v="Medium"/>
    <n v="131.76"/>
    <x v="4"/>
    <n v="15"/>
    <n v="37144.063799999996"/>
    <n v="1354.5"/>
    <n v="35789.563799999996"/>
    <n v="0.96353387697982573"/>
  </r>
  <r>
    <s v="ORD-2024-988736"/>
    <d v="2024-09-09T00:00:00"/>
    <d v="2024-10-01T00:00:00"/>
    <n v="22"/>
    <s v="Sept-2024"/>
    <s v="Q3-2024"/>
    <x v="1"/>
    <s v="China"/>
    <s v="Shenzhen"/>
    <s v="Consumer"/>
    <s v="Direct"/>
    <x v="4"/>
    <s v="Printers"/>
    <s v="PRN-3014"/>
    <n v="1166.18"/>
    <s v="High"/>
    <n v="1335.02"/>
    <x v="137"/>
    <n v="6"/>
    <n v="4571.46"/>
    <n v="6997.08"/>
    <n v="-2425.62"/>
    <n v="-0.53060072712000106"/>
  </r>
  <r>
    <s v="ORD-2025-564184"/>
    <d v="2025-01-29T00:00:00"/>
    <d v="2025-02-06T00:00:00"/>
    <n v="8"/>
    <s v="Jan-2025"/>
    <s v="Q1-2025"/>
    <x v="0"/>
    <s v="Kenya"/>
    <s v="Kisumu"/>
    <s v="Education"/>
    <s v="Retail"/>
    <x v="5"/>
    <s v="Phones"/>
    <s v="PHN-1671"/>
    <n v="1445.27"/>
    <s v="High"/>
    <n v="2691.45"/>
    <x v="5"/>
    <n v="9"/>
    <n v="2326.6799999999998"/>
    <n v="13007.43"/>
    <n v="-10680.75"/>
    <n v="-4.5905539223270928"/>
  </r>
  <r>
    <s v="ORD-2023-653343"/>
    <d v="2023-11-10T00:00:00"/>
    <d v="2023-11-28T00:00:00"/>
    <n v="18"/>
    <s v="Nov-2023"/>
    <s v="Q4-2023"/>
    <x v="2"/>
    <s v="Brazil"/>
    <s v="Brasília"/>
    <s v="Education"/>
    <s v="Marketplace"/>
    <x v="4"/>
    <s v="Accessories"/>
    <s v="ACC-5260"/>
    <n v="388.51"/>
    <s v="High"/>
    <n v="776.46"/>
    <x v="87"/>
    <n v="12"/>
    <n v="6137.98416"/>
    <n v="4662.12"/>
    <n v="1475.8641600000001"/>
    <n v="0.24044769773403912"/>
  </r>
  <r>
    <s v="ORD-2024-197852"/>
    <d v="2024-02-29T00:00:00"/>
    <d v="2024-03-30T00:00:00"/>
    <n v="1"/>
    <s v="Feb-2024"/>
    <s v="Q1-2024"/>
    <x v="1"/>
    <s v="Japan"/>
    <s v="Nagoya"/>
    <s v="Small Business"/>
    <s v="Direct"/>
    <x v="2"/>
    <s v="Networking"/>
    <s v="NET-7588"/>
    <n v="231.11"/>
    <s v="High"/>
    <n v="318.17"/>
    <x v="138"/>
    <n v="60"/>
    <n v="64128.8586"/>
    <n v="13866.6"/>
    <n v="50262.258600000001"/>
    <n v="0.7837697363913475"/>
  </r>
  <r>
    <s v="ORD-2023-431328"/>
    <d v="2023-12-20T00:00:00"/>
    <d v="2024-01-14T00:00:00"/>
    <n v="25"/>
    <s v="Dec-2023"/>
    <s v="Q4-2023"/>
    <x v="1"/>
    <s v="India"/>
    <s v="Mumbai"/>
    <s v="Non-Profit"/>
    <s v="Marketplace"/>
    <x v="4"/>
    <s v="Monitors"/>
    <s v="MON-1572"/>
    <n v="1085.6099999999999"/>
    <s v="High"/>
    <n v="1246.4100000000001"/>
    <x v="139"/>
    <n v="7"/>
    <n v="11133.23372"/>
    <n v="7599.2699999999995"/>
    <n v="3533.9637200000006"/>
    <n v="0.31742473111397151"/>
  </r>
  <r>
    <s v="ORD-2023-613317"/>
    <d v="2023-01-22T00:00:00"/>
    <d v="2023-01-21T00:00:00"/>
    <n v="1"/>
    <s v="Jan-2023"/>
    <s v="Q1-2023"/>
    <x v="3"/>
    <s v="Germany"/>
    <s v="Munich"/>
    <s v="Corporate"/>
    <s v="Direct"/>
    <x v="9"/>
    <s v="Monitors"/>
    <s v="MON-2537"/>
    <n v="150.86000000000001"/>
    <s v="High"/>
    <n v="346.96"/>
    <x v="124"/>
    <n v="8"/>
    <n v="789.46368000000007"/>
    <n v="1206.8800000000001"/>
    <n v="-417.41632000000004"/>
    <n v="-0.52873403878440617"/>
  </r>
  <r>
    <s v="ORD-2024-720756"/>
    <d v="2024-10-11T00:00:00"/>
    <d v="2024-11-09T00:00:00"/>
    <n v="29"/>
    <s v="Oct-2024"/>
    <s v="Q4-2024"/>
    <x v="1"/>
    <s v="China"/>
    <s v="Shanghai"/>
    <s v="Non-Profit"/>
    <s v="Online"/>
    <x v="9"/>
    <s v="Printers"/>
    <s v="PRN-5666"/>
    <n v="391.64"/>
    <s v="High"/>
    <n v="504.76"/>
    <x v="140"/>
    <n v="13"/>
    <n v="12014.83764"/>
    <n v="5091.32"/>
    <n v="6923.51764"/>
    <n v="0.57624729084562143"/>
  </r>
  <r>
    <s v="ORD-2024-777623"/>
    <d v="2024-09-19T00:00:00"/>
    <d v="2024-10-14T00:00:00"/>
    <n v="25"/>
    <s v="Sept-2024"/>
    <s v="Q3-2024"/>
    <x v="2"/>
    <s v="Brazil"/>
    <s v="Rio de Janeiro"/>
    <s v="Small Business"/>
    <s v="Retail"/>
    <x v="11"/>
    <s v="Printers"/>
    <s v="PRN-2749"/>
    <n v="386.96"/>
    <s v="High"/>
    <n v="937.46"/>
    <x v="141"/>
    <n v="41"/>
    <n v="4570.6767199999995"/>
    <n v="15865.359999999999"/>
    <n v="-11294.683279999999"/>
    <n v="-2.4711183861631763"/>
  </r>
  <r>
    <s v="ORD-2025-762212"/>
    <d v="2025-08-25T00:00:00"/>
    <d v="2025-09-24T00:00:00"/>
    <n v="30"/>
    <s v="Aug-2025"/>
    <s v="Q3-2025"/>
    <x v="0"/>
    <s v="Kenya"/>
    <s v="Nairobi"/>
    <s v="Consumer"/>
    <s v="Direct"/>
    <x v="5"/>
    <s v="Components"/>
    <s v="CMP-4970"/>
    <n v="589.14"/>
    <s v="High"/>
    <n v="1300.58"/>
    <x v="133"/>
    <n v="11"/>
    <n v="22977.108"/>
    <n v="6480.54"/>
    <n v="16496.567999999999"/>
    <n v="0.71795667235406646"/>
  </r>
  <r>
    <s v="ORD-2023-271918"/>
    <d v="2023-09-25T00:00:00"/>
    <d v="2023-10-02T00:00:00"/>
    <n v="7"/>
    <s v="Sept-2023"/>
    <s v="Q3-2023"/>
    <x v="2"/>
    <s v="USA"/>
    <s v="New York"/>
    <s v="Education"/>
    <s v="Marketplace"/>
    <x v="2"/>
    <s v="Accessories"/>
    <s v="ACC-3551"/>
    <n v="145.58000000000001"/>
    <s v="High"/>
    <n v="228.15"/>
    <x v="53"/>
    <n v="5"/>
    <n v="158.16520000000003"/>
    <n v="727.90000000000009"/>
    <n v="-569.73480000000006"/>
    <n v="-3.602150156924532"/>
  </r>
  <r>
    <s v="ORD-2023-713375"/>
    <d v="2023-08-26T00:00:00"/>
    <d v="2023-09-10T00:00:00"/>
    <n v="15"/>
    <s v="Aug-2023"/>
    <s v="Q3-2023"/>
    <x v="0"/>
    <s v="South Africa"/>
    <s v="Cape Town"/>
    <s v="Non-Profit"/>
    <s v="Direct"/>
    <x v="13"/>
    <s v="Components"/>
    <s v="CMP-7063"/>
    <n v="241.14"/>
    <s v="High"/>
    <n v="496.52"/>
    <x v="142"/>
    <n v="10"/>
    <n v="9151.630000000001"/>
    <n v="2411.3999999999996"/>
    <n v="6740.2300000000014"/>
    <n v="0.73650595576962796"/>
  </r>
  <r>
    <s v="ORD-2025-678688"/>
    <d v="2025-07-16T00:00:00"/>
    <d v="2025-07-17T00:00:00"/>
    <n v="1"/>
    <s v="Jul-2025"/>
    <s v="Q3-2025"/>
    <x v="0"/>
    <s v="South Africa"/>
    <s v="Durban"/>
    <s v="Small Business"/>
    <s v="Distributor"/>
    <x v="5"/>
    <s v="Networking"/>
    <s v="NET-1612"/>
    <n v="1198.9000000000001"/>
    <s v="High"/>
    <n v="2941.2"/>
    <x v="130"/>
    <n v="24"/>
    <n v="37663.304640000002"/>
    <n v="28773.600000000002"/>
    <n v="8889.7046399999999"/>
    <n v="0.23603092519286697"/>
  </r>
  <r>
    <s v="ORD-2023-501220"/>
    <d v="2023-04-19T00:00:00"/>
    <d v="2023-05-07T00:00:00"/>
    <n v="18"/>
    <s v="Apr-2023"/>
    <s v="Q2-2023"/>
    <x v="3"/>
    <s v="United Kingdom"/>
    <s v="Birmingham"/>
    <s v="Enterprise"/>
    <s v="Retail"/>
    <x v="13"/>
    <s v="Laptops"/>
    <s v="LAP-9766"/>
    <n v="1089.1500000000001"/>
    <s v="High"/>
    <n v="1088.2"/>
    <x v="130"/>
    <n v="15"/>
    <n v="14458.4895"/>
    <n v="16337.250000000002"/>
    <n v="-1878.7605000000021"/>
    <n v="-0.12994168581718044"/>
  </r>
  <r>
    <s v="ORD-2023-195665"/>
    <d v="2023-12-19T00:00:00"/>
    <d v="2023-12-20T00:00:00"/>
    <n v="1"/>
    <s v="Dec-2023"/>
    <s v="Q4-2023"/>
    <x v="2"/>
    <s v="Brazil"/>
    <s v="Rio de Janeiro"/>
    <s v="Consumer"/>
    <s v="Distributor"/>
    <x v="1"/>
    <s v="Phones"/>
    <s v="PHN-7274"/>
    <n v="1080.43"/>
    <s v="High"/>
    <n v="2529.15"/>
    <x v="6"/>
    <n v="10"/>
    <n v="7783.1984999999995"/>
    <n v="10804.300000000001"/>
    <n v="-3021.1015000000016"/>
    <n v="-0.38815680982567796"/>
  </r>
  <r>
    <s v="ORD-2023-290237"/>
    <d v="2023-07-30T00:00:00"/>
    <d v="2023-08-07T00:00:00"/>
    <n v="8"/>
    <s v="Jul-2023"/>
    <s v="Q3-2023"/>
    <x v="1"/>
    <s v="Japan"/>
    <s v="Nagoya"/>
    <s v="Education"/>
    <s v="Marketplace"/>
    <x v="8"/>
    <s v="Networking"/>
    <s v="NET-1645"/>
    <n v="1352.44"/>
    <s v="High"/>
    <n v="2698.01"/>
    <x v="2"/>
    <n v="13"/>
    <n v="9209.201430000001"/>
    <n v="17581.72"/>
    <n v="-8372.5185700000002"/>
    <n v="-0.90914707791335603"/>
  </r>
  <r>
    <s v="ORD-2023-302041"/>
    <d v="2023-10-04T00:00:00"/>
    <d v="2023-10-29T00:00:00"/>
    <n v="25"/>
    <s v="Oct-2023"/>
    <s v="Q4-2023"/>
    <x v="2"/>
    <s v="USA"/>
    <s v="San Francisco"/>
    <s v="Small Business"/>
    <s v="Distributor"/>
    <x v="7"/>
    <s v="Accessories"/>
    <s v="ACC-5079"/>
    <n v="1239.8399999999999"/>
    <s v="High"/>
    <n v="1482.75"/>
    <x v="143"/>
    <n v="4"/>
    <n v="6770.0719200000003"/>
    <n v="4959.3599999999997"/>
    <n v="1810.7119200000006"/>
    <n v="0.26745829902498297"/>
  </r>
  <r>
    <s v="ORD-2025-289139"/>
    <d v="2025-08-10T00:00:00"/>
    <d v="2025-08-30T00:00:00"/>
    <n v="20"/>
    <s v="Aug-2025"/>
    <s v="Q3-2025"/>
    <x v="2"/>
    <s v="USA"/>
    <s v="San Francisco"/>
    <s v="Corporate"/>
    <s v="Marketplace"/>
    <x v="11"/>
    <s v="Printers"/>
    <s v="PRN-2098"/>
    <n v="933.29"/>
    <s v="High"/>
    <n v="1456.81"/>
    <x v="82"/>
    <n v="13"/>
    <n v="8652.4469199999985"/>
    <n v="12132.77"/>
    <n v="-3480.3230800000019"/>
    <n v="-0.4022357042093247"/>
  </r>
  <r>
    <s v="ORD-2023-949710"/>
    <d v="2023-03-07T00:00:00"/>
    <d v="2023-04-01T00:00:00"/>
    <n v="25"/>
    <s v="Mar-2023"/>
    <s v="Q1-2023"/>
    <x v="0"/>
    <s v="Kenya"/>
    <s v="Nairobi"/>
    <s v="Consumer"/>
    <s v="Marketplace"/>
    <x v="14"/>
    <s v="Printers"/>
    <s v="PRN-7049"/>
    <n v="1024.0999999999999"/>
    <s v="High"/>
    <n v="918.19"/>
    <x v="51"/>
    <n v="10"/>
    <n v="13522.938400000001"/>
    <n v="10241"/>
    <n v="3281.9384000000009"/>
    <n v="0.24269417658517181"/>
  </r>
  <r>
    <s v="ORD-2023-603650"/>
    <d v="2023-05-23T00:00:00"/>
    <d v="2023-06-10T00:00:00"/>
    <n v="18"/>
    <s v="May-2023"/>
    <s v="Q2-2023"/>
    <x v="1"/>
    <s v="China"/>
    <s v="Shanghai"/>
    <s v="Corporate"/>
    <s v="Distributor"/>
    <x v="6"/>
    <s v="Components"/>
    <s v="CMP-6925"/>
    <n v="54.62"/>
    <s v="Low"/>
    <n v="48.94"/>
    <x v="135"/>
    <n v="16"/>
    <n v="34932.681600000004"/>
    <n v="873.92"/>
    <n v="34058.761600000005"/>
    <n v="0.9749827393726338"/>
  </r>
  <r>
    <s v="ORD-2025-757957"/>
    <d v="2025-04-24T00:00:00"/>
    <d v="2025-05-06T00:00:00"/>
    <n v="12"/>
    <s v="Apr-2025"/>
    <s v="Q2-2025"/>
    <x v="2"/>
    <s v="Brazil"/>
    <s v="Brasília"/>
    <s v="Consumer"/>
    <s v="Online"/>
    <x v="0"/>
    <s v="Phones"/>
    <s v="PHN-2787"/>
    <n v="394.13"/>
    <s v="High"/>
    <n v="932.29"/>
    <x v="14"/>
    <n v="7"/>
    <n v="4648.9350599999998"/>
    <n v="2758.91"/>
    <n v="1890.0250599999999"/>
    <n v="0.40655010999443819"/>
  </r>
  <r>
    <s v="ORD-2024-423853"/>
    <d v="2024-09-03T00:00:00"/>
    <d v="2024-09-08T00:00:00"/>
    <n v="5"/>
    <s v="Sept-2024"/>
    <s v="Q3-2024"/>
    <x v="0"/>
    <s v="Nigeria"/>
    <s v="Lagos"/>
    <s v="Small Business"/>
    <s v="Direct"/>
    <x v="11"/>
    <s v="Printers"/>
    <s v="PRN-1141"/>
    <n v="197.63"/>
    <s v="High"/>
    <n v="325.79000000000002"/>
    <x v="144"/>
    <n v="10"/>
    <n v="6081.4780000000001"/>
    <n v="1976.3"/>
    <n v="4105.1779999999999"/>
    <n v="0.67502965561990025"/>
  </r>
  <r>
    <s v="ORD-2024-569164"/>
    <d v="2024-09-05T00:00:00"/>
    <d v="2024-09-25T00:00:00"/>
    <n v="20"/>
    <s v="Sept-2024"/>
    <s v="Q3-2024"/>
    <x v="1"/>
    <s v="Japan"/>
    <s v="Osaka"/>
    <s v="Enterprise"/>
    <s v="Distributor"/>
    <x v="14"/>
    <s v="Monitors"/>
    <s v="MON-5249"/>
    <n v="195.54"/>
    <s v="High"/>
    <n v="405.97"/>
    <x v="37"/>
    <n v="16"/>
    <n v="7155.3105599999999"/>
    <n v="3128.64"/>
    <n v="4026.67056"/>
    <n v="0.56275273116866642"/>
  </r>
  <r>
    <s v="ORD-2023-946143"/>
    <d v="2023-03-14T00:00:00"/>
    <d v="2023-03-30T00:00:00"/>
    <n v="16"/>
    <s v="Mar-2023"/>
    <s v="Q1-2023"/>
    <x v="0"/>
    <s v="South Africa"/>
    <s v="Cape Town"/>
    <s v="Consumer"/>
    <s v="Distributor"/>
    <x v="11"/>
    <s v="Components"/>
    <s v="CMP-8230"/>
    <n v="1309.77"/>
    <s v="High"/>
    <n v="1589.07"/>
    <x v="4"/>
    <n v="10"/>
    <n v="18572.525799999999"/>
    <n v="13097.7"/>
    <n v="5474.8257999999987"/>
    <n v="0.29478089619883574"/>
  </r>
  <r>
    <s v="ORD-2024-281211"/>
    <d v="2024-01-11T00:00:00"/>
    <d v="2024-02-02T00:00:00"/>
    <n v="22"/>
    <s v="Jan-2024"/>
    <s v="Q1-2024"/>
    <x v="1"/>
    <s v="Japan"/>
    <s v="Nagoya"/>
    <s v="Small Business"/>
    <s v="Online"/>
    <x v="15"/>
    <s v="Printers"/>
    <s v="PRN-7816"/>
    <n v="1237.68"/>
    <s v="High"/>
    <n v="1432.8"/>
    <x v="55"/>
    <n v="13"/>
    <n v="31218.691400000003"/>
    <n v="16089.84"/>
    <n v="15128.851400000003"/>
    <n v="0.48460876230065175"/>
  </r>
  <r>
    <s v="ORD-2024-805860"/>
    <d v="2024-09-13T00:00:00"/>
    <d v="2024-10-02T00:00:00"/>
    <n v="19"/>
    <s v="Sept-2024"/>
    <s v="Q3-2024"/>
    <x v="0"/>
    <s v="Kenya"/>
    <s v="Mombasa"/>
    <s v="Small Business"/>
    <s v="Retail"/>
    <x v="12"/>
    <s v="Phones"/>
    <s v="PHN-8804"/>
    <n v="1338.99"/>
    <s v="High"/>
    <n v="1765.76"/>
    <x v="38"/>
    <n v="24"/>
    <n v="21901.880639999999"/>
    <n v="32135.760000000002"/>
    <n v="-10233.879360000003"/>
    <n v="-0.46726030189889678"/>
  </r>
  <r>
    <s v="ORD-2025-132174"/>
    <d v="2025-07-17T00:00:00"/>
    <d v="2025-07-23T00:00:00"/>
    <n v="6"/>
    <s v="Jul-2025"/>
    <s v="Q3-2025"/>
    <x v="2"/>
    <s v="Canada"/>
    <s v="Vancouver"/>
    <s v="Consumer"/>
    <s v="Online"/>
    <x v="10"/>
    <s v="Components"/>
    <s v="CMP-8851"/>
    <n v="1364.89"/>
    <s v="High"/>
    <n v="2757.54"/>
    <x v="145"/>
    <n v="61"/>
    <n v="5002.3123200000009"/>
    <n v="83258.290000000008"/>
    <n v="-78255.977680000011"/>
    <n v="-15.643960767327698"/>
  </r>
  <r>
    <s v="ORD-2023-964434"/>
    <d v="2023-11-28T00:00:00"/>
    <d v="2023-12-07T00:00:00"/>
    <n v="9"/>
    <s v="Nov-2023"/>
    <s v="Q4-2023"/>
    <x v="1"/>
    <s v="India"/>
    <s v="Delhi"/>
    <s v="Enterprise"/>
    <s v="Marketplace"/>
    <x v="4"/>
    <s v="Phones"/>
    <s v="PHN-2447"/>
    <n v="699.33"/>
    <s v="High"/>
    <n v="873.75"/>
    <x v="146"/>
    <n v="10"/>
    <n v="15275.5965"/>
    <n v="6993.3"/>
    <n v="8282.2965000000004"/>
    <n v="0.5421913638527962"/>
  </r>
  <r>
    <s v="ORD-2024-897622"/>
    <d v="2024-03-30T00:00:00"/>
    <d v="2024-04-24T00:00:00"/>
    <n v="25"/>
    <s v="Mar-2024"/>
    <s v="Q1-2024"/>
    <x v="2"/>
    <s v="USA"/>
    <s v="Austin"/>
    <s v="Non-Profit"/>
    <s v="Online"/>
    <x v="3"/>
    <s v="Laptops"/>
    <s v="LAP-2846"/>
    <n v="160.82"/>
    <s v="High"/>
    <n v="258.52"/>
    <x v="49"/>
    <n v="17"/>
    <n v="13631.647199999999"/>
    <n v="2733.94"/>
    <n v="10897.707199999999"/>
    <n v="0.79944169916604058"/>
  </r>
  <r>
    <s v="ORD-2023-517216"/>
    <d v="2023-09-19T00:00:00"/>
    <d v="2023-10-08T00:00:00"/>
    <n v="19"/>
    <s v="Sept-2023"/>
    <s v="Q3-2023"/>
    <x v="1"/>
    <s v="India"/>
    <s v="Bengaluru"/>
    <s v="Education"/>
    <s v="Direct"/>
    <x v="1"/>
    <s v="Printers"/>
    <s v="PRN-5005"/>
    <n v="385.32"/>
    <s v="High"/>
    <n v="606.76"/>
    <x v="147"/>
    <n v="8"/>
    <n v="18307.712480000002"/>
    <n v="3082.56"/>
    <n v="15225.152480000002"/>
    <n v="0.8316250594732959"/>
  </r>
  <r>
    <s v="ORD-2025-509940"/>
    <d v="2025-05-16T00:00:00"/>
    <d v="2025-05-27T00:00:00"/>
    <n v="11"/>
    <s v="May-2025"/>
    <s v="Q2-2025"/>
    <x v="1"/>
    <s v="China"/>
    <s v="Beijing"/>
    <s v="Enterprise"/>
    <s v="Online"/>
    <x v="9"/>
    <s v="Phones"/>
    <s v="PHN-3800"/>
    <n v="918.12"/>
    <s v="High"/>
    <n v="1337.69"/>
    <x v="148"/>
    <n v="8"/>
    <n v="17830.4548"/>
    <n v="7344.96"/>
    <n v="10485.4948"/>
    <n v="0.58806659267042372"/>
  </r>
  <r>
    <s v="ORD-2025-646342"/>
    <d v="2025-08-02T00:00:00"/>
    <d v="2025-08-08T00:00:00"/>
    <n v="6"/>
    <s v="Aug-2025"/>
    <s v="Q3-2025"/>
    <x v="1"/>
    <s v="Japan"/>
    <s v="Osaka"/>
    <s v="Consumer"/>
    <s v="Direct"/>
    <x v="13"/>
    <s v="Laptops"/>
    <s v="LAP-4828"/>
    <n v="1225.94"/>
    <s v="High"/>
    <n v="1793.08"/>
    <x v="29"/>
    <n v="22"/>
    <n v="9431.7695999999996"/>
    <n v="26970.68"/>
    <n v="-17538.910400000001"/>
    <n v="-1.8595567050323198"/>
  </r>
  <r>
    <s v="ORD-2024-866535"/>
    <d v="2024-12-04T00:00:00"/>
    <d v="2024-12-12T00:00:00"/>
    <n v="8"/>
    <s v="Dec-2024"/>
    <s v="Q4-2024"/>
    <x v="3"/>
    <s v="Germany"/>
    <s v="Frankfurt"/>
    <s v="Enterprise"/>
    <s v="Marketplace"/>
    <x v="5"/>
    <s v="Printers"/>
    <s v="PRN-5492"/>
    <n v="72.06"/>
    <s v="Medium"/>
    <n v="122.74"/>
    <x v="149"/>
    <n v="8"/>
    <n v="5532.6686399999999"/>
    <n v="576.48"/>
    <n v="4956.1886400000003"/>
    <n v="0.89580435093615152"/>
  </r>
  <r>
    <s v="ORD-2023-747341"/>
    <d v="2023-04-19T00:00:00"/>
    <d v="2023-04-28T00:00:00"/>
    <n v="9"/>
    <s v="Apr-2023"/>
    <s v="Q2-2023"/>
    <x v="2"/>
    <s v="Brazil"/>
    <s v="Rio de Janeiro"/>
    <s v="Corporate"/>
    <s v="Distributor"/>
    <x v="12"/>
    <s v="Phones"/>
    <s v="PHN-7132"/>
    <n v="1013.54"/>
    <s v="High"/>
    <n v="927.93"/>
    <x v="30"/>
    <n v="16"/>
    <n v="4411.308"/>
    <n v="16216.64"/>
    <n v="-11805.331999999999"/>
    <n v="-2.6761522886182507"/>
  </r>
  <r>
    <s v="ORD-2024-853298"/>
    <d v="2024-03-06T00:00:00"/>
    <d v="2024-03-26T00:00:00"/>
    <n v="20"/>
    <s v="Mar-2024"/>
    <s v="Q1-2024"/>
    <x v="0"/>
    <s v="Nigeria"/>
    <s v="Port Harcourt"/>
    <s v="Consumer"/>
    <s v="Marketplace"/>
    <x v="2"/>
    <s v="Phones"/>
    <s v="PHN-4741"/>
    <n v="65.64"/>
    <s v="Medium"/>
    <n v="151.88"/>
    <x v="150"/>
    <n v="23"/>
    <n v="10322.677609999999"/>
    <n v="1509.72"/>
    <n v="8812.9576099999995"/>
    <n v="0.8537472488206479"/>
  </r>
  <r>
    <s v="ORD-2024-544865"/>
    <d v="2024-02-16T00:00:00"/>
    <d v="2024-03-04T00:00:00"/>
    <n v="17"/>
    <s v="Feb-2024"/>
    <s v="Q1-2024"/>
    <x v="2"/>
    <s v="Canada"/>
    <s v="Montreal"/>
    <s v="Non-Profit"/>
    <s v="Retail"/>
    <x v="14"/>
    <s v="Laptops"/>
    <s v="LAP-2774"/>
    <n v="1350.98"/>
    <s v="High"/>
    <n v="2210.4"/>
    <x v="151"/>
    <n v="6"/>
    <n v="6352.3798799999995"/>
    <n v="8105.88"/>
    <n v="-1753.5001200000006"/>
    <n v="-0.27603829637468102"/>
  </r>
  <r>
    <s v="ORD-2025-946490"/>
    <d v="2025-04-22T00:00:00"/>
    <d v="2025-05-02T00:00:00"/>
    <n v="10"/>
    <s v="Apr-2025"/>
    <s v="Q2-2025"/>
    <x v="3"/>
    <s v="Germany"/>
    <s v="Berlin"/>
    <s v="Corporate"/>
    <s v="Marketplace"/>
    <x v="0"/>
    <s v="Monitors"/>
    <s v="MON-2842"/>
    <n v="20.149999999999999"/>
    <s v="Low"/>
    <n v="39.74"/>
    <x v="102"/>
    <n v="18"/>
    <n v="26996.417099999999"/>
    <n v="362.7"/>
    <n v="26633.717099999998"/>
    <n v="0.98656488382675045"/>
  </r>
  <r>
    <s v="ORD-2024-320972"/>
    <d v="2024-11-08T00:00:00"/>
    <d v="2024-11-08T00:00:00"/>
    <n v="0"/>
    <s v="Nov-2024"/>
    <s v="Q4-2024"/>
    <x v="0"/>
    <s v="Kenya"/>
    <s v="Nakuru"/>
    <s v="Enterprise"/>
    <s v="Marketplace"/>
    <x v="12"/>
    <s v="Networking"/>
    <s v="NET-2628"/>
    <n v="803.28"/>
    <s v="High"/>
    <n v="1009"/>
    <x v="46"/>
    <n v="4"/>
    <n v="2237.6023999999998"/>
    <n v="3213.12"/>
    <n v="-975.51760000000013"/>
    <n v="-0.43596556743056775"/>
  </r>
  <r>
    <s v="ORD-2025-248586"/>
    <d v="2025-09-12T00:00:00"/>
    <d v="2025-09-30T00:00:00"/>
    <n v="18"/>
    <s v="Sept-2025"/>
    <s v="Q3-2025"/>
    <x v="1"/>
    <s v="Japan"/>
    <s v="Nagoya"/>
    <s v="Non-Profit"/>
    <s v="Marketplace"/>
    <x v="9"/>
    <s v="Monitors"/>
    <s v="MON-2998"/>
    <n v="1212.99"/>
    <s v="High"/>
    <n v="1653.64"/>
    <x v="105"/>
    <n v="8"/>
    <n v="11792.958000000001"/>
    <n v="9703.92"/>
    <n v="2089.0380000000005"/>
    <n v="0.17714283388442495"/>
  </r>
  <r>
    <s v="ORD-2024-664046"/>
    <d v="2024-09-02T00:00:00"/>
    <d v="2024-09-08T00:00:00"/>
    <n v="6"/>
    <s v="Sept-2024"/>
    <s v="Q3-2024"/>
    <x v="2"/>
    <s v="USA"/>
    <s v="Austin"/>
    <s v="Consumer"/>
    <s v="Direct"/>
    <x v="10"/>
    <s v="Components"/>
    <s v="CMP-7563"/>
    <n v="462.94"/>
    <s v="High"/>
    <n v="1015.7"/>
    <x v="17"/>
    <n v="14"/>
    <n v="26961.185719999998"/>
    <n v="6481.16"/>
    <n v="20480.025719999998"/>
    <n v="0.75961146266678359"/>
  </r>
  <r>
    <s v="ORD-2023-276806"/>
    <d v="2023-03-04T00:00:00"/>
    <d v="2023-03-24T00:00:00"/>
    <n v="20"/>
    <s v="Mar-2023"/>
    <s v="Q1-2023"/>
    <x v="2"/>
    <s v="Canada"/>
    <s v="Montreal"/>
    <s v="Consumer"/>
    <s v="Distributor"/>
    <x v="2"/>
    <s v="Laptops"/>
    <s v="LAP-6160"/>
    <n v="481.71"/>
    <s v="High"/>
    <n v="912.45"/>
    <x v="91"/>
    <n v="24"/>
    <n v="17084.938320000001"/>
    <n v="11561.039999999999"/>
    <n v="5523.8983200000021"/>
    <n v="0.3233197695266834"/>
  </r>
  <r>
    <s v="ORD-2024-220234"/>
    <d v="2024-03-15T00:00:00"/>
    <d v="2024-04-09T00:00:00"/>
    <n v="25"/>
    <s v="Mar-2024"/>
    <s v="Q1-2024"/>
    <x v="2"/>
    <s v="Canada"/>
    <s v="Vancouver"/>
    <s v="Consumer"/>
    <s v="Online"/>
    <x v="9"/>
    <s v="Monitors"/>
    <s v="MON-4361"/>
    <n v="648.64"/>
    <s v="High"/>
    <n v="815.19"/>
    <x v="152"/>
    <n v="28"/>
    <n v="50537.130000000005"/>
    <n v="18161.919999999998"/>
    <n v="32375.210000000006"/>
    <n v="0.64062225140208795"/>
  </r>
  <r>
    <s v="ORD-2024-301260"/>
    <d v="2024-07-29T00:00:00"/>
    <d v="2024-07-31T00:00:00"/>
    <n v="2"/>
    <s v="Jul-2024"/>
    <s v="Q3-2024"/>
    <x v="2"/>
    <s v="USA"/>
    <s v="New York"/>
    <s v="Education"/>
    <s v="Marketplace"/>
    <x v="2"/>
    <s v="Printers"/>
    <s v="PRN-2829"/>
    <n v="798.97"/>
    <s v="High"/>
    <n v="1814.06"/>
    <x v="153"/>
    <n v="16"/>
    <n v="29033.704000000002"/>
    <n v="12783.52"/>
    <n v="16250.184000000001"/>
    <n v="0.55970068441835741"/>
  </r>
  <r>
    <s v="ORD-2024-350100"/>
    <d v="2024-10-27T00:00:00"/>
    <d v="2024-11-20T00:00:00"/>
    <n v="24"/>
    <s v="Oct-2024"/>
    <s v="Q4-2024"/>
    <x v="1"/>
    <s v="Japan"/>
    <s v="Nagoya"/>
    <s v="Non-Profit"/>
    <s v="Online"/>
    <x v="10"/>
    <s v="Monitors"/>
    <s v="MON-8939"/>
    <n v="317.25"/>
    <s v="High"/>
    <n v="758.92"/>
    <x v="114"/>
    <n v="9"/>
    <n v="18599.828130000002"/>
    <n v="2855.25"/>
    <n v="15744.578130000002"/>
    <n v="0.84649051700672895"/>
  </r>
  <r>
    <s v="ORD-2024-855600"/>
    <d v="2024-04-29T00:00:00"/>
    <d v="2024-05-19T00:00:00"/>
    <n v="20"/>
    <s v="Apr-2024"/>
    <s v="Q2-2024"/>
    <x v="3"/>
    <s v="Germany"/>
    <s v="Frankfurt"/>
    <s v="Enterprise"/>
    <s v="Marketplace"/>
    <x v="0"/>
    <s v="Laptops"/>
    <s v="LAP-5009"/>
    <n v="668.97"/>
    <s v="High"/>
    <n v="1667.44"/>
    <x v="76"/>
    <n v="15"/>
    <n v="39508.723799999992"/>
    <n v="10034.550000000001"/>
    <n v="29474.17379999999"/>
    <n v="0.74601685311839905"/>
  </r>
  <r>
    <s v="ORD-2023-474313"/>
    <d v="2023-10-05T00:00:00"/>
    <d v="2023-10-06T00:00:00"/>
    <n v="1"/>
    <s v="Oct-2023"/>
    <s v="Q4-2023"/>
    <x v="1"/>
    <s v="India"/>
    <s v="Bengaluru"/>
    <s v="Non-Profit"/>
    <s v="Online"/>
    <x v="2"/>
    <s v="Components"/>
    <s v="CMP-4807"/>
    <n v="1470.26"/>
    <s v="High"/>
    <n v="2562.5500000000002"/>
    <x v="122"/>
    <n v="9"/>
    <n v="828.33146999999997"/>
    <n v="13232.34"/>
    <n v="-12404.008530000001"/>
    <n v="-14.974691870634834"/>
  </r>
  <r>
    <s v="ORD-2023-256951"/>
    <d v="2023-04-19T00:00:00"/>
    <d v="2023-05-07T00:00:00"/>
    <n v="18"/>
    <s v="Apr-2023"/>
    <s v="Q2-2023"/>
    <x v="3"/>
    <s v="United Kingdom"/>
    <s v="London"/>
    <s v="Non-Profit"/>
    <s v="Direct"/>
    <x v="10"/>
    <s v="Networking"/>
    <s v="NET-2439"/>
    <n v="516.96"/>
    <s v="High"/>
    <n v="745.38"/>
    <x v="115"/>
    <n v="4"/>
    <n v="3533.4890799999994"/>
    <n v="2067.84"/>
    <n v="1465.6490799999992"/>
    <n v="0.41478805985159561"/>
  </r>
  <r>
    <s v="ORD-2025-184754"/>
    <d v="2025-06-27T00:00:00"/>
    <d v="2025-07-05T00:00:00"/>
    <n v="8"/>
    <s v="Jun-2025"/>
    <s v="Q2-2025"/>
    <x v="3"/>
    <s v="Germany"/>
    <s v="Munich"/>
    <s v="Small Business"/>
    <s v="Direct"/>
    <x v="3"/>
    <s v="Monitors"/>
    <s v="MON-7626"/>
    <n v="314.93"/>
    <s v="High"/>
    <n v="687.95"/>
    <x v="44"/>
    <n v="8"/>
    <n v="9725.3304000000007"/>
    <n v="2519.44"/>
    <n v="7205.8904000000002"/>
    <n v="0.74094042090333501"/>
  </r>
  <r>
    <s v="ORD-2023-888140"/>
    <d v="2023-10-11T00:00:00"/>
    <d v="2023-10-13T00:00:00"/>
    <n v="2"/>
    <s v="Oct-2023"/>
    <s v="Q4-2023"/>
    <x v="2"/>
    <s v="Brazil"/>
    <s v="Brasília"/>
    <s v="Consumer"/>
    <s v="Distributor"/>
    <x v="15"/>
    <s v="Accessories"/>
    <s v="ACC-3567"/>
    <n v="715.94"/>
    <s v="High"/>
    <n v="550.07000000000005"/>
    <x v="78"/>
    <n v="16"/>
    <n v="10026.7744"/>
    <n v="11455.04"/>
    <n v="-1428.2656000000006"/>
    <n v="-0.14244517159975201"/>
  </r>
  <r>
    <s v="ORD-2023-638181"/>
    <d v="2023-05-20T00:00:00"/>
    <d v="2023-06-07T00:00:00"/>
    <n v="18"/>
    <s v="May-2023"/>
    <s v="Q2-2023"/>
    <x v="0"/>
    <s v="Nigeria"/>
    <s v="Port Harcourt"/>
    <s v="Enterprise"/>
    <s v="Distributor"/>
    <x v="6"/>
    <s v="Components"/>
    <s v="CMP-4630"/>
    <n v="1120.06"/>
    <s v="High"/>
    <n v="2068.21"/>
    <x v="117"/>
    <n v="12"/>
    <n v="69.481920000000002"/>
    <n v="13440.72"/>
    <n v="-13371.238079999999"/>
    <n v="-192.44197742376721"/>
  </r>
  <r>
    <s v="ORD-2023-521280"/>
    <d v="2023-05-27T00:00:00"/>
    <d v="2023-06-19T00:00:00"/>
    <n v="23"/>
    <s v="May-2023"/>
    <s v="Q2-2023"/>
    <x v="3"/>
    <s v="Germany"/>
    <s v="Berlin"/>
    <s v="Education"/>
    <s v="Retail"/>
    <x v="7"/>
    <s v="Accessories"/>
    <s v="ACC-1882"/>
    <n v="1471.58"/>
    <s v="High"/>
    <n v="2576.65"/>
    <x v="140"/>
    <n v="7"/>
    <n v="17916.436439999998"/>
    <n v="10301.06"/>
    <n v="7615.3764399999982"/>
    <n v="0.42504972824830334"/>
  </r>
  <r>
    <s v="ORD-2023-630430"/>
    <d v="2023-08-04T00:00:00"/>
    <d v="2023-08-24T00:00:00"/>
    <n v="20"/>
    <s v="Aug-2023"/>
    <s v="Q3-2023"/>
    <x v="2"/>
    <s v="Brazil"/>
    <s v="Brasília"/>
    <s v="Non-Profit"/>
    <s v="Direct"/>
    <x v="15"/>
    <s v="Networking"/>
    <s v="NET-9125"/>
    <n v="582.88"/>
    <s v="High"/>
    <n v="1044.1400000000001"/>
    <x v="154"/>
    <n v="10"/>
    <n v="12481.436800000001"/>
    <n v="5828.8"/>
    <n v="6652.6368000000011"/>
    <n v="0.53300248253470306"/>
  </r>
  <r>
    <s v="ORD-2025-908258"/>
    <d v="2025-06-21T00:00:00"/>
    <d v="2025-06-27T00:00:00"/>
    <n v="6"/>
    <s v="Jun-2025"/>
    <s v="Q2-2025"/>
    <x v="0"/>
    <s v="South Africa"/>
    <s v="Durban"/>
    <s v="Enterprise"/>
    <s v="Distributor"/>
    <x v="13"/>
    <s v="Phones"/>
    <s v="PHN-3819"/>
    <n v="93.91"/>
    <s v="Medium"/>
    <n v="99.04"/>
    <x v="92"/>
    <n v="6"/>
    <n v="5632.3692599999995"/>
    <n v="563.46"/>
    <n v="5068.9092599999994"/>
    <n v="0.89996039428707486"/>
  </r>
  <r>
    <s v="ORD-2025-440093"/>
    <d v="2025-04-16T00:00:00"/>
    <d v="2025-04-26T00:00:00"/>
    <n v="10"/>
    <s v="Apr-2025"/>
    <s v="Q2-2025"/>
    <x v="0"/>
    <s v="Nigeria"/>
    <s v="Port Harcourt"/>
    <s v="Enterprise"/>
    <s v="Marketplace"/>
    <x v="9"/>
    <s v="Laptops"/>
    <s v="LAP-3490"/>
    <n v="1457.44"/>
    <s v="High"/>
    <n v="1996.81"/>
    <x v="38"/>
    <n v="23"/>
    <n v="24932.711619999998"/>
    <n v="33521.120000000003"/>
    <n v="-8588.4083800000044"/>
    <n v="-0.3444634707566559"/>
  </r>
  <r>
    <s v="ORD-2025-898022"/>
    <d v="2025-09-02T00:00:00"/>
    <d v="2025-09-11T00:00:00"/>
    <n v="9"/>
    <s v="Sept-2025"/>
    <s v="Q3-2025"/>
    <x v="2"/>
    <s v="Canada"/>
    <s v="Toronto"/>
    <s v="Corporate"/>
    <s v="Distributor"/>
    <x v="12"/>
    <s v="Printers"/>
    <s v="PRN-1276"/>
    <n v="1207.6300000000001"/>
    <s v="High"/>
    <n v="921.68"/>
    <x v="124"/>
    <n v="17"/>
    <n v="1617.8811600000001"/>
    <n v="20529.710000000003"/>
    <n v="-18911.828840000002"/>
    <n v="-11.689257102171831"/>
  </r>
  <r>
    <s v="ORD-2024-500511"/>
    <d v="2024-10-08T00:00:00"/>
    <d v="2024-10-08T00:00:00"/>
    <n v="0"/>
    <s v="Oct-2024"/>
    <s v="Q4-2024"/>
    <x v="3"/>
    <s v="United Kingdom"/>
    <s v="London"/>
    <s v="Corporate"/>
    <s v="Online"/>
    <x v="6"/>
    <s v="Monitors"/>
    <s v="MON-9733"/>
    <n v="1108.1099999999999"/>
    <s v="High"/>
    <n v="2503.79"/>
    <x v="50"/>
    <n v="19"/>
    <n v="32644.137120000007"/>
    <n v="21054.089999999997"/>
    <n v="11590.04712000001"/>
    <n v="0.35504222633898824"/>
  </r>
  <r>
    <s v="ORD-2023-632893"/>
    <d v="2023-05-07T00:00:00"/>
    <d v="2023-05-05T00:00:00"/>
    <n v="2"/>
    <s v="May-2023"/>
    <s v="Q2-2023"/>
    <x v="0"/>
    <s v="Nigeria"/>
    <s v="Port Harcourt"/>
    <s v="Non-Profit"/>
    <s v="Marketplace"/>
    <x v="8"/>
    <s v="Components"/>
    <s v="CMP-9392"/>
    <n v="1269.6500000000001"/>
    <s v="High"/>
    <n v="2462.77"/>
    <x v="105"/>
    <n v="8"/>
    <n v="3736.3119999999999"/>
    <n v="10157.200000000001"/>
    <n v="-6420.8880000000008"/>
    <n v="-1.7185095891349547"/>
  </r>
  <r>
    <s v="ORD-2023-967239"/>
    <d v="2023-12-24T00:00:00"/>
    <d v="2024-01-01T00:00:00"/>
    <n v="8"/>
    <s v="Dec-2023"/>
    <s v="Q4-2023"/>
    <x v="2"/>
    <s v="Brazil"/>
    <s v="São Paulo"/>
    <s v="Education"/>
    <s v="Direct"/>
    <x v="0"/>
    <s v="Phones"/>
    <s v="PHN-3014"/>
    <n v="526.49"/>
    <s v="High"/>
    <n v="496.2"/>
    <x v="5"/>
    <n v="14"/>
    <n v="15054.199999999999"/>
    <n v="7370.8600000000006"/>
    <n v="7683.3399999999983"/>
    <n v="0.51037849902352828"/>
  </r>
  <r>
    <s v="ORD-2024-885858"/>
    <d v="2024-01-10T00:00:00"/>
    <d v="2024-01-23T00:00:00"/>
    <n v="13"/>
    <s v="Jan-2024"/>
    <s v="Q1-2024"/>
    <x v="3"/>
    <s v="France"/>
    <s v="Marseille"/>
    <s v="Corporate"/>
    <s v="Direct"/>
    <x v="8"/>
    <s v="Printers"/>
    <s v="PRN-6776"/>
    <n v="720"/>
    <s v="High"/>
    <n v="907.59"/>
    <x v="69"/>
    <n v="10"/>
    <n v="27872.062200000004"/>
    <n v="7200"/>
    <n v="20672.062200000004"/>
    <n v="0.7416768106954067"/>
  </r>
  <r>
    <s v="ORD-2023-253245"/>
    <d v="2023-08-03T00:00:00"/>
    <d v="2023-08-14T00:00:00"/>
    <n v="11"/>
    <s v="Aug-2023"/>
    <s v="Q3-2023"/>
    <x v="2"/>
    <s v="Brazil"/>
    <s v="Brasília"/>
    <s v="Corporate"/>
    <s v="Direct"/>
    <x v="1"/>
    <s v="Accessories"/>
    <s v="ACC-3951"/>
    <n v="232.73"/>
    <s v="High"/>
    <n v="334.19"/>
    <x v="61"/>
    <n v="25"/>
    <n v="10046.682500000001"/>
    <n v="5818.25"/>
    <n v="4228.4325000000008"/>
    <n v="0.42087848401698774"/>
  </r>
  <r>
    <s v="ORD-2025-484073"/>
    <d v="2025-02-19T00:00:00"/>
    <d v="2025-03-09T00:00:00"/>
    <n v="18"/>
    <s v="Feb-2025"/>
    <s v="Q1-2025"/>
    <x v="1"/>
    <s v="India"/>
    <s v="Delhi"/>
    <s v="Small Business"/>
    <s v="Direct"/>
    <x v="7"/>
    <s v="Monitors"/>
    <s v="MON-1436"/>
    <n v="325.87"/>
    <s v="High"/>
    <n v="538.79"/>
    <x v="155"/>
    <n v="16"/>
    <n v="6753.7724800000005"/>
    <n v="5213.92"/>
    <n v="1539.8524800000005"/>
    <n v="0.22799886797489516"/>
  </r>
  <r>
    <s v="ORD-2024-745822"/>
    <d v="2024-03-31T00:00:00"/>
    <d v="2024-04-17T00:00:00"/>
    <n v="17"/>
    <s v="Mar-2024"/>
    <s v="Q1-2024"/>
    <x v="3"/>
    <s v="Germany"/>
    <s v="Frankfurt"/>
    <s v="Education"/>
    <s v="Direct"/>
    <x v="10"/>
    <s v="Monitors"/>
    <s v="MON-8651"/>
    <n v="1025.51"/>
    <s v="High"/>
    <n v="1436.54"/>
    <x v="23"/>
    <n v="28"/>
    <n v="101.73576"/>
    <n v="28714.28"/>
    <n v="-28612.544239999999"/>
    <n v="-281.24372629643699"/>
  </r>
  <r>
    <s v="ORD-2023-369160"/>
    <d v="2023-07-24T00:00:00"/>
    <d v="2023-08-13T00:00:00"/>
    <n v="20"/>
    <s v="Jul-2023"/>
    <s v="Q3-2023"/>
    <x v="2"/>
    <s v="Canada"/>
    <s v="Montreal"/>
    <s v="Education"/>
    <s v="Direct"/>
    <x v="0"/>
    <s v="Monitors"/>
    <s v="MON-3307"/>
    <n v="1082.3800000000001"/>
    <s v="High"/>
    <n v="1766.55"/>
    <x v="156"/>
    <n v="20"/>
    <n v="9651.4527999999991"/>
    <n v="21647.600000000002"/>
    <n v="-11996.147200000003"/>
    <n v="-1.242936938986015"/>
  </r>
  <r>
    <s v="ORD-2024-834983"/>
    <d v="2024-03-16T00:00:00"/>
    <d v="2024-04-13T00:00:00"/>
    <n v="28"/>
    <s v="Mar-2024"/>
    <s v="Q1-2024"/>
    <x v="3"/>
    <s v="France"/>
    <s v="Paris"/>
    <s v="Small Business"/>
    <s v="Online"/>
    <x v="11"/>
    <s v="Printers"/>
    <s v="PRN-8758"/>
    <n v="287.61"/>
    <s v="High"/>
    <n v="628.54"/>
    <x v="157"/>
    <n v="21"/>
    <n v="25903.83495"/>
    <n v="6039.81"/>
    <n v="19864.024949999999"/>
    <n v="0.76683722654741504"/>
  </r>
  <r>
    <s v="ORD-2024-499009"/>
    <d v="2024-01-25T00:00:00"/>
    <d v="2024-01-27T00:00:00"/>
    <n v="2"/>
    <s v="Jan-2024"/>
    <s v="Q1-2024"/>
    <x v="2"/>
    <s v="Brazil"/>
    <s v="São Paulo"/>
    <s v="Non-Profit"/>
    <s v="Marketplace"/>
    <x v="13"/>
    <s v="Laptops"/>
    <s v="LAP-7056"/>
    <n v="1410.97"/>
    <s v="High"/>
    <n v="1650.75"/>
    <x v="157"/>
    <n v="6"/>
    <n v="7059.0227999999997"/>
    <n v="8465.82"/>
    <n v="-1406.7972"/>
    <n v="-0.19929064402511917"/>
  </r>
  <r>
    <s v="ORD-2024-948800"/>
    <d v="2024-03-27T00:00:00"/>
    <d v="2024-04-11T00:00:00"/>
    <n v="15"/>
    <s v="Mar-2024"/>
    <s v="Q1-2024"/>
    <x v="2"/>
    <s v="USA"/>
    <s v="San Francisco"/>
    <s v="Small Business"/>
    <s v="Direct"/>
    <x v="7"/>
    <s v="Networking"/>
    <s v="NET-5523"/>
    <n v="1338.35"/>
    <s v="High"/>
    <n v="2247.14"/>
    <x v="158"/>
    <n v="40"/>
    <n v="73316.94"/>
    <n v="53534"/>
    <n v="19782.940000000002"/>
    <n v="0.26982768238827209"/>
  </r>
  <r>
    <s v="ORD-2025-678328"/>
    <d v="2025-06-24T00:00:00"/>
    <d v="2025-07-14T00:00:00"/>
    <n v="20"/>
    <s v="Jun-2025"/>
    <s v="Q2-2025"/>
    <x v="3"/>
    <s v="Germany"/>
    <s v="Berlin"/>
    <s v="Corporate"/>
    <s v="Direct"/>
    <x v="7"/>
    <s v="Accessories"/>
    <s v="ACC-8094"/>
    <n v="385.08"/>
    <s v="High"/>
    <n v="893.19"/>
    <x v="102"/>
    <n v="8"/>
    <n v="6655.0732799999996"/>
    <n v="3080.64"/>
    <n v="3574.4332799999997"/>
    <n v="0.53709901147775185"/>
  </r>
  <r>
    <s v="ORD-2024-580808"/>
    <d v="2024-06-16T00:00:00"/>
    <d v="2024-07-03T00:00:00"/>
    <n v="17"/>
    <s v="Jun-2024"/>
    <s v="Q2-2024"/>
    <x v="0"/>
    <s v="South Africa"/>
    <s v="Johannesburg"/>
    <s v="Enterprise"/>
    <s v="Marketplace"/>
    <x v="9"/>
    <s v="Phones"/>
    <s v="PHN-6832"/>
    <n v="1173.83"/>
    <s v="High"/>
    <n v="2328.9"/>
    <x v="18"/>
    <n v="17"/>
    <n v="8039.3543999999993"/>
    <n v="19955.11"/>
    <n v="-11915.7556"/>
    <n v="-1.4821781709237749"/>
  </r>
  <r>
    <s v="ORD-2023-211715"/>
    <d v="2023-10-30T00:00:00"/>
    <d v="2023-11-14T00:00:00"/>
    <n v="15"/>
    <s v="Oct-2023"/>
    <s v="Q4-2023"/>
    <x v="1"/>
    <s v="India"/>
    <s v="Bengaluru"/>
    <s v="Corporate"/>
    <s v="Online"/>
    <x v="9"/>
    <s v="Laptops"/>
    <s v="LAP-2378"/>
    <n v="953.46"/>
    <s v="High"/>
    <n v="2066.75"/>
    <x v="159"/>
    <n v="5"/>
    <n v="919.40919999999994"/>
    <n v="4767.3"/>
    <n v="-3847.8908000000001"/>
    <n v="-4.1851776118838062"/>
  </r>
  <r>
    <s v="ORD-2023-715175"/>
    <d v="2023-06-15T00:00:00"/>
    <d v="2023-06-23T00:00:00"/>
    <n v="8"/>
    <s v="Jun-2023"/>
    <s v="Q2-2023"/>
    <x v="2"/>
    <s v="USA"/>
    <s v="San Francisco"/>
    <s v="Consumer"/>
    <s v="Distributor"/>
    <x v="7"/>
    <s v="Monitors"/>
    <s v="MON-5424"/>
    <n v="1097.0899999999999"/>
    <s v="High"/>
    <n v="2182.31"/>
    <x v="0"/>
    <n v="9"/>
    <n v="15941.402639999998"/>
    <n v="9873.81"/>
    <n v="6067.5926399999989"/>
    <n v="0.38061849242646062"/>
  </r>
  <r>
    <s v="ORD-2025-685236"/>
    <d v="2025-03-14T00:00:00"/>
    <d v="2025-03-29T00:00:00"/>
    <n v="15"/>
    <s v="Mar-2025"/>
    <s v="Q1-2025"/>
    <x v="1"/>
    <s v="Japan"/>
    <s v="Tokyo"/>
    <s v="Non-Profit"/>
    <s v="Direct"/>
    <x v="10"/>
    <s v="Networking"/>
    <s v="NET-8430"/>
    <n v="1106.96"/>
    <s v="High"/>
    <n v="2726.62"/>
    <x v="160"/>
    <n v="7"/>
    <n v="2643.1280400000001"/>
    <n v="7748.72"/>
    <n v="-5105.5919599999997"/>
    <n v="-1.9316476094741137"/>
  </r>
  <r>
    <s v="ORD-2023-274037"/>
    <d v="2023-08-15T00:00:00"/>
    <d v="2023-08-25T00:00:00"/>
    <n v="10"/>
    <s v="Aug-2023"/>
    <s v="Q3-2023"/>
    <x v="0"/>
    <s v="Kenya"/>
    <s v="Nairobi"/>
    <s v="Small Business"/>
    <s v="Retail"/>
    <x v="13"/>
    <s v="Phones"/>
    <s v="PHN-1234"/>
    <n v="91.85"/>
    <s v="Medium"/>
    <n v="111.29"/>
    <x v="5"/>
    <n v="6"/>
    <n v="1349.6999999999998"/>
    <n v="551.09999999999991"/>
    <n v="798.59999999999991"/>
    <n v="0.59168704156479224"/>
  </r>
  <r>
    <s v="ORD-2025-983096"/>
    <d v="2025-05-17T00:00:00"/>
    <d v="2025-05-28T00:00:00"/>
    <n v="11"/>
    <s v="May-2025"/>
    <s v="Q2-2025"/>
    <x v="1"/>
    <s v="India"/>
    <s v="Bengaluru"/>
    <s v="Corporate"/>
    <s v="Distributor"/>
    <x v="5"/>
    <s v="Laptops"/>
    <s v="LAP-9016"/>
    <n v="623.4"/>
    <s v="High"/>
    <n v="1100.0899999999999"/>
    <x v="60"/>
    <n v="12"/>
    <n v="8208.8608800000002"/>
    <n v="7480.7999999999993"/>
    <n v="728.06088000000091"/>
    <n v="8.8692071974790357E-2"/>
  </r>
  <r>
    <s v="ORD-2024-366010"/>
    <d v="2024-01-13T00:00:00"/>
    <d v="2024-02-05T00:00:00"/>
    <n v="23"/>
    <s v="Jan-2024"/>
    <s v="Q1-2024"/>
    <x v="3"/>
    <s v="Germany"/>
    <s v="Frankfurt"/>
    <s v="Education"/>
    <s v="Direct"/>
    <x v="5"/>
    <s v="Laptops"/>
    <s v="LAP-9931"/>
    <n v="1017.93"/>
    <s v="High"/>
    <n v="1529.14"/>
    <x v="131"/>
    <n v="12"/>
    <n v="31932.989400000002"/>
    <n v="12215.16"/>
    <n v="19717.829400000002"/>
    <n v="0.61747521201381794"/>
  </r>
  <r>
    <s v="ORD-2023-610470"/>
    <d v="2023-06-24T00:00:00"/>
    <d v="2023-07-21T00:00:00"/>
    <n v="27"/>
    <s v="Jun-2023"/>
    <s v="Q2-2023"/>
    <x v="1"/>
    <s v="Japan"/>
    <s v="Nagoya"/>
    <s v="Consumer"/>
    <s v="Marketplace"/>
    <x v="1"/>
    <s v="Phones"/>
    <s v="PHN-6818"/>
    <n v="554.76"/>
    <s v="High"/>
    <n v="728.69"/>
    <x v="97"/>
    <n v="7"/>
    <n v="314.11380000000003"/>
    <n v="3883.3199999999997"/>
    <n v="-3569.2061999999996"/>
    <n v="-11.362780622818862"/>
  </r>
  <r>
    <s v="ORD-2025-541048"/>
    <d v="2025-04-04T00:00:00"/>
    <d v="2025-04-13T00:00:00"/>
    <n v="9"/>
    <s v="Apr-2025"/>
    <s v="Q2-2025"/>
    <x v="3"/>
    <s v="Germany"/>
    <s v="Munich"/>
    <s v="Consumer"/>
    <s v="Marketplace"/>
    <x v="9"/>
    <s v="Phones"/>
    <s v="PHN-3803"/>
    <n v="7.02"/>
    <s v="Low"/>
    <n v="6.28"/>
    <x v="61"/>
    <n v="14"/>
    <n v="9999.9964400000008"/>
    <n v="98.28"/>
    <n v="9901.7164400000001"/>
    <n v="0.99017199650123067"/>
  </r>
  <r>
    <s v="ORD-2024-862371"/>
    <d v="2024-09-07T00:00:00"/>
    <d v="2024-09-07T00:00:00"/>
    <n v="0"/>
    <s v="Sept-2024"/>
    <s v="Q3-2024"/>
    <x v="1"/>
    <s v="India"/>
    <s v="Mumbai"/>
    <s v="Education"/>
    <s v="Distributor"/>
    <x v="5"/>
    <s v="Networking"/>
    <s v="NET-9835"/>
    <n v="1066.6500000000001"/>
    <s v="High"/>
    <n v="2569.77"/>
    <x v="61"/>
    <n v="9"/>
    <n v="11640.572819999999"/>
    <n v="9599.85"/>
    <n v="2040.722819999999"/>
    <n v="0.17531120259767416"/>
  </r>
  <r>
    <s v="ORD-2024-277241"/>
    <d v="2024-01-28T00:00:00"/>
    <d v="2024-01-30T00:00:00"/>
    <n v="2"/>
    <s v="Jan-2024"/>
    <s v="Q1-2024"/>
    <x v="0"/>
    <s v="South Africa"/>
    <s v="Cape Town"/>
    <s v="Consumer"/>
    <s v="Direct"/>
    <x v="9"/>
    <s v="Accessories"/>
    <s v="ACC-6223"/>
    <n v="798.45"/>
    <s v="High"/>
    <n v="1592.02"/>
    <x v="72"/>
    <n v="18"/>
    <n v="12473.159039999999"/>
    <n v="14372.1"/>
    <n v="-1898.9409600000017"/>
    <n v="-0.15224218290733843"/>
  </r>
  <r>
    <s v="ORD-2023-369150"/>
    <d v="2023-07-18T00:00:00"/>
    <d v="2023-08-10T00:00:00"/>
    <n v="23"/>
    <s v="Jul-2023"/>
    <s v="Q3-2023"/>
    <x v="0"/>
    <s v="South Africa"/>
    <s v="Johannesburg"/>
    <s v="Small Business"/>
    <s v="Retail"/>
    <x v="4"/>
    <s v="Components"/>
    <s v="CMP-8659"/>
    <n v="1271.56"/>
    <s v="High"/>
    <n v="995.47"/>
    <x v="98"/>
    <n v="13"/>
    <n v="7796.3839200000002"/>
    <n v="16530.28"/>
    <n v="-8733.8960799999986"/>
    <n v="-1.1202496143878966"/>
  </r>
  <r>
    <s v="ORD-2025-922513"/>
    <d v="2025-08-28T00:00:00"/>
    <d v="2025-08-26T00:00:00"/>
    <n v="2"/>
    <s v="Aug-2025"/>
    <s v="Q3-2025"/>
    <x v="0"/>
    <s v="Nigeria"/>
    <s v="Port Harcourt"/>
    <s v="Small Business"/>
    <s v="Retail"/>
    <x v="8"/>
    <s v="Accessories"/>
    <s v="ACC-4483"/>
    <n v="521.05999999999995"/>
    <s v="High"/>
    <n v="1240.31"/>
    <x v="34"/>
    <n v="18"/>
    <n v="7371.4888800000008"/>
    <n v="9379.0799999999981"/>
    <n v="-2007.5911199999973"/>
    <n v="-0.27234540439271437"/>
  </r>
  <r>
    <s v="ORD-2025-752845"/>
    <d v="2025-03-30T00:00:00"/>
    <d v="2025-04-07T00:00:00"/>
    <n v="8"/>
    <s v="Mar-2025"/>
    <s v="Q1-2025"/>
    <x v="2"/>
    <s v="Brazil"/>
    <s v="São Paulo"/>
    <s v="Non-Profit"/>
    <s v="Direct"/>
    <x v="4"/>
    <s v="Printers"/>
    <s v="PRN-8763"/>
    <n v="71.62"/>
    <s v="Medium"/>
    <n v="118.37"/>
    <x v="161"/>
    <n v="11"/>
    <n v="10911.020999999999"/>
    <n v="787.82"/>
    <n v="10123.200999999999"/>
    <n v="0.92779594136973986"/>
  </r>
  <r>
    <s v="ORD-2023-667815"/>
    <d v="2023-10-21T00:00:00"/>
    <d v="2023-11-09T00:00:00"/>
    <n v="19"/>
    <s v="Oct-2023"/>
    <s v="Q4-2023"/>
    <x v="3"/>
    <s v="United Kingdom"/>
    <s v="London"/>
    <s v="Non-Profit"/>
    <s v="Direct"/>
    <x v="8"/>
    <s v="Accessories"/>
    <s v="ACC-8557"/>
    <n v="1142.48"/>
    <s v="High"/>
    <n v="2105.5300000000002"/>
    <x v="162"/>
    <n v="14"/>
    <n v="2525.1498999999999"/>
    <n v="15994.720000000001"/>
    <n v="-13469.570100000001"/>
    <n v="-5.3341665379944381"/>
  </r>
  <r>
    <s v="ORD-2023-375011"/>
    <d v="2023-08-23T00:00:00"/>
    <d v="2023-09-22T00:00:00"/>
    <n v="30"/>
    <s v="Aug-2023"/>
    <s v="Q3-2023"/>
    <x v="3"/>
    <s v="United Kingdom"/>
    <s v="London"/>
    <s v="Consumer"/>
    <s v="Distributor"/>
    <x v="7"/>
    <s v="Accessories"/>
    <s v="ACC-1492"/>
    <n v="209.81"/>
    <s v="High"/>
    <n v="523"/>
    <x v="163"/>
    <n v="15"/>
    <n v="16636.221300000001"/>
    <n v="3147.15"/>
    <n v="13489.071300000001"/>
    <n v="0.81082543065233215"/>
  </r>
  <r>
    <s v="ORD-2025-487025"/>
    <d v="2025-04-11T00:00:00"/>
    <d v="2025-05-04T00:00:00"/>
    <n v="23"/>
    <s v="Apr-2025"/>
    <s v="Q2-2025"/>
    <x v="1"/>
    <s v="Japan"/>
    <s v="Osaka"/>
    <s v="Small Business"/>
    <s v="Online"/>
    <x v="12"/>
    <s v="Components"/>
    <s v="CMP-3743"/>
    <n v="786.2"/>
    <s v="High"/>
    <n v="1075.3"/>
    <x v="164"/>
    <n v="9"/>
    <n v="20054.987999999998"/>
    <n v="7075.8"/>
    <n v="12979.187999999998"/>
    <n v="0.64718004318925548"/>
  </r>
  <r>
    <s v="ORD-2025-398335"/>
    <d v="2025-06-01T00:00:00"/>
    <d v="2025-06-27T00:00:00"/>
    <n v="26"/>
    <s v="Jun-2025"/>
    <s v="Q2-2025"/>
    <x v="3"/>
    <s v="Germany"/>
    <s v="Munich"/>
    <s v="Consumer"/>
    <s v="Distributor"/>
    <x v="6"/>
    <s v="Laptops"/>
    <s v="LAP-1619"/>
    <n v="1362.31"/>
    <s v="High"/>
    <n v="3294.57"/>
    <x v="139"/>
    <n v="7"/>
    <n v="2693.96092"/>
    <n v="9536.17"/>
    <n v="-6842.2090800000005"/>
    <n v="-2.5398323447097373"/>
  </r>
  <r>
    <s v="ORD-2024-792137"/>
    <d v="2024-03-02T00:00:00"/>
    <d v="2024-03-16T00:00:00"/>
    <n v="14"/>
    <s v="Mar-2024"/>
    <s v="Q1-2024"/>
    <x v="2"/>
    <s v="Canada"/>
    <s v="Vancouver"/>
    <s v="Non-Profit"/>
    <s v="Direct"/>
    <x v="7"/>
    <s v="Printers"/>
    <s v="PRN-7976"/>
    <n v="248.24"/>
    <s v="High"/>
    <n v="464.05"/>
    <x v="36"/>
    <n v="11"/>
    <n v="28786.197329999999"/>
    <n v="2730.6400000000003"/>
    <n v="26055.55733"/>
    <n v="0.90514064887777934"/>
  </r>
  <r>
    <s v="ORD-2023-602648"/>
    <d v="2023-06-20T00:00:00"/>
    <d v="2023-07-08T00:00:00"/>
    <n v="18"/>
    <s v="Jun-2023"/>
    <s v="Q2-2023"/>
    <x v="2"/>
    <s v="USA"/>
    <s v="Austin"/>
    <s v="Non-Profit"/>
    <s v="Direct"/>
    <x v="9"/>
    <s v="Monitors"/>
    <s v="MON-4326"/>
    <n v="337"/>
    <s v="High"/>
    <n v="511.03"/>
    <x v="86"/>
    <n v="7"/>
    <n v="409.91860000000008"/>
    <n v="2359"/>
    <n v="-1949.0814"/>
    <n v="-4.7548010751402829"/>
  </r>
  <r>
    <s v="ORD-2024-207096"/>
    <d v="2024-03-26T00:00:00"/>
    <d v="2024-04-05T00:00:00"/>
    <n v="10"/>
    <s v="Mar-2024"/>
    <s v="Q1-2024"/>
    <x v="2"/>
    <s v="USA"/>
    <s v="Austin"/>
    <s v="Consumer"/>
    <s v="Direct"/>
    <x v="1"/>
    <s v="Monitors"/>
    <s v="MON-5444"/>
    <n v="5.66"/>
    <s v="Low"/>
    <n v="4.22"/>
    <x v="45"/>
    <n v="18"/>
    <n v="39520.356119999997"/>
    <n v="101.88"/>
    <n v="39418.476119999999"/>
    <n v="0.99742208800723742"/>
  </r>
  <r>
    <s v="ORD-2025-939953"/>
    <d v="2025-01-22T00:00:00"/>
    <d v="2025-01-22T00:00:00"/>
    <n v="0"/>
    <s v="Jan-2025"/>
    <s v="Q1-2025"/>
    <x v="3"/>
    <s v="France"/>
    <s v="Lyon"/>
    <s v="Small Business"/>
    <s v="Online"/>
    <x v="5"/>
    <s v="Accessories"/>
    <s v="ACC-5422"/>
    <n v="591.72"/>
    <s v="High"/>
    <n v="577.24"/>
    <x v="5"/>
    <n v="22"/>
    <n v="20500.48"/>
    <n v="13017.84"/>
    <n v="7482.6399999999994"/>
    <n v="0.36499828296703296"/>
  </r>
  <r>
    <s v="ORD-2025-191328"/>
    <d v="2025-05-10T00:00:00"/>
    <d v="2025-05-27T00:00:00"/>
    <n v="17"/>
    <s v="May-2025"/>
    <s v="Q2-2025"/>
    <x v="2"/>
    <s v="Canada"/>
    <s v="Vancouver"/>
    <s v="Education"/>
    <s v="Direct"/>
    <x v="0"/>
    <s v="Components"/>
    <s v="CMP-9307"/>
    <n v="862.89"/>
    <s v="High"/>
    <n v="1426.03"/>
    <x v="121"/>
    <n v="19"/>
    <n v="11111.531359999999"/>
    <n v="16394.91"/>
    <n v="-5283.3786400000008"/>
    <n v="-0.4754860935747745"/>
  </r>
  <r>
    <s v="ORD-2023-166668"/>
    <d v="2023-10-05T00:00:00"/>
    <d v="2023-10-31T00:00:00"/>
    <n v="26"/>
    <s v="Oct-2023"/>
    <s v="Q4-2023"/>
    <x v="1"/>
    <s v="China"/>
    <s v="Shanghai"/>
    <s v="Consumer"/>
    <s v="Not Provided"/>
    <x v="1"/>
    <s v="Printers"/>
    <s v="PRN-6520"/>
    <n v="649.91"/>
    <s v="High"/>
    <n v="1360.12"/>
    <x v="7"/>
    <n v="9"/>
    <n v="10311.923699999999"/>
    <n v="5849.19"/>
    <n v="4462.7336999999998"/>
    <n v="0.43277411953697836"/>
  </r>
  <r>
    <s v="ORD-2023-594700"/>
    <d v="2023-07-18T00:00:00"/>
    <d v="2023-07-22T00:00:00"/>
    <n v="4"/>
    <s v="Jul-2023"/>
    <s v="Q3-2023"/>
    <x v="2"/>
    <s v="Brazil"/>
    <s v="São Paulo"/>
    <s v="Consumer"/>
    <s v="Direct"/>
    <x v="9"/>
    <s v="Networking"/>
    <s v="NET-1699"/>
    <n v="1269.55"/>
    <s v="High"/>
    <n v="2071.1"/>
    <x v="31"/>
    <n v="22"/>
    <n v="18252.954719999998"/>
    <n v="27930.1"/>
    <n v="-9677.1452800000006"/>
    <n v="-0.53016870027057195"/>
  </r>
  <r>
    <s v="ORD-2025-278048"/>
    <d v="2025-06-22T00:00:00"/>
    <d v="2025-07-08T00:00:00"/>
    <n v="16"/>
    <s v="Jun-2025"/>
    <s v="Q2-2025"/>
    <x v="3"/>
    <s v="United Kingdom"/>
    <s v="London"/>
    <s v="Education"/>
    <s v="Direct"/>
    <x v="8"/>
    <s v="Phones"/>
    <s v="PHN-5316"/>
    <n v="892.73"/>
    <s v="High"/>
    <n v="979.84"/>
    <x v="155"/>
    <n v="10"/>
    <n v="26053.196400000001"/>
    <n v="8927.2999999999993"/>
    <n v="17125.896400000001"/>
    <n v="0.65734338839129935"/>
  </r>
  <r>
    <s v="ORD-2024-878493"/>
    <d v="2024-06-19T00:00:00"/>
    <d v="2024-06-20T00:00:00"/>
    <n v="1"/>
    <s v="Jun-2024"/>
    <s v="Q2-2024"/>
    <x v="0"/>
    <s v="Kenya"/>
    <s v="Kisumu"/>
    <s v="Small Business"/>
    <s v="Direct"/>
    <x v="1"/>
    <s v="Laptops"/>
    <s v="LAP-4607"/>
    <n v="231.63"/>
    <s v="High"/>
    <n v="537.39"/>
    <x v="164"/>
    <n v="12"/>
    <n v="2496.5855999999999"/>
    <n v="2779.56"/>
    <n v="-282.97440000000006"/>
    <n v="-0.11334456146827093"/>
  </r>
  <r>
    <s v="ORD-2025-138578"/>
    <d v="2025-04-09T00:00:00"/>
    <d v="2025-04-12T00:00:00"/>
    <n v="3"/>
    <s v="Apr-2025"/>
    <s v="Q2-2025"/>
    <x v="3"/>
    <s v="France"/>
    <s v="Lyon"/>
    <s v="Small Business"/>
    <s v="Distributor"/>
    <x v="10"/>
    <s v="Monitors"/>
    <s v="MON-5276"/>
    <n v="86.68"/>
    <s v="High"/>
    <n v="213.32"/>
    <x v="16"/>
    <n v="8"/>
    <n v="6818.0403199999992"/>
    <n v="693.44"/>
    <n v="6124.6003199999996"/>
    <n v="0.89829335594190218"/>
  </r>
  <r>
    <s v="ORD-2025-944081"/>
    <d v="2025-03-25T00:00:00"/>
    <d v="2025-03-26T00:00:00"/>
    <n v="1"/>
    <s v="Mar-2025"/>
    <s v="Q1-2025"/>
    <x v="0"/>
    <s v="Nigeria"/>
    <s v="Lagos"/>
    <s v="Education"/>
    <s v="Distributor"/>
    <x v="3"/>
    <s v="Accessories"/>
    <s v="ACC-9533"/>
    <n v="1450.43"/>
    <s v="High"/>
    <n v="1994.67"/>
    <x v="165"/>
    <n v="24"/>
    <n v="52560.144000000008"/>
    <n v="34810.32"/>
    <n v="17749.824000000008"/>
    <n v="0.33770501085385163"/>
  </r>
  <r>
    <s v="ORD-2025-364852"/>
    <d v="2025-05-18T00:00:00"/>
    <d v="2025-06-09T00:00:00"/>
    <n v="22"/>
    <s v="May-2025"/>
    <s v="Q2-2025"/>
    <x v="2"/>
    <s v="USA"/>
    <s v="New York"/>
    <s v="Consumer"/>
    <s v="Retail"/>
    <x v="10"/>
    <s v="Networking"/>
    <s v="NET-3749"/>
    <n v="382.96"/>
    <s v="High"/>
    <n v="552.84"/>
    <x v="166"/>
    <n v="8"/>
    <n v="7609.4092799999999"/>
    <n v="3063.68"/>
    <n v="4545.7292799999996"/>
    <n v="0.59738267620164065"/>
  </r>
  <r>
    <s v="ORD-2025-415018"/>
    <d v="2025-01-22T00:00:00"/>
    <d v="2025-02-04T00:00:00"/>
    <n v="13"/>
    <s v="Jan-2025"/>
    <s v="Q1-2025"/>
    <x v="1"/>
    <s v="Japan"/>
    <s v="Tokyo"/>
    <s v="Small Business"/>
    <s v="Distributor"/>
    <x v="4"/>
    <s v="Printers"/>
    <s v="PRN-2991"/>
    <n v="122.29"/>
    <s v="High"/>
    <n v="224.95"/>
    <x v="125"/>
    <n v="28"/>
    <n v="26941.13884"/>
    <n v="3424.1200000000003"/>
    <n v="23517.018840000001"/>
    <n v="0.8729036652705956"/>
  </r>
  <r>
    <s v="ORD-2023-884192"/>
    <d v="2023-01-10T00:00:00"/>
    <d v="2023-01-29T00:00:00"/>
    <n v="19"/>
    <s v="Jan-2023"/>
    <s v="Q1-2023"/>
    <x v="3"/>
    <s v="France"/>
    <s v="Lyon"/>
    <s v="Non-Profit"/>
    <s v="Direct"/>
    <x v="14"/>
    <s v="Laptops"/>
    <s v="LAP-4551"/>
    <n v="401.66"/>
    <s v="High"/>
    <n v="772.09"/>
    <x v="25"/>
    <n v="14"/>
    <n v="35096.967360000002"/>
    <n v="5623.2400000000007"/>
    <n v="29473.727360000001"/>
    <n v="0.83977988917615698"/>
  </r>
  <r>
    <s v="ORD-2024-165942"/>
    <d v="2024-12-29T00:00:00"/>
    <d v="2025-01-12T00:00:00"/>
    <n v="14"/>
    <s v="Dec-2024"/>
    <s v="Q4-2024"/>
    <x v="3"/>
    <s v="United Kingdom"/>
    <s v="Manchester"/>
    <s v="Corporate"/>
    <s v="Direct"/>
    <x v="5"/>
    <s v="Monitors"/>
    <s v="MON-6310"/>
    <n v="1399.72"/>
    <s v="High"/>
    <n v="3149.21"/>
    <x v="57"/>
    <n v="12"/>
    <n v="13444.761599999998"/>
    <n v="16796.64"/>
    <n v="-3351.8784000000014"/>
    <n v="-0.24930738823959525"/>
  </r>
  <r>
    <s v="ORD-2024-403664"/>
    <d v="2024-05-23T00:00:00"/>
    <d v="2024-06-06T00:00:00"/>
    <n v="14"/>
    <s v="May-2024"/>
    <s v="Q2-2024"/>
    <x v="2"/>
    <s v="Brazil"/>
    <s v="Rio de Janeiro"/>
    <s v="Non-Profit"/>
    <s v="Online"/>
    <x v="2"/>
    <s v="Networking"/>
    <s v="NET-1166"/>
    <n v="51.13"/>
    <s v="Medium"/>
    <n v="57.53"/>
    <x v="107"/>
    <n v="16"/>
    <n v="20144.693599999999"/>
    <n v="818.08"/>
    <n v="19326.613599999997"/>
    <n v="0.95938980178879452"/>
  </r>
  <r>
    <s v="ORD-2023-890605"/>
    <d v="2023-06-24T00:00:00"/>
    <d v="2023-06-22T00:00:00"/>
    <n v="2"/>
    <s v="Jun-2023"/>
    <s v="Q2-2023"/>
    <x v="2"/>
    <s v="Canada"/>
    <s v="Toronto"/>
    <s v="Non-Profit"/>
    <s v="Retail"/>
    <x v="12"/>
    <s v="Accessories"/>
    <s v="ACC-2903"/>
    <n v="471.42"/>
    <s v="High"/>
    <n v="824.81"/>
    <x v="167"/>
    <n v="15"/>
    <n v="6043.0032000000001"/>
    <n v="7071.3"/>
    <n v="-1028.2968000000001"/>
    <n v="-0.17016320626803574"/>
  </r>
  <r>
    <s v="ORD-2024-925626"/>
    <d v="2024-11-04T00:00:00"/>
    <d v="2024-11-05T00:00:00"/>
    <n v="1"/>
    <s v="Nov-2024"/>
    <s v="Q4-2024"/>
    <x v="3"/>
    <s v="United Kingdom"/>
    <s v="London"/>
    <s v="Corporate"/>
    <s v="Retail"/>
    <x v="12"/>
    <s v="Printers"/>
    <s v="PRN-2293"/>
    <n v="840.68"/>
    <s v="High"/>
    <n v="1493.53"/>
    <x v="5"/>
    <n v="27"/>
    <n v="35911.89"/>
    <n v="22698.359999999997"/>
    <n v="13213.530000000002"/>
    <n v="0.36794304059184862"/>
  </r>
  <r>
    <s v="ORD-2024-427031"/>
    <d v="2024-06-08T00:00:00"/>
    <d v="2024-06-24T00:00:00"/>
    <n v="16"/>
    <s v="Jun-2024"/>
    <s v="Q2-2024"/>
    <x v="0"/>
    <s v="South Africa"/>
    <s v="Durban"/>
    <s v="Education"/>
    <s v="Distributor"/>
    <x v="10"/>
    <s v="Monitors"/>
    <s v="MON-1389"/>
    <n v="597.85"/>
    <s v="High"/>
    <n v="741.92"/>
    <x v="8"/>
    <n v="7"/>
    <n v="11089.255379999999"/>
    <n v="4184.95"/>
    <n v="6904.3053799999989"/>
    <n v="0.62261217217995024"/>
  </r>
  <r>
    <s v="ORD-2025-231184"/>
    <d v="2025-06-01T00:00:00"/>
    <d v="2025-06-06T00:00:00"/>
    <n v="5"/>
    <s v="Jun-2025"/>
    <s v="Q2-2025"/>
    <x v="3"/>
    <s v="France"/>
    <s v="Paris"/>
    <s v="Consumer"/>
    <s v="Distributor"/>
    <x v="3"/>
    <s v="Components"/>
    <s v="CMP-4093"/>
    <n v="379.45"/>
    <s v="High"/>
    <n v="742.23"/>
    <x v="168"/>
    <n v="13"/>
    <n v="835.19799999999998"/>
    <n v="4932.8499999999995"/>
    <n v="-4097.6519999999991"/>
    <n v="-4.9062042773090919"/>
  </r>
  <r>
    <s v="ORD-2023-363031"/>
    <d v="2023-05-06T00:00:00"/>
    <d v="2023-05-14T00:00:00"/>
    <n v="8"/>
    <s v="May-2023"/>
    <s v="Q2-2023"/>
    <x v="1"/>
    <s v="Japan"/>
    <s v="Osaka"/>
    <s v="Enterprise"/>
    <s v="Marketplace"/>
    <x v="5"/>
    <s v="Phones"/>
    <s v="PHN-6131"/>
    <n v="291.18"/>
    <s v="High"/>
    <n v="479.54"/>
    <x v="169"/>
    <n v="22"/>
    <n v="34451.80992"/>
    <n v="6405.96"/>
    <n v="28045.849920000001"/>
    <n v="0.81406027680765747"/>
  </r>
  <r>
    <s v="ORD-2023-619570"/>
    <d v="2023-11-14T00:00:00"/>
    <d v="2023-11-30T00:00:00"/>
    <n v="16"/>
    <s v="Nov-2023"/>
    <s v="Q4-2023"/>
    <x v="2"/>
    <s v="Brazil"/>
    <s v="São Paulo"/>
    <s v="Enterprise"/>
    <s v="Direct"/>
    <x v="11"/>
    <s v="Networking"/>
    <s v="NET-4104"/>
    <n v="1017.92"/>
    <s v="High"/>
    <n v="1175.25"/>
    <x v="43"/>
    <n v="15"/>
    <n v="27971.861250000002"/>
    <n v="15268.8"/>
    <n v="12703.061250000002"/>
    <n v="0.45413714648681097"/>
  </r>
  <r>
    <s v="ORD-2025-861401"/>
    <d v="2025-04-01T00:00:00"/>
    <d v="2025-04-27T00:00:00"/>
    <n v="26"/>
    <s v="Apr-2025"/>
    <s v="Q2-2025"/>
    <x v="2"/>
    <s v="USA"/>
    <s v="San Francisco"/>
    <s v="Corporate"/>
    <s v="Direct"/>
    <x v="2"/>
    <s v="Monitors"/>
    <s v="MON-9319"/>
    <n v="156.55000000000001"/>
    <s v="High"/>
    <n v="227.45"/>
    <x v="170"/>
    <n v="13"/>
    <n v="3129.2583399999999"/>
    <n v="2035.15"/>
    <n v="1094.1083399999998"/>
    <n v="0.34963822769583153"/>
  </r>
  <r>
    <s v="ORD-2023-835010"/>
    <d v="2023-03-23T00:00:00"/>
    <d v="2023-04-15T00:00:00"/>
    <n v="23"/>
    <s v="Mar-2023"/>
    <s v="Q1-2023"/>
    <x v="0"/>
    <s v="Kenya"/>
    <s v="Mombasa"/>
    <s v="Small Business"/>
    <s v="Retail"/>
    <x v="0"/>
    <s v="Accessories"/>
    <s v="ACC-2988"/>
    <n v="875.36"/>
    <s v="High"/>
    <n v="1178.6199999999999"/>
    <x v="102"/>
    <n v="53"/>
    <n v="125232.05063999999"/>
    <n v="46394.080000000002"/>
    <n v="78837.970639999985"/>
    <n v="0.62953509295022747"/>
  </r>
  <r>
    <s v="ORD-2024-819979"/>
    <d v="2024-05-28T00:00:00"/>
    <d v="2024-06-18T00:00:00"/>
    <n v="21"/>
    <s v="May-2024"/>
    <s v="Q2-2024"/>
    <x v="3"/>
    <s v="Germany"/>
    <s v="Frankfurt"/>
    <s v="Small Business"/>
    <s v="Online"/>
    <x v="6"/>
    <s v="Phones"/>
    <s v="PHN-9399"/>
    <n v="986.85"/>
    <s v="High"/>
    <n v="2422.1"/>
    <x v="171"/>
    <n v="10"/>
    <n v="18944.864399999999"/>
    <n v="9868.5"/>
    <n v="9076.3643999999986"/>
    <n v="0.47909365875429538"/>
  </r>
  <r>
    <s v="ORD-2024-719055"/>
    <d v="2024-01-02T00:00:00"/>
    <d v="2024-01-01T00:00:00"/>
    <n v="1"/>
    <s v="Jan-2024"/>
    <s v="Q1-2024"/>
    <x v="2"/>
    <s v="USA"/>
    <s v="Chicago"/>
    <s v="Education"/>
    <s v="Marketplace"/>
    <x v="5"/>
    <s v="Networking"/>
    <s v="NET-4554"/>
    <n v="404.77"/>
    <s v="High"/>
    <n v="433.88"/>
    <x v="66"/>
    <n v="22"/>
    <n v="2540.7624000000005"/>
    <n v="8904.9399999999987"/>
    <n v="-6364.1775999999982"/>
    <n v="-2.504829888855407"/>
  </r>
  <r>
    <s v="ORD-2023-888245"/>
    <d v="2023-02-28T00:00:00"/>
    <d v="2023-02-27T00:00:00"/>
    <n v="1"/>
    <s v="Feb-2023"/>
    <s v="Q1-2023"/>
    <x v="3"/>
    <s v="France"/>
    <s v="Marseille"/>
    <s v="Corporate"/>
    <s v="Retail"/>
    <x v="11"/>
    <s v="Networking"/>
    <s v="NET-5195"/>
    <n v="1299.81"/>
    <s v="High"/>
    <n v="3149.13"/>
    <x v="172"/>
    <n v="14"/>
    <n v="24902.262840000003"/>
    <n v="18197.34"/>
    <n v="6704.9228400000029"/>
    <n v="0.26924954101881943"/>
  </r>
  <r>
    <s v="ORD-2024-206121"/>
    <d v="2024-02-18T00:00:00"/>
    <d v="2024-03-11T00:00:00"/>
    <n v="22"/>
    <s v="Feb-2024"/>
    <s v="Q1-2024"/>
    <x v="2"/>
    <s v="Brazil"/>
    <s v="São Paulo"/>
    <s v="Consumer"/>
    <s v="Online"/>
    <x v="8"/>
    <s v="Components"/>
    <s v="CMP-9801"/>
    <n v="80.48"/>
    <s v="Medium"/>
    <n v="65.650000000000006"/>
    <x v="166"/>
    <n v="13"/>
    <n v="24630.101600000002"/>
    <n v="1046.24"/>
    <n v="23583.8616"/>
    <n v="0.95752189670220433"/>
  </r>
  <r>
    <s v="ORD-2024-500890"/>
    <d v="2024-09-09T00:00:00"/>
    <d v="2024-10-08T00:00:00"/>
    <n v="29"/>
    <s v="Sept-2024"/>
    <s v="Q3-2024"/>
    <x v="2"/>
    <s v="Brazil"/>
    <s v="São Paulo"/>
    <s v="Education"/>
    <s v="Direct"/>
    <x v="1"/>
    <s v="Components"/>
    <s v="CMP-3093"/>
    <n v="1010.33"/>
    <s v="High"/>
    <n v="2492.14"/>
    <x v="130"/>
    <n v="11"/>
    <n v="4829.1857899999995"/>
    <n v="11113.630000000001"/>
    <n v="-6284.4442100000015"/>
    <n v="-1.3013465381707756"/>
  </r>
  <r>
    <s v="ORD-2023-144816"/>
    <d v="2023-05-07T00:00:00"/>
    <d v="2023-05-29T00:00:00"/>
    <n v="22"/>
    <s v="May-2023"/>
    <s v="Q2-2023"/>
    <x v="0"/>
    <s v="South Africa"/>
    <s v="Durban"/>
    <s v="Education"/>
    <s v="Distributor"/>
    <x v="11"/>
    <s v="Accessories"/>
    <s v="ACC-2364"/>
    <n v="653.86"/>
    <s v="High"/>
    <n v="931.84"/>
    <x v="173"/>
    <n v="12"/>
    <n v="11533.077720000001"/>
    <n v="7846.32"/>
    <n v="3686.7577200000014"/>
    <n v="0.3196681587956906"/>
  </r>
  <r>
    <s v="ORD-2024-153053"/>
    <d v="2024-01-12T00:00:00"/>
    <d v="2024-01-29T00:00:00"/>
    <n v="17"/>
    <s v="Jan-2024"/>
    <s v="Q1-2024"/>
    <x v="1"/>
    <s v="India"/>
    <s v="Hyderabad"/>
    <s v="Small Business"/>
    <s v="Direct"/>
    <x v="5"/>
    <s v="Components"/>
    <s v="CMP-5138"/>
    <n v="310.02"/>
    <s v="High"/>
    <n v="619.51"/>
    <x v="174"/>
    <n v="4"/>
    <n v="5572.5710399999998"/>
    <n v="1240.08"/>
    <n v="4332.4910399999999"/>
    <n v="0.77746717070115634"/>
  </r>
  <r>
    <s v="ORD-2023-536542"/>
    <d v="2023-06-10T00:00:00"/>
    <d v="2023-06-18T00:00:00"/>
    <n v="8"/>
    <s v="Jun-2023"/>
    <s v="Q2-2023"/>
    <x v="0"/>
    <s v="Kenya"/>
    <s v="Nakuru"/>
    <s v="Enterprise"/>
    <s v="Direct"/>
    <x v="10"/>
    <s v="Phones"/>
    <s v="PHN-2337"/>
    <n v="894.23"/>
    <s v="High"/>
    <n v="1421.55"/>
    <x v="14"/>
    <n v="3"/>
    <n v="5667.829200000001"/>
    <n v="2682.69"/>
    <n v="2985.139200000001"/>
    <n v="0.52668122038681064"/>
  </r>
  <r>
    <s v="ORD-2025-779530"/>
    <d v="2025-05-19T00:00:00"/>
    <d v="2025-05-17T00:00:00"/>
    <n v="2"/>
    <s v="May-2025"/>
    <s v="Q2-2025"/>
    <x v="2"/>
    <s v="Brazil"/>
    <s v="São Paulo"/>
    <s v="Small Business"/>
    <s v="Distributor"/>
    <x v="4"/>
    <s v="Monitors"/>
    <s v="MON-2993"/>
    <n v="383.77"/>
    <s v="High"/>
    <n v="952.56"/>
    <x v="175"/>
    <n v="10"/>
    <n v="841.56720000000018"/>
    <n v="3837.7"/>
    <n v="-2996.1327999999994"/>
    <n v="-3.5601824785946965"/>
  </r>
  <r>
    <s v="ORD-2023-163610"/>
    <d v="2023-10-22T00:00:00"/>
    <d v="2023-11-16T00:00:00"/>
    <n v="25"/>
    <s v="Oct-2023"/>
    <s v="Q4-2023"/>
    <x v="2"/>
    <s v="Canada"/>
    <s v="Toronto"/>
    <s v="Small Business"/>
    <s v="Marketplace"/>
    <x v="2"/>
    <s v="Laptops"/>
    <s v="LAP-9024"/>
    <n v="1373.31"/>
    <s v="High"/>
    <n v="3154.14"/>
    <x v="47"/>
    <n v="11"/>
    <n v="11668.448000000002"/>
    <n v="15106.41"/>
    <n v="-3437.9619999999977"/>
    <n v="-0.29463747021026249"/>
  </r>
  <r>
    <s v="ORD-2025-653781"/>
    <d v="2025-01-11T00:00:00"/>
    <d v="2025-01-23T00:00:00"/>
    <n v="12"/>
    <s v="Jan-2025"/>
    <s v="Q1-2025"/>
    <x v="2"/>
    <s v="USA"/>
    <s v="Austin"/>
    <s v="Consumer"/>
    <s v="Distributor"/>
    <x v="10"/>
    <s v="Phones"/>
    <s v="PHN-6307"/>
    <n v="100.69"/>
    <s v="High"/>
    <n v="226.14"/>
    <x v="176"/>
    <n v="12"/>
    <n v="27369.282600000002"/>
    <n v="1208.28"/>
    <n v="26161.002600000003"/>
    <n v="0.95585269743241286"/>
  </r>
  <r>
    <s v="ORD-2025-737787"/>
    <d v="2025-09-14T00:00:00"/>
    <d v="2025-09-26T00:00:00"/>
    <n v="12"/>
    <s v="Sept-2025"/>
    <s v="Q3-2025"/>
    <x v="3"/>
    <s v="United Kingdom"/>
    <s v="London"/>
    <s v="Small Business"/>
    <s v="Direct"/>
    <x v="13"/>
    <s v="Networking"/>
    <s v="NET-9003"/>
    <n v="425.15"/>
    <s v="High"/>
    <n v="885.92"/>
    <x v="177"/>
    <n v="13"/>
    <n v="21779.835220000001"/>
    <n v="5526.95"/>
    <n v="16252.88522"/>
    <n v="0.74623545384196899"/>
  </r>
  <r>
    <s v="ORD-2023-944052"/>
    <d v="2023-08-30T00:00:00"/>
    <d v="2023-09-03T00:00:00"/>
    <n v="4"/>
    <s v="Aug-2023"/>
    <s v="Q3-2023"/>
    <x v="1"/>
    <s v="India"/>
    <s v="Delhi"/>
    <s v="Small Business"/>
    <s v="Marketplace"/>
    <x v="4"/>
    <s v="Accessories"/>
    <s v="ACC-3068"/>
    <n v="1082.25"/>
    <s v="High"/>
    <n v="2433.34"/>
    <x v="178"/>
    <n v="4"/>
    <n v="2377.9312"/>
    <n v="4329"/>
    <n v="-1951.0688"/>
    <n v="-0.82049001249489473"/>
  </r>
  <r>
    <s v="ORD-2023-181257"/>
    <d v="2023-11-15T00:00:00"/>
    <d v="2023-12-06T00:00:00"/>
    <n v="21"/>
    <s v="Nov-2023"/>
    <s v="Q4-2023"/>
    <x v="3"/>
    <s v="United Kingdom"/>
    <s v="Manchester"/>
    <s v="Education"/>
    <s v="Direct"/>
    <x v="10"/>
    <s v="Accessories"/>
    <s v="ACC-1060"/>
    <n v="1184.99"/>
    <s v="High"/>
    <n v="1154.3399999999999"/>
    <x v="179"/>
    <n v="5"/>
    <n v="6720.9426000000003"/>
    <n v="5924.95"/>
    <n v="795.99260000000049"/>
    <n v="0.11843466718492737"/>
  </r>
  <r>
    <s v="ORD-2025-323492"/>
    <d v="2025-04-27T00:00:00"/>
    <d v="2025-05-27T00:00:00"/>
    <n v="0"/>
    <s v="Apr-2025"/>
    <s v="Q2-2025"/>
    <x v="1"/>
    <s v="India"/>
    <s v="Not Provided"/>
    <s v="Enterprise"/>
    <s v="Marketplace"/>
    <x v="10"/>
    <s v="Phones"/>
    <s v="PHN-3854"/>
    <n v="481.32"/>
    <s v="High"/>
    <n v="1135.99"/>
    <x v="180"/>
    <n v="5"/>
    <n v="7038.4882499999994"/>
    <n v="2406.6"/>
    <n v="4631.88825"/>
    <n v="0.65807998613906904"/>
  </r>
  <r>
    <s v="ORD-2024-332076"/>
    <d v="2024-04-09T00:00:00"/>
    <d v="2024-04-18T00:00:00"/>
    <n v="9"/>
    <s v="Apr-2024"/>
    <s v="Q2-2024"/>
    <x v="3"/>
    <s v="France"/>
    <s v="Lyon"/>
    <s v="Consumer"/>
    <s v="Online"/>
    <x v="6"/>
    <s v="Printers"/>
    <s v="PRN-1086"/>
    <n v="1288.8499999999999"/>
    <s v="High"/>
    <n v="2751.84"/>
    <x v="181"/>
    <n v="7"/>
    <n v="2362.5509599999996"/>
    <n v="9021.9499999999989"/>
    <n v="-6659.3990399999993"/>
    <n v="-2.8187324433416667"/>
  </r>
  <r>
    <s v="ORD-2024-571797"/>
    <d v="2024-07-11T00:00:00"/>
    <d v="2024-07-31T00:00:00"/>
    <n v="20"/>
    <s v="Jul-2024"/>
    <s v="Q3-2024"/>
    <x v="1"/>
    <s v="China"/>
    <s v="Shenzhen"/>
    <s v="Consumer"/>
    <s v="Online"/>
    <x v="3"/>
    <s v="Phones"/>
    <s v="PHN-7815"/>
    <n v="647.26"/>
    <s v="High"/>
    <n v="1374.72"/>
    <x v="72"/>
    <n v="22"/>
    <n v="36586.946879999996"/>
    <n v="14239.72"/>
    <n v="22347.226879999995"/>
    <n v="0.6107978059305067"/>
  </r>
  <r>
    <s v="ORD-2024-129345"/>
    <d v="2024-02-18T00:00:00"/>
    <d v="2024-03-03T00:00:00"/>
    <n v="14"/>
    <s v="Feb-2024"/>
    <s v="Q1-2024"/>
    <x v="2"/>
    <s v="Brazil"/>
    <s v="Not Provided"/>
    <s v="Enterprise"/>
    <s v="Distributor"/>
    <x v="8"/>
    <s v="Printers"/>
    <s v="PRN-5384"/>
    <n v="624.23"/>
    <s v="High"/>
    <n v="1318.37"/>
    <x v="182"/>
    <n v="37"/>
    <n v="32691.708900000005"/>
    <n v="23096.510000000002"/>
    <n v="9595.1989000000031"/>
    <n v="0.29350557749521627"/>
  </r>
  <r>
    <s v="ORD-2023-660608"/>
    <d v="2023-07-25T00:00:00"/>
    <d v="2023-08-10T00:00:00"/>
    <n v="16"/>
    <s v="Jul-2023"/>
    <s v="Q3-2023"/>
    <x v="0"/>
    <s v="Nigeria"/>
    <s v="Port Harcourt"/>
    <s v="Corporate"/>
    <s v="Distributor"/>
    <x v="2"/>
    <s v="Accessories"/>
    <s v="ACC-8178"/>
    <n v="506.83"/>
    <s v="High"/>
    <n v="441.74"/>
    <x v="183"/>
    <n v="9"/>
    <n v="5274.4607999999998"/>
    <n v="4561.47"/>
    <n v="712.99079999999958"/>
    <n v="0.1351779503224291"/>
  </r>
  <r>
    <s v="ORD-2023-825084"/>
    <d v="2023-07-14T00:00:00"/>
    <d v="2023-07-21T00:00:00"/>
    <n v="7"/>
    <s v="Jul-2023"/>
    <s v="Q3-2023"/>
    <x v="0"/>
    <s v="South Africa"/>
    <s v="Durban"/>
    <s v="Enterprise"/>
    <s v="Marketplace"/>
    <x v="15"/>
    <s v="Monitors"/>
    <s v="MON-1018"/>
    <n v="620.74"/>
    <s v="High"/>
    <n v="1330.07"/>
    <x v="184"/>
    <n v="28"/>
    <n v="23750.665119999998"/>
    <n v="17380.72"/>
    <n v="6369.9451199999967"/>
    <n v="0.26820070460409901"/>
  </r>
  <r>
    <s v="ORD-2023-261081"/>
    <d v="2023-07-24T00:00:00"/>
    <d v="2023-08-19T00:00:00"/>
    <n v="26"/>
    <s v="Jul-2023"/>
    <s v="Q3-2023"/>
    <x v="0"/>
    <s v="Kenya"/>
    <s v="Nairobi"/>
    <s v="Enterprise"/>
    <s v="Distributor"/>
    <x v="12"/>
    <s v="Accessories"/>
    <s v="ACC-1238"/>
    <n v="661.45"/>
    <s v="High"/>
    <n v="1634.86"/>
    <x v="185"/>
    <n v="24"/>
    <n v="31570.873200000005"/>
    <n v="15874.800000000001"/>
    <n v="15696.073200000004"/>
    <n v="0.49716943527555019"/>
  </r>
  <r>
    <s v="ORD-2023-766015"/>
    <d v="2023-04-13T00:00:00"/>
    <d v="2023-04-11T00:00:00"/>
    <n v="2"/>
    <s v="Apr-2023"/>
    <s v="Q2-2023"/>
    <x v="2"/>
    <s v="USA"/>
    <s v="San Francisco"/>
    <s v="Education"/>
    <s v="Marketplace"/>
    <x v="3"/>
    <s v="Networking"/>
    <s v="NET-1816"/>
    <n v="32.1"/>
    <s v="Medium"/>
    <n v="70.599999999999994"/>
    <x v="186"/>
    <n v="22"/>
    <n v="36385.454160000001"/>
    <n v="706.2"/>
    <n v="35679.254160000004"/>
    <n v="0.98059114510720191"/>
  </r>
  <r>
    <s v="ORD-2024-333192"/>
    <d v="2024-10-29T00:00:00"/>
    <d v="2024-11-04T00:00:00"/>
    <n v="6"/>
    <s v="Oct-2024"/>
    <s v="Q4-2024"/>
    <x v="0"/>
    <s v="Kenya"/>
    <s v="Nairobi"/>
    <s v="Corporate"/>
    <s v="Distributor"/>
    <x v="12"/>
    <s v="Printers"/>
    <s v="PRN-4893"/>
    <n v="805.81"/>
    <s v="High"/>
    <n v="1823.04"/>
    <x v="5"/>
    <n v="11"/>
    <n v="33921.800000000003"/>
    <n v="8863.91"/>
    <n v="25057.890000000003"/>
    <n v="0.73869576496530254"/>
  </r>
  <r>
    <s v="ORD-2024-647473"/>
    <d v="2024-02-17T00:00:00"/>
    <d v="2024-03-04T00:00:00"/>
    <n v="16"/>
    <s v="Feb-2024"/>
    <s v="Q1-2024"/>
    <x v="1"/>
    <s v="India"/>
    <s v="Delhi"/>
    <s v="Small Business"/>
    <s v="Marketplace"/>
    <x v="9"/>
    <s v="Phones"/>
    <s v="PHN-1717"/>
    <n v="1231.8"/>
    <s v="High"/>
    <n v="2015.99"/>
    <x v="187"/>
    <n v="6"/>
    <n v="1430.8961399999998"/>
    <n v="7390.7999999999993"/>
    <n v="-5959.9038599999994"/>
    <n v="-4.1651547539991265"/>
  </r>
  <r>
    <s v="ORD-2024-892908"/>
    <d v="2024-07-13T00:00:00"/>
    <d v="2024-07-12T00:00:00"/>
    <n v="1"/>
    <s v="Jul-2024"/>
    <s v="Q3-2024"/>
    <x v="1"/>
    <s v="Japan"/>
    <s v="Nagoya"/>
    <s v="Small Business"/>
    <s v="Marketplace"/>
    <x v="9"/>
    <s v="Networking"/>
    <s v="NET-9575"/>
    <n v="105.13"/>
    <s v="High"/>
    <n v="244.13"/>
    <x v="88"/>
    <n v="14"/>
    <n v="9511.1577400000006"/>
    <n v="1471.82"/>
    <n v="8039.3377400000008"/>
    <n v="0.84525332874986048"/>
  </r>
  <r>
    <s v="ORD-2023-573146"/>
    <d v="2023-12-01T00:00:00"/>
    <d v="2023-12-18T00:00:00"/>
    <n v="17"/>
    <s v="Dec-2023"/>
    <s v="Q4-2023"/>
    <x v="1"/>
    <s v="Japan"/>
    <s v="Nagoya"/>
    <s v="Small Business"/>
    <s v="Direct"/>
    <x v="13"/>
    <s v="Laptops"/>
    <s v="LAP-3604"/>
    <n v="1495.79"/>
    <s v="High"/>
    <n v="2783.12"/>
    <x v="113"/>
    <n v="5"/>
    <n v="7516.3549999999996"/>
    <n v="7478.95"/>
    <n v="37.404999999999745"/>
    <n v="4.9764812864745937E-3"/>
  </r>
  <r>
    <s v="ORD-2024-901115"/>
    <d v="2024-07-25T00:00:00"/>
    <d v="2024-08-02T00:00:00"/>
    <n v="8"/>
    <s v="Jul-2024"/>
    <s v="Q3-2024"/>
    <x v="2"/>
    <s v="Canada"/>
    <s v="Montreal"/>
    <s v="Consumer"/>
    <s v="Direct"/>
    <x v="1"/>
    <s v="Accessories"/>
    <s v="ACC-6626"/>
    <n v="986.81"/>
    <s v="High"/>
    <n v="2050.31"/>
    <x v="172"/>
    <n v="43"/>
    <n v="60620.497860000003"/>
    <n v="42432.829999999994"/>
    <n v="18187.667860000009"/>
    <n v="0.30002504931588508"/>
  </r>
  <r>
    <s v="ORD-2023-898009"/>
    <d v="2023-05-04T00:00:00"/>
    <d v="2023-05-16T00:00:00"/>
    <n v="12"/>
    <s v="May-2023"/>
    <s v="Q2-2023"/>
    <x v="0"/>
    <s v="Nigeria"/>
    <s v="Abuja"/>
    <s v="Small Business"/>
    <s v="Marketplace"/>
    <x v="1"/>
    <s v="Phones"/>
    <s v="PHN-1670"/>
    <n v="77.739999999999995"/>
    <s v="Medium"/>
    <n v="147.12"/>
    <x v="5"/>
    <n v="15"/>
    <n v="3760.95"/>
    <n v="1166.0999999999999"/>
    <n v="2594.85"/>
    <n v="0.68994535955011371"/>
  </r>
  <r>
    <s v="ORD-2023-208944"/>
    <d v="2023-12-21T00:00:00"/>
    <d v="2024-01-06T00:00:00"/>
    <n v="16"/>
    <s v="Dec-2023"/>
    <s v="Q4-2023"/>
    <x v="0"/>
    <s v="Nigeria"/>
    <s v="Not Provided"/>
    <s v="Corporate"/>
    <s v="Marketplace"/>
    <x v="11"/>
    <s v="Components"/>
    <s v="CMP-4792"/>
    <n v="932.61"/>
    <s v="High"/>
    <n v="1982.98"/>
    <x v="41"/>
    <n v="16"/>
    <n v="47563.605759999999"/>
    <n v="14921.76"/>
    <n v="32641.845759999997"/>
    <n v="0.68627777979463256"/>
  </r>
  <r>
    <s v="ORD-2025-480172"/>
    <d v="2025-06-17T00:00:00"/>
    <d v="2025-07-05T00:00:00"/>
    <n v="18"/>
    <s v="Jun-2025"/>
    <s v="Q2-2025"/>
    <x v="1"/>
    <s v="India"/>
    <s v="Delhi"/>
    <s v="Consumer"/>
    <s v="Marketplace"/>
    <x v="4"/>
    <s v="Laptops"/>
    <s v="LAP-1990"/>
    <n v="982.93"/>
    <s v="High"/>
    <n v="2299.3000000000002"/>
    <x v="139"/>
    <n v="6"/>
    <n v="6418.5448799999995"/>
    <n v="5897.58"/>
    <n v="520.96487999999954"/>
    <n v="8.1165574088811171E-2"/>
  </r>
  <r>
    <s v="ORD-2023-735274"/>
    <d v="2023-02-23T00:00:00"/>
    <d v="2023-03-08T00:00:00"/>
    <n v="13"/>
    <s v="Feb-2023"/>
    <s v="Q1-2023"/>
    <x v="3"/>
    <s v="United Kingdom"/>
    <s v="Manchester"/>
    <s v="Small Business"/>
    <s v="Direct"/>
    <x v="0"/>
    <s v="Printers"/>
    <s v="PRN-7410"/>
    <n v="307.37"/>
    <s v="High"/>
    <n v="462.61"/>
    <x v="70"/>
    <n v="11"/>
    <n v="19625.658360000001"/>
    <n v="3381.07"/>
    <n v="16244.588360000002"/>
    <n v="0.82772195775652957"/>
  </r>
  <r>
    <s v="ORD-2023-212701"/>
    <d v="2023-12-02T00:00:00"/>
    <d v="2023-12-16T00:00:00"/>
    <n v="14"/>
    <s v="Dec-2023"/>
    <s v="Q4-2023"/>
    <x v="3"/>
    <s v="Germany"/>
    <s v="Frankfurt"/>
    <s v="Education"/>
    <s v="Direct"/>
    <x v="13"/>
    <s v="Monitors"/>
    <s v="MON-4278"/>
    <n v="879.08"/>
    <s v="High"/>
    <n v="1093.3900000000001"/>
    <x v="139"/>
    <n v="17"/>
    <n v="24437.027399999999"/>
    <n v="14944.36"/>
    <n v="9492.6673999999985"/>
    <n v="0.38845426019369272"/>
  </r>
  <r>
    <s v="ORD-2023-479747"/>
    <d v="2023-07-14T00:00:00"/>
    <d v="2023-07-14T00:00:00"/>
    <n v="0"/>
    <s v="Jul-2023"/>
    <s v="Q3-2023"/>
    <x v="0"/>
    <s v="Nigeria"/>
    <s v="Lagos"/>
    <s v="Education"/>
    <s v="Retail"/>
    <x v="2"/>
    <s v="Accessories"/>
    <s v="ACC-5334"/>
    <n v="956.38"/>
    <s v="High"/>
    <n v="1454.22"/>
    <x v="188"/>
    <n v="19"/>
    <n v="18891.856940000001"/>
    <n v="18171.22"/>
    <n v="720.63694000000032"/>
    <n v="3.8145373548440616E-2"/>
  </r>
  <r>
    <s v="ORD-2024-915495"/>
    <d v="2024-08-08T00:00:00"/>
    <d v="2024-08-20T00:00:00"/>
    <n v="12"/>
    <s v="Aug-2024"/>
    <s v="Q3-2024"/>
    <x v="1"/>
    <s v="Japan"/>
    <s v="Osaka"/>
    <s v="Small Business"/>
    <s v="Retail"/>
    <x v="10"/>
    <s v="Networking"/>
    <s v="NET-8957"/>
    <n v="1233.3599999999999"/>
    <s v="High"/>
    <n v="2120.4"/>
    <x v="94"/>
    <n v="20"/>
    <n v="31286.9964"/>
    <n v="24667.199999999997"/>
    <n v="6619.7964000000029"/>
    <n v="0.21158299490838958"/>
  </r>
  <r>
    <s v="ORD-2024-225829"/>
    <d v="2024-11-07T00:00:00"/>
    <d v="2024-11-26T00:00:00"/>
    <n v="19"/>
    <s v="Nov-2024"/>
    <s v="Q4-2024"/>
    <x v="2"/>
    <s v="Brazil"/>
    <s v="Rio de Janeiro"/>
    <s v="Non-Profit"/>
    <s v="Distributor"/>
    <x v="1"/>
    <s v="Printers"/>
    <s v="PRN-9960"/>
    <n v="55.35"/>
    <s v="Medium"/>
    <n v="128.68"/>
    <x v="137"/>
    <n v="10"/>
    <n v="4722.4031999999997"/>
    <n v="553.5"/>
    <n v="4168.9031999999997"/>
    <n v="0.88279272722837387"/>
  </r>
  <r>
    <s v="ORD-2024-921935"/>
    <d v="2024-01-01T00:00:00"/>
    <d v="2024-01-27T00:00:00"/>
    <n v="26"/>
    <s v="Jan-2024"/>
    <s v="Q1-2024"/>
    <x v="3"/>
    <s v="United Kingdom"/>
    <s v="Manchester"/>
    <s v="Education"/>
    <s v="Distributor"/>
    <x v="14"/>
    <s v="Accessories"/>
    <s v="ACC-3103"/>
    <n v="657.45"/>
    <s v="High"/>
    <n v="1325.96"/>
    <x v="150"/>
    <n v="21"/>
    <n v="19532.683799999999"/>
    <n v="13806.45"/>
    <n v="5726.2337999999982"/>
    <n v="0.29316164939914702"/>
  </r>
  <r>
    <s v="ORD-2025-949776"/>
    <d v="2025-08-14T00:00:00"/>
    <d v="2025-09-11T00:00:00"/>
    <n v="28"/>
    <s v="Aug-2025"/>
    <s v="Q3-2025"/>
    <x v="2"/>
    <s v="Brazil"/>
    <s v="São Paulo"/>
    <s v="Non-Profit"/>
    <s v="Direct"/>
    <x v="9"/>
    <s v="Printers"/>
    <s v="PRN-9490"/>
    <n v="1203.02"/>
    <s v="High"/>
    <n v="2439.33"/>
    <x v="5"/>
    <n v="18"/>
    <n v="26190"/>
    <n v="21654.36"/>
    <n v="4535.6399999999994"/>
    <n v="0.17318213058419241"/>
  </r>
  <r>
    <s v="ORD-2024-510591"/>
    <d v="2024-04-03T00:00:00"/>
    <d v="2024-04-21T00:00:00"/>
    <n v="18"/>
    <s v="Apr-2024"/>
    <s v="Q2-2024"/>
    <x v="2"/>
    <s v="Brazil"/>
    <s v="Brasília"/>
    <s v="Small Business"/>
    <s v="Distributor"/>
    <x v="5"/>
    <s v="Networking"/>
    <s v="NET-3850"/>
    <n v="1176.69"/>
    <s v="High"/>
    <n v="2201.54"/>
    <x v="189"/>
    <n v="27"/>
    <n v="28646.702999999998"/>
    <n v="31770.63"/>
    <n v="-3123.9270000000033"/>
    <n v="-0.1090501409533936"/>
  </r>
  <r>
    <s v="ORD-2024-961756"/>
    <d v="2024-11-25T00:00:00"/>
    <d v="2024-12-07T00:00:00"/>
    <n v="12"/>
    <s v="Nov-2024"/>
    <s v="Q4-2024"/>
    <x v="1"/>
    <s v="China"/>
    <s v="Shanghai"/>
    <s v="Corporate"/>
    <s v="Distributor"/>
    <x v="8"/>
    <s v="Accessories"/>
    <s v="ACC-7047"/>
    <n v="769.9"/>
    <s v="High"/>
    <n v="814.36"/>
    <x v="5"/>
    <n v="5"/>
    <n v="4499.1500000000005"/>
    <n v="3849.5"/>
    <n v="649.65000000000055"/>
    <n v="0.14439394107775924"/>
  </r>
  <r>
    <s v="ORD-2024-892173"/>
    <d v="2024-01-18T00:00:00"/>
    <d v="2024-02-03T00:00:00"/>
    <n v="16"/>
    <s v="Jan-2024"/>
    <s v="Q1-2024"/>
    <x v="0"/>
    <s v="South Africa"/>
    <s v="Cape Town"/>
    <s v="Non-Profit"/>
    <s v="Distributor"/>
    <x v="4"/>
    <s v="Printers"/>
    <s v="PRN-6660"/>
    <n v="666.23"/>
    <s v="High"/>
    <n v="1382.91"/>
    <x v="166"/>
    <n v="13"/>
    <n v="9412.9557600000007"/>
    <n v="8660.99"/>
    <n v="751.96576000000096"/>
    <n v="7.9886252434697616E-2"/>
  </r>
  <r>
    <s v="ORD-2024-704056"/>
    <d v="2024-06-23T00:00:00"/>
    <d v="2024-06-25T00:00:00"/>
    <n v="2"/>
    <s v="Jun-2024"/>
    <s v="Q2-2024"/>
    <x v="3"/>
    <s v="United Kingdom"/>
    <s v="Birmingham"/>
    <s v="Small Business"/>
    <s v="Marketplace"/>
    <x v="4"/>
    <s v="Accessories"/>
    <s v="ACC-7838"/>
    <n v="951.44"/>
    <s v="High"/>
    <n v="1646.43"/>
    <x v="46"/>
    <n v="24"/>
    <n v="12696.811199999998"/>
    <n v="22834.560000000001"/>
    <n v="-10137.748800000003"/>
    <n v="-0.79844841671741995"/>
  </r>
  <r>
    <s v="ORD-2025-591006"/>
    <d v="2025-06-25T00:00:00"/>
    <d v="2025-07-10T00:00:00"/>
    <n v="15"/>
    <s v="Jun-2025"/>
    <s v="Q2-2025"/>
    <x v="3"/>
    <s v="United Kingdom"/>
    <s v="Birmingham"/>
    <s v="Non-Profit"/>
    <s v="Marketplace"/>
    <x v="14"/>
    <s v="Phones"/>
    <s v="PHN-5383"/>
    <n v="546.83000000000004"/>
    <s v="High"/>
    <n v="400.84"/>
    <x v="117"/>
    <n v="13"/>
    <n v="19391.5501"/>
    <n v="7108.7900000000009"/>
    <n v="12282.7601"/>
    <n v="0.63340785221703344"/>
  </r>
  <r>
    <s v="ORD-2023-159821"/>
    <d v="2023-07-01T00:00:00"/>
    <d v="2023-07-08T00:00:00"/>
    <n v="7"/>
    <s v="Jul-2023"/>
    <s v="Q3-2023"/>
    <x v="0"/>
    <s v="Nigeria"/>
    <s v="Port Harcourt"/>
    <s v="Corporate"/>
    <s v="Retail"/>
    <x v="8"/>
    <s v="Laptops"/>
    <s v="LAP-3904"/>
    <n v="834.26"/>
    <s v="High"/>
    <n v="1780.56"/>
    <x v="170"/>
    <n v="47"/>
    <n v="45086.595219999996"/>
    <n v="39210.22"/>
    <n v="5876.3752199999944"/>
    <n v="0.13033530678744376"/>
  </r>
  <r>
    <s v="ORD-2024-343877"/>
    <d v="2024-03-09T00:00:00"/>
    <d v="2024-03-26T00:00:00"/>
    <n v="17"/>
    <s v="Mar-2024"/>
    <s v="Q1-2024"/>
    <x v="1"/>
    <s v="China"/>
    <s v="Shenzhen"/>
    <s v="Enterprise"/>
    <s v="Online"/>
    <x v="11"/>
    <s v="Monitors"/>
    <s v="MON-5749"/>
    <n v="1029.67"/>
    <s v="High"/>
    <n v="1118.43"/>
    <x v="190"/>
    <n v="9"/>
    <n v="278.85311999999999"/>
    <n v="9267.0300000000007"/>
    <n v="-8988.1768800000009"/>
    <n v="-32.232656676030743"/>
  </r>
  <r>
    <s v="ORD-2023-386663"/>
    <d v="2023-06-05T00:00:00"/>
    <d v="2023-06-28T00:00:00"/>
    <n v="23"/>
    <s v="Jun-2023"/>
    <s v="Q2-2023"/>
    <x v="3"/>
    <s v="United Kingdom"/>
    <s v="Birmingham"/>
    <s v="Corporate"/>
    <s v="Direct"/>
    <x v="11"/>
    <s v="Printers"/>
    <s v="PRN-3690"/>
    <n v="605.82000000000005"/>
    <s v="High"/>
    <n v="771.12"/>
    <x v="191"/>
    <n v="19"/>
    <n v="24421.848359999996"/>
    <n v="11510.580000000002"/>
    <n v="12911.268359999995"/>
    <n v="0.52867695227962652"/>
  </r>
  <r>
    <s v="ORD-2025-125517"/>
    <d v="2025-03-21T00:00:00"/>
    <d v="2025-04-09T00:00:00"/>
    <n v="19"/>
    <s v="Mar-2025"/>
    <s v="Q1-2025"/>
    <x v="1"/>
    <s v="Japan"/>
    <s v="Tokyo"/>
    <s v="Small Business"/>
    <s v="Distributor"/>
    <x v="6"/>
    <s v="Components"/>
    <s v="CMP-7055"/>
    <n v="1055.45"/>
    <s v="High"/>
    <n v="1210.04"/>
    <x v="99"/>
    <n v="18"/>
    <n v="10065.26988"/>
    <n v="18998.100000000002"/>
    <n v="-8932.8301200000024"/>
    <n v="-0.887490372985409"/>
  </r>
  <r>
    <s v="ORD-2024-819778"/>
    <d v="2024-06-02T00:00:00"/>
    <d v="2024-06-15T00:00:00"/>
    <n v="13"/>
    <s v="Jun-2024"/>
    <s v="Q2-2024"/>
    <x v="0"/>
    <s v="Kenya"/>
    <s v="Mombasa"/>
    <s v="Education"/>
    <s v="Online"/>
    <x v="7"/>
    <s v="Phones"/>
    <s v="PHN-6866"/>
    <n v="1295.18"/>
    <s v="High"/>
    <n v="3024.03"/>
    <x v="98"/>
    <n v="8"/>
    <n v="13814.925440000001"/>
    <n v="10361.44"/>
    <n v="3453.4854400000004"/>
    <n v="0.24998219896292109"/>
  </r>
  <r>
    <s v="ORD-2025-624006"/>
    <d v="2025-03-15T00:00:00"/>
    <d v="2025-03-29T00:00:00"/>
    <n v="14"/>
    <s v="Mar-2025"/>
    <s v="Q1-2025"/>
    <x v="1"/>
    <s v="India"/>
    <s v="Mumbai"/>
    <s v="Enterprise"/>
    <s v="Direct"/>
    <x v="0"/>
    <s v="Components"/>
    <s v="CMP-3259"/>
    <n v="935.83"/>
    <s v="High"/>
    <n v="2303.46"/>
    <x v="52"/>
    <n v="9"/>
    <n v="13539.891150000001"/>
    <n v="8422.4700000000012"/>
    <n v="5117.4211500000001"/>
    <n v="0.37795142466858012"/>
  </r>
  <r>
    <s v="ORD-2023-132101"/>
    <d v="2023-09-25T00:00:00"/>
    <d v="2023-10-09T00:00:00"/>
    <n v="14"/>
    <s v="Sept-2023"/>
    <s v="Q3-2023"/>
    <x v="2"/>
    <s v="USA"/>
    <s v="New York"/>
    <s v="Small Business"/>
    <s v="Marketplace"/>
    <x v="1"/>
    <s v="Laptops"/>
    <s v="LAP-6750"/>
    <n v="1279.56"/>
    <s v="High"/>
    <n v="3083.8"/>
    <x v="192"/>
    <n v="5"/>
    <n v="12985.618199999999"/>
    <n v="6397.7999999999993"/>
    <n v="6587.8181999999997"/>
    <n v="0.50731648648040495"/>
  </r>
  <r>
    <s v="ORD-2025-306903"/>
    <d v="2025-06-24T00:00:00"/>
    <d v="2025-07-23T00:00:00"/>
    <n v="29"/>
    <s v="Jun-2025"/>
    <s v="Q2-2025"/>
    <x v="2"/>
    <s v="Canada"/>
    <s v="Vancouver"/>
    <s v="Non-Profit"/>
    <s v="Marketplace"/>
    <x v="2"/>
    <s v="Printers"/>
    <s v="PRN-3775"/>
    <n v="255.4"/>
    <s v="High"/>
    <n v="322.70999999999998"/>
    <x v="158"/>
    <n v="16"/>
    <n v="11923.994400000001"/>
    <n v="4086.4"/>
    <n v="7837.5944000000018"/>
    <n v="0.65729604837788258"/>
  </r>
  <r>
    <s v="ORD-2023-813340"/>
    <d v="2023-12-26T00:00:00"/>
    <d v="2024-01-03T00:00:00"/>
    <n v="8"/>
    <s v="Dec-2023"/>
    <s v="Q4-2023"/>
    <x v="3"/>
    <s v="France"/>
    <s v="Lyon"/>
    <s v="Small Business"/>
    <s v="Retail"/>
    <x v="12"/>
    <s v="Laptops"/>
    <s v="LAP-2942"/>
    <n v="492.75"/>
    <s v="High"/>
    <n v="731.29"/>
    <x v="193"/>
    <n v="6"/>
    <n v="17698.503240000002"/>
    <n v="2956.5"/>
    <n v="14742.003240000002"/>
    <n v="0.83295197566096557"/>
  </r>
  <r>
    <s v="ORD-2023-855675"/>
    <d v="2023-02-05T00:00:00"/>
    <d v="2023-02-28T00:00:00"/>
    <n v="23"/>
    <s v="Feb-2023"/>
    <s v="Q1-2023"/>
    <x v="2"/>
    <s v="USA"/>
    <s v="Austin"/>
    <s v="Non-Profit"/>
    <s v="Distributor"/>
    <x v="4"/>
    <s v="Phones"/>
    <s v="PHN-2036"/>
    <n v="1214.49"/>
    <s v="High"/>
    <n v="1533.95"/>
    <x v="5"/>
    <n v="11"/>
    <n v="15891.92"/>
    <n v="13359.39"/>
    <n v="2532.5300000000007"/>
    <n v="0.15935959909186559"/>
  </r>
  <r>
    <s v="ORD-2023-545150"/>
    <d v="2023-04-06T00:00:00"/>
    <d v="2023-04-08T00:00:00"/>
    <n v="2"/>
    <s v="Apr-2023"/>
    <s v="Q2-2023"/>
    <x v="0"/>
    <s v="Nigeria"/>
    <s v="Abuja"/>
    <s v="Small Business"/>
    <s v="Marketplace"/>
    <x v="11"/>
    <s v="Monitors"/>
    <s v="MON-4373"/>
    <n v="720.35"/>
    <s v="High"/>
    <n v="1571.66"/>
    <x v="105"/>
    <n v="23"/>
    <n v="59066.056200000006"/>
    <n v="16568.05"/>
    <n v="42498.006200000003"/>
    <n v="0.71949964047201787"/>
  </r>
  <r>
    <s v="ORD-2025-269934"/>
    <d v="2025-04-04T00:00:00"/>
    <d v="2025-04-10T00:00:00"/>
    <n v="6"/>
    <s v="Apr-2025"/>
    <s v="Q2-2025"/>
    <x v="3"/>
    <s v="United Kingdom"/>
    <s v="Birmingham"/>
    <s v="Non-Profit"/>
    <s v="Direct"/>
    <x v="13"/>
    <s v="Printers"/>
    <s v="PRN-8657"/>
    <n v="290.14"/>
    <s v="High"/>
    <n v="250.73"/>
    <x v="76"/>
    <n v="17"/>
    <n v="26958.519419999997"/>
    <n v="4932.38"/>
    <n v="22026.139419999996"/>
    <n v="0.81703817174986382"/>
  </r>
  <r>
    <s v="ORD-2024-690270"/>
    <d v="2024-05-17T00:00:00"/>
    <d v="2024-05-27T00:00:00"/>
    <n v="10"/>
    <s v="May-2024"/>
    <s v="Q2-2024"/>
    <x v="2"/>
    <s v="USA"/>
    <s v="Austin"/>
    <s v="Non-Profit"/>
    <s v="Online"/>
    <x v="0"/>
    <s v="Phones"/>
    <s v="PHN-7974"/>
    <n v="1484.23"/>
    <s v="High"/>
    <n v="3472.81"/>
    <x v="194"/>
    <n v="12"/>
    <n v="11597.65056"/>
    <n v="17810.760000000002"/>
    <n v="-6213.109440000002"/>
    <n v="-0.53572138665988589"/>
  </r>
  <r>
    <s v="ORD-2024-868223"/>
    <d v="2024-03-03T00:00:00"/>
    <d v="2024-03-19T00:00:00"/>
    <n v="16"/>
    <s v="Mar-2024"/>
    <s v="Q1-2024"/>
    <x v="1"/>
    <s v="China"/>
    <s v="Beijing"/>
    <s v="Consumer"/>
    <s v="Distributor"/>
    <x v="3"/>
    <s v="Phones"/>
    <s v="PHN-4915"/>
    <n v="988.83"/>
    <s v="High"/>
    <n v="1206.04"/>
    <x v="96"/>
    <n v="34"/>
    <n v="35635.084480000005"/>
    <n v="33620.22"/>
    <n v="2014.8644800000038"/>
    <n v="5.6541594033005182E-2"/>
  </r>
  <r>
    <s v="ORD-2025-188059"/>
    <d v="2025-06-27T00:00:00"/>
    <d v="2025-07-11T00:00:00"/>
    <n v="14"/>
    <s v="Jun-2025"/>
    <s v="Q2-2025"/>
    <x v="1"/>
    <s v="China"/>
    <s v="Shanghai"/>
    <s v="Small Business"/>
    <s v="Marketplace"/>
    <x v="4"/>
    <s v="Networking"/>
    <s v="NET-3535"/>
    <n v="1227.7"/>
    <s v="High"/>
    <n v="2197.23"/>
    <x v="74"/>
    <n v="22"/>
    <n v="23483.321620000002"/>
    <n v="27009.4"/>
    <n v="-3526.078379999999"/>
    <n v="-0.15015245445503542"/>
  </r>
  <r>
    <s v="ORD-2023-281890"/>
    <d v="2023-03-13T00:00:00"/>
    <d v="2023-04-04T00:00:00"/>
    <n v="22"/>
    <s v="Mar-2023"/>
    <s v="Q1-2023"/>
    <x v="0"/>
    <s v="South Africa"/>
    <s v="Durban"/>
    <s v="Small Business"/>
    <s v="Retail"/>
    <x v="8"/>
    <s v="Components"/>
    <s v="CMP-2574"/>
    <n v="1113.7"/>
    <s v="High"/>
    <n v="1620.6"/>
    <x v="23"/>
    <n v="11"/>
    <n v="11379.122369999999"/>
    <n v="12250.7"/>
    <n v="-871.57763000000159"/>
    <n v="-7.6594450930401736E-2"/>
  </r>
  <r>
    <s v="ORD-2025-636162"/>
    <d v="2025-01-07T00:00:00"/>
    <d v="2025-01-20T00:00:00"/>
    <n v="13"/>
    <s v="Jan-2025"/>
    <s v="Q1-2025"/>
    <x v="0"/>
    <s v="South Africa"/>
    <s v="Cape Town"/>
    <s v="Corporate"/>
    <s v="Direct"/>
    <x v="11"/>
    <s v="Networking"/>
    <s v="NET-7901"/>
    <n v="432.13"/>
    <s v="High"/>
    <n v="1034.6600000000001"/>
    <x v="77"/>
    <n v="7"/>
    <n v="5599.5724400000008"/>
    <n v="3024.91"/>
    <n v="2574.662440000001"/>
    <n v="0.45979625544410324"/>
  </r>
  <r>
    <s v="ORD-2025-915869"/>
    <d v="2025-02-06T00:00:00"/>
    <d v="2025-02-15T00:00:00"/>
    <n v="9"/>
    <s v="Feb-2025"/>
    <s v="Q1-2025"/>
    <x v="2"/>
    <s v="Brazil"/>
    <s v="São Paulo"/>
    <s v="Non-Profit"/>
    <s v="Distributor"/>
    <x v="9"/>
    <s v="Networking"/>
    <s v="NET-5482"/>
    <n v="837.39"/>
    <s v="High"/>
    <n v="1905.42"/>
    <x v="195"/>
    <n v="18"/>
    <n v="35734.358879999992"/>
    <n v="15073.02"/>
    <n v="20661.338879999992"/>
    <n v="0.57819251632254265"/>
  </r>
  <r>
    <s v="ORD-2025-192876"/>
    <d v="2025-01-31T00:00:00"/>
    <d v="2025-02-17T00:00:00"/>
    <n v="17"/>
    <s v="Jan-2025"/>
    <s v="Q1-2025"/>
    <x v="3"/>
    <s v="United Kingdom"/>
    <s v="London"/>
    <s v="Enterprise"/>
    <s v="Retail"/>
    <x v="10"/>
    <s v="Components"/>
    <s v="CMP-5820"/>
    <n v="378.26"/>
    <s v="High"/>
    <n v="541.55999999999995"/>
    <x v="196"/>
    <n v="25"/>
    <n v="36365.557499999995"/>
    <n v="9456.5"/>
    <n v="26909.057499999995"/>
    <n v="0.73995998823887132"/>
  </r>
  <r>
    <s v="ORD-2025-822030"/>
    <d v="2025-08-07T00:00:00"/>
    <d v="2025-09-06T00:00:00"/>
    <n v="30"/>
    <s v="Aug-2025"/>
    <s v="Q3-2025"/>
    <x v="2"/>
    <s v="Canada"/>
    <s v="Montreal"/>
    <s v="Education"/>
    <s v="Direct"/>
    <x v="12"/>
    <s v="Networking"/>
    <s v="NET-1336"/>
    <n v="833.73"/>
    <s v="High"/>
    <n v="1116.5999999999999"/>
    <x v="166"/>
    <n v="14"/>
    <n v="16015.544160000001"/>
    <n v="11672.220000000001"/>
    <n v="4343.3241600000001"/>
    <n v="0.27119429203334666"/>
  </r>
  <r>
    <s v="ORD-2025-789245"/>
    <d v="2025-07-23T00:00:00"/>
    <d v="2025-08-17T00:00:00"/>
    <n v="25"/>
    <s v="Jul-2025"/>
    <s v="Q3-2025"/>
    <x v="3"/>
    <s v="United Kingdom"/>
    <s v="Birmingham"/>
    <s v="Education"/>
    <s v="Online"/>
    <x v="2"/>
    <s v="Printers"/>
    <s v="PRN-5876"/>
    <n v="1142.06"/>
    <s v="High"/>
    <n v="1455"/>
    <x v="117"/>
    <n v="28"/>
    <n v="13660.278240000001"/>
    <n v="31977.68"/>
    <n v="-18317.401760000001"/>
    <n v="-1.3409244993533893"/>
  </r>
  <r>
    <s v="ORD-2023-594955"/>
    <d v="2023-06-20T00:00:00"/>
    <d v="2023-07-08T00:00:00"/>
    <n v="18"/>
    <s v="Jun-2023"/>
    <s v="Q2-2023"/>
    <x v="2"/>
    <s v="USA"/>
    <s v="New York"/>
    <s v="Consumer"/>
    <s v="Marketplace"/>
    <x v="7"/>
    <s v="Networking"/>
    <s v="NET-3828"/>
    <n v="1145.53"/>
    <s v="High"/>
    <n v="1278.3"/>
    <x v="168"/>
    <n v="41"/>
    <n v="73589.497799999997"/>
    <n v="46966.729999999996"/>
    <n v="26622.767800000001"/>
    <n v="0.36177401118234026"/>
  </r>
  <r>
    <s v="ORD-2024-398783"/>
    <d v="2024-07-18T00:00:00"/>
    <d v="2024-08-07T00:00:00"/>
    <n v="20"/>
    <s v="Jul-2024"/>
    <s v="Q3-2024"/>
    <x v="3"/>
    <s v="France"/>
    <s v="Marseille"/>
    <s v="Corporate"/>
    <s v="Retail"/>
    <x v="9"/>
    <s v="Monitors"/>
    <s v="MON-7622"/>
    <n v="941.35"/>
    <s v="High"/>
    <n v="899.83"/>
    <x v="193"/>
    <n v="18"/>
    <n v="14867.190359999997"/>
    <n v="16944.3"/>
    <n v="-2077.1096400000024"/>
    <n v="-0.13971097360725546"/>
  </r>
  <r>
    <s v="ORD-2023-676553"/>
    <d v="2023-05-20T00:00:00"/>
    <d v="2023-06-19T00:00:00"/>
    <n v="30"/>
    <s v="May-2023"/>
    <s v="Q2-2023"/>
    <x v="1"/>
    <s v="India"/>
    <s v="Delhi"/>
    <s v="Non-Profit"/>
    <s v="Marketplace"/>
    <x v="10"/>
    <s v="Laptops"/>
    <s v="LAP-2806"/>
    <n v="1161.2"/>
    <s v="High"/>
    <n v="878.73"/>
    <x v="197"/>
    <n v="31"/>
    <n v="20697.168600000001"/>
    <n v="35997.200000000004"/>
    <n v="-15300.031400000003"/>
    <n v="-0.73923306591801174"/>
  </r>
  <r>
    <s v="ORD-2025-866565"/>
    <d v="2025-05-12T00:00:00"/>
    <d v="2025-05-26T00:00:00"/>
    <n v="14"/>
    <s v="May-2025"/>
    <s v="Q2-2025"/>
    <x v="1"/>
    <s v="India"/>
    <s v="Hyderabad"/>
    <s v="Corporate"/>
    <s v="Marketplace"/>
    <x v="3"/>
    <s v="Printers"/>
    <s v="PRN-8850"/>
    <n v="320.12"/>
    <s v="High"/>
    <n v="594.41999999999996"/>
    <x v="67"/>
    <n v="18"/>
    <n v="18697.996800000001"/>
    <n v="5762.16"/>
    <n v="12935.836800000001"/>
    <n v="0.69183008952060576"/>
  </r>
  <r>
    <s v="ORD-2024-527858"/>
    <d v="2024-05-07T00:00:00"/>
    <d v="2024-05-12T00:00:00"/>
    <n v="5"/>
    <s v="May-2024"/>
    <s v="Q2-2024"/>
    <x v="0"/>
    <s v="Nigeria"/>
    <s v="Abuja"/>
    <s v="Non-Profit"/>
    <s v="Distributor"/>
    <x v="4"/>
    <s v="Laptops"/>
    <s v="LAP-9100"/>
    <n v="1163.99"/>
    <s v="High"/>
    <n v="1617.85"/>
    <x v="110"/>
    <n v="14"/>
    <n v="30720.11922"/>
    <n v="16295.86"/>
    <n v="14424.25922"/>
    <n v="0.4695378659406127"/>
  </r>
  <r>
    <s v="ORD-2023-619385"/>
    <d v="2023-09-30T00:00:00"/>
    <d v="2023-10-03T00:00:00"/>
    <n v="3"/>
    <s v="Sept-2023"/>
    <s v="Q3-2023"/>
    <x v="1"/>
    <s v="China"/>
    <s v="Beijing"/>
    <s v="Non-Profit"/>
    <s v="Retail"/>
    <x v="1"/>
    <s v="Laptops"/>
    <s v="LAP-5763"/>
    <n v="1019.36"/>
    <s v="High"/>
    <n v="972.91"/>
    <x v="6"/>
    <n v="17"/>
    <n v="44766.472129999995"/>
    <n v="17329.12"/>
    <n v="27437.352129999996"/>
    <n v="0.61289958365097552"/>
  </r>
  <r>
    <s v="ORD-2023-835226"/>
    <d v="2023-10-26T00:00:00"/>
    <d v="2023-11-05T00:00:00"/>
    <n v="10"/>
    <s v="Oct-2023"/>
    <s v="Q4-2023"/>
    <x v="0"/>
    <s v="South Africa"/>
    <s v="Cape Town"/>
    <s v="Non-Profit"/>
    <s v="Online"/>
    <x v="2"/>
    <s v="Laptops"/>
    <s v="LAP-7320"/>
    <n v="20.38"/>
    <s v="Low"/>
    <n v="42.56"/>
    <x v="3"/>
    <n v="11"/>
    <n v="27736.667200000004"/>
    <n v="224.17999999999998"/>
    <n v="27512.487200000003"/>
    <n v="0.99191755814123195"/>
  </r>
  <r>
    <s v="ORD-2025-485946"/>
    <d v="2025-06-15T00:00:00"/>
    <d v="2025-06-30T00:00:00"/>
    <n v="15"/>
    <s v="Jun-2025"/>
    <s v="Q2-2025"/>
    <x v="0"/>
    <s v="South Africa"/>
    <s v="Johannesburg"/>
    <s v="Small Business"/>
    <s v="Direct"/>
    <x v="0"/>
    <s v="Monitors"/>
    <s v="MON-5891"/>
    <n v="1487.59"/>
    <s v="High"/>
    <n v="1480.83"/>
    <x v="99"/>
    <n v="11"/>
    <n v="9830.4127899999985"/>
    <n v="16363.49"/>
    <n v="-6533.0772100000013"/>
    <n v="-0.66457811584939586"/>
  </r>
  <r>
    <s v="ORD-2024-307849"/>
    <d v="2024-08-10T00:00:00"/>
    <d v="2024-09-07T00:00:00"/>
    <n v="28"/>
    <s v="Aug-2024"/>
    <s v="Q3-2024"/>
    <x v="3"/>
    <s v="France"/>
    <s v="Marseille"/>
    <s v="Non-Profit"/>
    <s v="Direct"/>
    <x v="9"/>
    <s v="Printers"/>
    <s v="PRN-1183"/>
    <n v="229.96"/>
    <s v="High"/>
    <n v="564.26"/>
    <x v="52"/>
    <n v="5"/>
    <n v="3562.7712500000002"/>
    <n v="1149.8"/>
    <n v="2412.9712500000005"/>
    <n v="0.67727369530109471"/>
  </r>
  <r>
    <s v="ORD-2023-368449"/>
    <d v="2023-10-09T00:00:00"/>
    <d v="2023-10-26T00:00:00"/>
    <n v="17"/>
    <s v="Oct-2023"/>
    <s v="Q4-2023"/>
    <x v="1"/>
    <s v="China"/>
    <s v="Shanghai"/>
    <s v="Consumer"/>
    <s v="Marketplace"/>
    <x v="0"/>
    <s v="Components"/>
    <s v="CMP-2096"/>
    <n v="1132.03"/>
    <s v="High"/>
    <n v="2137.21"/>
    <x v="198"/>
    <n v="35"/>
    <n v="3551.7390999999998"/>
    <n v="39621.049999999996"/>
    <n v="-36069.310899999997"/>
    <n v="-10.155394268683755"/>
  </r>
  <r>
    <s v="ORD-2024-251426"/>
    <d v="2024-03-09T00:00:00"/>
    <d v="2024-03-26T00:00:00"/>
    <n v="17"/>
    <s v="Mar-2024"/>
    <s v="Q1-2024"/>
    <x v="2"/>
    <s v="USA"/>
    <s v="San Francisco"/>
    <s v="Education"/>
    <s v="Direct"/>
    <x v="2"/>
    <s v="Phones"/>
    <s v="PHN-3398"/>
    <n v="1137.4100000000001"/>
    <s v="High"/>
    <n v="1680.93"/>
    <x v="116"/>
    <n v="9"/>
    <n v="5499.1688399999994"/>
    <n v="10236.69"/>
    <n v="-4737.5211600000011"/>
    <n v="-0.86149767316473258"/>
  </r>
  <r>
    <s v="ORD-2023-927385"/>
    <d v="2023-05-29T00:00:00"/>
    <d v="2023-06-20T00:00:00"/>
    <n v="22"/>
    <s v="May-2023"/>
    <s v="Q2-2023"/>
    <x v="3"/>
    <s v="United Kingdom"/>
    <s v="London"/>
    <s v="Small Business"/>
    <s v="Direct"/>
    <x v="11"/>
    <s v="Components"/>
    <s v="CMP-8545"/>
    <n v="1295.3900000000001"/>
    <s v="High"/>
    <n v="2905.06"/>
    <x v="135"/>
    <n v="8"/>
    <n v="11663.26656"/>
    <n v="10363.120000000001"/>
    <n v="1300.1465599999992"/>
    <n v="0.11147362133168971"/>
  </r>
  <r>
    <s v="ORD-2025-486350"/>
    <d v="2025-05-27T00:00:00"/>
    <d v="2025-06-08T00:00:00"/>
    <n v="12"/>
    <s v="May-2025"/>
    <s v="Q2-2025"/>
    <x v="1"/>
    <s v="Japan"/>
    <s v="Osaka"/>
    <s v="Corporate"/>
    <s v="Retail"/>
    <x v="10"/>
    <s v="Accessories"/>
    <s v="ACC-1249"/>
    <n v="653.6"/>
    <s v="High"/>
    <n v="842.09"/>
    <x v="199"/>
    <n v="19"/>
    <n v="29072.046299999998"/>
    <n v="12418.4"/>
    <n v="16653.6463"/>
    <n v="0.5728405261930255"/>
  </r>
  <r>
    <s v="ORD-2025-677880"/>
    <d v="2025-08-21T00:00:00"/>
    <d v="2025-09-14T00:00:00"/>
    <n v="24"/>
    <s v="Aug-2025"/>
    <s v="Q3-2025"/>
    <x v="3"/>
    <s v="Germany"/>
    <s v="Berlin"/>
    <s v="Non-Profit"/>
    <s v="Online"/>
    <x v="8"/>
    <s v="Monitors"/>
    <s v="MON-9662"/>
    <n v="1397.67"/>
    <s v="High"/>
    <n v="3131.37"/>
    <x v="172"/>
    <n v="20"/>
    <n v="51745.059600000001"/>
    <n v="27953.4"/>
    <n v="23791.659599999999"/>
    <n v="0.45978610873993464"/>
  </r>
  <r>
    <s v="ORD-2024-102866"/>
    <d v="2024-12-12T00:00:00"/>
    <d v="2024-12-20T00:00:00"/>
    <n v="8"/>
    <s v="Dec-2024"/>
    <s v="Q4-2024"/>
    <x v="1"/>
    <s v="Japan"/>
    <s v="Tokyo"/>
    <s v="Corporate"/>
    <s v="Retail"/>
    <x v="5"/>
    <s v="Laptops"/>
    <s v="LAP-8347"/>
    <n v="1202.47"/>
    <s v="High"/>
    <n v="1444.72"/>
    <x v="65"/>
    <n v="17"/>
    <n v="19144.697220000002"/>
    <n v="20441.990000000002"/>
    <n v="-1297.2927799999998"/>
    <n v="-6.7762512255599913E-2"/>
  </r>
  <r>
    <s v="ORD-2025-588029"/>
    <d v="2025-09-14T00:00:00"/>
    <d v="2025-09-23T00:00:00"/>
    <n v="9"/>
    <s v="Sept-2025"/>
    <s v="Q3-2025"/>
    <x v="0"/>
    <s v="South Africa"/>
    <s v="Durban"/>
    <s v="Non-Profit"/>
    <s v="Online"/>
    <x v="14"/>
    <s v="Components"/>
    <s v="CMP-6898"/>
    <n v="1310.3"/>
    <s v="High"/>
    <n v="2875.8"/>
    <x v="200"/>
    <n v="5"/>
    <n v="14660.399949999999"/>
    <n v="6551.5"/>
    <n v="8108.8999499999991"/>
    <n v="0.55311587525959682"/>
  </r>
  <r>
    <s v="ORD-2024-972999"/>
    <d v="2024-09-06T00:00:00"/>
    <d v="2024-10-04T00:00:00"/>
    <n v="28"/>
    <s v="Sept-2024"/>
    <s v="Q3-2024"/>
    <x v="0"/>
    <s v="South Africa"/>
    <s v="Cape Town"/>
    <s v="Corporate"/>
    <s v="Marketplace"/>
    <x v="14"/>
    <s v="Monitors"/>
    <s v="MON-3504"/>
    <n v="1174.17"/>
    <s v="High"/>
    <n v="1641.61"/>
    <x v="153"/>
    <n v="9"/>
    <n v="18353.975399999999"/>
    <n v="10567.53"/>
    <n v="7786.4453999999987"/>
    <n v="0.42423754147561943"/>
  </r>
  <r>
    <s v="ORD-2025-608069"/>
    <d v="2025-04-12T00:00:00"/>
    <d v="2025-04-30T00:00:00"/>
    <n v="18"/>
    <s v="Apr-2025"/>
    <s v="Q2-2025"/>
    <x v="0"/>
    <s v="Kenya"/>
    <s v="Kisumu"/>
    <s v="Corporate"/>
    <s v="Marketplace"/>
    <x v="9"/>
    <s v="Networking"/>
    <s v="NET-3432"/>
    <n v="1119.04"/>
    <s v="High"/>
    <n v="1299.02"/>
    <x v="109"/>
    <n v="14"/>
    <n v="26377.532999999999"/>
    <n v="15666.56"/>
    <n v="10710.973"/>
    <n v="0.40606424414292269"/>
  </r>
  <r>
    <s v="ORD-2024-626750"/>
    <d v="2024-08-12T00:00:00"/>
    <d v="2024-08-15T00:00:00"/>
    <n v="3"/>
    <s v="Aug-2024"/>
    <s v="Q3-2024"/>
    <x v="2"/>
    <s v="USA"/>
    <s v="Chicago"/>
    <s v="Corporate"/>
    <s v="Marketplace"/>
    <x v="14"/>
    <s v="Printers"/>
    <s v="PRN-5591"/>
    <n v="850.7"/>
    <s v="High"/>
    <n v="1118.56"/>
    <x v="79"/>
    <n v="19"/>
    <n v="24777.808799999999"/>
    <n v="16163.300000000001"/>
    <n v="8614.5087999999978"/>
    <n v="0.34767032345491333"/>
  </r>
  <r>
    <s v="ORD-2024-170021"/>
    <d v="2024-11-05T00:00:00"/>
    <d v="2024-11-08T00:00:00"/>
    <n v="3"/>
    <s v="Nov-2024"/>
    <s v="Q4-2024"/>
    <x v="2"/>
    <s v="Canada"/>
    <s v="Toronto"/>
    <s v="Education"/>
    <s v="Marketplace"/>
    <x v="7"/>
    <s v="Components"/>
    <s v="CMP-2015"/>
    <n v="1020.4"/>
    <s v="High"/>
    <n v="1184.71"/>
    <x v="192"/>
    <n v="16"/>
    <n v="5658.8054400000001"/>
    <n v="16326.4"/>
    <n v="-10667.59456"/>
    <n v="-1.8851318839475772"/>
  </r>
  <r>
    <s v="ORD-2024-678110"/>
    <d v="2024-07-24T00:00:00"/>
    <d v="2024-08-08T00:00:00"/>
    <n v="15"/>
    <s v="Jul-2024"/>
    <s v="Q3-2024"/>
    <x v="3"/>
    <s v="France"/>
    <s v="Marseille"/>
    <s v="Enterprise"/>
    <s v="Marketplace"/>
    <x v="10"/>
    <s v="Laptops"/>
    <s v="LAP-9901"/>
    <n v="501.5"/>
    <s v="High"/>
    <n v="1201.47"/>
    <x v="38"/>
    <n v="5"/>
    <n v="9079.5053000000007"/>
    <n v="2507.5"/>
    <n v="6572.0053000000007"/>
    <n v="0.72382856585809807"/>
  </r>
  <r>
    <s v="ORD-2025-909340"/>
    <d v="2025-01-20T00:00:00"/>
    <d v="2025-02-03T00:00:00"/>
    <n v="14"/>
    <s v="Jan-2025"/>
    <s v="Q1-2025"/>
    <x v="2"/>
    <s v="Brazil"/>
    <s v="Brasília"/>
    <s v="Enterprise"/>
    <s v="Marketplace"/>
    <x v="9"/>
    <s v="Components"/>
    <s v="CMP-8658"/>
    <n v="974.11"/>
    <s v="High"/>
    <n v="880.99"/>
    <x v="95"/>
    <n v="10"/>
    <n v="11831.2565"/>
    <n v="9741.1"/>
    <n v="2090.1564999999991"/>
    <n v="0.17666394942920891"/>
  </r>
  <r>
    <s v="ORD-2023-854471"/>
    <d v="2023-03-06T00:00:00"/>
    <d v="2023-04-04T00:00:00"/>
    <n v="29"/>
    <s v="Mar-2023"/>
    <s v="Q1-2023"/>
    <x v="1"/>
    <s v="China"/>
    <s v="Beijing"/>
    <s v="Small Business"/>
    <s v="Direct"/>
    <x v="0"/>
    <s v="Monitors"/>
    <s v="MON-2073"/>
    <n v="1126.29"/>
    <s v="High"/>
    <n v="2050.87"/>
    <x v="201"/>
    <n v="7"/>
    <n v="18113.986799999999"/>
    <n v="7884.03"/>
    <n v="10229.9568"/>
    <n v="0.56475456855251771"/>
  </r>
  <r>
    <s v="ORD-2024-390951"/>
    <d v="2024-12-20T00:00:00"/>
    <d v="2025-01-14T00:00:00"/>
    <n v="25"/>
    <s v="Dec-2024"/>
    <s v="Q4-2024"/>
    <x v="1"/>
    <s v="India"/>
    <s v="Delhi"/>
    <s v="Small Business"/>
    <s v="Retail"/>
    <x v="12"/>
    <s v="Printers"/>
    <s v="PRN-9378"/>
    <n v="1361.34"/>
    <s v="High"/>
    <n v="1737.9"/>
    <x v="202"/>
    <n v="14"/>
    <n v="3596.8387000000007"/>
    <n v="19058.759999999998"/>
    <n v="-15461.921299999998"/>
    <n v="-4.2987530411080135"/>
  </r>
  <r>
    <s v="ORD-2025-881624"/>
    <d v="2025-02-21T00:00:00"/>
    <d v="2025-03-21T00:00:00"/>
    <n v="0"/>
    <s v="Feb-2025"/>
    <s v="Q1-2025"/>
    <x v="0"/>
    <s v="Nigeria"/>
    <s v="Abuja"/>
    <s v="Enterprise"/>
    <s v="Marketplace"/>
    <x v="2"/>
    <s v="Phones"/>
    <s v="PHN-5887"/>
    <n v="1437.39"/>
    <s v="High"/>
    <n v="1388.31"/>
    <x v="159"/>
    <n v="18"/>
    <n v="15273.329759999999"/>
    <n v="25873.02"/>
    <n v="-10599.690240000002"/>
    <n v="-0.69399995983587026"/>
  </r>
  <r>
    <s v="ORD-2025-512310"/>
    <d v="2025-03-08T00:00:00"/>
    <d v="2025-03-15T00:00:00"/>
    <n v="7"/>
    <s v="Mar-2025"/>
    <s v="Q1-2025"/>
    <x v="1"/>
    <s v="India"/>
    <s v="Bengaluru"/>
    <s v="Corporate"/>
    <s v="Distributor"/>
    <x v="11"/>
    <s v="Laptops"/>
    <s v="LAP-8119"/>
    <n v="475.66"/>
    <s v="High"/>
    <n v="529.14"/>
    <x v="124"/>
    <n v="11"/>
    <n v="1687.7889600000003"/>
    <n v="5232.26"/>
    <n v="-3544.4710399999999"/>
    <n v="-2.1000676767076372"/>
  </r>
  <r>
    <s v="ORD-2023-674887"/>
    <d v="2023-12-16T00:00:00"/>
    <d v="2023-12-19T00:00:00"/>
    <n v="3"/>
    <s v="Dec-2023"/>
    <s v="Q4-2023"/>
    <x v="1"/>
    <s v="China"/>
    <s v="Beijing"/>
    <s v="Education"/>
    <s v="Retail"/>
    <x v="8"/>
    <s v="Accessories"/>
    <s v="ACC-9644"/>
    <n v="1415.05"/>
    <s v="High"/>
    <n v="1972.38"/>
    <x v="5"/>
    <n v="12"/>
    <n v="10899.599999999999"/>
    <n v="16980.599999999999"/>
    <n v="-6081"/>
    <n v="-0.5579103820323682"/>
  </r>
  <r>
    <s v="ORD-2024-542244"/>
    <d v="2024-08-30T00:00:00"/>
    <d v="2024-09-05T00:00:00"/>
    <n v="6"/>
    <s v="Aug-2024"/>
    <s v="Q3-2024"/>
    <x v="1"/>
    <s v="Japan"/>
    <s v="Nagoya"/>
    <s v="Education"/>
    <s v="Online"/>
    <x v="13"/>
    <s v="Laptops"/>
    <s v="LAP-7009"/>
    <n v="466.16"/>
    <s v="High"/>
    <n v="876.81"/>
    <x v="65"/>
    <n v="8"/>
    <n v="1725.8445600000002"/>
    <n v="3729.28"/>
    <n v="-2003.43544"/>
    <n v="-1.1608435002976165"/>
  </r>
  <r>
    <s v="ORD-2024-375848"/>
    <d v="2024-05-18T00:00:00"/>
    <d v="2024-05-21T00:00:00"/>
    <n v="3"/>
    <s v="May-2024"/>
    <s v="Q2-2024"/>
    <x v="3"/>
    <s v="France"/>
    <s v="Marseille"/>
    <s v="Non-Profit"/>
    <s v="Marketplace"/>
    <x v="14"/>
    <s v="Printers"/>
    <s v="PRN-1725"/>
    <n v="663.66"/>
    <s v="High"/>
    <n v="824.26"/>
    <x v="177"/>
    <n v="11"/>
    <n v="10290.80514"/>
    <n v="7300.2599999999993"/>
    <n v="2990.5451400000011"/>
    <n v="0.29060361160429093"/>
  </r>
  <r>
    <s v="ORD-2023-933238"/>
    <d v="2023-03-17T00:00:00"/>
    <d v="2023-04-06T00:00:00"/>
    <n v="20"/>
    <s v="Mar-2023"/>
    <s v="Q1-2023"/>
    <x v="3"/>
    <s v="Germany"/>
    <s v="Munich"/>
    <s v="Consumer"/>
    <s v="Retail"/>
    <x v="7"/>
    <s v="Phones"/>
    <s v="PHN-8483"/>
    <n v="692.18"/>
    <s v="High"/>
    <n v="1159.3499999999999"/>
    <x v="0"/>
    <n v="2"/>
    <n v="2175.1027199999999"/>
    <n v="1384.36"/>
    <n v="790.74271999999996"/>
    <n v="0.36354270202006828"/>
  </r>
  <r>
    <s v="ORD-2023-732585"/>
    <d v="2023-08-25T00:00:00"/>
    <d v="2023-09-16T00:00:00"/>
    <n v="22"/>
    <s v="Aug-2023"/>
    <s v="Q3-2023"/>
    <x v="0"/>
    <s v="Nigeria"/>
    <s v="Abuja"/>
    <s v="Corporate"/>
    <s v="Marketplace"/>
    <x v="4"/>
    <s v="Phones"/>
    <s v="PHN-3971"/>
    <n v="1196.83"/>
    <s v="High"/>
    <n v="2513.5100000000002"/>
    <x v="200"/>
    <n v="7"/>
    <n v="3118.7353400000002"/>
    <n v="8377.81"/>
    <n v="-5259.0746599999993"/>
    <n v="-1.6862843706385162"/>
  </r>
  <r>
    <s v="ORD-2024-465898"/>
    <d v="2024-06-06T00:00:00"/>
    <d v="2024-06-24T00:00:00"/>
    <n v="18"/>
    <s v="Jun-2024"/>
    <s v="Q2-2024"/>
    <x v="1"/>
    <s v="India"/>
    <s v="Bengaluru"/>
    <s v="Small Business"/>
    <s v="Direct"/>
    <x v="10"/>
    <s v="Networking"/>
    <s v="NET-6578"/>
    <n v="1253.25"/>
    <s v="High"/>
    <n v="3087.13"/>
    <x v="3"/>
    <n v="11"/>
    <n v="22569.275520000003"/>
    <n v="13785.75"/>
    <n v="8783.5255200000029"/>
    <n v="0.38918065899884063"/>
  </r>
  <r>
    <s v="ORD-2023-987081"/>
    <d v="2023-08-29T00:00:00"/>
    <d v="2023-09-13T00:00:00"/>
    <n v="15"/>
    <s v="Aug-2023"/>
    <s v="Q3-2023"/>
    <x v="2"/>
    <s v="Canada"/>
    <s v="Vancouver"/>
    <s v="Small Business"/>
    <s v="Marketplace"/>
    <x v="7"/>
    <s v="Printers"/>
    <s v="PRN-9975"/>
    <n v="1287.6400000000001"/>
    <s v="High"/>
    <n v="2717.15"/>
    <x v="195"/>
    <n v="7"/>
    <n v="3875.12664"/>
    <n v="9013.4800000000014"/>
    <n v="-5138.353360000001"/>
    <n v="-1.3259833387019324"/>
  </r>
  <r>
    <s v="ORD-2024-655710"/>
    <d v="2024-11-30T00:00:00"/>
    <d v="2024-12-10T00:00:00"/>
    <n v="10"/>
    <s v="Nov-2024"/>
    <s v="Q4-2024"/>
    <x v="1"/>
    <s v="India"/>
    <s v="Hyderabad"/>
    <s v="Small Business"/>
    <s v="Retail"/>
    <x v="9"/>
    <s v="Accessories"/>
    <s v="ACC-1075"/>
    <n v="851.49"/>
    <s v="High"/>
    <n v="901.79"/>
    <x v="103"/>
    <n v="16"/>
    <n v="41052.309600000001"/>
    <n v="13623.84"/>
    <n v="27428.4696"/>
    <n v="0.66813462792358946"/>
  </r>
  <r>
    <s v="ORD-2025-411385"/>
    <d v="2025-06-05T00:00:00"/>
    <d v="2025-06-14T00:00:00"/>
    <n v="9"/>
    <s v="Jun-2025"/>
    <s v="Q2-2025"/>
    <x v="1"/>
    <s v="India"/>
    <s v="Delhi"/>
    <s v="Non-Profit"/>
    <s v="Retail"/>
    <x v="8"/>
    <s v="Accessories"/>
    <s v="ACC-2902"/>
    <n v="618.69000000000005"/>
    <s v="High"/>
    <n v="796.15"/>
    <x v="168"/>
    <n v="11"/>
    <n v="1948.1462000000001"/>
    <n v="6805.59"/>
    <n v="-4857.4438"/>
    <n v="-2.4933671815801093"/>
  </r>
  <r>
    <s v="ORD-2025-222035"/>
    <d v="2025-03-14T00:00:00"/>
    <d v="2025-04-08T00:00:00"/>
    <n v="25"/>
    <s v="Mar-2025"/>
    <s v="Q1-2025"/>
    <x v="1"/>
    <s v="China"/>
    <s v="Not Provided"/>
    <s v="Corporate"/>
    <s v="Distributor"/>
    <x v="14"/>
    <s v="Printers"/>
    <s v="PRN-5815"/>
    <n v="80.59"/>
    <s v="Medium"/>
    <n v="157.82"/>
    <x v="203"/>
    <n v="6"/>
    <n v="4846.6447200000002"/>
    <n v="483.54"/>
    <n v="4363.1047200000003"/>
    <n v="0.90023201040409662"/>
  </r>
  <r>
    <s v="ORD-2024-749242"/>
    <d v="2024-01-16T00:00:00"/>
    <d v="2024-02-11T00:00:00"/>
    <n v="26"/>
    <s v="Jan-2024"/>
    <s v="Q1-2024"/>
    <x v="3"/>
    <s v="Germany"/>
    <s v="Frankfurt"/>
    <s v="Non-Profit"/>
    <s v="Distributor"/>
    <x v="6"/>
    <s v="Monitors"/>
    <s v="MON-4195"/>
    <n v="504.93"/>
    <s v="High"/>
    <n v="819.06"/>
    <x v="204"/>
    <n v="15"/>
    <n v="5749.1559000000007"/>
    <n v="7573.95"/>
    <n v="-1824.7940999999992"/>
    <n v="-0.31740209027902672"/>
  </r>
  <r>
    <s v="ORD-2023-623293"/>
    <d v="2023-10-12T00:00:00"/>
    <d v="2023-10-29T00:00:00"/>
    <n v="17"/>
    <s v="Oct-2023"/>
    <s v="Q4-2023"/>
    <x v="1"/>
    <s v="Japan"/>
    <s v="Nagoya"/>
    <s v="Non-Profit"/>
    <s v="Direct"/>
    <x v="10"/>
    <s v="Phones"/>
    <s v="PHN-8478"/>
    <n v="1102.19"/>
    <s v="High"/>
    <n v="1711.16"/>
    <x v="102"/>
    <n v="10"/>
    <n v="11198.649599999999"/>
    <n v="11021.900000000001"/>
    <n v="176.74959999999737"/>
    <n v="1.5783117278711657E-2"/>
  </r>
  <r>
    <s v="ORD-2025-276968"/>
    <d v="2025-02-25T00:00:00"/>
    <d v="2025-03-17T00:00:00"/>
    <n v="20"/>
    <s v="Feb-2025"/>
    <s v="Q1-2025"/>
    <x v="2"/>
    <s v="USA"/>
    <s v="San Francisco"/>
    <s v="Non-Profit"/>
    <s v="Marketplace"/>
    <x v="10"/>
    <s v="Phones"/>
    <s v="PHN-1044"/>
    <n v="1205.26"/>
    <s v="High"/>
    <n v="1696.35"/>
    <x v="205"/>
    <n v="6"/>
    <n v="1853.32482"/>
    <n v="7231.5599999999995"/>
    <n v="-5378.2351799999997"/>
    <n v="-2.9019387869634206"/>
  </r>
  <r>
    <s v="ORD-2025-650841"/>
    <d v="2025-07-03T00:00:00"/>
    <d v="2025-07-06T00:00:00"/>
    <n v="3"/>
    <s v="Jul-2025"/>
    <s v="Q3-2025"/>
    <x v="0"/>
    <s v="Nigeria"/>
    <s v="Lagos"/>
    <s v="Consumer"/>
    <s v="Online"/>
    <x v="15"/>
    <s v="Laptops"/>
    <s v="LAP-8910"/>
    <n v="1313.3"/>
    <s v="High"/>
    <n v="2884.34"/>
    <x v="87"/>
    <n v="42"/>
    <n v="78253.279020000002"/>
    <n v="55158.6"/>
    <n v="23094.679020000003"/>
    <n v="0.29512730085211453"/>
  </r>
  <r>
    <s v="ORD-2025-831576"/>
    <d v="2025-09-15T00:00:00"/>
    <d v="2025-09-25T00:00:00"/>
    <n v="10"/>
    <s v="Sept-2025"/>
    <s v="Q3-2025"/>
    <x v="1"/>
    <s v="India"/>
    <s v="Delhi"/>
    <s v="Consumer"/>
    <s v="Retail"/>
    <x v="8"/>
    <s v="Phones"/>
    <s v="PHN-2859"/>
    <n v="1488.91"/>
    <s v="High"/>
    <n v="1483.74"/>
    <x v="21"/>
    <n v="24"/>
    <n v="20866.559999999998"/>
    <n v="35733.840000000004"/>
    <n v="-14867.280000000006"/>
    <n v="-0.71249309900625724"/>
  </r>
  <r>
    <s v="ORD-2024-468655"/>
    <d v="2024-02-19T00:00:00"/>
    <d v="2024-03-06T00:00:00"/>
    <n v="16"/>
    <s v="Feb-2024"/>
    <s v="Q1-2024"/>
    <x v="1"/>
    <s v="China"/>
    <s v="Beijing"/>
    <s v="Education"/>
    <s v="Marketplace"/>
    <x v="7"/>
    <s v="Printers"/>
    <s v="PRN-6308"/>
    <n v="1477.84"/>
    <s v="High"/>
    <n v="3197.47"/>
    <x v="28"/>
    <n v="24"/>
    <n v="38737.627919999999"/>
    <n v="35468.159999999996"/>
    <n v="3269.4679200000028"/>
    <n v="8.4400312965781696E-2"/>
  </r>
  <r>
    <s v="ORD-2024-515105"/>
    <d v="2024-02-27T00:00:00"/>
    <d v="2024-03-26T00:00:00"/>
    <n v="28"/>
    <s v="Feb-2024"/>
    <s v="Q1-2024"/>
    <x v="1"/>
    <s v="India"/>
    <s v="Mumbai"/>
    <s v="Education"/>
    <s v="Marketplace"/>
    <x v="3"/>
    <s v="Laptops"/>
    <s v="LAP-8469"/>
    <n v="1035.19"/>
    <s v="High"/>
    <n v="2322.6999999999998"/>
    <x v="122"/>
    <n v="8"/>
    <n v="13903.854800000001"/>
    <n v="8281.52"/>
    <n v="5622.3348000000005"/>
    <n v="0.40437237592555986"/>
  </r>
  <r>
    <s v="ORD-2025-803803"/>
    <d v="2025-08-28T00:00:00"/>
    <d v="2025-09-05T00:00:00"/>
    <n v="8"/>
    <s v="Aug-2025"/>
    <s v="Q3-2025"/>
    <x v="0"/>
    <s v="Nigeria"/>
    <s v="Port Harcourt"/>
    <s v="Small Business"/>
    <s v="Marketplace"/>
    <x v="6"/>
    <s v="Laptops"/>
    <s v="LAP-7553"/>
    <n v="1271.0999999999999"/>
    <s v="High"/>
    <n v="1932.42"/>
    <x v="11"/>
    <n v="21"/>
    <n v="33475.68"/>
    <n v="26693.1"/>
    <n v="6782.5800000000017"/>
    <n v="0.20261216501053905"/>
  </r>
  <r>
    <s v="ORD-2024-993481"/>
    <d v="2024-08-18T00:00:00"/>
    <d v="2024-09-12T00:00:00"/>
    <n v="25"/>
    <s v="Aug-2024"/>
    <s v="Q3-2024"/>
    <x v="1"/>
    <s v="India"/>
    <s v="Mumbai"/>
    <s v="Consumer"/>
    <s v="Marketplace"/>
    <x v="0"/>
    <s v="Phones"/>
    <s v="PHN-3077"/>
    <n v="1154.03"/>
    <s v="High"/>
    <n v="1590.36"/>
    <x v="206"/>
    <n v="18"/>
    <n v="8801.0369999999984"/>
    <n v="20772.54"/>
    <n v="-11971.503000000002"/>
    <n v="-1.360237776525653"/>
  </r>
  <r>
    <s v="ORD-2024-811752"/>
    <d v="2024-02-25T00:00:00"/>
    <d v="2024-03-09T00:00:00"/>
    <n v="13"/>
    <s v="Feb-2024"/>
    <s v="Q1-2024"/>
    <x v="3"/>
    <s v="France"/>
    <s v="Marseille"/>
    <s v="Small Business"/>
    <s v="Distributor"/>
    <x v="6"/>
    <s v="Monitors"/>
    <s v="MON-3350"/>
    <n v="322.44"/>
    <s v="High"/>
    <n v="395.61"/>
    <x v="5"/>
    <n v="34"/>
    <n v="53340.22"/>
    <n v="10962.96"/>
    <n v="42377.26"/>
    <n v="0.79447103892709858"/>
  </r>
  <r>
    <s v="ORD-2025-673091"/>
    <d v="2025-05-07T00:00:00"/>
    <d v="2025-05-13T00:00:00"/>
    <n v="6"/>
    <s v="May-2025"/>
    <s v="Q2-2025"/>
    <x v="1"/>
    <s v="India"/>
    <s v="Bengaluru"/>
    <s v="Enterprise"/>
    <s v="Direct"/>
    <x v="1"/>
    <s v="Phones"/>
    <s v="PHN-5683"/>
    <n v="935.98"/>
    <s v="High"/>
    <n v="2077.69"/>
    <x v="30"/>
    <n v="24"/>
    <n v="41071.932000000001"/>
    <n v="22463.52"/>
    <n v="18608.412"/>
    <n v="0.4530688256885505"/>
  </r>
  <r>
    <s v="ORD-2024-381197"/>
    <d v="2024-11-01T00:00:00"/>
    <d v="2024-11-12T00:00:00"/>
    <n v="11"/>
    <s v="Nov-2024"/>
    <s v="Q4-2024"/>
    <x v="3"/>
    <s v="Germany"/>
    <s v="Frankfurt"/>
    <s v="Consumer"/>
    <s v="Online"/>
    <x v="5"/>
    <s v="Printers"/>
    <s v="PRN-2409"/>
    <n v="599.84"/>
    <s v="High"/>
    <n v="1330.85"/>
    <x v="158"/>
    <n v="11"/>
    <n v="4820.6746499999999"/>
    <n v="6598.2400000000007"/>
    <n v="-1777.5653500000008"/>
    <n v="-0.36873787987330792"/>
  </r>
  <r>
    <s v="ORD-2024-651852"/>
    <d v="2024-12-28T00:00:00"/>
    <d v="2025-01-08T00:00:00"/>
    <n v="11"/>
    <s v="Dec-2024"/>
    <s v="Q4-2024"/>
    <x v="1"/>
    <s v="China"/>
    <s v="Shenzhen"/>
    <s v="Enterprise"/>
    <s v="Online"/>
    <x v="11"/>
    <s v="Laptops"/>
    <s v="LAP-8825"/>
    <n v="1201.31"/>
    <s v="High"/>
    <n v="2764.65"/>
    <x v="5"/>
    <n v="21"/>
    <n v="15909.390000000001"/>
    <n v="25227.51"/>
    <n v="-9318.1199999999972"/>
    <n v="-0.58569938885148942"/>
  </r>
  <r>
    <s v="ORD-2023-659070"/>
    <d v="2023-10-21T00:00:00"/>
    <d v="2023-10-21T00:00:00"/>
    <n v="0"/>
    <s v="Oct-2023"/>
    <s v="Q4-2023"/>
    <x v="3"/>
    <s v="United Kingdom"/>
    <s v="Manchester"/>
    <s v="Enterprise"/>
    <s v="Distributor"/>
    <x v="1"/>
    <s v="Monitors"/>
    <s v="MON-8697"/>
    <n v="384.19"/>
    <s v="High"/>
    <n v="278.35000000000002"/>
    <x v="121"/>
    <n v="10"/>
    <n v="3926.6623999999993"/>
    <n v="3841.9"/>
    <n v="84.762399999999161"/>
    <n v="2.1586373200812775E-2"/>
  </r>
  <r>
    <s v="ORD-2024-837651"/>
    <d v="2024-12-10T00:00:00"/>
    <d v="2024-12-19T00:00:00"/>
    <n v="9"/>
    <s v="Dec-2024"/>
    <s v="Q4-2024"/>
    <x v="0"/>
    <s v="Nigeria"/>
    <s v="Lagos"/>
    <s v="Corporate"/>
    <s v="Retail"/>
    <x v="7"/>
    <s v="Monitors"/>
    <s v="MON-4789"/>
    <n v="488.68"/>
    <s v="High"/>
    <n v="984.36"/>
    <x v="163"/>
    <n v="14"/>
    <n v="24647.104860000003"/>
    <n v="6841.52"/>
    <n v="17805.584860000003"/>
    <n v="0.72242094806424251"/>
  </r>
  <r>
    <s v="ORD-2024-581530"/>
    <d v="2024-09-07T00:00:00"/>
    <d v="2024-09-18T00:00:00"/>
    <n v="11"/>
    <s v="Sept-2024"/>
    <s v="Q3-2024"/>
    <x v="1"/>
    <s v="China"/>
    <s v="Beijing"/>
    <s v="Consumer"/>
    <s v="Distributor"/>
    <x v="7"/>
    <s v="Networking"/>
    <s v="NET-7998"/>
    <n v="181.74"/>
    <s v="Medium"/>
    <n v="190.84"/>
    <x v="207"/>
    <n v="13"/>
    <n v="2113.89984"/>
    <n v="2362.62"/>
    <n v="-248.72015999999985"/>
    <n v="-0.11765938730569177"/>
  </r>
  <r>
    <s v="ORD-2023-378104"/>
    <d v="2023-10-18T00:00:00"/>
    <d v="2023-10-20T00:00:00"/>
    <n v="2"/>
    <s v="Oct-2023"/>
    <s v="Q4-2023"/>
    <x v="0"/>
    <s v="Kenya"/>
    <s v="Kisumu"/>
    <s v="Consumer"/>
    <s v="Retail"/>
    <x v="1"/>
    <s v="Phones"/>
    <s v="PHN-8891"/>
    <n v="774.12"/>
    <s v="High"/>
    <n v="908.3"/>
    <x v="5"/>
    <n v="30"/>
    <n v="1884.6"/>
    <n v="23223.599999999999"/>
    <n v="-21339"/>
    <n v="-11.322827125119389"/>
  </r>
  <r>
    <s v="ORD-2024-972318"/>
    <d v="2024-12-24T00:00:00"/>
    <d v="2025-01-13T00:00:00"/>
    <n v="20"/>
    <s v="Dec-2024"/>
    <s v="Q4-2024"/>
    <x v="1"/>
    <s v="India"/>
    <s v="Bengaluru"/>
    <s v="Corporate"/>
    <s v="Marketplace"/>
    <x v="14"/>
    <s v="Networking"/>
    <s v="NET-9832"/>
    <n v="126.15"/>
    <s v="High"/>
    <n v="284.23"/>
    <x v="139"/>
    <n v="22"/>
    <n v="18664.94586"/>
    <n v="2775.3"/>
    <n v="15889.645860000001"/>
    <n v="0.85130950709331443"/>
  </r>
  <r>
    <s v="ORD-2023-752962"/>
    <d v="2023-04-21T00:00:00"/>
    <d v="2023-04-19T00:00:00"/>
    <n v="2"/>
    <s v="Apr-2023"/>
    <s v="Q2-2023"/>
    <x v="1"/>
    <s v="Japan"/>
    <s v="Nagoya"/>
    <s v="Small Business"/>
    <s v="Direct"/>
    <x v="12"/>
    <s v="Components"/>
    <s v="CMP-8604"/>
    <n v="607.04"/>
    <s v="High"/>
    <n v="1229.3399999999999"/>
    <x v="6"/>
    <n v="7"/>
    <n v="989.39469999999983"/>
    <n v="4249.28"/>
    <n v="-3259.8852999999999"/>
    <n v="-3.2948279387387061"/>
  </r>
  <r>
    <s v="ORD-2023-808024"/>
    <d v="2023-12-30T00:00:00"/>
    <d v="2024-01-08T00:00:00"/>
    <n v="9"/>
    <s v="Dec-2023"/>
    <s v="Q4-2023"/>
    <x v="3"/>
    <s v="France"/>
    <s v="Marseille"/>
    <s v="Consumer"/>
    <s v="Marketplace"/>
    <x v="4"/>
    <s v="Accessories"/>
    <s v="ACC-6594"/>
    <n v="861.1"/>
    <s v="High"/>
    <n v="1224.72"/>
    <x v="155"/>
    <n v="24"/>
    <n v="12060.128640000001"/>
    <n v="20666.400000000001"/>
    <n v="-8606.2713600000006"/>
    <n v="-0.71361356225135586"/>
  </r>
  <r>
    <s v="ORD-2023-156396"/>
    <d v="2023-02-21T00:00:00"/>
    <d v="2023-03-12T00:00:00"/>
    <n v="19"/>
    <s v="Feb-2023"/>
    <s v="Q1-2023"/>
    <x v="0"/>
    <s v="Kenya"/>
    <s v="Nakuru"/>
    <s v="Corporate"/>
    <s v="Online"/>
    <x v="9"/>
    <s v="Networking"/>
    <s v="NET-2499"/>
    <n v="352.65"/>
    <s v="High"/>
    <n v="485.86"/>
    <x v="208"/>
    <n v="6"/>
    <n v="15339.646139999999"/>
    <n v="2115.8999999999996"/>
    <n v="13223.746139999999"/>
    <n v="0.86206331093371624"/>
  </r>
  <r>
    <s v="ORD-2023-184577"/>
    <d v="2023-05-17T00:00:00"/>
    <d v="2023-06-03T00:00:00"/>
    <n v="17"/>
    <s v="May-2023"/>
    <s v="Q2-2023"/>
    <x v="1"/>
    <s v="China"/>
    <s v="Beijing"/>
    <s v="Non-Profit"/>
    <s v="Distributor"/>
    <x v="12"/>
    <s v="Printers"/>
    <s v="PRN-1923"/>
    <n v="979.59"/>
    <s v="High"/>
    <n v="2210.94"/>
    <x v="209"/>
    <n v="11"/>
    <n v="5497.3325000000004"/>
    <n v="10775.49"/>
    <n v="-5278.1574999999993"/>
    <n v="-0.96013066337173514"/>
  </r>
  <r>
    <s v="ORD-2024-446030"/>
    <d v="2024-03-23T00:00:00"/>
    <d v="2024-03-26T00:00:00"/>
    <n v="3"/>
    <s v="Mar-2024"/>
    <s v="Q1-2024"/>
    <x v="1"/>
    <s v="India"/>
    <s v="Bengaluru"/>
    <s v="Education"/>
    <s v="Direct"/>
    <x v="3"/>
    <s v="Phones"/>
    <s v="PHN-4346"/>
    <n v="382.21"/>
    <s v="High"/>
    <n v="571.89"/>
    <x v="135"/>
    <n v="26"/>
    <n v="48582.215760000006"/>
    <n v="9937.4599999999991"/>
    <n v="38644.755760000007"/>
    <n v="0.79545066348781124"/>
  </r>
  <r>
    <s v="ORD-2023-842820"/>
    <d v="2023-09-20T00:00:00"/>
    <d v="2023-09-28T00:00:00"/>
    <n v="8"/>
    <s v="Sept-2023"/>
    <s v="Q3-2023"/>
    <x v="1"/>
    <s v="India"/>
    <s v="Not Provided"/>
    <s v="Corporate"/>
    <s v="Not Provided"/>
    <x v="5"/>
    <s v="Accessories"/>
    <s v="ACC-1375"/>
    <n v="1362.06"/>
    <s v="High"/>
    <n v="3398.37"/>
    <x v="87"/>
    <n v="11"/>
    <n v="20287.469400000002"/>
    <n v="14982.66"/>
    <n v="5304.8094000000019"/>
    <n v="0.26148206537775487"/>
  </r>
  <r>
    <s v="ORD-2024-745424"/>
    <d v="2024-08-22T00:00:00"/>
    <d v="2024-09-04T00:00:00"/>
    <n v="13"/>
    <s v="Aug-2024"/>
    <s v="Q3-2024"/>
    <x v="3"/>
    <s v="Germany"/>
    <s v="Frankfurt"/>
    <s v="Non-Profit"/>
    <s v="Retail"/>
    <x v="4"/>
    <s v="Printers"/>
    <s v="PRN-4892"/>
    <n v="90.04"/>
    <s v="Medium"/>
    <n v="194.62"/>
    <x v="89"/>
    <n v="32"/>
    <n v="30688.61664"/>
    <n v="2881.28"/>
    <n v="27807.336640000001"/>
    <n v="0.90611241836673417"/>
  </r>
  <r>
    <s v="ORD-2024-510520"/>
    <d v="2024-09-25T00:00:00"/>
    <d v="2024-10-03T00:00:00"/>
    <n v="8"/>
    <s v="Sept-2024"/>
    <s v="Q3-2024"/>
    <x v="2"/>
    <s v="Canada"/>
    <s v="Toronto"/>
    <s v="Consumer"/>
    <s v="Online"/>
    <x v="6"/>
    <s v="Printers"/>
    <s v="PRN-9557"/>
    <n v="558.19000000000005"/>
    <s v="High"/>
    <n v="1031.6400000000001"/>
    <x v="5"/>
    <n v="21"/>
    <n v="19189.38"/>
    <n v="11721.990000000002"/>
    <n v="7467.3899999999994"/>
    <n v="0.3891418065617544"/>
  </r>
  <r>
    <s v="ORD-2023-769774"/>
    <d v="2023-06-13T00:00:00"/>
    <d v="2023-06-24T00:00:00"/>
    <n v="11"/>
    <s v="Jun-2023"/>
    <s v="Q2-2023"/>
    <x v="2"/>
    <s v="Canada"/>
    <s v="Toronto"/>
    <s v="Corporate"/>
    <s v="Online"/>
    <x v="0"/>
    <s v="Printers"/>
    <s v="PRN-8008"/>
    <n v="247.07"/>
    <s v="High"/>
    <n v="495.19"/>
    <x v="179"/>
    <n v="4"/>
    <n v="7167.5668799999994"/>
    <n v="988.28"/>
    <n v="6179.2868799999997"/>
    <n v="0.86211778466167588"/>
  </r>
  <r>
    <s v="ORD-2023-580751"/>
    <d v="2023-12-24T00:00:00"/>
    <d v="2024-01-13T00:00:00"/>
    <n v="20"/>
    <s v="Dec-2023"/>
    <s v="Q4-2023"/>
    <x v="1"/>
    <s v="Japan"/>
    <s v="Nagoya"/>
    <s v="Education"/>
    <s v="Direct"/>
    <x v="5"/>
    <s v="Laptops"/>
    <s v="LAP-1946"/>
    <n v="625.37"/>
    <s v="High"/>
    <n v="1319.04"/>
    <x v="13"/>
    <n v="8"/>
    <n v="10249.7088"/>
    <n v="5002.96"/>
    <n v="5246.7488000000003"/>
    <n v="0.51189247444766428"/>
  </r>
  <r>
    <s v="ORD-2025-473192"/>
    <d v="2025-03-30T00:00:00"/>
    <d v="2025-04-29T00:00:00"/>
    <n v="30"/>
    <s v="Mar-2025"/>
    <s v="Q1-2025"/>
    <x v="0"/>
    <s v="South Africa"/>
    <s v="Durban"/>
    <s v="Consumer"/>
    <s v="Marketplace"/>
    <x v="1"/>
    <s v="Monitors"/>
    <s v="MON-7106"/>
    <n v="194.6"/>
    <s v="High"/>
    <n v="314.87"/>
    <x v="210"/>
    <n v="25"/>
    <n v="28077.267750000003"/>
    <n v="4865"/>
    <n v="23212.267750000003"/>
    <n v="0.82672815448718295"/>
  </r>
  <r>
    <s v="ORD-2024-886939"/>
    <d v="2024-06-03T00:00:00"/>
    <d v="2024-06-24T00:00:00"/>
    <n v="21"/>
    <s v="Jun-2024"/>
    <s v="Q2-2024"/>
    <x v="2"/>
    <s v="Canada"/>
    <s v="Toronto"/>
    <s v="Small Business"/>
    <s v="Direct"/>
    <x v="3"/>
    <s v="Monitors"/>
    <s v="MON-5386"/>
    <n v="1205.5"/>
    <s v="High"/>
    <n v="2210.17"/>
    <x v="67"/>
    <n v="23"/>
    <n v="27698.182399999998"/>
    <n v="27726.5"/>
    <n v="-28.31760000000213"/>
    <n v="-1.0223631136172362E-3"/>
  </r>
  <r>
    <s v="ORD-2024-566589"/>
    <d v="2024-06-11T00:00:00"/>
    <d v="2024-07-09T00:00:00"/>
    <n v="28"/>
    <s v="Jun-2024"/>
    <s v="Q2-2024"/>
    <x v="0"/>
    <s v="Nigeria"/>
    <s v="Port Harcourt"/>
    <s v="Corporate"/>
    <s v="Marketplace"/>
    <x v="2"/>
    <s v="Phones"/>
    <s v="PHN-2436"/>
    <n v="895.54"/>
    <s v="High"/>
    <n v="1045"/>
    <x v="154"/>
    <n v="15"/>
    <n v="15173.8104"/>
    <n v="13433.099999999999"/>
    <n v="1740.7104000000018"/>
    <n v="0.11471808030499721"/>
  </r>
  <r>
    <s v="ORD-2023-109927"/>
    <d v="2023-07-22T00:00:00"/>
    <d v="2023-07-21T00:00:00"/>
    <n v="1"/>
    <s v="Jul-2023"/>
    <s v="Q3-2023"/>
    <x v="1"/>
    <s v="India"/>
    <s v="Delhi"/>
    <s v="Small Business"/>
    <s v="Distributor"/>
    <x v="6"/>
    <s v="Printers"/>
    <s v="PRN-2301"/>
    <n v="946.99"/>
    <s v="High"/>
    <n v="2132.19"/>
    <x v="211"/>
    <n v="7"/>
    <n v="1295.1351000000002"/>
    <n v="6628.93"/>
    <n v="-5333.7948999999999"/>
    <n v="-4.1183308984522151"/>
  </r>
  <r>
    <s v="ORD-2023-780206"/>
    <d v="2023-01-19T00:00:00"/>
    <d v="2023-02-03T00:00:00"/>
    <n v="15"/>
    <s v="Jan-2023"/>
    <s v="Q1-2023"/>
    <x v="3"/>
    <s v="United Kingdom"/>
    <s v="London"/>
    <s v="Enterprise"/>
    <s v="Distributor"/>
    <x v="3"/>
    <s v="Accessories"/>
    <s v="ACC-3645"/>
    <n v="873.06"/>
    <s v="High"/>
    <n v="2101.5500000000002"/>
    <x v="72"/>
    <n v="10"/>
    <n v="3365.5755999999997"/>
    <n v="8730.5999999999985"/>
    <n v="-5365.0243999999984"/>
    <n v="-1.5940882148064062"/>
  </r>
  <r>
    <s v="ORD-2024-851993"/>
    <d v="2024-05-01T00:00:00"/>
    <d v="2024-05-16T00:00:00"/>
    <n v="15"/>
    <s v="May-2024"/>
    <s v="Q2-2024"/>
    <x v="1"/>
    <s v="India"/>
    <s v="Bengaluru"/>
    <s v="Small Business"/>
    <s v="Retail"/>
    <x v="4"/>
    <s v="Components"/>
    <s v="CMP-6811"/>
    <n v="901.19"/>
    <s v="High"/>
    <n v="2125.44"/>
    <x v="88"/>
    <n v="12"/>
    <n v="28380.689880000002"/>
    <n v="10814.28"/>
    <n v="17566.409879999999"/>
    <n v="0.61895640853956568"/>
  </r>
  <r>
    <s v="ORD-2025-417942"/>
    <d v="2025-06-09T00:00:00"/>
    <d v="2025-06-24T00:00:00"/>
    <n v="15"/>
    <s v="Jun-2025"/>
    <s v="Q2-2025"/>
    <x v="1"/>
    <s v="Japan"/>
    <s v="Nagoya"/>
    <s v="Corporate"/>
    <s v="Direct"/>
    <x v="5"/>
    <s v="Phones"/>
    <s v="PHN-5675"/>
    <n v="400.39"/>
    <s v="High"/>
    <n v="712.75"/>
    <x v="158"/>
    <n v="19"/>
    <n v="11761.58805"/>
    <n v="7607.41"/>
    <n v="4154.1780500000004"/>
    <n v="0.35319873747831187"/>
  </r>
  <r>
    <s v="ORD-2023-172095"/>
    <d v="2023-05-24T00:00:00"/>
    <d v="2023-06-21T00:00:00"/>
    <n v="28"/>
    <s v="May-2023"/>
    <s v="Q2-2023"/>
    <x v="2"/>
    <s v="USA"/>
    <s v="Austin"/>
    <s v="Small Business"/>
    <s v="Marketplace"/>
    <x v="3"/>
    <s v="Monitors"/>
    <s v="MON-6882"/>
    <n v="813.97"/>
    <s v="High"/>
    <n v="1568.83"/>
    <x v="212"/>
    <n v="15"/>
    <n v="40381.984049999999"/>
    <n v="12209.550000000001"/>
    <n v="28172.434049999996"/>
    <n v="0.69764858544636066"/>
  </r>
  <r>
    <s v="ORD-2024-257550"/>
    <d v="2024-12-27T00:00:00"/>
    <d v="2024-12-29T00:00:00"/>
    <n v="2"/>
    <s v="Dec-2024"/>
    <s v="Q4-2024"/>
    <x v="2"/>
    <s v="Canada"/>
    <s v="Vancouver"/>
    <s v="Enterprise"/>
    <s v="Marketplace"/>
    <x v="0"/>
    <s v="Accessories"/>
    <s v="ACC-8620"/>
    <n v="1146.72"/>
    <s v="High"/>
    <n v="2074.34"/>
    <x v="95"/>
    <n v="8"/>
    <n v="674.07536000000005"/>
    <n v="9173.76"/>
    <n v="-8499.6846399999995"/>
    <n v="-12.60939821327989"/>
  </r>
  <r>
    <s v="ORD-2023-581799"/>
    <d v="2023-12-05T00:00:00"/>
    <d v="2023-12-12T00:00:00"/>
    <n v="7"/>
    <s v="Dec-2023"/>
    <s v="Q4-2023"/>
    <x v="2"/>
    <s v="Brazil"/>
    <s v="Brasília"/>
    <s v="Corporate"/>
    <s v="Direct"/>
    <x v="9"/>
    <s v="Phones"/>
    <s v="PHN-6506"/>
    <n v="307.43"/>
    <s v="High"/>
    <n v="495.19"/>
    <x v="5"/>
    <n v="42"/>
    <n v="116648.7"/>
    <n v="12912.06"/>
    <n v="103736.64"/>
    <n v="0.88930815345563219"/>
  </r>
  <r>
    <s v="ORD-2023-880296"/>
    <d v="2023-05-02T00:00:00"/>
    <d v="2023-05-19T00:00:00"/>
    <n v="17"/>
    <s v="May-2023"/>
    <s v="Q2-2023"/>
    <x v="1"/>
    <s v="China"/>
    <s v="Shanghai"/>
    <s v="Non-Profit"/>
    <s v="Direct"/>
    <x v="1"/>
    <s v="Monitors"/>
    <s v="MON-5086"/>
    <n v="714.28"/>
    <s v="High"/>
    <n v="757.59"/>
    <x v="29"/>
    <n v="12"/>
    <n v="5102.9222399999999"/>
    <n v="8571.36"/>
    <n v="-3468.4377600000007"/>
    <n v="-0.67969637726637211"/>
  </r>
  <r>
    <s v="ORD-2023-191563"/>
    <d v="2023-11-30T00:00:00"/>
    <d v="2023-12-10T00:00:00"/>
    <n v="10"/>
    <s v="Nov-2023"/>
    <s v="Q4-2023"/>
    <x v="3"/>
    <s v="Germany"/>
    <s v="Munich"/>
    <s v="Small Business"/>
    <s v="Direct"/>
    <x v="9"/>
    <s v="Laptops"/>
    <s v="LAP-4899"/>
    <n v="174.74"/>
    <s v="High"/>
    <n v="415.96"/>
    <x v="22"/>
    <n v="21"/>
    <n v="35310.318749999999"/>
    <n v="3669.54"/>
    <n v="31640.778749999998"/>
    <n v="0.89607740371927391"/>
  </r>
  <r>
    <s v="ORD-2024-202166"/>
    <d v="2024-05-05T00:00:00"/>
    <d v="2024-05-18T00:00:00"/>
    <n v="13"/>
    <s v="May-2024"/>
    <s v="Q2-2024"/>
    <x v="3"/>
    <s v="France"/>
    <s v="Marseille"/>
    <s v="Corporate"/>
    <s v="Marketplace"/>
    <x v="8"/>
    <s v="Components"/>
    <s v="CMP-3313"/>
    <n v="1264.04"/>
    <s v="High"/>
    <n v="1870.89"/>
    <x v="5"/>
    <n v="13"/>
    <n v="3774.29"/>
    <n v="16432.52"/>
    <n v="-12658.23"/>
    <n v="-3.3538042916681019"/>
  </r>
  <r>
    <s v="ORD-2023-539967"/>
    <d v="2023-07-09T00:00:00"/>
    <d v="2023-07-19T00:00:00"/>
    <n v="10"/>
    <s v="Jul-2023"/>
    <s v="Q3-2023"/>
    <x v="1"/>
    <s v="Japan"/>
    <s v="Tokyo"/>
    <s v="Enterprise"/>
    <s v="Distributor"/>
    <x v="13"/>
    <s v="Components"/>
    <s v="CMP-6649"/>
    <n v="141.26"/>
    <s v="High"/>
    <n v="206.88"/>
    <x v="105"/>
    <n v="9"/>
    <n v="4845.6680399999996"/>
    <n v="1271.3399999999999"/>
    <n v="3574.3280399999994"/>
    <n v="0.737633698902742"/>
  </r>
  <r>
    <s v="ORD-2023-704111"/>
    <d v="2023-05-17T00:00:00"/>
    <d v="2023-06-15T00:00:00"/>
    <n v="29"/>
    <s v="May-2023"/>
    <s v="Q2-2023"/>
    <x v="0"/>
    <s v="South Africa"/>
    <s v="Durban"/>
    <s v="Enterprise"/>
    <s v="Retail"/>
    <x v="11"/>
    <s v="Accessories"/>
    <s v="ACC-5206"/>
    <n v="40.89"/>
    <s v="Medium"/>
    <n v="62.82"/>
    <x v="31"/>
    <n v="17"/>
    <n v="30761.5425"/>
    <n v="695.13"/>
    <n v="30066.412499999999"/>
    <n v="0.97740262862306071"/>
  </r>
  <r>
    <s v="ORD-2024-356812"/>
    <d v="2024-03-07T00:00:00"/>
    <d v="2024-04-03T00:00:00"/>
    <n v="27"/>
    <s v="Mar-2024"/>
    <s v="Q1-2024"/>
    <x v="3"/>
    <s v="Germany"/>
    <s v="Frankfurt"/>
    <s v="Corporate"/>
    <s v="Direct"/>
    <x v="12"/>
    <s v="Printers"/>
    <s v="PRN-6911"/>
    <n v="738.16"/>
    <s v="High"/>
    <n v="956.49"/>
    <x v="136"/>
    <n v="5"/>
    <n v="733.01119999999992"/>
    <n v="3690.7999999999997"/>
    <n v="-2957.7887999999998"/>
    <n v="-4.0351208821911593"/>
  </r>
  <r>
    <s v="ORD-2025-306251"/>
    <d v="2025-04-10T00:00:00"/>
    <d v="2025-04-19T00:00:00"/>
    <n v="9"/>
    <s v="Apr-2025"/>
    <s v="Q2-2025"/>
    <x v="0"/>
    <s v="South Africa"/>
    <s v="Durban"/>
    <s v="Enterprise"/>
    <s v="Not Provided"/>
    <x v="3"/>
    <s v="Networking"/>
    <s v="NET-5270"/>
    <n v="113.74"/>
    <s v="Medium"/>
    <n v="165.7"/>
    <x v="213"/>
    <n v="13"/>
    <n v="31644.291119999994"/>
    <n v="1478.62"/>
    <n v="30165.671119999995"/>
    <n v="0.95327372022988777"/>
  </r>
  <r>
    <s v="ORD-2025-496178"/>
    <d v="2025-07-27T00:00:00"/>
    <d v="2025-08-15T00:00:00"/>
    <n v="19"/>
    <s v="Jul-2025"/>
    <s v="Q3-2025"/>
    <x v="1"/>
    <s v="Japan"/>
    <s v="Tokyo"/>
    <s v="Small Business"/>
    <s v="Marketplace"/>
    <x v="1"/>
    <s v="Components"/>
    <s v="CMP-5658"/>
    <n v="275.43"/>
    <s v="High"/>
    <n v="608.36"/>
    <x v="62"/>
    <n v="4"/>
    <n v="919.74484000000007"/>
    <n v="1101.72"/>
    <n v="-181.97515999999996"/>
    <n v="-0.19785396132257718"/>
  </r>
  <r>
    <s v="ORD-2024-508213"/>
    <d v="2024-11-22T00:00:00"/>
    <d v="2024-12-15T00:00:00"/>
    <n v="23"/>
    <s v="Nov-2024"/>
    <s v="Q4-2024"/>
    <x v="0"/>
    <s v="Kenya"/>
    <s v="Mombasa"/>
    <s v="Non-Profit"/>
    <s v="Distributor"/>
    <x v="0"/>
    <s v="Components"/>
    <s v="CMP-3938"/>
    <n v="1335.76"/>
    <s v="High"/>
    <n v="2665.91"/>
    <x v="126"/>
    <n v="40"/>
    <n v="21031.899600000001"/>
    <n v="53430.400000000001"/>
    <n v="-32398.500400000001"/>
    <n v="-1.5404457522229709"/>
  </r>
  <r>
    <s v="ORD-2024-787018"/>
    <d v="2024-06-23T00:00:00"/>
    <d v="2024-06-28T00:00:00"/>
    <n v="5"/>
    <s v="Jun-2024"/>
    <s v="Q2-2024"/>
    <x v="0"/>
    <s v="Nigeria"/>
    <s v="Port Harcourt"/>
    <s v="Non-Profit"/>
    <s v="Direct"/>
    <x v="12"/>
    <s v="Accessories"/>
    <s v="ACC-7671"/>
    <n v="242.31"/>
    <s v="High"/>
    <n v="587.95000000000005"/>
    <x v="83"/>
    <n v="6"/>
    <n v="3442.9930199999999"/>
    <n v="1453.8600000000001"/>
    <n v="1989.1330199999998"/>
    <n v="0.57773367777550699"/>
  </r>
  <r>
    <s v="ORD-2023-728177"/>
    <d v="2023-12-18T00:00:00"/>
    <d v="2024-01-14T00:00:00"/>
    <n v="27"/>
    <s v="Dec-2023"/>
    <s v="Q4-2023"/>
    <x v="1"/>
    <s v="India"/>
    <s v="Mumbai"/>
    <s v="Consumer"/>
    <s v="Distributor"/>
    <x v="14"/>
    <s v="Networking"/>
    <s v="NET-6014"/>
    <n v="1408.3"/>
    <s v="High"/>
    <n v="2193.13"/>
    <x v="88"/>
    <n v="7"/>
    <n v="82.523070000000004"/>
    <n v="9858.1"/>
    <n v="-9775.5769300000011"/>
    <n v="-118.45871621111527"/>
  </r>
  <r>
    <s v="ORD-2025-795385"/>
    <d v="2025-06-01T00:00:00"/>
    <d v="2025-06-05T00:00:00"/>
    <n v="4"/>
    <s v="Jun-2025"/>
    <s v="Q2-2025"/>
    <x v="3"/>
    <s v="Germany"/>
    <s v="Munich"/>
    <s v="Enterprise"/>
    <s v="Direct"/>
    <x v="12"/>
    <s v="Components"/>
    <s v="CMP-4159"/>
    <n v="1171.42"/>
    <s v="High"/>
    <n v="2187.8000000000002"/>
    <x v="214"/>
    <n v="15"/>
    <n v="7525.518"/>
    <n v="17571.300000000003"/>
    <n v="-10045.782000000003"/>
    <n v="-1.3348957506978261"/>
  </r>
  <r>
    <s v="ORD-2025-947929"/>
    <d v="2025-03-23T00:00:00"/>
    <d v="2025-04-02T00:00:00"/>
    <n v="10"/>
    <s v="Mar-2025"/>
    <s v="Q1-2025"/>
    <x v="3"/>
    <s v="Germany"/>
    <s v="Berlin"/>
    <s v="Enterprise"/>
    <s v="Online"/>
    <x v="6"/>
    <s v="Printers"/>
    <s v="PRN-3159"/>
    <n v="663.61"/>
    <s v="High"/>
    <n v="1002.11"/>
    <x v="215"/>
    <n v="17"/>
    <n v="12231.93996"/>
    <n v="11281.37"/>
    <n v="950.5699599999989"/>
    <n v="7.7712117874064429E-2"/>
  </r>
  <r>
    <s v="ORD-2023-931633"/>
    <d v="2023-05-14T00:00:00"/>
    <d v="2023-05-22T00:00:00"/>
    <n v="8"/>
    <s v="May-2023"/>
    <s v="Q2-2023"/>
    <x v="0"/>
    <s v="Kenya"/>
    <s v="Mombasa"/>
    <s v="Small Business"/>
    <s v="Distributor"/>
    <x v="9"/>
    <s v="Printers"/>
    <s v="PRN-9488"/>
    <n v="432.01"/>
    <s v="High"/>
    <n v="913.78"/>
    <x v="216"/>
    <n v="12"/>
    <n v="34019.286120000004"/>
    <n v="5184.12"/>
    <n v="28835.166120000005"/>
    <n v="0.84761232255981278"/>
  </r>
  <r>
    <s v="ORD-2023-243704"/>
    <d v="2023-08-29T00:00:00"/>
    <d v="2023-09-19T00:00:00"/>
    <n v="21"/>
    <s v="Aug-2023"/>
    <s v="Q3-2023"/>
    <x v="3"/>
    <s v="France"/>
    <s v="Lyon"/>
    <s v="Small Business"/>
    <s v="Direct"/>
    <x v="5"/>
    <s v="Printers"/>
    <s v="PRN-7079"/>
    <n v="784.46"/>
    <s v="High"/>
    <n v="1843.51"/>
    <x v="159"/>
    <n v="23"/>
    <n v="19353.546419999999"/>
    <n v="18042.580000000002"/>
    <n v="1310.966419999997"/>
    <n v="6.7737787770268371E-2"/>
  </r>
  <r>
    <s v="ORD-2025-779659"/>
    <d v="2025-07-03T00:00:00"/>
    <d v="2025-07-23T00:00:00"/>
    <n v="20"/>
    <s v="Jul-2025"/>
    <s v="Q3-2025"/>
    <x v="1"/>
    <s v="China"/>
    <s v="Beijing"/>
    <s v="Small Business"/>
    <s v="Online"/>
    <x v="12"/>
    <s v="Components"/>
    <s v="CMP-1220"/>
    <n v="647.36"/>
    <s v="High"/>
    <n v="1383.6"/>
    <x v="13"/>
    <n v="12"/>
    <n v="12733.240800000001"/>
    <n v="7768.32"/>
    <n v="4964.9208000000017"/>
    <n v="0.38991807961410746"/>
  </r>
  <r>
    <s v="ORD-2024-647571"/>
    <d v="2024-02-06T00:00:00"/>
    <d v="2024-02-28T00:00:00"/>
    <n v="22"/>
    <s v="Feb-2024"/>
    <s v="Q1-2024"/>
    <x v="0"/>
    <s v="Kenya"/>
    <s v="Kisumu"/>
    <s v="Non-Profit"/>
    <s v="Online"/>
    <x v="11"/>
    <s v="Monitors"/>
    <s v="MON-2462"/>
    <n v="834.93"/>
    <s v="High"/>
    <n v="1588.53"/>
    <x v="38"/>
    <n v="6"/>
    <n v="8549.7651600000008"/>
    <n v="5009.58"/>
    <n v="3540.1851600000009"/>
    <n v="0.4140681169305942"/>
  </r>
  <r>
    <s v="ORD-2025-683043"/>
    <d v="2025-08-13T00:00:00"/>
    <d v="2025-09-03T00:00:00"/>
    <n v="21"/>
    <s v="Aug-2025"/>
    <s v="Q3-2025"/>
    <x v="3"/>
    <s v="France"/>
    <s v="Paris"/>
    <s v="Education"/>
    <s v="Retail"/>
    <x v="2"/>
    <s v="Phones"/>
    <s v="PHN-9465"/>
    <n v="603.47"/>
    <s v="High"/>
    <n v="1344.05"/>
    <x v="44"/>
    <n v="18"/>
    <n v="13790.9763"/>
    <n v="10862.460000000001"/>
    <n v="2928.5162999999993"/>
    <n v="0.21235018002315031"/>
  </r>
  <r>
    <s v="ORD-2023-588455"/>
    <d v="2023-05-23T00:00:00"/>
    <d v="2023-05-25T00:00:00"/>
    <n v="2"/>
    <s v="May-2023"/>
    <s v="Q2-2023"/>
    <x v="2"/>
    <s v="Brazil"/>
    <s v="Rio de Janeiro"/>
    <s v="Enterprise"/>
    <s v="Retail"/>
    <x v="12"/>
    <s v="Printers"/>
    <s v="PRN-1271"/>
    <n v="690.49"/>
    <s v="High"/>
    <n v="1290.29"/>
    <x v="174"/>
    <n v="22"/>
    <n v="18794.101480000001"/>
    <n v="15190.78"/>
    <n v="3603.3214800000005"/>
    <n v="0.19172619046643566"/>
  </r>
  <r>
    <s v="ORD-2024-641220"/>
    <d v="2024-05-10T00:00:00"/>
    <d v="2024-05-16T00:00:00"/>
    <n v="6"/>
    <s v="May-2024"/>
    <s v="Q2-2024"/>
    <x v="3"/>
    <s v="United Kingdom"/>
    <s v="Birmingham"/>
    <s v="Non-Profit"/>
    <s v="Direct"/>
    <x v="3"/>
    <s v="Laptops"/>
    <s v="LAP-1066"/>
    <n v="210.76"/>
    <s v="High"/>
    <n v="221.58"/>
    <x v="25"/>
    <n v="5"/>
    <n v="7596.9201000000003"/>
    <n v="1053.8"/>
    <n v="6543.1201000000001"/>
    <n v="0.86128589137063583"/>
  </r>
  <r>
    <s v="ORD-2023-799597"/>
    <d v="2023-03-14T00:00:00"/>
    <d v="2023-03-18T00:00:00"/>
    <n v="4"/>
    <s v="Mar-2023"/>
    <s v="Q1-2023"/>
    <x v="3"/>
    <s v="Germany"/>
    <s v="Frankfurt"/>
    <s v="Enterprise"/>
    <s v="Direct"/>
    <x v="8"/>
    <s v="Components"/>
    <s v="CMP-8675"/>
    <n v="472.33"/>
    <s v="High"/>
    <n v="360.34"/>
    <x v="211"/>
    <n v="14"/>
    <n v="22462.4519"/>
    <n v="6612.62"/>
    <n v="15849.831900000001"/>
    <n v="0.70561450595693875"/>
  </r>
  <r>
    <s v="ORD-2023-569862"/>
    <d v="2023-07-16T00:00:00"/>
    <d v="2023-08-13T00:00:00"/>
    <n v="28"/>
    <s v="Jul-2023"/>
    <s v="Q3-2023"/>
    <x v="3"/>
    <s v="United Kingdom"/>
    <s v="Manchester"/>
    <s v="Non-Profit"/>
    <s v="Online"/>
    <x v="1"/>
    <s v="Laptops"/>
    <s v="LAP-1178"/>
    <n v="1039.03"/>
    <s v="High"/>
    <n v="2545.81"/>
    <x v="154"/>
    <n v="21"/>
    <n v="20043.767520000001"/>
    <n v="21819.63"/>
    <n v="-1775.8624799999998"/>
    <n v="-8.8599235559283701E-2"/>
  </r>
  <r>
    <s v="ORD-2023-609394"/>
    <d v="2023-04-16T00:00:00"/>
    <d v="2023-04-19T00:00:00"/>
    <n v="3"/>
    <s v="Apr-2023"/>
    <s v="Q2-2023"/>
    <x v="3"/>
    <s v="Germany"/>
    <s v="Munich"/>
    <s v="Corporate"/>
    <s v="Direct"/>
    <x v="5"/>
    <s v="Accessories"/>
    <s v="ACC-1731"/>
    <n v="553.61"/>
    <s v="High"/>
    <n v="699.47"/>
    <x v="113"/>
    <n v="33"/>
    <n v="31378.531800000001"/>
    <n v="18269.13"/>
    <n v="13109.4018"/>
    <n v="0.41778251078018885"/>
  </r>
  <r>
    <s v="ORD-2024-105586"/>
    <d v="2024-01-02T00:00:00"/>
    <d v="2024-01-15T00:00:00"/>
    <n v="13"/>
    <s v="Jan-2024"/>
    <s v="Q1-2024"/>
    <x v="1"/>
    <s v="Japan"/>
    <s v="Nagoya"/>
    <s v="Small Business"/>
    <s v="Marketplace"/>
    <x v="3"/>
    <s v="Networking"/>
    <s v="NET-1893"/>
    <n v="1219.06"/>
    <s v="High"/>
    <n v="2738.69"/>
    <x v="171"/>
    <n v="16"/>
    <n v="24019.121280000003"/>
    <n v="19504.96"/>
    <n v="4514.1612800000039"/>
    <n v="0.18794031752355611"/>
  </r>
  <r>
    <s v="ORD-2024-207792"/>
    <d v="2024-09-03T00:00:00"/>
    <d v="2024-09-07T00:00:00"/>
    <n v="4"/>
    <s v="Sept-2024"/>
    <s v="Q3-2024"/>
    <x v="1"/>
    <s v="Japan"/>
    <s v="Tokyo"/>
    <s v="Small Business"/>
    <s v="Distributor"/>
    <x v="13"/>
    <s v="Printers"/>
    <s v="PRN-3917"/>
    <n v="43.23"/>
    <s v="Medium"/>
    <n v="94.78"/>
    <x v="119"/>
    <n v="55"/>
    <n v="130292.46945000002"/>
    <n v="2377.6499999999996"/>
    <n v="127914.81945000002"/>
    <n v="0.98175143958790023"/>
  </r>
  <r>
    <s v="ORD-2025-417336"/>
    <d v="2025-08-30T00:00:00"/>
    <d v="2025-09-03T00:00:00"/>
    <n v="4"/>
    <s v="Aug-2025"/>
    <s v="Q3-2025"/>
    <x v="3"/>
    <s v="France"/>
    <s v="Marseille"/>
    <s v="Small Business"/>
    <s v="Marketplace"/>
    <x v="1"/>
    <s v="Laptops"/>
    <s v="LAP-3220"/>
    <n v="1286.56"/>
    <s v="High"/>
    <n v="2777.35"/>
    <x v="191"/>
    <n v="15"/>
    <n v="5660.0544"/>
    <n v="19298.399999999998"/>
    <n v="-13638.345599999997"/>
    <n v="-2.4095785369130014"/>
  </r>
  <r>
    <s v="ORD-2025-252117"/>
    <d v="2025-04-28T00:00:00"/>
    <d v="2025-05-19T00:00:00"/>
    <n v="21"/>
    <s v="Apr-2025"/>
    <s v="Q2-2025"/>
    <x v="3"/>
    <s v="Germany"/>
    <s v="Berlin"/>
    <s v="Corporate"/>
    <s v="Distributor"/>
    <x v="5"/>
    <s v="Phones"/>
    <s v="PHN-2462"/>
    <n v="350.76"/>
    <s v="High"/>
    <n v="492.18"/>
    <x v="114"/>
    <n v="11"/>
    <n v="19379.89097"/>
    <n v="3858.3599999999997"/>
    <n v="15521.53097"/>
    <n v="0.80090909665215726"/>
  </r>
  <r>
    <s v="ORD-2023-867175"/>
    <d v="2023-08-10T00:00:00"/>
    <d v="2023-08-15T00:00:00"/>
    <n v="5"/>
    <s v="Aug-2023"/>
    <s v="Q3-2023"/>
    <x v="2"/>
    <s v="Brazil"/>
    <s v="São Paulo"/>
    <s v="Education"/>
    <s v="Direct"/>
    <x v="3"/>
    <s v="Networking"/>
    <s v="NET-2894"/>
    <n v="1307.52"/>
    <s v="High"/>
    <n v="1921.65"/>
    <x v="82"/>
    <n v="13"/>
    <n v="9504.8996900000002"/>
    <n v="16997.759999999998"/>
    <n v="-7492.8603099999982"/>
    <n v="-0.78831555875157244"/>
  </r>
  <r>
    <s v="ORD-2024-382152"/>
    <d v="2024-12-08T00:00:00"/>
    <d v="2024-12-08T00:00:00"/>
    <n v="0"/>
    <s v="Dec-2024"/>
    <s v="Q4-2024"/>
    <x v="3"/>
    <s v="France"/>
    <s v="Lyon"/>
    <s v="Enterprise"/>
    <s v="Retail"/>
    <x v="10"/>
    <s v="Components"/>
    <s v="CMP-2335"/>
    <n v="257.44"/>
    <s v="High"/>
    <n v="290.33"/>
    <x v="77"/>
    <n v="23"/>
    <n v="6964.3963200000007"/>
    <n v="5921.12"/>
    <n v="1043.2763200000009"/>
    <n v="0.14980140015926044"/>
  </r>
  <r>
    <s v="ORD-2023-597666"/>
    <d v="2023-10-25T00:00:00"/>
    <d v="2023-11-24T00:00:00"/>
    <n v="30"/>
    <s v="Oct-2023"/>
    <s v="Q4-2023"/>
    <x v="3"/>
    <s v="France"/>
    <s v="Paris"/>
    <s v="Enterprise"/>
    <s v="Distributor"/>
    <x v="0"/>
    <s v="Phones"/>
    <s v="PHN-5938"/>
    <n v="287.85000000000002"/>
    <s v="High"/>
    <n v="602.91999999999996"/>
    <x v="217"/>
    <n v="11"/>
    <n v="15273.462600000001"/>
    <n v="3166.3500000000004"/>
    <n v="12107.1126"/>
    <n v="0.79268944554851628"/>
  </r>
  <r>
    <s v="ORD-2024-371409"/>
    <d v="2024-11-17T00:00:00"/>
    <d v="2024-11-28T00:00:00"/>
    <n v="11"/>
    <s v="Nov-2024"/>
    <s v="Q4-2024"/>
    <x v="2"/>
    <s v="Canada"/>
    <s v="Not Provided"/>
    <s v="Consumer"/>
    <s v="Distributor"/>
    <x v="8"/>
    <s v="Printers"/>
    <s v="PRN-1371"/>
    <n v="1008.16"/>
    <s v="High"/>
    <n v="2077.5"/>
    <x v="13"/>
    <n v="15"/>
    <n v="14894.108099999999"/>
    <n v="15122.4"/>
    <n v="-228.29190000000017"/>
    <n v="-1.5327665038230801E-2"/>
  </r>
  <r>
    <s v="ORD-2024-973420"/>
    <d v="2024-05-12T00:00:00"/>
    <d v="2024-05-24T00:00:00"/>
    <n v="12"/>
    <s v="May-2024"/>
    <s v="Q2-2024"/>
    <x v="3"/>
    <s v="United Kingdom"/>
    <s v="Manchester"/>
    <s v="Education"/>
    <s v="Marketplace"/>
    <x v="11"/>
    <s v="Printers"/>
    <s v="PRN-5813"/>
    <n v="111.02"/>
    <s v="Medium"/>
    <n v="172.88"/>
    <x v="115"/>
    <n v="29"/>
    <n v="70514.200349999999"/>
    <n v="3219.58"/>
    <n v="67294.620349999997"/>
    <n v="0.95434139529315387"/>
  </r>
  <r>
    <s v="ORD-2025-254721"/>
    <d v="2025-05-15T00:00:00"/>
    <d v="2025-06-05T00:00:00"/>
    <n v="21"/>
    <s v="May-2025"/>
    <s v="Q2-2025"/>
    <x v="1"/>
    <s v="Japan"/>
    <s v="Osaka"/>
    <s v="Enterprise"/>
    <s v="Direct"/>
    <x v="10"/>
    <s v="Phones"/>
    <s v="PHN-6480"/>
    <n v="1466.5"/>
    <s v="High"/>
    <n v="2778.74"/>
    <x v="157"/>
    <n v="4"/>
    <n v="3415.8503999999998"/>
    <n v="5866"/>
    <n v="-2450.1496000000002"/>
    <n v="-0.71728832152602473"/>
  </r>
  <r>
    <s v="ORD-2024-247032"/>
    <d v="2024-04-21T00:00:00"/>
    <d v="2024-05-19T00:00:00"/>
    <n v="28"/>
    <s v="Apr-2024"/>
    <s v="Q2-2024"/>
    <x v="0"/>
    <s v="Nigeria"/>
    <s v="Lagos"/>
    <s v="Corporate"/>
    <s v="Distributor"/>
    <x v="8"/>
    <s v="Accessories"/>
    <s v="ACC-2990"/>
    <n v="187.22"/>
    <s v="High"/>
    <n v="309.47000000000003"/>
    <x v="5"/>
    <n v="5"/>
    <n v="4877.1499999999996"/>
    <n v="936.1"/>
    <n v="3941.0499999999997"/>
    <n v="0.8080641358170243"/>
  </r>
  <r>
    <s v="ORD-2024-792353"/>
    <d v="2024-08-19T00:00:00"/>
    <d v="2024-09-07T00:00:00"/>
    <n v="19"/>
    <s v="Aug-2024"/>
    <s v="Q3-2024"/>
    <x v="3"/>
    <s v="France"/>
    <s v="Lyon"/>
    <s v="Corporate"/>
    <s v="Direct"/>
    <x v="1"/>
    <s v="Components"/>
    <s v="CMP-5435"/>
    <n v="297.58999999999997"/>
    <s v="High"/>
    <n v="666.41"/>
    <x v="5"/>
    <n v="10"/>
    <n v="1414.3000000000002"/>
    <n v="2975.8999999999996"/>
    <n v="-1561.5999999999995"/>
    <n v="-1.1041504631266346"/>
  </r>
  <r>
    <s v="ORD-2025-703623"/>
    <d v="2025-07-23T00:00:00"/>
    <d v="2025-08-19T00:00:00"/>
    <n v="27"/>
    <s v="Jul-2025"/>
    <s v="Q3-2025"/>
    <x v="1"/>
    <s v="Japan"/>
    <s v="Nagoya"/>
    <s v="Consumer"/>
    <s v="Marketplace"/>
    <x v="5"/>
    <s v="Accessories"/>
    <s v="ACC-1596"/>
    <n v="896.09"/>
    <s v="High"/>
    <n v="744.27"/>
    <x v="200"/>
    <n v="11"/>
    <n v="16395.611540000002"/>
    <n v="9856.99"/>
    <n v="6538.6215400000019"/>
    <n v="0.3988031507118765"/>
  </r>
  <r>
    <s v="ORD-2024-516704"/>
    <d v="2024-03-01T00:00:00"/>
    <d v="2024-02-29T00:00:00"/>
    <n v="1"/>
    <s v="Mar-2024"/>
    <s v="Q1-2024"/>
    <x v="2"/>
    <s v="Brazil"/>
    <s v="São Paulo"/>
    <s v="Non-Profit"/>
    <s v="Direct"/>
    <x v="2"/>
    <s v="Phones"/>
    <s v="PHN-7852"/>
    <n v="5.34"/>
    <s v="Low"/>
    <n v="12.69"/>
    <x v="191"/>
    <n v="10"/>
    <n v="2603.4792000000002"/>
    <n v="53.4"/>
    <n v="2550.0792000000001"/>
    <n v="0.97948898535467455"/>
  </r>
  <r>
    <s v="ORD-2024-578646"/>
    <d v="2024-05-27T00:00:00"/>
    <d v="2024-06-17T00:00:00"/>
    <n v="21"/>
    <s v="May-2024"/>
    <s v="Q2-2024"/>
    <x v="1"/>
    <s v="India"/>
    <s v="Delhi"/>
    <s v="Small Business"/>
    <s v="Online"/>
    <x v="10"/>
    <s v="Accessories"/>
    <s v="ACC-7240"/>
    <n v="465.02"/>
    <s v="High"/>
    <n v="651.55999999999995"/>
    <x v="174"/>
    <n v="19"/>
    <n v="27375.07992"/>
    <n v="8835.3799999999992"/>
    <n v="18539.699919999999"/>
    <n v="0.67724733495499501"/>
  </r>
  <r>
    <s v="ORD-2024-433936"/>
    <d v="2024-08-04T00:00:00"/>
    <d v="2024-08-17T00:00:00"/>
    <n v="13"/>
    <s v="Aug-2024"/>
    <s v="Q3-2024"/>
    <x v="2"/>
    <s v="USA"/>
    <s v="Austin"/>
    <s v="Consumer"/>
    <s v="Retail"/>
    <x v="14"/>
    <s v="Monitors"/>
    <s v="MON-8867"/>
    <n v="352.79"/>
    <s v="High"/>
    <n v="754.22"/>
    <x v="139"/>
    <n v="7"/>
    <n v="19254.791990000002"/>
    <n v="2469.5300000000002"/>
    <n v="16785.261990000003"/>
    <n v="0.87174465445887173"/>
  </r>
  <r>
    <s v="ORD-2023-434071"/>
    <d v="2023-06-20T00:00:00"/>
    <d v="2023-07-04T00:00:00"/>
    <n v="14"/>
    <s v="Jun-2023"/>
    <s v="Q2-2023"/>
    <x v="2"/>
    <s v="Brazil"/>
    <s v="Brasília"/>
    <s v="Non-Profit"/>
    <s v="Direct"/>
    <x v="0"/>
    <s v="Networking"/>
    <s v="NET-1228"/>
    <n v="1292.8599999999999"/>
    <s v="High"/>
    <n v="2981.01"/>
    <x v="56"/>
    <n v="12"/>
    <n v="10084.108319999999"/>
    <n v="15514.32"/>
    <n v="-5430.2116800000003"/>
    <n v="-0.5384920022358507"/>
  </r>
  <r>
    <s v="ORD-2024-728474"/>
    <d v="2024-09-09T00:00:00"/>
    <d v="2024-09-13T00:00:00"/>
    <n v="4"/>
    <s v="Sept-2024"/>
    <s v="Q3-2024"/>
    <x v="3"/>
    <s v="United Kingdom"/>
    <s v="London"/>
    <s v="Consumer"/>
    <s v="Marketplace"/>
    <x v="9"/>
    <s v="Networking"/>
    <s v="NET-1145"/>
    <n v="1133.08"/>
    <s v="High"/>
    <n v="976.17"/>
    <x v="174"/>
    <n v="27"/>
    <n v="30683.801159999999"/>
    <n v="30593.159999999996"/>
    <n v="90.641160000002856"/>
    <n v="2.9540394792469337E-3"/>
  </r>
  <r>
    <s v="ORD-2023-406606"/>
    <d v="2023-10-25T00:00:00"/>
    <d v="2023-10-28T00:00:00"/>
    <n v="3"/>
    <s v="Oct-2023"/>
    <s v="Q4-2023"/>
    <x v="2"/>
    <s v="Brazil"/>
    <s v="Brasília"/>
    <s v="Corporate"/>
    <s v="Distributor"/>
    <x v="4"/>
    <s v="Accessories"/>
    <s v="ACC-2867"/>
    <n v="509.31"/>
    <s v="High"/>
    <n v="1145.9000000000001"/>
    <x v="92"/>
    <n v="8"/>
    <n v="14622.761519999998"/>
    <n v="4074.48"/>
    <n v="10548.281519999999"/>
    <n v="0.7213604287789821"/>
  </r>
  <r>
    <s v="ORD-2025-823055"/>
    <d v="2025-09-08T00:00:00"/>
    <d v="2025-10-05T00:00:00"/>
    <n v="27"/>
    <s v="Sept-2025"/>
    <s v="Q3-2025"/>
    <x v="2"/>
    <s v="Brazil"/>
    <s v="Rio de Janeiro"/>
    <s v="Education"/>
    <s v="Online"/>
    <x v="0"/>
    <s v="Monitors"/>
    <s v="MON-9274"/>
    <n v="660.78"/>
    <s v="High"/>
    <n v="1630.39"/>
    <x v="218"/>
    <n v="13"/>
    <n v="8401.8940200000015"/>
    <n v="8590.14"/>
    <n v="-188.24597999999787"/>
    <n v="-2.2405183825443903E-2"/>
  </r>
  <r>
    <s v="ORD-2023-573656"/>
    <d v="2023-05-02T00:00:00"/>
    <d v="2023-05-16T00:00:00"/>
    <n v="14"/>
    <s v="May-2023"/>
    <s v="Q2-2023"/>
    <x v="1"/>
    <s v="India"/>
    <s v="Bengaluru"/>
    <s v="Non-Profit"/>
    <s v="Retail"/>
    <x v="4"/>
    <s v="Monitors"/>
    <s v="MON-4830"/>
    <n v="475.37"/>
    <s v="High"/>
    <n v="963.73"/>
    <x v="208"/>
    <n v="22"/>
    <n v="2493.1506600000002"/>
    <n v="10458.14"/>
    <n v="-7964.9893399999992"/>
    <n v="-3.194748503485946"/>
  </r>
  <r>
    <s v="ORD-2024-567435"/>
    <d v="2024-04-26T00:00:00"/>
    <d v="2024-04-24T00:00:00"/>
    <n v="2"/>
    <s v="Apr-2024"/>
    <s v="Q2-2024"/>
    <x v="3"/>
    <s v="United Kingdom"/>
    <s v="London"/>
    <s v="Non-Profit"/>
    <s v="Distributor"/>
    <x v="13"/>
    <s v="Phones"/>
    <s v="PHN-9107"/>
    <n v="1232.77"/>
    <s v="High"/>
    <n v="891.73"/>
    <x v="150"/>
    <n v="10"/>
    <n v="11877.497099999999"/>
    <n v="12327.7"/>
    <n v="-450.20290000000205"/>
    <n v="-3.7903852655960836E-2"/>
  </r>
  <r>
    <s v="ORD-2023-744942"/>
    <d v="2023-02-23T00:00:00"/>
    <d v="2023-03-18T00:00:00"/>
    <n v="23"/>
    <s v="Feb-2023"/>
    <s v="Q1-2023"/>
    <x v="1"/>
    <s v="China"/>
    <s v="Beijing"/>
    <s v="Education"/>
    <s v="Distributor"/>
    <x v="11"/>
    <s v="Printers"/>
    <s v="PRN-1060"/>
    <n v="770.11"/>
    <s v="High"/>
    <n v="1667.82"/>
    <x v="90"/>
    <n v="7"/>
    <n v="10393.181259999999"/>
    <n v="5390.77"/>
    <n v="5002.4112599999989"/>
    <n v="0.48131665703288229"/>
  </r>
  <r>
    <s v="ORD-2025-331237"/>
    <d v="2025-03-24T00:00:00"/>
    <d v="2025-03-25T00:00:00"/>
    <n v="1"/>
    <s v="Mar-2025"/>
    <s v="Q1-2025"/>
    <x v="1"/>
    <s v="China"/>
    <s v="Beijing"/>
    <s v="Non-Profit"/>
    <s v="Online"/>
    <x v="3"/>
    <s v="Networking"/>
    <s v="NET-8329"/>
    <n v="1133.03"/>
    <s v="High"/>
    <n v="1921.51"/>
    <x v="27"/>
    <n v="5"/>
    <n v="15022.784449999999"/>
    <n v="5665.15"/>
    <n v="9357.6344499999996"/>
    <n v="0.62289614026912299"/>
  </r>
  <r>
    <s v="ORD-2025-680118"/>
    <d v="2025-03-10T00:00:00"/>
    <d v="2025-03-27T00:00:00"/>
    <n v="17"/>
    <s v="Mar-2025"/>
    <s v="Q1-2025"/>
    <x v="2"/>
    <s v="Brazil"/>
    <s v="Rio de Janeiro"/>
    <s v="Enterprise"/>
    <s v="Direct"/>
    <x v="9"/>
    <s v="Networking"/>
    <s v="NET-6269"/>
    <n v="996.73"/>
    <s v="High"/>
    <n v="1217.43"/>
    <x v="68"/>
    <n v="9"/>
    <n v="8953.9748999999993"/>
    <n v="8970.57"/>
    <n v="-16.595100000000457"/>
    <n v="-1.8533779897015859E-3"/>
  </r>
  <r>
    <s v="ORD-2024-310809"/>
    <d v="2024-04-05T00:00:00"/>
    <d v="2024-04-09T00:00:00"/>
    <n v="4"/>
    <s v="Apr-2024"/>
    <s v="Q2-2024"/>
    <x v="0"/>
    <s v="Nigeria"/>
    <s v="Lagos"/>
    <s v="Non-Profit"/>
    <s v="Direct"/>
    <x v="11"/>
    <s v="Components"/>
    <s v="CMP-6529"/>
    <n v="395.07"/>
    <s v="High"/>
    <n v="970.27"/>
    <x v="82"/>
    <n v="38"/>
    <n v="4692.9673199999997"/>
    <n v="15012.66"/>
    <n v="-10319.69268"/>
    <n v="-2.1989696446469185"/>
  </r>
  <r>
    <s v="ORD-2025-474368"/>
    <d v="2025-04-27T00:00:00"/>
    <d v="2025-05-17T00:00:00"/>
    <n v="20"/>
    <s v="Apr-2025"/>
    <s v="Q2-2025"/>
    <x v="2"/>
    <s v="USA"/>
    <s v="Austin"/>
    <s v="Corporate"/>
    <s v="Direct"/>
    <x v="13"/>
    <s v="Phones"/>
    <s v="PHN-8776"/>
    <n v="932.26"/>
    <s v="High"/>
    <n v="1624.67"/>
    <x v="146"/>
    <n v="28"/>
    <n v="1435.9968000000001"/>
    <n v="26103.279999999999"/>
    <n v="-24667.283199999998"/>
    <n v="-17.177812095402995"/>
  </r>
  <r>
    <s v="ORD-2024-732543"/>
    <d v="2024-10-24T00:00:00"/>
    <d v="2024-10-28T00:00:00"/>
    <n v="4"/>
    <s v="Oct-2024"/>
    <s v="Q4-2024"/>
    <x v="1"/>
    <s v="China"/>
    <s v="Shanghai"/>
    <s v="Small Business"/>
    <s v="Distributor"/>
    <x v="2"/>
    <s v="Networking"/>
    <s v="NET-3728"/>
    <n v="1331.77"/>
    <s v="High"/>
    <n v="2606.11"/>
    <x v="113"/>
    <n v="6"/>
    <n v="7506.8196000000007"/>
    <n v="7990.62"/>
    <n v="-483.80039999999917"/>
    <n v="-6.444811861470591E-2"/>
  </r>
  <r>
    <s v="ORD-2023-867166"/>
    <d v="2023-04-13T00:00:00"/>
    <d v="2023-04-20T00:00:00"/>
    <n v="7"/>
    <s v="Apr-2023"/>
    <s v="Q2-2023"/>
    <x v="3"/>
    <s v="France"/>
    <s v="Lyon"/>
    <s v="Small Business"/>
    <s v="Online"/>
    <x v="8"/>
    <s v="Laptops"/>
    <s v="LAP-3565"/>
    <n v="227.02"/>
    <s v="High"/>
    <n v="434.72"/>
    <x v="199"/>
    <n v="10"/>
    <n v="25448.667200000004"/>
    <n v="2270.2000000000003"/>
    <n v="23178.467200000003"/>
    <n v="0.91079297072186161"/>
  </r>
  <r>
    <s v="ORD-2024-776337"/>
    <d v="2024-11-12T00:00:00"/>
    <d v="2024-11-21T00:00:00"/>
    <n v="9"/>
    <s v="Nov-2024"/>
    <s v="Q4-2024"/>
    <x v="1"/>
    <s v="India"/>
    <s v="Mumbai"/>
    <s v="Corporate"/>
    <s v="Direct"/>
    <x v="10"/>
    <s v="Laptops"/>
    <s v="LAP-5078"/>
    <n v="903.41"/>
    <s v="High"/>
    <n v="1860.41"/>
    <x v="86"/>
    <n v="5"/>
    <n v="6953.9874000000009"/>
    <n v="4517.05"/>
    <n v="2436.9374000000007"/>
    <n v="0.35043741954436103"/>
  </r>
  <r>
    <s v="ORD-2023-913592"/>
    <d v="2023-05-10T00:00:00"/>
    <d v="2023-05-14T00:00:00"/>
    <n v="4"/>
    <s v="May-2023"/>
    <s v="Q2-2023"/>
    <x v="1"/>
    <s v="India"/>
    <s v="Delhi"/>
    <s v="Non-Profit"/>
    <s v="Distributor"/>
    <x v="0"/>
    <s v="Monitors"/>
    <s v="MON-2465"/>
    <n v="622.6"/>
    <s v="High"/>
    <n v="833.69"/>
    <x v="219"/>
    <n v="14"/>
    <n v="7271.8528400000005"/>
    <n v="8716.4"/>
    <n v="-1444.5471599999992"/>
    <n v="-0.19864911897749557"/>
  </r>
  <r>
    <s v="ORD-2024-961501"/>
    <d v="2024-03-02T00:00:00"/>
    <d v="2024-03-23T00:00:00"/>
    <n v="21"/>
    <s v="Mar-2024"/>
    <s v="Q1-2024"/>
    <x v="2"/>
    <s v="USA"/>
    <s v="Chicago"/>
    <s v="Small Business"/>
    <s v="Online"/>
    <x v="9"/>
    <s v="Components"/>
    <s v="CMP-3223"/>
    <n v="225.01"/>
    <s v="High"/>
    <n v="333.48"/>
    <x v="45"/>
    <n v="12"/>
    <n v="28098.68448"/>
    <n v="2700.12"/>
    <n v="25398.564480000001"/>
    <n v="0.90390582157246957"/>
  </r>
  <r>
    <s v="ORD-2024-964950"/>
    <d v="2024-10-10T00:00:00"/>
    <d v="2024-10-11T00:00:00"/>
    <n v="1"/>
    <s v="Oct-2024"/>
    <s v="Q4-2024"/>
    <x v="3"/>
    <s v="United Kingdom"/>
    <s v="Manchester"/>
    <s v="Non-Profit"/>
    <s v="Distributor"/>
    <x v="4"/>
    <s v="Components"/>
    <s v="CMP-8127"/>
    <n v="1389.46"/>
    <s v="High"/>
    <n v="1784.7"/>
    <x v="34"/>
    <n v="33"/>
    <n v="40152.022679999995"/>
    <n v="45852.18"/>
    <n v="-5700.1573200000057"/>
    <n v="-0.14196438783242904"/>
  </r>
  <r>
    <s v="ORD-2023-349264"/>
    <d v="2023-06-01T00:00:00"/>
    <d v="2023-06-08T00:00:00"/>
    <n v="7"/>
    <s v="Jun-2023"/>
    <s v="Q2-2023"/>
    <x v="3"/>
    <s v="Germany"/>
    <s v="Frankfurt"/>
    <s v="Consumer"/>
    <s v="Online"/>
    <x v="8"/>
    <s v="Phones"/>
    <s v="PHN-1924"/>
    <n v="804.17"/>
    <s v="High"/>
    <n v="1072.29"/>
    <x v="195"/>
    <n v="5"/>
    <n v="11222.701599999999"/>
    <n v="4020.85"/>
    <n v="7201.8515999999981"/>
    <n v="0.64172174015568584"/>
  </r>
  <r>
    <s v="ORD-2025-137394"/>
    <d v="2025-01-04T00:00:00"/>
    <d v="2025-01-05T00:00:00"/>
    <n v="1"/>
    <s v="Jan-2025"/>
    <s v="Q1-2025"/>
    <x v="1"/>
    <s v="India"/>
    <s v="Delhi"/>
    <s v="Education"/>
    <s v="Retail"/>
    <x v="2"/>
    <s v="Components"/>
    <s v="CMP-1156"/>
    <n v="1428.33"/>
    <s v="High"/>
    <n v="3028.05"/>
    <x v="5"/>
    <n v="11"/>
    <n v="4033.7"/>
    <n v="15711.63"/>
    <n v="-11677.93"/>
    <n v="-2.8950913553313335"/>
  </r>
  <r>
    <s v="ORD-2025-635337"/>
    <d v="2025-08-05T00:00:00"/>
    <d v="2025-08-28T00:00:00"/>
    <n v="23"/>
    <s v="Aug-2025"/>
    <s v="Q3-2025"/>
    <x v="1"/>
    <s v="India"/>
    <s v="Mumbai"/>
    <s v="Non-Profit"/>
    <s v="Distributor"/>
    <x v="13"/>
    <s v="Laptops"/>
    <s v="LAP-3905"/>
    <n v="638.54"/>
    <s v="High"/>
    <n v="987.24"/>
    <x v="5"/>
    <n v="11"/>
    <n v="30771.51"/>
    <n v="7023.94"/>
    <n v="23747.57"/>
    <n v="0.77173885844406076"/>
  </r>
  <r>
    <s v="ORD-2023-568013"/>
    <d v="2023-09-30T00:00:00"/>
    <d v="2023-10-30T00:00:00"/>
    <n v="0"/>
    <s v="Sept-2023"/>
    <s v="Q3-2023"/>
    <x v="1"/>
    <s v="Japan"/>
    <s v="Tokyo"/>
    <s v="Enterprise"/>
    <s v="Online"/>
    <x v="14"/>
    <s v="Printers"/>
    <s v="PRN-1786"/>
    <n v="649.13"/>
    <s v="High"/>
    <n v="975.43"/>
    <x v="87"/>
    <n v="27"/>
    <n v="50294.07125999999"/>
    <n v="17526.509999999998"/>
    <n v="32767.561259999991"/>
    <n v="0.65151936280133227"/>
  </r>
  <r>
    <s v="ORD-2025-828263"/>
    <d v="2025-05-17T00:00:00"/>
    <d v="2025-05-30T00:00:00"/>
    <n v="13"/>
    <s v="May-2025"/>
    <s v="Q2-2025"/>
    <x v="0"/>
    <s v="Nigeria"/>
    <s v="Lagos"/>
    <s v="Consumer"/>
    <s v="Distributor"/>
    <x v="9"/>
    <s v="Accessories"/>
    <s v="ACC-3349"/>
    <n v="66.400000000000006"/>
    <s v="Medium"/>
    <n v="141.43"/>
    <x v="105"/>
    <n v="8"/>
    <n v="5994.1017599999996"/>
    <n v="531.20000000000005"/>
    <n v="5462.9017599999997"/>
    <n v="0.91137954921873066"/>
  </r>
  <r>
    <s v="ORD-2024-402240"/>
    <d v="2024-05-01T00:00:00"/>
    <d v="2024-05-26T00:00:00"/>
    <n v="25"/>
    <s v="May-2024"/>
    <s v="Q2-2024"/>
    <x v="3"/>
    <s v="Germany"/>
    <s v="Berlin"/>
    <s v="Non-Profit"/>
    <s v="Retail"/>
    <x v="5"/>
    <s v="Networking"/>
    <s v="NET-4228"/>
    <n v="930.71"/>
    <s v="High"/>
    <n v="1625.42"/>
    <x v="159"/>
    <n v="7"/>
    <n v="6873.6311000000005"/>
    <n v="6514.97"/>
    <n v="358.66110000000026"/>
    <n v="5.2179276830844216E-2"/>
  </r>
  <r>
    <s v="ORD-2023-125739"/>
    <d v="2023-05-01T00:00:00"/>
    <d v="2023-05-18T00:00:00"/>
    <n v="17"/>
    <s v="May-2023"/>
    <s v="Q2-2023"/>
    <x v="0"/>
    <s v="Nigeria"/>
    <s v="Port Harcourt"/>
    <s v="Corporate"/>
    <s v="Direct"/>
    <x v="9"/>
    <s v="Components"/>
    <s v="CMP-5633"/>
    <n v="327.97"/>
    <s v="High"/>
    <n v="299.94"/>
    <x v="216"/>
    <n v="3"/>
    <n v="4884.4215899999999"/>
    <n v="983.91000000000008"/>
    <n v="3900.5115900000001"/>
    <n v="0.79856161433435968"/>
  </r>
  <r>
    <s v="ORD-2024-892879"/>
    <d v="2024-07-09T00:00:00"/>
    <d v="2024-08-08T00:00:00"/>
    <n v="30"/>
    <s v="Jul-2024"/>
    <s v="Q3-2024"/>
    <x v="3"/>
    <s v="France"/>
    <s v="Marseille"/>
    <s v="Corporate"/>
    <s v="Direct"/>
    <x v="1"/>
    <s v="Components"/>
    <s v="CMP-5825"/>
    <n v="1062.3800000000001"/>
    <s v="High"/>
    <n v="1503.96"/>
    <x v="79"/>
    <n v="6"/>
    <n v="5187.1068000000005"/>
    <n v="6374.2800000000007"/>
    <n v="-1187.1732000000002"/>
    <n v="-0.22887001285572142"/>
  </r>
  <r>
    <s v="ORD-2023-472050"/>
    <d v="2023-05-10T00:00:00"/>
    <d v="2023-05-27T00:00:00"/>
    <n v="17"/>
    <s v="May-2023"/>
    <s v="Q2-2023"/>
    <x v="1"/>
    <s v="India"/>
    <s v="Mumbai"/>
    <s v="Consumer"/>
    <s v="Retail"/>
    <x v="12"/>
    <s v="Laptops"/>
    <s v="LAP-6499"/>
    <n v="1286.1600000000001"/>
    <s v="High"/>
    <n v="3101.11"/>
    <x v="165"/>
    <n v="23"/>
    <n v="50740.254000000001"/>
    <n v="29581.68"/>
    <n v="21158.574000000001"/>
    <n v="0.41699779429562966"/>
  </r>
  <r>
    <s v="ORD-2024-468615"/>
    <d v="2024-07-09T00:00:00"/>
    <d v="2024-07-12T00:00:00"/>
    <n v="3"/>
    <s v="Jul-2024"/>
    <s v="Q3-2024"/>
    <x v="1"/>
    <s v="China"/>
    <s v="Shanghai"/>
    <s v="Small Business"/>
    <s v="Retail"/>
    <x v="14"/>
    <s v="Accessories"/>
    <s v="ACC-3721"/>
    <n v="748.39"/>
    <s v="High"/>
    <n v="979.42"/>
    <x v="5"/>
    <n v="23"/>
    <n v="28777.83"/>
    <n v="17212.97"/>
    <n v="11564.86"/>
    <n v="0.401866992751017"/>
  </r>
  <r>
    <s v="ORD-2024-833375"/>
    <d v="2024-04-24T00:00:00"/>
    <d v="2024-05-10T00:00:00"/>
    <n v="16"/>
    <s v="Apr-2024"/>
    <s v="Q2-2024"/>
    <x v="0"/>
    <s v="Kenya"/>
    <s v="Kisumu"/>
    <s v="Non-Profit"/>
    <s v="Online"/>
    <x v="13"/>
    <s v="Monitors"/>
    <s v="MON-6190"/>
    <n v="513.30999999999995"/>
    <s v="High"/>
    <n v="1186.26"/>
    <x v="12"/>
    <n v="15"/>
    <n v="15014.232"/>
    <n v="7699.65"/>
    <n v="7314.5820000000003"/>
    <n v="0.48717656687335059"/>
  </r>
  <r>
    <s v="ORD-2024-206311"/>
    <d v="2024-01-13T00:00:00"/>
    <d v="2024-01-15T00:00:00"/>
    <n v="2"/>
    <s v="Jan-2024"/>
    <s v="Q1-2024"/>
    <x v="2"/>
    <s v="USA"/>
    <s v="San Francisco"/>
    <s v="Non-Profit"/>
    <s v="Direct"/>
    <x v="6"/>
    <s v="Components"/>
    <s v="CMP-2410"/>
    <n v="1061.3699999999999"/>
    <s v="High"/>
    <n v="1938.33"/>
    <x v="189"/>
    <n v="4"/>
    <n v="7912.9211999999989"/>
    <n v="4245.4799999999996"/>
    <n v="3667.4411999999993"/>
    <n v="0.46347500591816837"/>
  </r>
  <r>
    <s v="ORD-2024-364080"/>
    <d v="2024-04-16T00:00:00"/>
    <d v="2024-04-27T00:00:00"/>
    <n v="11"/>
    <s v="Apr-2024"/>
    <s v="Q2-2024"/>
    <x v="0"/>
    <s v="Kenya"/>
    <s v="Nakuru"/>
    <s v="Enterprise"/>
    <s v="Online"/>
    <x v="14"/>
    <s v="Printers"/>
    <s v="PRN-2641"/>
    <n v="401.3"/>
    <s v="High"/>
    <n v="826.47"/>
    <x v="152"/>
    <n v="13"/>
    <n v="2146.5795000000003"/>
    <n v="5216.9000000000005"/>
    <n v="-3070.3205000000003"/>
    <n v="-1.4303316043034977"/>
  </r>
  <r>
    <s v="ORD-2025-460466"/>
    <d v="2025-02-07T00:00:00"/>
    <d v="2025-02-16T00:00:00"/>
    <n v="9"/>
    <s v="Feb-2025"/>
    <s v="Q1-2025"/>
    <x v="0"/>
    <s v="Nigeria"/>
    <s v="Lagos"/>
    <s v="Small Business"/>
    <s v="Distributor"/>
    <x v="0"/>
    <s v="Printers"/>
    <s v="PRN-1882"/>
    <n v="90.68"/>
    <s v="Medium"/>
    <n v="118.17"/>
    <x v="157"/>
    <n v="21"/>
    <n v="36886.575600000004"/>
    <n v="1904.2800000000002"/>
    <n v="34982.295600000005"/>
    <n v="0.94837471440422894"/>
  </r>
  <r>
    <s v="ORD-2023-700699"/>
    <d v="2023-01-12T00:00:00"/>
    <d v="2023-01-26T00:00:00"/>
    <n v="14"/>
    <s v="Jan-2023"/>
    <s v="Q1-2023"/>
    <x v="1"/>
    <s v="China"/>
    <s v="Shenzhen"/>
    <s v="Non-Profit"/>
    <s v="Retail"/>
    <x v="12"/>
    <s v="Printers"/>
    <s v="PRN-1641"/>
    <n v="1083.0899999999999"/>
    <s v="High"/>
    <n v="1425.87"/>
    <x v="5"/>
    <n v="8"/>
    <n v="7653.6"/>
    <n v="8664.7199999999993"/>
    <n v="-1011.119999999999"/>
    <n v="-0.13211037942928805"/>
  </r>
  <r>
    <s v="ORD-2024-713332"/>
    <d v="2024-06-05T00:00:00"/>
    <d v="2024-06-23T00:00:00"/>
    <n v="18"/>
    <s v="Jun-2024"/>
    <s v="Q2-2024"/>
    <x v="0"/>
    <s v="Kenya"/>
    <s v="Nairobi"/>
    <s v="Consumer"/>
    <s v="Distributor"/>
    <x v="14"/>
    <s v="Laptops"/>
    <s v="LAP-1739"/>
    <n v="1208.74"/>
    <s v="High"/>
    <n v="1594.78"/>
    <x v="163"/>
    <n v="39"/>
    <n v="53128.40832000001"/>
    <n v="47140.86"/>
    <n v="5987.548320000009"/>
    <n v="0.11269956148387032"/>
  </r>
  <r>
    <s v="ORD-2023-640022"/>
    <d v="2023-08-24T00:00:00"/>
    <d v="2023-09-20T00:00:00"/>
    <n v="27"/>
    <s v="Aug-2023"/>
    <s v="Q3-2023"/>
    <x v="0"/>
    <s v="South Africa"/>
    <s v="Durban"/>
    <s v="Small Business"/>
    <s v="Marketplace"/>
    <x v="12"/>
    <s v="Printers"/>
    <s v="PRN-4732"/>
    <n v="1399.64"/>
    <s v="High"/>
    <n v="3342.11"/>
    <x v="5"/>
    <n v="10"/>
    <n v="29496.199999999997"/>
    <n v="13996.400000000001"/>
    <n v="15499.799999999996"/>
    <n v="0.52548463869922213"/>
  </r>
  <r>
    <s v="ORD-2024-532184"/>
    <d v="2024-01-25T00:00:00"/>
    <d v="2024-02-08T00:00:00"/>
    <n v="14"/>
    <s v="Jan-2024"/>
    <s v="Q1-2024"/>
    <x v="1"/>
    <s v="Japan"/>
    <s v="Osaka"/>
    <s v="Consumer"/>
    <s v="Marketplace"/>
    <x v="2"/>
    <s v="Networking"/>
    <s v="NET-9569"/>
    <n v="937.16"/>
    <s v="High"/>
    <n v="1069.77"/>
    <x v="16"/>
    <n v="9"/>
    <n v="22342.575059999999"/>
    <n v="8434.44"/>
    <n v="13908.135059999999"/>
    <n v="0.62249472241450754"/>
  </r>
  <r>
    <s v="ORD-2025-926547"/>
    <d v="2025-03-11T00:00:00"/>
    <d v="2025-03-26T00:00:00"/>
    <n v="15"/>
    <s v="Mar-2025"/>
    <s v="Q1-2025"/>
    <x v="3"/>
    <s v="Germany"/>
    <s v="Berlin"/>
    <s v="Small Business"/>
    <s v="Online"/>
    <x v="2"/>
    <s v="Phones"/>
    <s v="PHN-3007"/>
    <n v="116.97"/>
    <s v="Medium"/>
    <n v="140.82"/>
    <x v="153"/>
    <n v="5"/>
    <n v="8687.4149000000016"/>
    <n v="584.85"/>
    <n v="8102.5649000000012"/>
    <n v="0.93267847723032082"/>
  </r>
  <r>
    <s v="ORD-2025-778145"/>
    <d v="2025-04-22T00:00:00"/>
    <d v="2025-05-12T00:00:00"/>
    <n v="20"/>
    <s v="Apr-2025"/>
    <s v="Q2-2025"/>
    <x v="3"/>
    <s v="France"/>
    <s v="Lyon"/>
    <s v="Enterprise"/>
    <s v="Marketplace"/>
    <x v="11"/>
    <s v="Monitors"/>
    <s v="MON-9216"/>
    <n v="59.51"/>
    <s v="Medium"/>
    <n v="67.040000000000006"/>
    <x v="60"/>
    <n v="9"/>
    <n v="11813.082300000002"/>
    <n v="535.59"/>
    <n v="11277.492300000002"/>
    <n v="0.95466128260191674"/>
  </r>
  <r>
    <s v="ORD-2023-525643"/>
    <d v="2023-08-17T00:00:00"/>
    <d v="2023-09-03T00:00:00"/>
    <n v="17"/>
    <s v="Aug-2023"/>
    <s v="Q3-2023"/>
    <x v="0"/>
    <s v="South Africa"/>
    <s v="Durban"/>
    <s v="Enterprise"/>
    <s v="Retail"/>
    <x v="8"/>
    <s v="Phones"/>
    <s v="PHN-8072"/>
    <n v="676.37"/>
    <s v="High"/>
    <n v="1276.67"/>
    <x v="72"/>
    <n v="10"/>
    <n v="15494.3128"/>
    <n v="6763.7"/>
    <n v="8730.612799999999"/>
    <n v="0.56347208893317291"/>
  </r>
  <r>
    <s v="ORD-2025-312803"/>
    <d v="2025-06-24T00:00:00"/>
    <d v="2025-07-14T00:00:00"/>
    <n v="20"/>
    <s v="Jun-2025"/>
    <s v="Q2-2025"/>
    <x v="0"/>
    <s v="South Africa"/>
    <s v="Johannesburg"/>
    <s v="Enterprise"/>
    <s v="Marketplace"/>
    <x v="1"/>
    <s v="Laptops"/>
    <s v="LAP-1308"/>
    <n v="1151.06"/>
    <s v="High"/>
    <n v="2821.36"/>
    <x v="220"/>
    <n v="20"/>
    <n v="9059.1936000000005"/>
    <n v="23021.199999999997"/>
    <n v="-13962.006399999997"/>
    <n v="-1.5411974858336173"/>
  </r>
  <r>
    <s v="ORD-2025-149156"/>
    <d v="2025-01-10T00:00:00"/>
    <d v="2025-02-06T00:00:00"/>
    <n v="27"/>
    <s v="Jan-2025"/>
    <s v="Q1-2025"/>
    <x v="2"/>
    <s v="Brazil"/>
    <s v="Brasília"/>
    <s v="Non-Profit"/>
    <s v="Retail"/>
    <x v="5"/>
    <s v="Laptops"/>
    <s v="LAP-7353"/>
    <n v="725.62"/>
    <s v="High"/>
    <n v="1559.19"/>
    <x v="197"/>
    <n v="12"/>
    <n v="5128.6608000000006"/>
    <n v="8707.44"/>
    <n v="-3578.7791999999999"/>
    <n v="-0.69779994028850567"/>
  </r>
  <r>
    <s v="ORD-2023-215819"/>
    <d v="2023-07-01T00:00:00"/>
    <d v="2023-07-11T00:00:00"/>
    <n v="10"/>
    <s v="Jul-2023"/>
    <s v="Q3-2023"/>
    <x v="3"/>
    <s v="France"/>
    <s v="Paris"/>
    <s v="Corporate"/>
    <s v="Direct"/>
    <x v="9"/>
    <s v="Networking"/>
    <s v="NET-6533"/>
    <n v="479.5"/>
    <s v="High"/>
    <n v="656.66"/>
    <x v="9"/>
    <n v="14"/>
    <n v="21944.3966"/>
    <n v="6713"/>
    <n v="15231.3966"/>
    <n v="0.69409047228029042"/>
  </r>
  <r>
    <s v="ORD-2024-353078"/>
    <d v="2024-08-16T00:00:00"/>
    <d v="2024-08-26T00:00:00"/>
    <n v="10"/>
    <s v="Aug-2024"/>
    <s v="Q3-2024"/>
    <x v="2"/>
    <s v="USA"/>
    <s v="Chicago"/>
    <s v="Corporate"/>
    <s v="Distributor"/>
    <x v="4"/>
    <s v="Laptops"/>
    <s v="LAP-5763"/>
    <n v="1291.7"/>
    <s v="High"/>
    <n v="2657.84"/>
    <x v="24"/>
    <n v="21"/>
    <n v="31548.788040000003"/>
    <n v="27125.7"/>
    <n v="4423.0880400000024"/>
    <n v="0.14019835038962727"/>
  </r>
  <r>
    <s v="ORD-2023-621393"/>
    <d v="2023-07-07T00:00:00"/>
    <d v="2023-07-13T00:00:00"/>
    <n v="6"/>
    <s v="Jul-2023"/>
    <s v="Q3-2023"/>
    <x v="0"/>
    <s v="South Africa"/>
    <s v="Cape Town"/>
    <s v="Small Business"/>
    <s v="Marketplace"/>
    <x v="5"/>
    <s v="Accessories"/>
    <s v="ACC-9445"/>
    <n v="612.59"/>
    <s v="High"/>
    <n v="1424.74"/>
    <x v="221"/>
    <n v="15"/>
    <n v="10428.334800000001"/>
    <n v="9188.85"/>
    <n v="1239.4848000000002"/>
    <n v="0.11885740377265219"/>
  </r>
  <r>
    <s v="ORD-2023-974506"/>
    <d v="2023-12-28T00:00:00"/>
    <d v="2024-01-01T00:00:00"/>
    <n v="4"/>
    <s v="Dec-2023"/>
    <s v="Q4-2023"/>
    <x v="0"/>
    <s v="South Africa"/>
    <s v="Cape Town"/>
    <s v="Education"/>
    <s v="Distributor"/>
    <x v="8"/>
    <s v="Printers"/>
    <s v="PRN-1654"/>
    <n v="1141.8"/>
    <s v="High"/>
    <n v="2318.7399999999998"/>
    <x v="105"/>
    <n v="32"/>
    <n v="35256.783040000002"/>
    <n v="36537.599999999999"/>
    <n v="-1280.8169599999965"/>
    <n v="-3.6328242385213268E-2"/>
  </r>
  <r>
    <s v="ORD-2023-811823"/>
    <d v="2023-01-26T00:00:00"/>
    <d v="2023-02-15T00:00:00"/>
    <n v="20"/>
    <s v="Jan-2023"/>
    <s v="Q1-2023"/>
    <x v="3"/>
    <s v="Germany"/>
    <s v="Berlin"/>
    <s v="Small Business"/>
    <s v="Online"/>
    <x v="7"/>
    <s v="Networking"/>
    <s v="NET-8787"/>
    <n v="492.62"/>
    <s v="High"/>
    <n v="366.7"/>
    <x v="25"/>
    <n v="10"/>
    <n v="14063.653600000001"/>
    <n v="4926.2"/>
    <n v="9137.4536000000007"/>
    <n v="0.6497211791393952"/>
  </r>
  <r>
    <s v="ORD-2023-286720"/>
    <d v="2023-07-08T00:00:00"/>
    <d v="2023-07-09T00:00:00"/>
    <n v="1"/>
    <s v="Jul-2023"/>
    <s v="Q3-2023"/>
    <x v="0"/>
    <s v="Kenya"/>
    <s v="Nairobi"/>
    <s v="Consumer"/>
    <s v="Online"/>
    <x v="14"/>
    <s v="Laptops"/>
    <s v="LAP-1989"/>
    <n v="1258.72"/>
    <s v="High"/>
    <n v="2797.41"/>
    <x v="5"/>
    <n v="7"/>
    <n v="14806.33"/>
    <n v="8811.0400000000009"/>
    <n v="5995.2899999999991"/>
    <n v="0.40491397935882822"/>
  </r>
  <r>
    <s v="ORD-2024-626925"/>
    <d v="2024-06-07T00:00:00"/>
    <d v="2024-06-09T00:00:00"/>
    <n v="2"/>
    <s v="Jun-2024"/>
    <s v="Q2-2024"/>
    <x v="1"/>
    <s v="China"/>
    <s v="Shanghai"/>
    <s v="Corporate"/>
    <s v="Retail"/>
    <x v="7"/>
    <s v="Monitors"/>
    <s v="MON-8688"/>
    <n v="1370.28"/>
    <s v="High"/>
    <n v="2209.66"/>
    <x v="112"/>
    <n v="16"/>
    <n v="25485.499680000001"/>
    <n v="21924.48"/>
    <n v="3561.0196800000012"/>
    <n v="0.13972728511164123"/>
  </r>
  <r>
    <s v="ORD-2023-960380"/>
    <d v="2023-02-11T00:00:00"/>
    <d v="2023-02-12T00:00:00"/>
    <n v="1"/>
    <s v="Feb-2023"/>
    <s v="Q1-2023"/>
    <x v="0"/>
    <s v="Nigeria"/>
    <s v="Port Harcourt"/>
    <s v="Non-Profit"/>
    <s v="Direct"/>
    <x v="14"/>
    <s v="Accessories"/>
    <s v="ACC-8242"/>
    <n v="944.61"/>
    <s v="High"/>
    <n v="839.04"/>
    <x v="163"/>
    <n v="6"/>
    <n v="16141.518779999999"/>
    <n v="5667.66"/>
    <n v="10473.858779999999"/>
    <n v="0.64887690698458544"/>
  </r>
  <r>
    <s v="ORD-2023-453699"/>
    <d v="2023-07-01T00:00:00"/>
    <d v="2023-07-08T00:00:00"/>
    <n v="7"/>
    <s v="Jul-2023"/>
    <s v="Q3-2023"/>
    <x v="3"/>
    <s v="Germany"/>
    <s v="Frankfurt"/>
    <s v="Small Business"/>
    <s v="Distributor"/>
    <x v="13"/>
    <s v="Laptops"/>
    <s v="LAP-4666"/>
    <n v="460.21"/>
    <s v="High"/>
    <n v="1139.1500000000001"/>
    <x v="158"/>
    <n v="14"/>
    <n v="3592.1088"/>
    <n v="6442.94"/>
    <n v="-2850.8311999999996"/>
    <n v="-0.79363720831618456"/>
  </r>
  <r>
    <s v="ORD-2025-960931"/>
    <d v="2025-08-20T00:00:00"/>
    <d v="2025-08-26T00:00:00"/>
    <n v="6"/>
    <s v="Aug-2025"/>
    <s v="Q3-2025"/>
    <x v="2"/>
    <s v="USA"/>
    <s v="New York"/>
    <s v="Corporate"/>
    <s v="Retail"/>
    <x v="12"/>
    <s v="Networking"/>
    <s v="NET-5196"/>
    <n v="1304.95"/>
    <s v="High"/>
    <n v="1712.03"/>
    <x v="123"/>
    <n v="8"/>
    <n v="6286.3488000000007"/>
    <n v="10439.6"/>
    <n v="-4153.2511999999997"/>
    <n v="-0.66067781666839731"/>
  </r>
  <r>
    <s v="ORD-2024-419248"/>
    <d v="2024-03-04T00:00:00"/>
    <d v="2024-03-16T00:00:00"/>
    <n v="12"/>
    <s v="Mar-2024"/>
    <s v="Q1-2024"/>
    <x v="0"/>
    <s v="South Africa"/>
    <s v="Johannesburg"/>
    <s v="Enterprise"/>
    <s v="Distributor"/>
    <x v="12"/>
    <s v="Monitors"/>
    <s v="MON-8422"/>
    <n v="441.08"/>
    <s v="High"/>
    <n v="1054.29"/>
    <x v="1"/>
    <n v="6"/>
    <n v="216.49362000000002"/>
    <n v="2646.48"/>
    <n v="-2429.9863799999998"/>
    <n v="-11.224286332317782"/>
  </r>
  <r>
    <s v="ORD-2023-488227"/>
    <d v="2023-09-08T00:00:00"/>
    <d v="2023-10-02T00:00:00"/>
    <n v="24"/>
    <s v="Sept-2023"/>
    <s v="Q3-2023"/>
    <x v="2"/>
    <s v="Canada"/>
    <s v="Toronto"/>
    <s v="Education"/>
    <s v="Direct"/>
    <x v="8"/>
    <s v="Accessories"/>
    <s v="ACC-3415"/>
    <n v="1299.03"/>
    <s v="High"/>
    <n v="2451.2199999999998"/>
    <x v="222"/>
    <n v="8"/>
    <n v="4778.8646400000007"/>
    <n v="10392.24"/>
    <n v="-5613.3753599999991"/>
    <n v="-1.1746253101657214"/>
  </r>
  <r>
    <s v="ORD-2023-472078"/>
    <d v="2023-02-28T00:00:00"/>
    <d v="2023-03-06T00:00:00"/>
    <n v="6"/>
    <s v="Feb-2023"/>
    <s v="Q1-2023"/>
    <x v="3"/>
    <s v="Germany"/>
    <s v="Frankfurt"/>
    <s v="Small Business"/>
    <s v="Marketplace"/>
    <x v="14"/>
    <s v="Printers"/>
    <s v="PRN-9624"/>
    <n v="880.02"/>
    <s v="High"/>
    <n v="1251.21"/>
    <x v="82"/>
    <n v="29"/>
    <n v="22927.340840000001"/>
    <n v="25520.579999999998"/>
    <n v="-2593.2391599999974"/>
    <n v="-0.1131068438375428"/>
  </r>
  <r>
    <s v="ORD-2024-202877"/>
    <d v="2024-07-13T00:00:00"/>
    <d v="2024-08-03T00:00:00"/>
    <n v="21"/>
    <s v="Jul-2024"/>
    <s v="Q3-2024"/>
    <x v="2"/>
    <s v="Brazil"/>
    <s v="Rio de Janeiro"/>
    <s v="Corporate"/>
    <s v="Marketplace"/>
    <x v="12"/>
    <s v="Monitors"/>
    <s v="MON-6287"/>
    <n v="702.98"/>
    <s v="High"/>
    <n v="1104.8"/>
    <x v="30"/>
    <n v="12"/>
    <n v="1119.492"/>
    <n v="8435.76"/>
    <n v="-7316.268"/>
    <n v="-6.5353463892551265"/>
  </r>
  <r>
    <s v="ORD-2024-140633"/>
    <d v="2024-12-07T00:00:00"/>
    <d v="2024-12-26T00:00:00"/>
    <n v="19"/>
    <s v="Dec-2024"/>
    <s v="Q4-2024"/>
    <x v="3"/>
    <s v="United Kingdom"/>
    <s v="London"/>
    <s v="Enterprise"/>
    <s v="Online"/>
    <x v="14"/>
    <s v="Networking"/>
    <s v="NET-4491"/>
    <n v="1035.24"/>
    <s v="High"/>
    <n v="2383.41"/>
    <x v="189"/>
    <n v="15"/>
    <n v="10814.319"/>
    <n v="15528.6"/>
    <n v="-4714.2810000000009"/>
    <n v="-0.43592953009801183"/>
  </r>
  <r>
    <s v="ORD-2025-419532"/>
    <d v="2025-08-06T00:00:00"/>
    <d v="2025-08-23T00:00:00"/>
    <n v="17"/>
    <s v="Aug-2025"/>
    <s v="Q3-2025"/>
    <x v="2"/>
    <s v="Brazil"/>
    <s v="Brasília"/>
    <s v="Consumer"/>
    <s v="Distributor"/>
    <x v="8"/>
    <s v="Monitors"/>
    <s v="MON-4317"/>
    <n v="86.64"/>
    <s v="High"/>
    <n v="213.06"/>
    <x v="123"/>
    <n v="11"/>
    <n v="3015.5971999999997"/>
    <n v="953.04"/>
    <n v="2062.5571999999997"/>
    <n v="0.68396309692819712"/>
  </r>
  <r>
    <s v="ORD-2023-139236"/>
    <d v="2023-03-03T00:00:00"/>
    <d v="2023-03-20T00:00:00"/>
    <n v="17"/>
    <s v="Mar-2023"/>
    <s v="Q1-2023"/>
    <x v="1"/>
    <s v="Japan"/>
    <s v="Nagoya"/>
    <s v="Small Business"/>
    <s v="Online"/>
    <x v="14"/>
    <s v="Networking"/>
    <s v="NET-7349"/>
    <n v="1171.17"/>
    <s v="High"/>
    <n v="2030.64"/>
    <x v="87"/>
    <n v="11"/>
    <n v="10310.463239999999"/>
    <n v="12882.87"/>
    <n v="-2572.4067600000017"/>
    <n v="-0.24949478021707217"/>
  </r>
  <r>
    <s v="ORD-2025-337268"/>
    <d v="2025-02-16T00:00:00"/>
    <d v="2025-03-17T00:00:00"/>
    <n v="1"/>
    <s v="Feb-2025"/>
    <s v="Q1-2025"/>
    <x v="3"/>
    <s v="Germany"/>
    <s v="Munich"/>
    <s v="Consumer"/>
    <s v="Retail"/>
    <x v="4"/>
    <s v="Accessories"/>
    <s v="ACC-5150"/>
    <n v="730.42"/>
    <s v="High"/>
    <n v="956.7"/>
    <x v="174"/>
    <n v="22"/>
    <n v="6907.0267199999998"/>
    <n v="16069.24"/>
    <n v="-9162.2132799999999"/>
    <n v="-1.3265061293986133"/>
  </r>
  <r>
    <s v="ORD-2025-332931"/>
    <d v="2025-02-15T00:00:00"/>
    <d v="2025-03-01T00:00:00"/>
    <n v="14"/>
    <s v="Feb-2025"/>
    <s v="Q1-2025"/>
    <x v="0"/>
    <s v="Kenya"/>
    <s v="Mombasa"/>
    <s v="Education"/>
    <s v="Direct"/>
    <x v="4"/>
    <s v="Accessories"/>
    <s v="ACC-5144"/>
    <n v="1162.8599999999999"/>
    <s v="High"/>
    <n v="1447.68"/>
    <x v="24"/>
    <n v="12"/>
    <n v="5326.0402800000002"/>
    <n v="13954.32"/>
    <n v="-8628.2797199999986"/>
    <n v="-1.6200177367040112"/>
  </r>
  <r>
    <s v="ORD-2024-536442"/>
    <d v="2024-08-31T00:00:00"/>
    <d v="2024-09-26T00:00:00"/>
    <n v="26"/>
    <s v="Aug-2024"/>
    <s v="Q3-2024"/>
    <x v="1"/>
    <s v="Japan"/>
    <s v="Tokyo"/>
    <s v="Education"/>
    <s v="Online"/>
    <x v="2"/>
    <s v="Phones"/>
    <s v="PHN-6111"/>
    <n v="1189.03"/>
    <s v="High"/>
    <n v="2949.62"/>
    <x v="22"/>
    <n v="13"/>
    <n v="23507.575000000001"/>
    <n v="15457.39"/>
    <n v="8050.1850000000013"/>
    <n v="0.34245067813247437"/>
  </r>
  <r>
    <s v="ORD-2023-957692"/>
    <d v="2023-05-07T00:00:00"/>
    <d v="2023-05-20T00:00:00"/>
    <n v="13"/>
    <s v="May-2023"/>
    <s v="Q2-2023"/>
    <x v="1"/>
    <s v="India"/>
    <s v="Mumbai"/>
    <s v="Enterprise"/>
    <s v="Retail"/>
    <x v="14"/>
    <s v="Accessories"/>
    <s v="ACC-9283"/>
    <n v="1443.28"/>
    <s v="High"/>
    <n v="2580.5700000000002"/>
    <x v="5"/>
    <n v="18"/>
    <n v="1551.6000000000001"/>
    <n v="25979.040000000001"/>
    <n v="-24427.440000000002"/>
    <n v="-15.74338747099768"/>
  </r>
  <r>
    <s v="ORD-2025-874124"/>
    <d v="2025-05-14T00:00:00"/>
    <d v="2025-05-12T00:00:00"/>
    <n v="2"/>
    <s v="May-2025"/>
    <s v="Q2-2025"/>
    <x v="2"/>
    <s v="Canada"/>
    <s v="Vancouver"/>
    <s v="Non-Profit"/>
    <s v="Distributor"/>
    <x v="9"/>
    <s v="Printers"/>
    <s v="PRN-2407"/>
    <n v="883.5"/>
    <s v="High"/>
    <n v="1978.91"/>
    <x v="223"/>
    <n v="27"/>
    <n v="58944.550499999998"/>
    <n v="23854.5"/>
    <n v="35090.050499999998"/>
    <n v="0.59530610043416987"/>
  </r>
  <r>
    <s v="ORD-2024-687073"/>
    <d v="2024-03-11T00:00:00"/>
    <d v="2024-03-29T00:00:00"/>
    <n v="18"/>
    <s v="Mar-2024"/>
    <s v="Q1-2024"/>
    <x v="2"/>
    <s v="USA"/>
    <s v="New York"/>
    <s v="Corporate"/>
    <s v="Retail"/>
    <x v="12"/>
    <s v="Monitors"/>
    <s v="MON-7099"/>
    <n v="710.98"/>
    <s v="High"/>
    <n v="1481.45"/>
    <x v="126"/>
    <n v="9"/>
    <n v="7902.0638099999996"/>
    <n v="6398.82"/>
    <n v="1503.2438099999999"/>
    <n v="0.19023432942893434"/>
  </r>
  <r>
    <s v="ORD-2024-555229"/>
    <d v="2024-05-18T00:00:00"/>
    <d v="2024-05-22T00:00:00"/>
    <n v="4"/>
    <s v="May-2024"/>
    <s v="Q2-2024"/>
    <x v="0"/>
    <s v="Kenya"/>
    <s v="Nairobi"/>
    <s v="Corporate"/>
    <s v="Direct"/>
    <x v="10"/>
    <s v="Accessories"/>
    <s v="ACC-7354"/>
    <n v="857.42"/>
    <s v="High"/>
    <n v="1658.92"/>
    <x v="153"/>
    <n v="9"/>
    <n v="8897.572979999999"/>
    <n v="7716.78"/>
    <n v="1180.7929799999993"/>
    <n v="0.13270955828675871"/>
  </r>
  <r>
    <s v="ORD-2024-872291"/>
    <d v="2024-01-08T00:00:00"/>
    <d v="2024-01-12T00:00:00"/>
    <n v="4"/>
    <s v="Jan-2024"/>
    <s v="Q1-2024"/>
    <x v="1"/>
    <s v="India"/>
    <s v="Bengaluru"/>
    <s v="Corporate"/>
    <s v="Direct"/>
    <x v="6"/>
    <s v="Printers"/>
    <s v="PRN-6585"/>
    <n v="802.32"/>
    <s v="High"/>
    <n v="602.34"/>
    <x v="18"/>
    <n v="25"/>
    <n v="2719.64"/>
    <n v="20058"/>
    <n v="-17338.36"/>
    <n v="-6.3752408406995045"/>
  </r>
  <r>
    <s v="ORD-2024-250862"/>
    <d v="2024-10-25T00:00:00"/>
    <d v="2024-11-05T00:00:00"/>
    <n v="11"/>
    <s v="Oct-2024"/>
    <s v="Q4-2024"/>
    <x v="2"/>
    <s v="USA"/>
    <s v="New York"/>
    <s v="Corporate"/>
    <s v="Distributor"/>
    <x v="13"/>
    <s v="Components"/>
    <s v="CMP-9498"/>
    <n v="446.66"/>
    <s v="High"/>
    <n v="527.64"/>
    <x v="180"/>
    <n v="15"/>
    <n v="22209.693749999999"/>
    <n v="6699.9000000000005"/>
    <n v="15509.793749999997"/>
    <n v="0.6983344266059498"/>
  </r>
  <r>
    <s v="ORD-2024-331226"/>
    <d v="2024-11-30T00:00:00"/>
    <d v="2024-12-19T00:00:00"/>
    <n v="19"/>
    <s v="Nov-2024"/>
    <s v="Q4-2024"/>
    <x v="0"/>
    <s v="Kenya"/>
    <s v="Kisumu"/>
    <s v="Corporate"/>
    <s v="Online"/>
    <x v="4"/>
    <s v="Phones"/>
    <s v="PHN-1919"/>
    <n v="1195.98"/>
    <s v="High"/>
    <n v="1841.9"/>
    <x v="133"/>
    <n v="19"/>
    <n v="54978.38955"/>
    <n v="22723.62"/>
    <n v="32254.769550000001"/>
    <n v="0.58668087250293055"/>
  </r>
  <r>
    <s v="ORD-2023-356427"/>
    <d v="2023-04-13T00:00:00"/>
    <d v="2023-05-02T00:00:00"/>
    <n v="19"/>
    <s v="Apr-2023"/>
    <s v="Q2-2023"/>
    <x v="2"/>
    <s v="Canada"/>
    <s v="Montreal"/>
    <s v="Consumer"/>
    <s v="Distributor"/>
    <x v="6"/>
    <s v="Monitors"/>
    <s v="MON-6053"/>
    <n v="671.05"/>
    <s v="High"/>
    <n v="1645.48"/>
    <x v="81"/>
    <n v="6"/>
    <n v="11393.722979999999"/>
    <n v="4026.2999999999997"/>
    <n v="7367.4229799999994"/>
    <n v="0.64662121353419111"/>
  </r>
  <r>
    <s v="ORD-2025-659650"/>
    <d v="2025-02-04T00:00:00"/>
    <d v="2025-02-08T00:00:00"/>
    <n v="4"/>
    <s v="Feb-2025"/>
    <s v="Q1-2025"/>
    <x v="3"/>
    <s v="United Kingdom"/>
    <s v="Manchester"/>
    <s v="Enterprise"/>
    <s v="Marketplace"/>
    <x v="4"/>
    <s v="Networking"/>
    <s v="NET-2502"/>
    <n v="586.21"/>
    <s v="High"/>
    <n v="727.22"/>
    <x v="55"/>
    <n v="15"/>
    <n v="8408.8302000000003"/>
    <n v="8793.1500000000015"/>
    <n v="-384.31980000000112"/>
    <n v="-4.5704312117041096E-2"/>
  </r>
  <r>
    <s v="ORD-2024-207669"/>
    <d v="2024-01-24T00:00:00"/>
    <d v="2024-02-04T00:00:00"/>
    <n v="11"/>
    <s v="Jan-2024"/>
    <s v="Q1-2024"/>
    <x v="3"/>
    <s v="United Kingdom"/>
    <s v="Manchester"/>
    <s v="Consumer"/>
    <s v="Retail"/>
    <x v="5"/>
    <s v="Laptops"/>
    <s v="LAP-5689"/>
    <n v="525.34"/>
    <s v="High"/>
    <n v="1233.79"/>
    <x v="17"/>
    <n v="4"/>
    <n v="3248.9555599999999"/>
    <n v="2101.36"/>
    <n v="1147.5955599999998"/>
    <n v="0.35321983905498533"/>
  </r>
  <r>
    <s v="ORD-2024-979401"/>
    <d v="2024-02-08T00:00:00"/>
    <d v="2024-02-09T00:00:00"/>
    <n v="1"/>
    <s v="Feb-2024"/>
    <s v="Q1-2024"/>
    <x v="0"/>
    <s v="Kenya"/>
    <s v="Mombasa"/>
    <s v="Corporate"/>
    <s v="Direct"/>
    <x v="9"/>
    <s v="Components"/>
    <s v="CMP-5911"/>
    <n v="1233.52"/>
    <s v="High"/>
    <n v="1543.76"/>
    <x v="38"/>
    <n v="13"/>
    <n v="26490.27576"/>
    <n v="16035.76"/>
    <n v="10454.51576"/>
    <n v="0.39465484824382968"/>
  </r>
  <r>
    <s v="ORD-2025-929414"/>
    <d v="2025-06-26T00:00:00"/>
    <d v="2025-07-11T00:00:00"/>
    <n v="15"/>
    <s v="Jun-2025"/>
    <s v="Q2-2025"/>
    <x v="0"/>
    <s v="Nigeria"/>
    <s v="Port Harcourt"/>
    <s v="Small Business"/>
    <s v="Online"/>
    <x v="8"/>
    <s v="Laptops"/>
    <s v="LAP-7523"/>
    <n v="1170.1500000000001"/>
    <s v="High"/>
    <n v="2115.19"/>
    <x v="77"/>
    <n v="23"/>
    <n v="29597.640160000003"/>
    <n v="26913.45"/>
    <n v="2684.1901600000019"/>
    <n v="9.0689330145569333E-2"/>
  </r>
  <r>
    <s v="ORD-2024-766980"/>
    <d v="2024-11-04T00:00:00"/>
    <d v="2024-11-07T00:00:00"/>
    <n v="3"/>
    <s v="Nov-2024"/>
    <s v="Q4-2024"/>
    <x v="3"/>
    <s v="France"/>
    <s v="Lyon"/>
    <s v="Corporate"/>
    <s v="Online"/>
    <x v="7"/>
    <s v="Monitors"/>
    <s v="MON-1118"/>
    <n v="740.68"/>
    <s v="High"/>
    <n v="1837.19"/>
    <x v="115"/>
    <n v="17"/>
    <n v="9548.8744999999999"/>
    <n v="12591.56"/>
    <n v="-3042.6854999999996"/>
    <n v="-0.31864336472324561"/>
  </r>
  <r>
    <s v="ORD-2024-437164"/>
    <d v="2024-02-20T00:00:00"/>
    <d v="2024-02-20T00:00:00"/>
    <n v="0"/>
    <s v="Feb-2024"/>
    <s v="Q1-2024"/>
    <x v="2"/>
    <s v="USA"/>
    <s v="New York"/>
    <s v="Enterprise"/>
    <s v="Online"/>
    <x v="0"/>
    <s v="Networking"/>
    <s v="NET-9177"/>
    <n v="1407.05"/>
    <s v="High"/>
    <n v="2858.93"/>
    <x v="5"/>
    <n v="12"/>
    <n v="21446.400000000001"/>
    <n v="16884.599999999999"/>
    <n v="4561.8000000000029"/>
    <n v="0.2127070277529097"/>
  </r>
  <r>
    <s v="ORD-2025-169093"/>
    <d v="2025-04-13T00:00:00"/>
    <d v="2025-04-14T00:00:00"/>
    <n v="1"/>
    <s v="Apr-2025"/>
    <s v="Q2-2025"/>
    <x v="1"/>
    <s v="Japan"/>
    <s v="Osaka"/>
    <s v="Enterprise"/>
    <s v="Online"/>
    <x v="3"/>
    <s v="Components"/>
    <s v="CMP-6495"/>
    <n v="138.9"/>
    <s v="High"/>
    <n v="289.92"/>
    <x v="134"/>
    <n v="12"/>
    <n v="19793.834999999999"/>
    <n v="1666.8000000000002"/>
    <n v="18127.035"/>
    <n v="0.91579196249741401"/>
  </r>
  <r>
    <s v="ORD-2023-868460"/>
    <d v="2023-06-01T00:00:00"/>
    <d v="2023-06-01T00:00:00"/>
    <n v="0"/>
    <s v="Jun-2023"/>
    <s v="Q2-2023"/>
    <x v="1"/>
    <s v="India"/>
    <s v="Bengaluru"/>
    <s v="Corporate"/>
    <s v="Retail"/>
    <x v="6"/>
    <s v="Accessories"/>
    <s v="ACC-4587"/>
    <n v="669.37"/>
    <s v="High"/>
    <n v="997.2"/>
    <x v="104"/>
    <n v="5"/>
    <n v="3326.373"/>
    <n v="3346.85"/>
    <n v="-20.476999999999862"/>
    <n v="-6.1559542480653434E-3"/>
  </r>
  <r>
    <s v="ORD-2025-177994"/>
    <d v="2025-03-24T00:00:00"/>
    <d v="2025-04-04T00:00:00"/>
    <n v="11"/>
    <s v="Mar-2025"/>
    <s v="Q1-2025"/>
    <x v="1"/>
    <s v="India"/>
    <s v="Mumbai"/>
    <s v="Education"/>
    <s v="Marketplace"/>
    <x v="1"/>
    <s v="Phones"/>
    <s v="PHN-4395"/>
    <n v="23.83"/>
    <s v="Low"/>
    <n v="47.29"/>
    <x v="201"/>
    <n v="19"/>
    <n v="24114.036959999998"/>
    <n v="452.77"/>
    <n v="23661.266959999997"/>
    <n v="0.98122379920247083"/>
  </r>
  <r>
    <s v="ORD-2024-355095"/>
    <d v="2024-01-02T00:00:00"/>
    <d v="2024-01-02T00:00:00"/>
    <n v="0"/>
    <s v="Jan-2024"/>
    <s v="Q1-2024"/>
    <x v="2"/>
    <s v="Canada"/>
    <s v="Vancouver"/>
    <s v="Education"/>
    <s v="Direct"/>
    <x v="8"/>
    <s v="Laptops"/>
    <s v="LAP-3581"/>
    <n v="444.41"/>
    <s v="High"/>
    <n v="754.24"/>
    <x v="162"/>
    <n v="32"/>
    <n v="6980.1763200000005"/>
    <n v="14221.12"/>
    <n v="-7240.9436800000003"/>
    <n v="-1.0373582769324659"/>
  </r>
  <r>
    <s v="ORD-2023-126505"/>
    <d v="2023-12-19T00:00:00"/>
    <d v="2024-01-01T00:00:00"/>
    <n v="13"/>
    <s v="Dec-2023"/>
    <s v="Q4-2023"/>
    <x v="2"/>
    <s v="Canada"/>
    <s v="Toronto"/>
    <s v="Enterprise"/>
    <s v="Retail"/>
    <x v="11"/>
    <s v="Monitors"/>
    <s v="MON-6065"/>
    <n v="856.1"/>
    <s v="High"/>
    <n v="901.48"/>
    <x v="121"/>
    <n v="17"/>
    <n v="28925.557119999998"/>
    <n v="14553.7"/>
    <n v="14371.857119999997"/>
    <n v="0.49685670911634278"/>
  </r>
  <r>
    <s v="ORD-2023-340056"/>
    <d v="2023-04-26T00:00:00"/>
    <d v="2023-04-26T00:00:00"/>
    <n v="0"/>
    <s v="Apr-2023"/>
    <s v="Q2-2023"/>
    <x v="3"/>
    <s v="France"/>
    <s v="Marseille"/>
    <s v="Consumer"/>
    <s v="Direct"/>
    <x v="12"/>
    <s v="Components"/>
    <s v="CMP-4945"/>
    <n v="81.489999999999995"/>
    <s v="Medium"/>
    <n v="113.08"/>
    <x v="173"/>
    <n v="5"/>
    <n v="5580.6830999999993"/>
    <n v="407.45"/>
    <n v="5173.2330999999995"/>
    <n v="0.92698922467036338"/>
  </r>
  <r>
    <s v="ORD-2025-281413"/>
    <d v="2025-08-03T00:00:00"/>
    <d v="2025-08-16T00:00:00"/>
    <n v="13"/>
    <s v="Aug-2025"/>
    <s v="Q3-2025"/>
    <x v="2"/>
    <s v="Canada"/>
    <s v="Montreal"/>
    <s v="Enterprise"/>
    <s v="Distributor"/>
    <x v="7"/>
    <s v="Networking"/>
    <s v="NET-3785"/>
    <n v="698.66"/>
    <s v="High"/>
    <n v="868.62"/>
    <x v="3"/>
    <n v="15"/>
    <n v="7960.848"/>
    <n v="10479.9"/>
    <n v="-2519.0519999999997"/>
    <n v="-0.31643010895321699"/>
  </r>
  <r>
    <s v="ORD-2023-713614"/>
    <d v="2023-08-02T00:00:00"/>
    <d v="2023-08-19T00:00:00"/>
    <n v="17"/>
    <s v="Aug-2023"/>
    <s v="Q3-2023"/>
    <x v="2"/>
    <s v="Canada"/>
    <s v="Vancouver"/>
    <s v="Corporate"/>
    <s v="Online"/>
    <x v="9"/>
    <s v="Networking"/>
    <s v="NET-3689"/>
    <n v="175.38"/>
    <s v="High"/>
    <n v="347.9"/>
    <x v="3"/>
    <n v="43"/>
    <n v="109937.11616000001"/>
    <n v="7541.34"/>
    <n v="102395.77616000001"/>
    <n v="0.93140314878712571"/>
  </r>
  <r>
    <s v="ORD-2023-173313"/>
    <d v="2023-06-15T00:00:00"/>
    <d v="2023-07-12T00:00:00"/>
    <n v="27"/>
    <s v="Jun-2023"/>
    <s v="Q2-2023"/>
    <x v="3"/>
    <s v="United Kingdom"/>
    <s v="Manchester"/>
    <s v="Consumer"/>
    <s v="Direct"/>
    <x v="2"/>
    <s v="Accessories"/>
    <s v="ACC-3833"/>
    <n v="751.28"/>
    <s v="High"/>
    <n v="1111.8800000000001"/>
    <x v="157"/>
    <n v="7"/>
    <n v="5827.9980499999992"/>
    <n v="5258.96"/>
    <n v="569.0380499999992"/>
    <n v="9.7638682291597417E-2"/>
  </r>
  <r>
    <s v="ORD-2024-496601"/>
    <d v="2024-11-11T00:00:00"/>
    <d v="2024-11-24T00:00:00"/>
    <n v="13"/>
    <s v="Nov-2024"/>
    <s v="Q4-2024"/>
    <x v="3"/>
    <s v="United Kingdom"/>
    <s v="London"/>
    <s v="Corporate"/>
    <s v="Retail"/>
    <x v="6"/>
    <s v="Networking"/>
    <s v="NET-2932"/>
    <n v="164.53"/>
    <s v="High"/>
    <n v="327.72"/>
    <x v="143"/>
    <n v="14"/>
    <n v="8728.9427399999986"/>
    <n v="2303.42"/>
    <n v="6425.5227399999985"/>
    <n v="0.73611695383855846"/>
  </r>
  <r>
    <s v="ORD-2025-155182"/>
    <d v="2025-07-11T00:00:00"/>
    <d v="2025-08-03T00:00:00"/>
    <n v="23"/>
    <s v="Jul-2025"/>
    <s v="Q3-2025"/>
    <x v="0"/>
    <s v="Kenya"/>
    <s v="Nakuru"/>
    <s v="Small Business"/>
    <s v="Retail"/>
    <x v="0"/>
    <s v="Phones"/>
    <s v="PHN-7636"/>
    <n v="389.93"/>
    <s v="High"/>
    <n v="486.13"/>
    <x v="191"/>
    <n v="17"/>
    <n v="20722.29348"/>
    <n v="6628.81"/>
    <n v="14093.483479999999"/>
    <n v="0.6801121455789747"/>
  </r>
  <r>
    <s v="ORD-2023-244375"/>
    <d v="2023-06-03T00:00:00"/>
    <d v="2023-07-01T00:00:00"/>
    <n v="28"/>
    <s v="Jun-2023"/>
    <s v="Q2-2023"/>
    <x v="2"/>
    <s v="Brazil"/>
    <s v="Brasília"/>
    <s v="Small Business"/>
    <s v="Marketplace"/>
    <x v="8"/>
    <s v="Components"/>
    <s v="CMP-1223"/>
    <n v="860.4"/>
    <s v="High"/>
    <n v="2066.6"/>
    <x v="19"/>
    <n v="3"/>
    <n v="10661.9733"/>
    <n v="2581.1999999999998"/>
    <n v="8080.7732999999998"/>
    <n v="0.7579059778737206"/>
  </r>
  <r>
    <s v="ORD-2023-856322"/>
    <d v="2023-01-29T00:00:00"/>
    <d v="2023-02-06T00:00:00"/>
    <n v="8"/>
    <s v="Jan-2023"/>
    <s v="Q1-2023"/>
    <x v="2"/>
    <s v="Brazil"/>
    <s v="Brasília"/>
    <s v="Corporate"/>
    <s v="Marketplace"/>
    <x v="14"/>
    <s v="Monitors"/>
    <s v="MON-7207"/>
    <n v="41.84"/>
    <s v="Medium"/>
    <n v="86.2"/>
    <x v="204"/>
    <n v="27"/>
    <n v="4879.8919799999994"/>
    <n v="1129.68"/>
    <n v="3750.2119799999991"/>
    <n v="0.76850307247989524"/>
  </r>
  <r>
    <s v="ORD-2024-594527"/>
    <d v="2024-09-06T00:00:00"/>
    <d v="2024-09-04T00:00:00"/>
    <n v="2"/>
    <s v="Sept-2024"/>
    <s v="Q3-2024"/>
    <x v="1"/>
    <s v="Japan"/>
    <s v="Osaka"/>
    <s v="Corporate"/>
    <s v="Direct"/>
    <x v="8"/>
    <s v="Laptops"/>
    <s v="LAP-4483"/>
    <n v="1368.17"/>
    <s v="High"/>
    <n v="2307.75"/>
    <x v="196"/>
    <n v="21"/>
    <n v="2183.9422500000001"/>
    <n v="28731.57"/>
    <n v="-26547.62775"/>
    <n v="-12.155828639699607"/>
  </r>
  <r>
    <s v="ORD-2024-689872"/>
    <d v="2024-08-03T00:00:00"/>
    <d v="2024-08-09T00:00:00"/>
    <n v="6"/>
    <s v="Aug-2024"/>
    <s v="Q3-2024"/>
    <x v="0"/>
    <s v="Kenya"/>
    <s v="Mombasa"/>
    <s v="Consumer"/>
    <s v="Marketplace"/>
    <x v="10"/>
    <s v="Laptops"/>
    <s v="LAP-1969"/>
    <n v="643.21"/>
    <s v="High"/>
    <n v="1112.81"/>
    <x v="169"/>
    <n v="4"/>
    <n v="4918.1873199999991"/>
    <n v="2572.84"/>
    <n v="2345.3473199999989"/>
    <n v="0.47687230424562183"/>
  </r>
  <r>
    <s v="ORD-2025-246692"/>
    <d v="2025-04-17T00:00:00"/>
    <d v="2025-04-17T00:00:00"/>
    <n v="0"/>
    <s v="Apr-2025"/>
    <s v="Q2-2025"/>
    <x v="2"/>
    <s v="Brazil"/>
    <s v="São Paulo"/>
    <s v="Corporate"/>
    <s v="Distributor"/>
    <x v="4"/>
    <s v="Phones"/>
    <s v="PHN-4566"/>
    <n v="719.41"/>
    <s v="High"/>
    <n v="1125.99"/>
    <x v="208"/>
    <n v="21"/>
    <n v="32132.177279999996"/>
    <n v="15107.609999999999"/>
    <n v="17024.567279999996"/>
    <n v="0.52982924660373332"/>
  </r>
  <r>
    <s v="ORD-2023-378676"/>
    <d v="2023-05-03T00:00:00"/>
    <d v="2023-05-16T00:00:00"/>
    <n v="13"/>
    <s v="May-2023"/>
    <s v="Q2-2023"/>
    <x v="2"/>
    <s v="USA"/>
    <s v="New York"/>
    <s v="Corporate"/>
    <s v="Marketplace"/>
    <x v="4"/>
    <s v="Phones"/>
    <s v="PHN-5366"/>
    <n v="64.5"/>
    <s v="Medium"/>
    <n v="123.62"/>
    <x v="5"/>
    <n v="3"/>
    <n v="3085.38"/>
    <n v="193.5"/>
    <n v="2891.88"/>
    <n v="0.93728487252785719"/>
  </r>
  <r>
    <s v="ORD-2024-243988"/>
    <d v="2024-03-13T00:00:00"/>
    <d v="2024-04-06T00:00:00"/>
    <n v="24"/>
    <s v="Mar-2024"/>
    <s v="Q1-2024"/>
    <x v="0"/>
    <s v="Nigeria"/>
    <s v="Abuja"/>
    <s v="Consumer"/>
    <s v="Distributor"/>
    <x v="4"/>
    <s v="Components"/>
    <s v="CMP-9001"/>
    <n v="1232.78"/>
    <s v="High"/>
    <n v="1731.75"/>
    <x v="142"/>
    <n v="16"/>
    <n v="46878.839200000002"/>
    <n v="19724.48"/>
    <n v="27154.359200000003"/>
    <n v="0.5792455543566446"/>
  </r>
  <r>
    <s v="ORD-2024-572312"/>
    <d v="2024-06-16T00:00:00"/>
    <d v="2024-06-21T00:00:00"/>
    <n v="5"/>
    <s v="Jun-2024"/>
    <s v="Q2-2024"/>
    <x v="1"/>
    <s v="Japan"/>
    <s v="Tokyo"/>
    <s v="Small Business"/>
    <s v="Distributor"/>
    <x v="9"/>
    <s v="Phones"/>
    <s v="PHN-9677"/>
    <n v="1367.13"/>
    <s v="High"/>
    <n v="3062.01"/>
    <x v="172"/>
    <n v="25"/>
    <n v="62557.004249999998"/>
    <n v="34178.25"/>
    <n v="28378.754249999998"/>
    <n v="0.45364631171576603"/>
  </r>
  <r>
    <s v="ORD-2025-281062"/>
    <d v="2025-02-15T00:00:00"/>
    <d v="2025-02-27T00:00:00"/>
    <n v="12"/>
    <s v="Feb-2025"/>
    <s v="Q1-2025"/>
    <x v="3"/>
    <s v="France"/>
    <s v="Lyon"/>
    <s v="Non-Profit"/>
    <s v="Direct"/>
    <x v="11"/>
    <s v="Accessories"/>
    <s v="ACC-1604"/>
    <n v="1027.26"/>
    <s v="High"/>
    <n v="2200.41"/>
    <x v="167"/>
    <n v="6"/>
    <n v="10384.433280000001"/>
    <n v="6163.5599999999995"/>
    <n v="4220.8732800000016"/>
    <n v="0.40646159171047236"/>
  </r>
  <r>
    <s v="ORD-2023-727290"/>
    <d v="2023-04-03T00:00:00"/>
    <d v="2023-04-16T00:00:00"/>
    <n v="13"/>
    <s v="Apr-2023"/>
    <s v="Q2-2023"/>
    <x v="3"/>
    <s v="France"/>
    <s v="Marseille"/>
    <s v="Non-Profit"/>
    <s v="Marketplace"/>
    <x v="12"/>
    <s v="Accessories"/>
    <s v="ACC-4815"/>
    <n v="790.54"/>
    <s v="High"/>
    <n v="601.49"/>
    <x v="5"/>
    <n v="15"/>
    <n v="13537.050000000001"/>
    <n v="11858.099999999999"/>
    <n v="1678.9500000000025"/>
    <n v="0.12402628342216379"/>
  </r>
  <r>
    <s v="ORD-2025-993993"/>
    <d v="2025-08-30T00:00:00"/>
    <d v="2025-09-22T00:00:00"/>
    <n v="23"/>
    <s v="Aug-2025"/>
    <s v="Q3-2025"/>
    <x v="3"/>
    <s v="France"/>
    <s v="Marseille"/>
    <s v="Corporate"/>
    <s v="Direct"/>
    <x v="6"/>
    <s v="Components"/>
    <s v="CMP-5311"/>
    <n v="663.9"/>
    <s v="High"/>
    <n v="947.77"/>
    <x v="155"/>
    <n v="15"/>
    <n v="-417.04740000000004"/>
    <n v="9958.5"/>
    <n v="-10375.547399999999"/>
    <n v="24.878580708092169"/>
  </r>
  <r>
    <s v="ORD-2023-619493"/>
    <d v="2023-02-27T00:00:00"/>
    <d v="2023-02-26T00:00:00"/>
    <n v="1"/>
    <s v="Feb-2023"/>
    <s v="Q1-2023"/>
    <x v="2"/>
    <s v="USA"/>
    <s v="San Francisco"/>
    <s v="Non-Profit"/>
    <s v="Online"/>
    <x v="4"/>
    <s v="Networking"/>
    <s v="NET-1282"/>
    <n v="1015.91"/>
    <s v="High"/>
    <n v="2331.48"/>
    <x v="34"/>
    <n v="26"/>
    <n v="24128.64272"/>
    <n v="26413.66"/>
    <n v="-2285.01728"/>
    <n v="-9.4701442866737429E-2"/>
  </r>
  <r>
    <s v="ORD-2024-947056"/>
    <d v="2024-07-31T00:00:00"/>
    <d v="2024-08-15T00:00:00"/>
    <n v="15"/>
    <s v="Jul-2024"/>
    <s v="Q3-2024"/>
    <x v="1"/>
    <s v="Japan"/>
    <s v="Tokyo"/>
    <s v="Corporate"/>
    <s v="Marketplace"/>
    <x v="9"/>
    <s v="Monitors"/>
    <s v="MON-1564"/>
    <n v="1252.52"/>
    <s v="High"/>
    <n v="1417.24"/>
    <x v="98"/>
    <n v="5"/>
    <n v="4083.4300000000003"/>
    <n v="6262.6"/>
    <n v="-2179.17"/>
    <n v="-0.53366165209150151"/>
  </r>
  <r>
    <s v="ORD-2025-856556"/>
    <d v="2025-06-15T00:00:00"/>
    <d v="2025-07-12T00:00:00"/>
    <n v="27"/>
    <s v="Jun-2025"/>
    <s v="Q2-2025"/>
    <x v="3"/>
    <s v="France"/>
    <s v="Marseille"/>
    <s v="Consumer"/>
    <s v="Direct"/>
    <x v="0"/>
    <s v="Accessories"/>
    <s v="ACC-7906"/>
    <n v="318.83"/>
    <s v="High"/>
    <n v="699.5"/>
    <x v="164"/>
    <n v="13"/>
    <n v="4921.3008"/>
    <n v="4144.79"/>
    <n v="776.51080000000002"/>
    <n v="0.15778568137919957"/>
  </r>
  <r>
    <s v="ORD-2024-442776"/>
    <d v="2024-06-30T00:00:00"/>
    <d v="2024-07-21T00:00:00"/>
    <n v="21"/>
    <s v="Jun-2024"/>
    <s v="Q2-2024"/>
    <x v="0"/>
    <s v="Kenya"/>
    <s v="Kisumu"/>
    <s v="Small Business"/>
    <s v="Retail"/>
    <x v="11"/>
    <s v="Laptops"/>
    <s v="LAP-6577"/>
    <n v="753.43"/>
    <s v="High"/>
    <n v="1787.2"/>
    <x v="93"/>
    <n v="9"/>
    <n v="3448.4956200000001"/>
    <n v="6780.87"/>
    <n v="-3332.3743799999997"/>
    <n v="-0.9663269863744236"/>
  </r>
  <r>
    <s v="ORD-2025-705398"/>
    <d v="2025-02-17T00:00:00"/>
    <d v="2025-02-15T00:00:00"/>
    <n v="2"/>
    <s v="Feb-2025"/>
    <s v="Q1-2025"/>
    <x v="2"/>
    <s v="Canada"/>
    <s v="Toronto"/>
    <s v="Small Business"/>
    <s v="Retail"/>
    <x v="14"/>
    <s v="Components"/>
    <s v="CMP-5065"/>
    <n v="1133.47"/>
    <s v="High"/>
    <n v="1698.75"/>
    <x v="89"/>
    <n v="5"/>
    <n v="7459.2886500000004"/>
    <n v="5667.35"/>
    <n v="1791.9386500000001"/>
    <n v="0.24022916045754578"/>
  </r>
  <r>
    <s v="ORD-2023-689428"/>
    <d v="2023-01-07T00:00:00"/>
    <d v="2023-01-30T00:00:00"/>
    <n v="23"/>
    <s v="Jan-2023"/>
    <s v="Q1-2023"/>
    <x v="0"/>
    <s v="South Africa"/>
    <s v="Cape Town"/>
    <s v="Consumer"/>
    <s v="Online"/>
    <x v="8"/>
    <s v="Printers"/>
    <s v="PRN-4787"/>
    <n v="299.02"/>
    <s v="High"/>
    <n v="724.7"/>
    <x v="78"/>
    <n v="5"/>
    <n v="3702.9880000000003"/>
    <n v="1495.1"/>
    <n v="2207.8880000000004"/>
    <n v="0.59624497837962209"/>
  </r>
  <r>
    <s v="ORD-2025-683247"/>
    <d v="2025-03-10T00:00:00"/>
    <d v="2025-04-04T00:00:00"/>
    <n v="25"/>
    <s v="Mar-2025"/>
    <s v="Q1-2025"/>
    <x v="1"/>
    <s v="Japan"/>
    <s v="Osaka"/>
    <s v="Corporate"/>
    <s v="Direct"/>
    <x v="10"/>
    <s v="Printers"/>
    <s v="PRN-9867"/>
    <n v="783.72"/>
    <s v="High"/>
    <n v="1355.94"/>
    <x v="37"/>
    <n v="4"/>
    <n v="7467.4049999999997"/>
    <n v="3134.88"/>
    <n v="4332.5249999999996"/>
    <n v="0.58019151231251009"/>
  </r>
  <r>
    <s v="ORD-2024-585443"/>
    <d v="2024-08-17T00:00:00"/>
    <d v="2024-08-15T00:00:00"/>
    <n v="2"/>
    <s v="Aug-2024"/>
    <s v="Q3-2024"/>
    <x v="2"/>
    <s v="Brazil"/>
    <s v="Rio de Janeiro"/>
    <s v="Consumer"/>
    <s v="Direct"/>
    <x v="12"/>
    <s v="Monitors"/>
    <s v="MON-2849"/>
    <n v="165.3"/>
    <s v="High"/>
    <n v="275.07"/>
    <x v="112"/>
    <n v="25"/>
    <n v="57148.305"/>
    <n v="4132.5"/>
    <n v="53015.805"/>
    <n v="0.92768814403156841"/>
  </r>
  <r>
    <s v="ORD-2024-907733"/>
    <d v="2024-03-09T00:00:00"/>
    <d v="2024-03-22T00:00:00"/>
    <n v="13"/>
    <s v="Mar-2024"/>
    <s v="Q1-2024"/>
    <x v="3"/>
    <s v="United Kingdom"/>
    <s v="Manchester"/>
    <s v="Consumer"/>
    <s v="Online"/>
    <x v="6"/>
    <s v="Laptops"/>
    <s v="LAP-8633"/>
    <n v="985.45"/>
    <s v="High"/>
    <n v="1802.44"/>
    <x v="99"/>
    <n v="19"/>
    <n v="18416.456609999997"/>
    <n v="18723.55"/>
    <n v="-307.09339000000182"/>
    <n v="-1.6674944399089911E-2"/>
  </r>
  <r>
    <s v="ORD-2024-550400"/>
    <d v="2024-08-19T00:00:00"/>
    <d v="2024-09-02T00:00:00"/>
    <n v="14"/>
    <s v="Aug-2024"/>
    <s v="Q3-2024"/>
    <x v="2"/>
    <s v="Canada"/>
    <s v="Toronto"/>
    <s v="Consumer"/>
    <s v="Distributor"/>
    <x v="0"/>
    <s v="Printers"/>
    <s v="PRN-9793"/>
    <n v="1337.01"/>
    <s v="High"/>
    <n v="1269.78"/>
    <x v="75"/>
    <n v="7"/>
    <n v="3208.8335999999999"/>
    <n v="9359.07"/>
    <n v="-6150.2363999999998"/>
    <n v="-1.916657940754547"/>
  </r>
  <r>
    <s v="ORD-2025-189846"/>
    <d v="2025-08-11T00:00:00"/>
    <d v="2025-08-28T00:00:00"/>
    <n v="17"/>
    <s v="Aug-2025"/>
    <s v="Q3-2025"/>
    <x v="3"/>
    <s v="France"/>
    <s v="Paris"/>
    <s v="Education"/>
    <s v="Online"/>
    <x v="9"/>
    <s v="Networking"/>
    <s v="NET-6218"/>
    <n v="416.16"/>
    <s v="High"/>
    <n v="571.9"/>
    <x v="88"/>
    <n v="2"/>
    <n v="2667.2333200000003"/>
    <n v="832.32"/>
    <n v="1834.9133200000001"/>
    <n v="0.6879463098488886"/>
  </r>
  <r>
    <s v="ORD-2025-752192"/>
    <d v="2025-05-16T00:00:00"/>
    <d v="2025-05-18T00:00:00"/>
    <n v="2"/>
    <s v="May-2025"/>
    <s v="Q2-2025"/>
    <x v="1"/>
    <s v="Japan"/>
    <s v="Tokyo"/>
    <s v="Enterprise"/>
    <s v="Retail"/>
    <x v="1"/>
    <s v="Printers"/>
    <s v="PRN-6131"/>
    <n v="1144.3800000000001"/>
    <s v="High"/>
    <n v="2755.04"/>
    <x v="209"/>
    <n v="17"/>
    <n v="34640.985000000001"/>
    <n v="19454.460000000003"/>
    <n v="15186.524999999998"/>
    <n v="0.4383976090749151"/>
  </r>
  <r>
    <s v="ORD-2023-294716"/>
    <d v="2023-04-10T00:00:00"/>
    <d v="2023-04-25T00:00:00"/>
    <n v="15"/>
    <s v="Apr-2023"/>
    <s v="Q2-2023"/>
    <x v="3"/>
    <s v="United Kingdom"/>
    <s v="London"/>
    <s v="Small Business"/>
    <s v="Retail"/>
    <x v="14"/>
    <s v="Printers"/>
    <s v="PRN-5067"/>
    <n v="405.66"/>
    <s v="High"/>
    <n v="962.51"/>
    <x v="197"/>
    <n v="7"/>
    <n v="10511.386199999999"/>
    <n v="2839.6200000000003"/>
    <n v="7671.7661999999982"/>
    <n v="0.72985294746377016"/>
  </r>
  <r>
    <s v="ORD-2023-552115"/>
    <d v="2023-09-17T00:00:00"/>
    <d v="2023-10-02T00:00:00"/>
    <n v="15"/>
    <s v="Sept-2023"/>
    <s v="Q3-2023"/>
    <x v="2"/>
    <s v="Brazil"/>
    <s v="Rio de Janeiro"/>
    <s v="Small Business"/>
    <s v="Retail"/>
    <x v="5"/>
    <s v="Laptops"/>
    <s v="LAP-4932"/>
    <n v="689.33"/>
    <s v="High"/>
    <n v="668.27"/>
    <x v="63"/>
    <n v="13"/>
    <n v="486.56036000000006"/>
    <n v="8961.2900000000009"/>
    <n v="-8474.7296400000014"/>
    <n v="-17.417632706453933"/>
  </r>
  <r>
    <s v="ORD-2023-107265"/>
    <d v="2023-04-22T00:00:00"/>
    <d v="2023-05-14T00:00:00"/>
    <n v="22"/>
    <s v="Apr-2023"/>
    <s v="Q2-2023"/>
    <x v="1"/>
    <s v="Japan"/>
    <s v="Nagoya"/>
    <s v="Enterprise"/>
    <s v="Retail"/>
    <x v="8"/>
    <s v="Accessories"/>
    <s v="ACC-7713"/>
    <n v="1209.22"/>
    <s v="High"/>
    <n v="1404.33"/>
    <x v="172"/>
    <n v="11"/>
    <n v="0"/>
    <n v="13301.42"/>
    <n v="-13301.42"/>
    <n v="0"/>
  </r>
  <r>
    <s v="ORD-2025-262434"/>
    <d v="2025-06-19T00:00:00"/>
    <d v="2025-06-21T00:00:00"/>
    <n v="2"/>
    <s v="Jun-2025"/>
    <s v="Q2-2025"/>
    <x v="0"/>
    <s v="South Africa"/>
    <s v="Johannesburg"/>
    <s v="Small Business"/>
    <s v="Not Provided"/>
    <x v="10"/>
    <s v="Phones"/>
    <s v="PHN-7379"/>
    <n v="1466.27"/>
    <s v="High"/>
    <n v="3589.89"/>
    <x v="224"/>
    <n v="9"/>
    <n v="0"/>
    <n v="13196.43"/>
    <n v="-13196.43"/>
    <n v="0"/>
  </r>
  <r>
    <s v="ORD-2024-266562"/>
    <d v="2024-11-27T00:00:00"/>
    <d v="2024-12-24T00:00:00"/>
    <n v="27"/>
    <s v="Nov-2024"/>
    <s v="Q4-2024"/>
    <x v="0"/>
    <s v="Kenya"/>
    <s v="Mombasa"/>
    <s v="Corporate"/>
    <s v="Distributor"/>
    <x v="5"/>
    <s v="Printers"/>
    <s v="PRN-5569"/>
    <n v="143.33000000000001"/>
    <s v="High"/>
    <n v="233.51"/>
    <x v="196"/>
    <n v="14"/>
    <n v="0"/>
    <n v="2006.6200000000001"/>
    <n v="-2006.6200000000001"/>
    <n v="0"/>
  </r>
  <r>
    <s v="ORD-2024-838925"/>
    <d v="2024-01-28T00:00:00"/>
    <d v="2024-01-27T00:00:00"/>
    <n v="1"/>
    <s v="Jan-2024"/>
    <s v="Q1-2024"/>
    <x v="0"/>
    <s v="South Africa"/>
    <s v="Cape Town"/>
    <s v="Enterprise"/>
    <s v="Direct"/>
    <x v="7"/>
    <s v="Components"/>
    <s v="CMP-1470"/>
    <n v="109.75"/>
    <s v="Medium"/>
    <n v="124.25"/>
    <x v="18"/>
    <n v="19"/>
    <n v="0"/>
    <n v="2085.25"/>
    <n v="-2085.25"/>
    <n v="0"/>
  </r>
  <r>
    <s v="ORD-2023-664790"/>
    <d v="2023-04-16T00:00:00"/>
    <d v="2023-04-23T00:00:00"/>
    <n v="7"/>
    <s v="Apr-2023"/>
    <s v="Q2-2023"/>
    <x v="2"/>
    <s v="USA"/>
    <s v="Austin"/>
    <s v="Corporate"/>
    <s v="Distributor"/>
    <x v="7"/>
    <s v="Printers"/>
    <s v="PRN-9249"/>
    <n v="1099.1500000000001"/>
    <s v="High"/>
    <n v="1431.37"/>
    <x v="67"/>
    <n v="8"/>
    <n v="0"/>
    <n v="8793.2000000000007"/>
    <n v="-8793.2000000000007"/>
    <n v="0"/>
  </r>
  <r>
    <s v="ORD-2024-331408"/>
    <d v="2024-02-01T00:00:00"/>
    <d v="2024-02-01T00:00:00"/>
    <n v="0"/>
    <s v="Feb-2024"/>
    <s v="Q1-2024"/>
    <x v="2"/>
    <s v="USA"/>
    <s v="Austin"/>
    <s v="Consumer"/>
    <s v="Distributor"/>
    <x v="10"/>
    <s v="Printers"/>
    <s v="PRN-4906"/>
    <n v="714.43"/>
    <s v="High"/>
    <n v="1595.52"/>
    <x v="7"/>
    <n v="14"/>
    <n v="0"/>
    <n v="10002.019999999999"/>
    <n v="-10002.019999999999"/>
    <n v="0"/>
  </r>
  <r>
    <s v="ORD-2024-741404"/>
    <d v="2024-10-19T00:00:00"/>
    <d v="2024-11-06T00:00:00"/>
    <n v="18"/>
    <s v="Oct-2024"/>
    <s v="Q4-2024"/>
    <x v="2"/>
    <s v="USA"/>
    <s v="Chicago"/>
    <s v="Education"/>
    <s v="Not Provided"/>
    <x v="0"/>
    <s v="Monitors"/>
    <s v="MON-8129"/>
    <n v="942.02"/>
    <s v="High"/>
    <n v="1028.46"/>
    <x v="5"/>
    <n v="9"/>
    <n v="0"/>
    <n v="8478.18"/>
    <n v="-8478.18"/>
    <n v="0"/>
  </r>
  <r>
    <s v="ORD-2024-341535"/>
    <d v="2024-06-25T00:00:00"/>
    <d v="2024-06-30T00:00:00"/>
    <n v="5"/>
    <s v="Jun-2024"/>
    <s v="Q2-2024"/>
    <x v="0"/>
    <s v="Kenya"/>
    <s v="Kisumu"/>
    <s v="Education"/>
    <s v="Direct"/>
    <x v="12"/>
    <s v="Networking"/>
    <s v="NET-5987"/>
    <n v="1323.55"/>
    <s v="High"/>
    <n v="3230.35"/>
    <x v="118"/>
    <n v="26"/>
    <n v="0"/>
    <n v="34412.299999999996"/>
    <n v="-34412.299999999996"/>
    <n v="0"/>
  </r>
  <r>
    <s v="ORD-2023-451931"/>
    <d v="2023-07-30T00:00:00"/>
    <d v="2023-08-19T00:00:00"/>
    <n v="20"/>
    <s v="Jul-2023"/>
    <s v="Q3-2023"/>
    <x v="3"/>
    <s v="France"/>
    <s v="Paris"/>
    <s v="Enterprise"/>
    <s v="Marketplace"/>
    <x v="3"/>
    <s v="Networking"/>
    <s v="NET-5423"/>
    <n v="1418.51"/>
    <s v="High"/>
    <n v="2789.61"/>
    <x v="225"/>
    <n v="8"/>
    <n v="0"/>
    <n v="11348.08"/>
    <n v="-11348.08"/>
    <n v="0"/>
  </r>
  <r>
    <s v="ORD-2025-532859"/>
    <d v="2025-03-11T00:00:00"/>
    <d v="2025-03-27T00:00:00"/>
    <n v="16"/>
    <s v="Mar-2025"/>
    <s v="Q1-2025"/>
    <x v="1"/>
    <s v="Japan"/>
    <s v="Tokyo"/>
    <s v="Enterprise"/>
    <s v="Distributor"/>
    <x v="5"/>
    <s v="Printers"/>
    <s v="PRN-5264"/>
    <n v="1317.58"/>
    <s v="High"/>
    <n v="1897.74"/>
    <x v="226"/>
    <n v="6"/>
    <n v="0"/>
    <n v="7905.48"/>
    <n v="-7905.48"/>
    <n v="0"/>
  </r>
  <r>
    <s v="ORD-2023-502205"/>
    <d v="2023-10-09T00:00:00"/>
    <d v="2023-10-11T00:00:00"/>
    <n v="2"/>
    <s v="Oct-2023"/>
    <s v="Q4-2023"/>
    <x v="0"/>
    <s v="Nigeria"/>
    <s v="Port Harcourt"/>
    <s v="Education"/>
    <s v="Marketplace"/>
    <x v="11"/>
    <s v="Networking"/>
    <s v="NET-8856"/>
    <n v="391.16"/>
    <s v="High"/>
    <n v="902.47"/>
    <x v="140"/>
    <n v="12"/>
    <n v="0"/>
    <n v="4693.92"/>
    <n v="-4693.92"/>
    <n v="0"/>
  </r>
  <r>
    <s v="ORD-2024-930679"/>
    <d v="2024-12-17T00:00:00"/>
    <d v="2025-01-16T00:00:00"/>
    <n v="30"/>
    <s v="Dec-2024"/>
    <s v="Q4-2024"/>
    <x v="3"/>
    <s v="United Kingdom"/>
    <s v="Manchester"/>
    <s v="Corporate"/>
    <s v="Retail"/>
    <x v="14"/>
    <s v="Monitors"/>
    <s v="MON-4215"/>
    <n v="722.87"/>
    <s v="Low"/>
    <n v="-33.659999999999997"/>
    <x v="4"/>
    <n v="28"/>
    <n v="0"/>
    <n v="20240.36"/>
    <n v="-20240.36"/>
    <n v="0"/>
  </r>
  <r>
    <s v="ORD-2025-150713"/>
    <d v="2025-07-11T00:00:00"/>
    <d v="2025-07-16T00:00:00"/>
    <n v="5"/>
    <s v="Jul-2025"/>
    <s v="Q3-2025"/>
    <x v="3"/>
    <s v="United Kingdom"/>
    <s v="London"/>
    <s v="Enterprise"/>
    <s v="Online"/>
    <x v="11"/>
    <s v="Printers"/>
    <s v="PRN-5753"/>
    <n v="930.03"/>
    <s v="High"/>
    <n v="1086.68"/>
    <x v="14"/>
    <n v="26"/>
    <n v="0"/>
    <n v="24180.78"/>
    <n v="-24180.78"/>
    <n v="0"/>
  </r>
  <r>
    <s v="ORD-2024-756884"/>
    <d v="2024-10-13T00:00:00"/>
    <d v="2024-10-24T00:00:00"/>
    <n v="11"/>
    <s v="Oct-2024"/>
    <s v="Q4-2024"/>
    <x v="3"/>
    <s v="France"/>
    <s v="Paris"/>
    <s v="Education"/>
    <s v="Distributor"/>
    <x v="9"/>
    <s v="Components"/>
    <s v="CMP-5006"/>
    <n v="816.7"/>
    <s v="High"/>
    <n v="1010.75"/>
    <x v="58"/>
    <n v="43"/>
    <n v="0"/>
    <n v="35118.1"/>
    <n v="-35118.1"/>
    <n v="0"/>
  </r>
  <r>
    <s v="ORD-2023-755337"/>
    <d v="2023-09-08T00:00:00"/>
    <d v="2023-09-14T00:00:00"/>
    <n v="6"/>
    <s v="Sept-2023"/>
    <s v="Q3-2023"/>
    <x v="0"/>
    <s v="Kenya"/>
    <s v="Nakuru"/>
    <s v="Education"/>
    <s v="Direct"/>
    <x v="2"/>
    <s v="Accessories"/>
    <s v="ACC-4766"/>
    <n v="251.03"/>
    <s v="High"/>
    <n v="411.48"/>
    <x v="211"/>
    <n v="3"/>
    <n v="0"/>
    <n v="753.09"/>
    <n v="-753.09"/>
    <n v="0"/>
  </r>
  <r>
    <s v="ORD-2025-907040"/>
    <d v="2025-04-17T00:00:00"/>
    <d v="2025-05-03T00:00:00"/>
    <n v="16"/>
    <s v="Apr-2025"/>
    <s v="Q2-2025"/>
    <x v="2"/>
    <s v="Brazil"/>
    <s v="Rio de Janeiro"/>
    <s v="Consumer"/>
    <s v="Marketplace"/>
    <x v="1"/>
    <s v="Networking"/>
    <s v="NET-8610"/>
    <n v="168.68"/>
    <s v="High"/>
    <n v="413.34"/>
    <x v="63"/>
    <n v="7"/>
    <n v="0"/>
    <n v="1180.76"/>
    <n v="-1180.76"/>
    <n v="0"/>
  </r>
  <r>
    <s v="ORD-2024-817997"/>
    <d v="2024-07-28T00:00:00"/>
    <d v="2024-08-23T00:00:00"/>
    <n v="26"/>
    <s v="Jul-2024"/>
    <s v="Q3-2024"/>
    <x v="1"/>
    <s v="India"/>
    <s v="Hyderabad"/>
    <s v="Corporate"/>
    <s v="Retail"/>
    <x v="1"/>
    <s v="Networking"/>
    <s v="NET-4675"/>
    <n v="1339.24"/>
    <s v="High"/>
    <n v="1558.89"/>
    <x v="98"/>
    <n v="24"/>
    <n v="0"/>
    <n v="32141.760000000002"/>
    <n v="-32141.760000000002"/>
    <n v="0"/>
  </r>
  <r>
    <s v="ORD-2025-649633"/>
    <d v="2025-07-19T00:00:00"/>
    <d v="2025-07-31T00:00:00"/>
    <n v="12"/>
    <s v="Jul-2025"/>
    <s v="Q3-2025"/>
    <x v="0"/>
    <s v="Kenya"/>
    <s v="Nairobi"/>
    <s v="Small Business"/>
    <s v="Marketplace"/>
    <x v="7"/>
    <s v="Accessories"/>
    <s v="ACC-1028"/>
    <n v="619.64"/>
    <s v="High"/>
    <n v="861.16"/>
    <x v="139"/>
    <n v="14"/>
    <n v="0"/>
    <n v="8674.9599999999991"/>
    <n v="-8674.9599999999991"/>
    <n v="0"/>
  </r>
  <r>
    <s v="ORD-2023-885216"/>
    <d v="2023-08-03T00:00:00"/>
    <d v="2023-08-02T00:00:00"/>
    <n v="1"/>
    <s v="Aug-2023"/>
    <s v="Q3-2023"/>
    <x v="1"/>
    <s v="China"/>
    <s v="Shanghai"/>
    <s v="Non-Profit"/>
    <s v="Direct"/>
    <x v="1"/>
    <s v="Networking"/>
    <s v="NET-4735"/>
    <n v="1021.97"/>
    <s v="High"/>
    <n v="2296.25"/>
    <x v="64"/>
    <n v="26"/>
    <n v="0"/>
    <n v="26571.22"/>
    <n v="-26571.22"/>
    <n v="0"/>
  </r>
  <r>
    <s v="ORD-2023-561823"/>
    <d v="2023-11-19T00:00:00"/>
    <d v="2023-12-12T00:00:00"/>
    <n v="23"/>
    <s v="Nov-2023"/>
    <s v="Q4-2023"/>
    <x v="1"/>
    <s v="India"/>
    <s v="Delhi"/>
    <s v="Small Business"/>
    <s v="Direct"/>
    <x v="0"/>
    <s v="Networking"/>
    <s v="NET-2460"/>
    <n v="1349.04"/>
    <s v="High"/>
    <n v="2636.6"/>
    <x v="60"/>
    <n v="14"/>
    <n v="0"/>
    <n v="18886.559999999998"/>
    <n v="-18886.559999999998"/>
    <n v="0"/>
  </r>
  <r>
    <s v="ORD-2023-249805"/>
    <d v="2023-12-22T00:00:00"/>
    <d v="2024-01-16T00:00:00"/>
    <n v="25"/>
    <s v="Dec-2023"/>
    <s v="Q4-2023"/>
    <x v="1"/>
    <s v="India"/>
    <s v="Hyderabad"/>
    <s v="Small Business"/>
    <s v="Retail"/>
    <x v="8"/>
    <s v="Components"/>
    <s v="CMP-1555"/>
    <n v="1346.81"/>
    <s v="High"/>
    <n v="978.09"/>
    <x v="129"/>
    <n v="17"/>
    <n v="0"/>
    <n v="22895.77"/>
    <n v="-22895.77"/>
    <n v="0"/>
  </r>
  <r>
    <s v="ORD-2023-548934"/>
    <d v="2023-08-03T00:00:00"/>
    <d v="2023-08-30T00:00:00"/>
    <n v="27"/>
    <s v="Aug-2023"/>
    <s v="Q3-2023"/>
    <x v="1"/>
    <s v="China"/>
    <s v="Shanghai"/>
    <s v="Consumer"/>
    <s v="Distributor"/>
    <x v="13"/>
    <s v="Monitors"/>
    <s v="MON-3773"/>
    <n v="226.04"/>
    <s v="High"/>
    <n v="545.72"/>
    <x v="102"/>
    <n v="11"/>
    <n v="0"/>
    <n v="2486.44"/>
    <n v="-2486.44"/>
    <n v="0"/>
  </r>
  <r>
    <s v="ORD-2023-921939"/>
    <d v="2023-06-23T00:00:00"/>
    <d v="2023-07-18T00:00:00"/>
    <n v="25"/>
    <s v="Jun-2023"/>
    <s v="Q2-2023"/>
    <x v="2"/>
    <s v="Canada"/>
    <s v="Vancouver"/>
    <s v="Enterprise"/>
    <s v="Online"/>
    <x v="13"/>
    <s v="Phones"/>
    <s v="PHN-4677"/>
    <n v="807.02"/>
    <s v="High"/>
    <n v="1435.54"/>
    <x v="5"/>
    <n v="23"/>
    <n v="0"/>
    <n v="18561.46"/>
    <n v="-18561.46"/>
    <n v="0"/>
  </r>
  <r>
    <s v="ORD-2023-961864"/>
    <d v="2023-12-07T00:00:00"/>
    <d v="2024-01-02T00:00:00"/>
    <n v="26"/>
    <s v="Dec-2023"/>
    <s v="Q4-2023"/>
    <x v="3"/>
    <s v="Germany"/>
    <s v="Frankfurt"/>
    <s v="Enterprise"/>
    <s v="Distributor"/>
    <x v="6"/>
    <s v="Components"/>
    <s v="CMP-1940"/>
    <n v="1071.99"/>
    <s v="High"/>
    <n v="2397.3000000000002"/>
    <x v="227"/>
    <n v="18"/>
    <n v="0"/>
    <n v="19295.82"/>
    <n v="-19295.82"/>
    <n v="0"/>
  </r>
  <r>
    <s v="ORD-2023-455933"/>
    <d v="2023-11-19T00:00:00"/>
    <d v="2023-12-19T00:00:00"/>
    <n v="0"/>
    <s v="Nov-2023"/>
    <s v="Q4-2023"/>
    <x v="1"/>
    <s v="Japan"/>
    <s v="Nagoya"/>
    <s v="Consumer"/>
    <s v="Retail"/>
    <x v="15"/>
    <s v="Phones"/>
    <s v="PHN-9184"/>
    <n v="807.11"/>
    <s v="High"/>
    <n v="1853.86"/>
    <x v="23"/>
    <n v="8"/>
    <n v="0"/>
    <n v="6456.88"/>
    <n v="-6456.88"/>
    <n v="0"/>
  </r>
  <r>
    <s v="ORD-2025-728935"/>
    <d v="2025-02-28T00:00:00"/>
    <d v="2025-03-10T00:00:00"/>
    <n v="10"/>
    <s v="Feb-2025"/>
    <s v="Q1-2025"/>
    <x v="1"/>
    <s v="Japan"/>
    <s v="Osaka"/>
    <s v="Education"/>
    <s v="Distributor"/>
    <x v="13"/>
    <s v="Laptops"/>
    <s v="LAP-3017"/>
    <n v="51.86"/>
    <s v="Low"/>
    <n v="45.98"/>
    <x v="122"/>
    <n v="7"/>
    <n v="0"/>
    <n v="363.02"/>
    <n v="-363.02"/>
    <n v="0"/>
  </r>
  <r>
    <m/>
    <m/>
    <m/>
    <m/>
    <m/>
    <m/>
    <x v="4"/>
    <m/>
    <m/>
    <m/>
    <m/>
    <x v="16"/>
    <m/>
    <m/>
    <m/>
    <m/>
    <m/>
    <x v="228"/>
    <m/>
    <m/>
    <m/>
    <m/>
    <m/>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1926575.4344300001"/>
    <n v="0.18398300334905798"/>
    <n v="1926575.4344300001"/>
    <n v="0.18398300334905798"/>
    <x v="0"/>
  </r>
  <r>
    <x v="1"/>
    <n v="1573214.03728"/>
    <n v="0.150237897938996"/>
    <n v="3499789.4717100002"/>
    <n v="0.33422090128805398"/>
    <x v="0"/>
  </r>
  <r>
    <x v="2"/>
    <n v="1493059.8076100003"/>
    <n v="0.14258337497442816"/>
    <n v="4992849.2793200007"/>
    <n v="0.47680427626248217"/>
    <x v="0"/>
  </r>
  <r>
    <x v="3"/>
    <n v="1471202.46594"/>
    <n v="0.14049605501082499"/>
    <n v="6464051.7452600002"/>
    <n v="0.61730033127330708"/>
    <x v="0"/>
  </r>
  <r>
    <x v="4"/>
    <n v="1405895.7169900001"/>
    <n v="0.13425942830207699"/>
    <n v="7869947.4622499999"/>
    <n v="0.75155975957538412"/>
    <x v="0"/>
  </r>
  <r>
    <x v="5"/>
    <n v="1352771.8338100002"/>
    <n v="0.12918623396857165"/>
    <n v="9222719.2960599996"/>
    <n v="0.88074599354395566"/>
    <x v="1"/>
  </r>
  <r>
    <x v="6"/>
    <n v="1248766.6529700004"/>
    <n v="0.11925400645604425"/>
    <n v="10471485.949030001"/>
    <n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BBCAFD-5D9D-4AC8-9527-CBB691CAF3A6}"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I27" firstHeaderRow="1" firstDataRow="2" firstDataCol="1" rowPageCount="1" colPageCount="1"/>
  <pivotFields count="15">
    <pivotField numFmtId="166" showAll="0"/>
    <pivotField axis="axisCol" showAll="0">
      <items count="34">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t="default"/>
      </items>
    </pivotField>
    <pivotField axis="axisRow" showAll="0">
      <items count="23">
        <item x="1"/>
        <item x="13"/>
        <item x="5"/>
        <item x="17"/>
        <item x="9"/>
        <item x="21"/>
        <item x="11"/>
        <item x="10"/>
        <item x="4"/>
        <item x="16"/>
        <item x="3"/>
        <item x="15"/>
        <item x="0"/>
        <item x="12"/>
        <item x="2"/>
        <item x="14"/>
        <item x="8"/>
        <item x="20"/>
        <item x="7"/>
        <item x="19"/>
        <item x="6"/>
        <item x="18"/>
        <item t="default"/>
      </items>
    </pivotField>
    <pivotField numFmtId="15" showAll="0"/>
    <pivotField showAll="0"/>
    <pivotField showAll="0"/>
    <pivotField axis="axisPage" showAll="0">
      <items count="13">
        <item x="5"/>
        <item x="3"/>
        <item x="9"/>
        <item x="7"/>
        <item x="6"/>
        <item x="4"/>
        <item x="2"/>
        <item x="0"/>
        <item x="1"/>
        <item x="11"/>
        <item x="8"/>
        <item x="10"/>
        <item t="default"/>
      </items>
    </pivotField>
    <pivotField showAll="0"/>
    <pivotField showAll="0"/>
    <pivotField showAll="0"/>
    <pivotField numFmtId="2" showAll="0"/>
    <pivotField numFmtId="2" showAll="0"/>
    <pivotField numFmtId="2" showAll="0"/>
    <pivotField numFmtId="2" showAll="0"/>
    <pivotField dataField="1" numFmtId="2" showAll="0"/>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1"/>
  </colFields>
  <col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colItems>
  <pageFields count="1">
    <pageField fld="6" hier="-1"/>
  </pageFields>
  <dataFields count="1">
    <dataField name="Sum of Gross Revenue"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685F6C-AFC1-4D5C-9844-9FDB2A61512A}" name="PivotTable2"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D16:E31" firstHeaderRow="1" firstDataRow="1" firstDataCol="1"/>
  <pivotFields count="6">
    <pivotField axis="axisRow" showAll="0">
      <items count="8">
        <item x="5"/>
        <item x="6"/>
        <item x="4"/>
        <item x="2"/>
        <item x="3"/>
        <item x="1"/>
        <item x="0"/>
        <item t="default"/>
      </items>
    </pivotField>
    <pivotField dataField="1" showAll="0"/>
    <pivotField numFmtId="10" showAll="0"/>
    <pivotField numFmtId="2" showAll="0"/>
    <pivotField numFmtId="10" showAll="0"/>
    <pivotField axis="axisRow" showAll="0">
      <items count="4">
        <item x="0"/>
        <item x="1"/>
        <item x="2"/>
        <item t="default"/>
      </items>
    </pivotField>
  </pivotFields>
  <rowFields count="2">
    <field x="0"/>
    <field x="5"/>
  </rowFields>
  <rowItems count="15">
    <i>
      <x/>
    </i>
    <i r="1">
      <x v="1"/>
    </i>
    <i>
      <x v="1"/>
    </i>
    <i r="1">
      <x v="2"/>
    </i>
    <i>
      <x v="2"/>
    </i>
    <i r="1">
      <x/>
    </i>
    <i>
      <x v="3"/>
    </i>
    <i r="1">
      <x/>
    </i>
    <i>
      <x v="4"/>
    </i>
    <i r="1">
      <x/>
    </i>
    <i>
      <x v="5"/>
    </i>
    <i r="1">
      <x/>
    </i>
    <i>
      <x v="6"/>
    </i>
    <i r="1">
      <x/>
    </i>
    <i t="grand">
      <x/>
    </i>
  </rowItems>
  <colItems count="1">
    <i/>
  </colItems>
  <dataFields count="1">
    <dataField name="Sum of Gross Revenue" fld="1" baseField="0" baseItem="0"/>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67BFBF-FE1A-4F4E-9A4F-545932A5D754}" name="PivotTable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3:B11" firstHeaderRow="1" firstDataRow="1"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9">
        <item sd="0" x="6"/>
        <item sd="0" x="0"/>
        <item sd="0" x="4"/>
        <item sd="0" x="5"/>
        <item sd="0" x="2"/>
        <item sd="0" x="3"/>
        <item sd="0" x="1"/>
        <item h="1" x="7"/>
        <item t="default"/>
      </items>
      <autoSortScope>
        <pivotArea dataOnly="0" outline="0" fieldPosition="0">
          <references count="1">
            <reference field="4294967294" count="1" selected="0">
              <x v="0"/>
            </reference>
          </references>
        </pivotArea>
      </autoSortScope>
    </pivotField>
    <pivotField axis="axisRow" showAll="0">
      <items count="632">
        <item x="139"/>
        <item x="621"/>
        <item x="333"/>
        <item x="415"/>
        <item x="340"/>
        <item x="394"/>
        <item x="441"/>
        <item x="293"/>
        <item x="491"/>
        <item x="587"/>
        <item x="207"/>
        <item x="14"/>
        <item x="478"/>
        <item x="58"/>
        <item x="261"/>
        <item x="59"/>
        <item x="325"/>
        <item x="103"/>
        <item x="170"/>
        <item x="70"/>
        <item x="497"/>
        <item x="416"/>
        <item x="312"/>
        <item x="319"/>
        <item x="489"/>
        <item x="332"/>
        <item x="355"/>
        <item x="516"/>
        <item x="185"/>
        <item x="545"/>
        <item x="221"/>
        <item x="259"/>
        <item x="450"/>
        <item x="521"/>
        <item x="576"/>
        <item x="270"/>
        <item x="22"/>
        <item x="158"/>
        <item x="131"/>
        <item x="154"/>
        <item x="290"/>
        <item x="76"/>
        <item x="113"/>
        <item x="569"/>
        <item x="187"/>
        <item x="618"/>
        <item x="588"/>
        <item x="227"/>
        <item x="552"/>
        <item x="551"/>
        <item x="97"/>
        <item x="460"/>
        <item x="214"/>
        <item x="352"/>
        <item x="299"/>
        <item x="57"/>
        <item x="288"/>
        <item x="50"/>
        <item x="147"/>
        <item x="437"/>
        <item x="346"/>
        <item x="180"/>
        <item x="358"/>
        <item x="142"/>
        <item x="493"/>
        <item x="557"/>
        <item x="465"/>
        <item x="604"/>
        <item x="360"/>
        <item x="592"/>
        <item x="10"/>
        <item x="277"/>
        <item x="18"/>
        <item x="338"/>
        <item x="541"/>
        <item x="292"/>
        <item x="454"/>
        <item x="25"/>
        <item x="209"/>
        <item x="93"/>
        <item x="66"/>
        <item x="77"/>
        <item x="554"/>
        <item x="536"/>
        <item x="306"/>
        <item x="182"/>
        <item x="408"/>
        <item x="109"/>
        <item x="75"/>
        <item x="169"/>
        <item x="513"/>
        <item x="471"/>
        <item x="579"/>
        <item x="607"/>
        <item x="624"/>
        <item x="34"/>
        <item x="172"/>
        <item x="627"/>
        <item x="401"/>
        <item x="126"/>
        <item x="391"/>
        <item x="124"/>
        <item x="484"/>
        <item x="523"/>
        <item x="377"/>
        <item x="24"/>
        <item x="87"/>
        <item x="82"/>
        <item x="324"/>
        <item x="510"/>
        <item x="367"/>
        <item x="458"/>
        <item x="12"/>
        <item x="136"/>
        <item x="9"/>
        <item x="294"/>
        <item x="157"/>
        <item x="464"/>
        <item x="210"/>
        <item x="315"/>
        <item x="467"/>
        <item x="85"/>
        <item x="161"/>
        <item x="260"/>
        <item x="348"/>
        <item x="256"/>
        <item x="573"/>
        <item x="220"/>
        <item x="617"/>
        <item x="594"/>
        <item x="326"/>
        <item x="74"/>
        <item x="171"/>
        <item x="589"/>
        <item x="490"/>
        <item x="518"/>
        <item x="463"/>
        <item x="78"/>
        <item x="519"/>
        <item x="564"/>
        <item x="44"/>
        <item x="127"/>
        <item x="125"/>
        <item x="110"/>
        <item x="568"/>
        <item x="504"/>
        <item x="459"/>
        <item x="451"/>
        <item x="397"/>
        <item x="30"/>
        <item x="230"/>
        <item x="61"/>
        <item x="365"/>
        <item x="222"/>
        <item x="206"/>
        <item x="69"/>
        <item x="250"/>
        <item x="36"/>
        <item x="60"/>
        <item x="105"/>
        <item x="511"/>
        <item x="101"/>
        <item x="86"/>
        <item x="234"/>
        <item x="0"/>
        <item x="37"/>
        <item x="393"/>
        <item x="436"/>
        <item x="403"/>
        <item x="289"/>
        <item x="476"/>
        <item x="237"/>
        <item x="585"/>
        <item x="177"/>
        <item x="300"/>
        <item x="267"/>
        <item x="559"/>
        <item x="323"/>
        <item x="475"/>
        <item x="477"/>
        <item x="533"/>
        <item x="166"/>
        <item x="145"/>
        <item x="295"/>
        <item x="15"/>
        <item x="527"/>
        <item x="445"/>
        <item x="582"/>
        <item x="539"/>
        <item x="349"/>
        <item x="119"/>
        <item x="279"/>
        <item x="246"/>
        <item x="384"/>
        <item x="239"/>
        <item x="370"/>
        <item x="629"/>
        <item x="481"/>
        <item x="146"/>
        <item x="19"/>
        <item x="64"/>
        <item x="264"/>
        <item x="507"/>
        <item x="571"/>
        <item x="345"/>
        <item x="99"/>
        <item x="53"/>
        <item x="362"/>
        <item x="514"/>
        <item x="581"/>
        <item x="71"/>
        <item x="309"/>
        <item x="304"/>
        <item x="542"/>
        <item x="242"/>
        <item x="457"/>
        <item x="603"/>
        <item x="23"/>
        <item x="255"/>
        <item x="508"/>
        <item x="104"/>
        <item x="190"/>
        <item x="563"/>
        <item x="387"/>
        <item x="251"/>
        <item x="151"/>
        <item x="520"/>
        <item x="593"/>
        <item x="368"/>
        <item x="56"/>
        <item x="409"/>
        <item x="275"/>
        <item x="173"/>
        <item x="102"/>
        <item x="388"/>
        <item x="534"/>
        <item x="565"/>
        <item x="425"/>
        <item x="52"/>
        <item x="192"/>
        <item x="407"/>
        <item x="117"/>
        <item x="396"/>
        <item x="424"/>
        <item x="72"/>
        <item x="5"/>
        <item x="598"/>
        <item x="430"/>
        <item x="421"/>
        <item x="283"/>
        <item x="329"/>
        <item x="386"/>
        <item x="111"/>
        <item x="224"/>
        <item x="132"/>
        <item x="20"/>
        <item x="402"/>
        <item x="284"/>
        <item x="33"/>
        <item x="339"/>
        <item x="566"/>
        <item x="314"/>
        <item x="271"/>
        <item x="591"/>
        <item x="216"/>
        <item x="186"/>
        <item x="205"/>
        <item x="96"/>
        <item x="404"/>
        <item x="167"/>
        <item x="140"/>
        <item x="68"/>
        <item x="472"/>
        <item x="509"/>
        <item x="217"/>
        <item x="115"/>
        <item x="247"/>
        <item x="597"/>
        <item x="89"/>
        <item x="328"/>
        <item x="249"/>
        <item x="135"/>
        <item x="273"/>
        <item x="427"/>
        <item x="83"/>
        <item x="398"/>
        <item x="121"/>
        <item x="625"/>
        <item x="418"/>
        <item x="615"/>
        <item x="189"/>
        <item x="351"/>
        <item x="549"/>
        <item x="297"/>
        <item x="51"/>
        <item x="252"/>
        <item x="372"/>
        <item x="432"/>
        <item x="499"/>
        <item x="55"/>
        <item x="204"/>
        <item x="456"/>
        <item x="130"/>
        <item x="63"/>
        <item x="233"/>
        <item x="178"/>
        <item x="305"/>
        <item x="447"/>
        <item x="280"/>
        <item x="298"/>
        <item x="183"/>
        <item x="363"/>
        <item x="389"/>
        <item x="561"/>
        <item x="572"/>
        <item x="522"/>
        <item x="547"/>
        <item x="310"/>
        <item x="195"/>
        <item x="165"/>
        <item x="67"/>
        <item x="453"/>
        <item x="8"/>
        <item x="175"/>
        <item x="556"/>
        <item x="446"/>
        <item x="580"/>
        <item x="191"/>
        <item x="168"/>
        <item x="383"/>
        <item x="258"/>
        <item x="211"/>
        <item x="188"/>
        <item x="79"/>
        <item x="610"/>
        <item x="544"/>
        <item x="6"/>
        <item x="272"/>
        <item x="540"/>
        <item x="431"/>
        <item x="184"/>
        <item x="494"/>
        <item x="254"/>
        <item x="88"/>
        <item x="118"/>
        <item x="531"/>
        <item x="163"/>
        <item x="498"/>
        <item x="318"/>
        <item x="395"/>
        <item x="266"/>
        <item x="160"/>
        <item x="40"/>
        <item x="496"/>
        <item x="311"/>
        <item x="495"/>
        <item x="590"/>
        <item x="380"/>
        <item x="41"/>
        <item x="223"/>
        <item x="226"/>
        <item x="302"/>
        <item x="98"/>
        <item x="341"/>
        <item x="73"/>
        <item x="479"/>
        <item x="90"/>
        <item x="45"/>
        <item x="47"/>
        <item x="144"/>
        <item x="257"/>
        <item x="623"/>
        <item x="438"/>
        <item x="562"/>
        <item x="248"/>
        <item x="483"/>
        <item x="577"/>
        <item x="114"/>
        <item x="21"/>
        <item x="399"/>
        <item x="198"/>
        <item x="376"/>
        <item x="575"/>
        <item x="506"/>
        <item x="307"/>
        <item x="574"/>
        <item x="382"/>
        <item x="357"/>
        <item x="317"/>
        <item x="129"/>
        <item x="517"/>
        <item x="112"/>
        <item x="548"/>
        <item x="321"/>
        <item x="620"/>
        <item x="622"/>
        <item x="80"/>
        <item x="322"/>
        <item x="543"/>
        <item x="48"/>
        <item x="462"/>
        <item x="612"/>
        <item x="379"/>
        <item x="276"/>
        <item x="194"/>
        <item x="611"/>
        <item x="466"/>
        <item x="203"/>
        <item x="600"/>
        <item x="503"/>
        <item x="120"/>
        <item x="108"/>
        <item x="535"/>
        <item x="413"/>
        <item x="84"/>
        <item x="550"/>
        <item x="215"/>
        <item x="378"/>
        <item x="155"/>
        <item x="32"/>
        <item x="433"/>
        <item x="502"/>
        <item x="281"/>
        <item x="123"/>
        <item x="619"/>
        <item x="156"/>
        <item x="538"/>
        <item x="614"/>
        <item x="353"/>
        <item x="331"/>
        <item x="262"/>
        <item x="567"/>
        <item x="529"/>
        <item x="344"/>
        <item x="2"/>
        <item x="29"/>
        <item x="435"/>
        <item x="287"/>
        <item x="54"/>
        <item x="420"/>
        <item x="17"/>
        <item x="282"/>
        <item x="347"/>
        <item x="213"/>
        <item x="343"/>
        <item x="28"/>
        <item x="560"/>
        <item x="512"/>
        <item x="202"/>
        <item x="371"/>
        <item x="327"/>
        <item x="107"/>
        <item x="448"/>
        <item x="238"/>
        <item x="482"/>
        <item x="231"/>
        <item x="422"/>
        <item x="133"/>
        <item x="530"/>
        <item x="268"/>
        <item x="426"/>
        <item x="200"/>
        <item x="392"/>
        <item x="91"/>
        <item x="241"/>
        <item x="286"/>
        <item x="263"/>
        <item x="334"/>
        <item x="412"/>
        <item x="440"/>
        <item x="128"/>
        <item x="570"/>
        <item x="3"/>
        <item x="583"/>
        <item x="149"/>
        <item x="65"/>
        <item x="626"/>
        <item x="245"/>
        <item x="31"/>
        <item x="375"/>
        <item x="197"/>
        <item x="303"/>
        <item x="584"/>
        <item x="361"/>
        <item x="162"/>
        <item x="452"/>
        <item x="428"/>
        <item x="406"/>
        <item x="485"/>
        <item x="553"/>
        <item x="316"/>
        <item x="330"/>
        <item x="488"/>
        <item x="455"/>
        <item x="285"/>
        <item x="278"/>
        <item x="27"/>
        <item x="366"/>
        <item x="94"/>
        <item x="11"/>
        <item x="244"/>
        <item x="225"/>
        <item x="605"/>
        <item x="181"/>
        <item x="578"/>
        <item x="336"/>
        <item x="492"/>
        <item x="122"/>
        <item x="374"/>
        <item x="137"/>
        <item x="141"/>
        <item x="532"/>
        <item x="62"/>
        <item x="100"/>
        <item x="419"/>
        <item x="411"/>
        <item x="505"/>
        <item x="236"/>
        <item x="434"/>
        <item x="106"/>
        <item x="500"/>
        <item x="628"/>
        <item x="159"/>
        <item x="320"/>
        <item x="473"/>
        <item x="586"/>
        <item x="196"/>
        <item x="501"/>
        <item x="335"/>
        <item x="232"/>
        <item x="390"/>
        <item x="474"/>
        <item x="265"/>
        <item x="486"/>
        <item x="49"/>
        <item x="526"/>
        <item x="537"/>
        <item x="410"/>
        <item x="515"/>
        <item x="525"/>
        <item x="439"/>
        <item x="228"/>
        <item x="313"/>
        <item x="449"/>
        <item x="555"/>
        <item x="429"/>
        <item x="46"/>
        <item x="524"/>
        <item x="219"/>
        <item x="253"/>
        <item x="308"/>
        <item x="212"/>
        <item x="42"/>
        <item x="468"/>
        <item x="364"/>
        <item x="369"/>
        <item x="174"/>
        <item x="480"/>
        <item x="164"/>
        <item x="26"/>
        <item x="148"/>
        <item x="143"/>
        <item x="35"/>
        <item x="528"/>
        <item x="595"/>
        <item x="134"/>
        <item x="442"/>
        <item x="342"/>
        <item x="609"/>
        <item x="138"/>
        <item x="193"/>
        <item x="240"/>
        <item x="602"/>
        <item x="176"/>
        <item x="613"/>
        <item x="337"/>
        <item x="243"/>
        <item x="606"/>
        <item x="400"/>
        <item x="218"/>
        <item x="616"/>
        <item x="487"/>
        <item x="417"/>
        <item x="381"/>
        <item x="208"/>
        <item x="601"/>
        <item x="150"/>
        <item x="7"/>
        <item x="423"/>
        <item x="116"/>
        <item x="92"/>
        <item x="301"/>
        <item x="39"/>
        <item x="558"/>
        <item x="359"/>
        <item x="269"/>
        <item x="16"/>
        <item x="461"/>
        <item x="199"/>
        <item x="229"/>
        <item x="470"/>
        <item x="153"/>
        <item x="38"/>
        <item x="350"/>
        <item x="235"/>
        <item x="296"/>
        <item x="444"/>
        <item x="4"/>
        <item x="179"/>
        <item x="152"/>
        <item x="13"/>
        <item x="201"/>
        <item x="373"/>
        <item x="274"/>
        <item x="291"/>
        <item x="385"/>
        <item x="95"/>
        <item x="608"/>
        <item x="1"/>
        <item x="405"/>
        <item x="469"/>
        <item x="356"/>
        <item x="443"/>
        <item x="546"/>
        <item x="81"/>
        <item x="43"/>
        <item x="599"/>
        <item x="596"/>
        <item x="354"/>
        <item x="414"/>
        <item x="630"/>
        <item t="default"/>
      </items>
    </pivotField>
    <pivotField showAll="0"/>
    <pivotField showAll="0"/>
    <pivotField showAll="0"/>
    <pivotField showAll="0"/>
    <pivotField showAll="0"/>
    <pivotField dataField="1" showAll="0">
      <items count="609">
        <item x="591"/>
        <item x="32"/>
        <item x="606"/>
        <item x="86"/>
        <item x="154"/>
        <item x="146"/>
        <item x="260"/>
        <item x="467"/>
        <item x="272"/>
        <item x="221"/>
        <item x="546"/>
        <item x="70"/>
        <item x="363"/>
        <item x="57"/>
        <item x="285"/>
        <item x="80"/>
        <item x="90"/>
        <item x="25"/>
        <item x="28"/>
        <item x="297"/>
        <item x="605"/>
        <item x="151"/>
        <item x="87"/>
        <item x="204"/>
        <item x="180"/>
        <item x="455"/>
        <item x="462"/>
        <item x="217"/>
        <item x="113"/>
        <item x="256"/>
        <item x="315"/>
        <item x="328"/>
        <item x="101"/>
        <item x="279"/>
        <item x="464"/>
        <item x="437"/>
        <item x="549"/>
        <item x="27"/>
        <item x="450"/>
        <item x="282"/>
        <item x="0"/>
        <item x="491"/>
        <item x="343"/>
        <item x="506"/>
        <item x="185"/>
        <item x="556"/>
        <item x="265"/>
        <item x="408"/>
        <item x="410"/>
        <item x="168"/>
        <item x="93"/>
        <item x="421"/>
        <item x="435"/>
        <item x="417"/>
        <item x="75"/>
        <item x="434"/>
        <item x="525"/>
        <item x="412"/>
        <item x="583"/>
        <item x="189"/>
        <item x="248"/>
        <item x="82"/>
        <item x="213"/>
        <item x="335"/>
        <item x="332"/>
        <item x="152"/>
        <item x="500"/>
        <item x="304"/>
        <item x="292"/>
        <item x="102"/>
        <item x="321"/>
        <item x="493"/>
        <item x="281"/>
        <item x="88"/>
        <item x="602"/>
        <item x="295"/>
        <item x="560"/>
        <item x="551"/>
        <item x="586"/>
        <item x="413"/>
        <item x="318"/>
        <item x="191"/>
        <item x="63"/>
        <item x="601"/>
        <item x="565"/>
        <item x="137"/>
        <item x="571"/>
        <item x="451"/>
        <item x="79"/>
        <item x="489"/>
        <item x="466"/>
        <item x="595"/>
        <item x="257"/>
        <item x="392"/>
        <item x="391"/>
        <item x="20"/>
        <item x="109"/>
        <item x="544"/>
        <item x="406"/>
        <item x="98"/>
        <item x="195"/>
        <item x="143"/>
        <item x="171"/>
        <item x="597"/>
        <item x="267"/>
        <item x="347"/>
        <item x="459"/>
        <item x="77"/>
        <item x="26"/>
        <item x="415"/>
        <item x="432"/>
        <item x="514"/>
        <item x="105"/>
        <item x="593"/>
        <item x="59"/>
        <item x="56"/>
        <item x="124"/>
        <item x="83"/>
        <item x="119"/>
        <item x="104"/>
        <item x="244"/>
        <item x="92"/>
        <item x="207"/>
        <item x="358"/>
        <item x="2"/>
        <item x="219"/>
        <item x="212"/>
        <item x="231"/>
        <item x="505"/>
        <item x="354"/>
        <item x="547"/>
        <item x="430"/>
        <item x="324"/>
        <item x="460"/>
        <item x="418"/>
        <item x="490"/>
        <item x="582"/>
        <item x="519"/>
        <item x="584"/>
        <item x="594"/>
        <item x="237"/>
        <item x="148"/>
        <item x="457"/>
        <item x="535"/>
        <item x="520"/>
        <item x="193"/>
        <item x="9"/>
        <item x="338"/>
        <item x="167"/>
        <item x="554"/>
        <item x="440"/>
        <item x="393"/>
        <item x="243"/>
        <item x="326"/>
        <item x="575"/>
        <item x="378"/>
        <item x="263"/>
        <item x="107"/>
        <item x="402"/>
        <item x="482"/>
        <item x="327"/>
        <item x="153"/>
        <item x="108"/>
        <item x="419"/>
        <item x="42"/>
        <item x="72"/>
        <item x="578"/>
        <item x="517"/>
        <item x="312"/>
        <item x="232"/>
        <item x="214"/>
        <item x="198"/>
        <item x="545"/>
        <item x="186"/>
        <item x="246"/>
        <item x="349"/>
        <item x="161"/>
        <item x="115"/>
        <item x="111"/>
        <item x="277"/>
        <item x="333"/>
        <item x="271"/>
        <item x="227"/>
        <item x="13"/>
        <item x="305"/>
        <item x="518"/>
        <item x="196"/>
        <item x="174"/>
        <item x="553"/>
        <item x="509"/>
        <item x="485"/>
        <item x="573"/>
        <item x="122"/>
        <item x="334"/>
        <item x="275"/>
        <item x="158"/>
        <item x="233"/>
        <item x="445"/>
        <item x="61"/>
        <item x="182"/>
        <item x="510"/>
        <item x="41"/>
        <item x="290"/>
        <item x="596"/>
        <item x="598"/>
        <item x="507"/>
        <item x="345"/>
        <item x="468"/>
        <item x="476"/>
        <item x="307"/>
        <item x="527"/>
        <item x="225"/>
        <item x="289"/>
        <item x="558"/>
        <item x="524"/>
        <item x="176"/>
        <item x="576"/>
        <item x="121"/>
        <item x="136"/>
        <item x="278"/>
        <item x="38"/>
        <item x="283"/>
        <item x="499"/>
        <item x="169"/>
        <item x="564"/>
        <item x="129"/>
        <item x="4"/>
        <item x="473"/>
        <item x="96"/>
        <item x="228"/>
        <item x="531"/>
        <item x="579"/>
        <item x="427"/>
        <item x="99"/>
        <item x="559"/>
        <item x="504"/>
        <item x="39"/>
        <item x="6"/>
        <item x="534"/>
        <item x="403"/>
        <item x="222"/>
        <item x="226"/>
        <item x="118"/>
        <item x="156"/>
        <item x="359"/>
        <item x="242"/>
        <item x="484"/>
        <item x="344"/>
        <item x="568"/>
        <item x="188"/>
        <item x="273"/>
        <item x="65"/>
        <item x="258"/>
        <item x="62"/>
        <item x="390"/>
        <item x="94"/>
        <item x="128"/>
        <item x="205"/>
        <item x="286"/>
        <item x="259"/>
        <item x="270"/>
        <item x="365"/>
        <item x="496"/>
        <item x="159"/>
        <item x="74"/>
        <item x="31"/>
        <item x="446"/>
        <item x="164"/>
        <item x="411"/>
        <item x="552"/>
        <item x="301"/>
        <item x="245"/>
        <item x="589"/>
        <item x="502"/>
        <item x="538"/>
        <item x="604"/>
        <item x="52"/>
        <item x="581"/>
        <item x="550"/>
        <item x="409"/>
        <item x="291"/>
        <item x="134"/>
        <item x="130"/>
        <item x="201"/>
        <item x="314"/>
        <item x="300"/>
        <item x="216"/>
        <item x="420"/>
        <item x="513"/>
        <item x="67"/>
        <item x="377"/>
        <item x="563"/>
        <item x="325"/>
        <item x="206"/>
        <item x="374"/>
        <item x="287"/>
        <item x="394"/>
        <item x="329"/>
        <item x="453"/>
        <item x="29"/>
        <item x="249"/>
        <item x="69"/>
        <item x="532"/>
        <item x="51"/>
        <item x="404"/>
        <item x="501"/>
        <item x="369"/>
        <item x="84"/>
        <item x="218"/>
        <item x="438"/>
        <item x="469"/>
        <item x="209"/>
        <item x="288"/>
        <item x="262"/>
        <item x="5"/>
        <item x="12"/>
        <item x="360"/>
        <item x="472"/>
        <item x="368"/>
        <item x="183"/>
        <item x="37"/>
        <item x="310"/>
        <item x="210"/>
        <item x="114"/>
        <item x="229"/>
        <item x="590"/>
        <item x="367"/>
        <item x="239"/>
        <item x="382"/>
        <item x="474"/>
        <item x="162"/>
        <item x="366"/>
        <item x="192"/>
        <item x="425"/>
        <item x="208"/>
        <item x="172"/>
        <item x="540"/>
        <item x="194"/>
        <item x="23"/>
        <item x="54"/>
        <item x="135"/>
        <item x="33"/>
        <item x="45"/>
        <item x="224"/>
        <item x="498"/>
        <item x="398"/>
        <item x="15"/>
        <item x="120"/>
        <item x="112"/>
        <item x="541"/>
        <item x="17"/>
        <item x="384"/>
        <item x="487"/>
        <item x="523"/>
        <item x="503"/>
        <item x="268"/>
        <item x="449"/>
        <item x="140"/>
        <item x="407"/>
        <item x="486"/>
        <item x="238"/>
        <item x="439"/>
        <item x="533"/>
        <item x="131"/>
        <item x="68"/>
        <item x="371"/>
        <item x="431"/>
        <item x="280"/>
        <item x="18"/>
        <item x="381"/>
        <item x="22"/>
        <item x="125"/>
        <item x="543"/>
        <item x="492"/>
        <item x="141"/>
        <item x="177"/>
        <item x="133"/>
        <item x="293"/>
        <item x="47"/>
        <item x="251"/>
        <item x="34"/>
        <item x="8"/>
        <item x="43"/>
        <item x="175"/>
        <item x="370"/>
        <item x="50"/>
        <item x="241"/>
        <item x="261"/>
        <item x="1"/>
        <item x="405"/>
        <item x="123"/>
        <item x="66"/>
        <item x="302"/>
        <item x="240"/>
        <item x="399"/>
        <item x="85"/>
        <item x="600"/>
        <item x="234"/>
        <item x="190"/>
        <item x="254"/>
        <item x="436"/>
        <item x="170"/>
        <item x="386"/>
        <item x="475"/>
        <item x="352"/>
        <item x="46"/>
        <item x="320"/>
        <item x="14"/>
        <item x="397"/>
        <item x="7"/>
        <item x="444"/>
        <item x="495"/>
        <item x="471"/>
        <item x="483"/>
        <item x="361"/>
        <item x="71"/>
        <item x="355"/>
        <item x="350"/>
        <item x="570"/>
        <item x="478"/>
        <item x="294"/>
        <item x="311"/>
        <item x="157"/>
        <item x="442"/>
        <item x="299"/>
        <item x="385"/>
        <item x="580"/>
        <item x="423"/>
        <item x="465"/>
        <item x="10"/>
        <item x="53"/>
        <item x="49"/>
        <item x="569"/>
        <item x="331"/>
        <item x="236"/>
        <item x="536"/>
        <item x="76"/>
        <item x="561"/>
        <item x="530"/>
        <item x="477"/>
        <item x="106"/>
        <item x="414"/>
        <item x="44"/>
        <item x="548"/>
        <item x="220"/>
        <item x="376"/>
        <item x="555"/>
        <item x="116"/>
        <item x="339"/>
        <item x="480"/>
        <item x="572"/>
        <item x="592"/>
        <item x="21"/>
        <item x="364"/>
        <item x="351"/>
        <item x="323"/>
        <item x="433"/>
        <item x="103"/>
        <item x="132"/>
        <item x="401"/>
        <item x="322"/>
        <item x="264"/>
        <item x="36"/>
        <item x="508"/>
        <item x="542"/>
        <item x="19"/>
        <item x="89"/>
        <item x="97"/>
        <item x="274"/>
        <item x="11"/>
        <item x="303"/>
        <item x="356"/>
        <item x="48"/>
        <item x="179"/>
        <item x="400"/>
        <item x="566"/>
        <item x="150"/>
        <item x="308"/>
        <item x="373"/>
        <item x="250"/>
        <item x="247"/>
        <item x="142"/>
        <item x="81"/>
        <item x="330"/>
        <item x="494"/>
        <item x="117"/>
        <item x="448"/>
        <item x="389"/>
        <item x="269"/>
        <item x="317"/>
        <item x="447"/>
        <item x="511"/>
        <item x="452"/>
        <item x="203"/>
        <item x="357"/>
        <item x="522"/>
        <item x="296"/>
        <item x="574"/>
        <item x="138"/>
        <item x="253"/>
        <item x="395"/>
        <item x="529"/>
        <item x="60"/>
        <item x="567"/>
        <item x="126"/>
        <item x="497"/>
        <item x="443"/>
        <item x="387"/>
        <item x="461"/>
        <item x="515"/>
        <item x="235"/>
        <item x="353"/>
        <item x="144"/>
        <item x="24"/>
        <item x="479"/>
        <item x="100"/>
        <item x="537"/>
        <item x="340"/>
        <item x="463"/>
        <item x="178"/>
        <item x="284"/>
        <item x="147"/>
        <item x="40"/>
        <item x="585"/>
        <item x="266"/>
        <item x="337"/>
        <item x="166"/>
        <item x="426"/>
        <item x="342"/>
        <item x="3"/>
        <item x="470"/>
        <item x="73"/>
        <item x="316"/>
        <item x="603"/>
        <item x="230"/>
        <item x="139"/>
        <item x="309"/>
        <item x="539"/>
        <item x="458"/>
        <item x="375"/>
        <item x="379"/>
        <item x="313"/>
        <item x="380"/>
        <item x="341"/>
        <item x="173"/>
        <item x="336"/>
        <item x="526"/>
        <item x="211"/>
        <item x="155"/>
        <item x="223"/>
        <item x="202"/>
        <item x="424"/>
        <item x="197"/>
        <item x="255"/>
        <item x="298"/>
        <item x="512"/>
        <item x="165"/>
        <item x="454"/>
        <item x="127"/>
        <item x="416"/>
        <item x="429"/>
        <item x="145"/>
        <item x="160"/>
        <item x="30"/>
        <item x="110"/>
        <item x="78"/>
        <item x="64"/>
        <item x="388"/>
        <item x="362"/>
        <item x="200"/>
        <item x="184"/>
        <item x="587"/>
        <item x="348"/>
        <item x="95"/>
        <item x="181"/>
        <item x="441"/>
        <item x="55"/>
        <item x="163"/>
        <item x="516"/>
        <item x="252"/>
        <item x="521"/>
        <item x="187"/>
        <item x="396"/>
        <item x="306"/>
        <item x="528"/>
        <item x="428"/>
        <item x="199"/>
        <item x="562"/>
        <item x="599"/>
        <item x="149"/>
        <item x="557"/>
        <item x="372"/>
        <item x="346"/>
        <item x="588"/>
        <item x="215"/>
        <item x="488"/>
        <item x="276"/>
        <item x="383"/>
        <item x="91"/>
        <item x="422"/>
        <item x="16"/>
        <item x="35"/>
        <item x="58"/>
        <item x="577"/>
        <item x="456"/>
        <item x="319"/>
        <item x="481"/>
        <item x="607"/>
        <item t="default"/>
      </items>
    </pivotField>
    <pivotField showAll="0"/>
    <pivotField showAll="0"/>
    <pivotField showAll="0"/>
  </pivotFields>
  <rowFields count="2">
    <field x="12"/>
    <field x="13"/>
  </rowFields>
  <rowItems count="8">
    <i>
      <x v="6"/>
    </i>
    <i>
      <x v="5"/>
    </i>
    <i>
      <x v="3"/>
    </i>
    <i>
      <x v="4"/>
    </i>
    <i>
      <x v="2"/>
    </i>
    <i>
      <x/>
    </i>
    <i>
      <x v="1"/>
    </i>
    <i t="grand">
      <x/>
    </i>
  </rowItems>
  <colItems count="1">
    <i/>
  </colItems>
  <dataFields count="1">
    <dataField name="Sum of Gross Revenue" fld="1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356D9C-8C72-4DD6-A6A8-D57F30632F36}" name="PivotTable6"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3">
  <location ref="A3:D20" firstHeaderRow="0" firstDataRow="1" firstDataCol="1" rowPageCount="1" colPageCount="1"/>
  <pivotFields count="18">
    <pivotField dataField="1" showAll="0">
      <items count="632">
        <item x="605"/>
        <item x="449"/>
        <item x="7"/>
        <item x="518"/>
        <item x="573"/>
        <item x="46"/>
        <item x="367"/>
        <item x="201"/>
        <item x="551"/>
        <item x="324"/>
        <item x="438"/>
        <item x="166"/>
        <item x="80"/>
        <item x="361"/>
        <item x="328"/>
        <item x="300"/>
        <item x="453"/>
        <item x="577"/>
        <item x="193"/>
        <item x="122"/>
        <item x="332"/>
        <item x="439"/>
        <item x="457"/>
        <item x="148"/>
        <item x="224"/>
        <item x="190"/>
        <item x="347"/>
        <item x="278"/>
        <item x="350"/>
        <item x="535"/>
        <item x="54"/>
        <item x="65"/>
        <item x="163"/>
        <item x="470"/>
        <item x="580"/>
        <item x="625"/>
        <item x="106"/>
        <item x="269"/>
        <item x="256"/>
        <item x="89"/>
        <item x="339"/>
        <item x="24"/>
        <item x="220"/>
        <item x="281"/>
        <item x="250"/>
        <item x="376"/>
        <item x="540"/>
        <item x="172"/>
        <item x="225"/>
        <item x="78"/>
        <item x="49"/>
        <item x="603"/>
        <item x="226"/>
        <item x="168"/>
        <item x="45"/>
        <item x="144"/>
        <item x="183"/>
        <item x="574"/>
        <item x="81"/>
        <item x="512"/>
        <item x="562"/>
        <item x="315"/>
        <item x="391"/>
        <item x="288"/>
        <item x="272"/>
        <item x="2"/>
        <item x="92"/>
        <item x="292"/>
        <item x="434"/>
        <item x="585"/>
        <item x="199"/>
        <item x="74"/>
        <item x="363"/>
        <item x="204"/>
        <item x="185"/>
        <item x="497"/>
        <item x="52"/>
        <item x="99"/>
        <item x="118"/>
        <item x="132"/>
        <item x="215"/>
        <item x="495"/>
        <item x="171"/>
        <item x="613"/>
        <item x="543"/>
        <item x="629"/>
        <item x="520"/>
        <item x="547"/>
        <item x="255"/>
        <item x="351"/>
        <item x="64"/>
        <item x="546"/>
        <item x="151"/>
        <item x="223"/>
        <item x="615"/>
        <item x="239"/>
        <item x="260"/>
        <item x="129"/>
        <item x="532"/>
        <item x="326"/>
        <item x="459"/>
        <item x="371"/>
        <item x="66"/>
        <item x="626"/>
        <item x="604"/>
        <item x="624"/>
        <item x="31"/>
        <item x="515"/>
        <item x="477"/>
        <item x="344"/>
        <item x="499"/>
        <item x="197"/>
        <item x="121"/>
        <item x="445"/>
        <item x="455"/>
        <item x="202"/>
        <item x="474"/>
        <item x="301"/>
        <item x="382"/>
        <item x="152"/>
        <item x="485"/>
        <item x="296"/>
        <item x="124"/>
        <item x="229"/>
        <item x="478"/>
        <item x="284"/>
        <item x="137"/>
        <item x="216"/>
        <item x="387"/>
        <item x="591"/>
        <item x="316"/>
        <item x="537"/>
        <item x="419"/>
        <item x="261"/>
        <item x="266"/>
        <item x="259"/>
        <item x="528"/>
        <item x="39"/>
        <item x="213"/>
        <item x="431"/>
        <item x="337"/>
        <item x="176"/>
        <item x="609"/>
        <item x="291"/>
        <item x="408"/>
        <item x="384"/>
        <item x="596"/>
        <item x="526"/>
        <item x="198"/>
        <item x="460"/>
        <item x="221"/>
        <item x="576"/>
        <item x="279"/>
        <item x="75"/>
        <item x="5"/>
        <item x="589"/>
        <item x="466"/>
        <item x="412"/>
        <item x="349"/>
        <item x="501"/>
        <item x="243"/>
        <item x="68"/>
        <item x="436"/>
        <item x="619"/>
        <item x="340"/>
        <item x="444"/>
        <item x="450"/>
        <item x="476"/>
        <item x="437"/>
        <item x="69"/>
        <item x="539"/>
        <item x="369"/>
        <item x="4"/>
        <item x="338"/>
        <item x="145"/>
        <item x="187"/>
        <item x="318"/>
        <item x="388"/>
        <item x="85"/>
        <item x="154"/>
        <item x="441"/>
        <item x="160"/>
        <item x="404"/>
        <item x="370"/>
        <item x="581"/>
        <item x="35"/>
        <item x="507"/>
        <item x="483"/>
        <item x="135"/>
        <item x="21"/>
        <item x="570"/>
        <item x="95"/>
        <item x="115"/>
        <item x="456"/>
        <item x="125"/>
        <item x="308"/>
        <item x="165"/>
        <item x="623"/>
        <item x="258"/>
        <item x="321"/>
        <item x="311"/>
        <item x="28"/>
        <item x="346"/>
        <item x="140"/>
        <item x="142"/>
        <item x="509"/>
        <item x="205"/>
        <item x="627"/>
        <item x="192"/>
        <item x="393"/>
        <item x="469"/>
        <item x="411"/>
        <item x="15"/>
        <item x="331"/>
        <item x="233"/>
        <item x="228"/>
        <item x="555"/>
        <item x="542"/>
        <item x="628"/>
        <item x="237"/>
        <item x="267"/>
        <item x="538"/>
        <item x="114"/>
        <item x="414"/>
        <item x="178"/>
        <item x="396"/>
        <item x="479"/>
        <item x="336"/>
        <item x="164"/>
        <item x="155"/>
        <item x="549"/>
        <item x="325"/>
        <item x="105"/>
        <item x="134"/>
        <item x="309"/>
        <item x="109"/>
        <item x="34"/>
        <item x="401"/>
        <item x="30"/>
        <item x="79"/>
        <item x="214"/>
        <item x="153"/>
        <item x="458"/>
        <item x="548"/>
        <item x="16"/>
        <item x="322"/>
        <item x="523"/>
        <item x="297"/>
        <item x="564"/>
        <item x="480"/>
        <item x="10"/>
        <item x="147"/>
        <item x="191"/>
        <item x="25"/>
        <item x="162"/>
        <item x="251"/>
        <item x="111"/>
        <item x="353"/>
        <item x="139"/>
        <item x="181"/>
        <item x="586"/>
        <item x="489"/>
        <item x="63"/>
        <item x="560"/>
        <item x="392"/>
        <item x="454"/>
        <item x="51"/>
        <item x="607"/>
        <item x="0"/>
        <item x="287"/>
        <item x="234"/>
        <item x="107"/>
        <item x="70"/>
        <item x="57"/>
        <item x="41"/>
        <item x="252"/>
        <item x="390"/>
        <item x="504"/>
        <item x="247"/>
        <item x="167"/>
        <item x="561"/>
        <item x="610"/>
        <item x="334"/>
        <item x="341"/>
        <item x="6"/>
        <item x="612"/>
        <item x="362"/>
        <item x="67"/>
        <item x="253"/>
        <item x="536"/>
        <item x="572"/>
        <item x="461"/>
        <item x="161"/>
        <item x="1"/>
        <item x="524"/>
        <item x="283"/>
        <item x="486"/>
        <item x="410"/>
        <item x="429"/>
        <item x="484"/>
        <item x="143"/>
        <item x="44"/>
        <item x="405"/>
        <item x="383"/>
        <item x="517"/>
        <item x="310"/>
        <item x="545"/>
        <item x="231"/>
        <item x="313"/>
        <item x="494"/>
        <item x="568"/>
        <item x="149"/>
        <item x="594"/>
        <item x="194"/>
        <item x="440"/>
        <item x="76"/>
        <item x="77"/>
        <item x="413"/>
        <item x="50"/>
        <item x="521"/>
        <item x="423"/>
        <item x="117"/>
        <item x="103"/>
        <item x="578"/>
        <item x="274"/>
        <item x="23"/>
        <item x="265"/>
        <item x="323"/>
        <item x="188"/>
        <item x="464"/>
        <item x="443"/>
        <item x="356"/>
        <item x="424"/>
        <item x="492"/>
        <item x="386"/>
        <item x="529"/>
        <item x="554"/>
        <item x="409"/>
        <item x="245"/>
        <item x="47"/>
        <item x="600"/>
        <item x="157"/>
        <item x="558"/>
        <item x="448"/>
        <item x="500"/>
        <item x="232"/>
        <item x="335"/>
        <item x="587"/>
        <item x="493"/>
        <item x="277"/>
        <item x="433"/>
        <item x="126"/>
        <item x="598"/>
        <item x="123"/>
        <item x="8"/>
        <item x="582"/>
        <item x="86"/>
        <item x="38"/>
        <item x="88"/>
        <item x="128"/>
        <item x="170"/>
        <item x="400"/>
        <item x="541"/>
        <item x="33"/>
        <item x="40"/>
        <item x="97"/>
        <item x="184"/>
        <item x="475"/>
        <item x="342"/>
        <item x="472"/>
        <item x="430"/>
        <item x="415"/>
        <item x="249"/>
        <item x="195"/>
        <item x="402"/>
        <item x="209"/>
        <item x="557"/>
        <item x="207"/>
        <item x="583"/>
        <item x="373"/>
        <item x="36"/>
        <item x="359"/>
        <item x="527"/>
        <item x="320"/>
        <item x="217"/>
        <item x="496"/>
        <item x="506"/>
        <item x="611"/>
        <item x="442"/>
        <item x="271"/>
        <item x="418"/>
        <item x="618"/>
        <item x="189"/>
        <item x="156"/>
        <item x="567"/>
        <item x="104"/>
        <item x="508"/>
        <item x="218"/>
        <item x="138"/>
        <item x="465"/>
        <item x="26"/>
        <item x="295"/>
        <item x="490"/>
        <item x="108"/>
        <item x="20"/>
        <item x="73"/>
        <item x="235"/>
        <item x="427"/>
        <item x="621"/>
        <item x="365"/>
        <item x="319"/>
        <item x="522"/>
        <item x="273"/>
        <item x="136"/>
        <item x="432"/>
        <item x="608"/>
        <item x="101"/>
        <item x="451"/>
        <item x="244"/>
        <item x="27"/>
        <item x="254"/>
        <item x="286"/>
        <item x="242"/>
        <item x="374"/>
        <item x="559"/>
        <item x="303"/>
        <item x="268"/>
        <item x="447"/>
        <item x="13"/>
        <item x="358"/>
        <item x="519"/>
        <item x="343"/>
        <item x="238"/>
        <item x="345"/>
        <item x="141"/>
        <item x="60"/>
        <item x="599"/>
        <item x="110"/>
        <item x="352"/>
        <item x="112"/>
        <item x="354"/>
        <item x="312"/>
        <item x="616"/>
        <item x="72"/>
        <item x="169"/>
        <item x="592"/>
        <item x="275"/>
        <item x="177"/>
        <item x="510"/>
        <item x="357"/>
        <item x="511"/>
        <item x="48"/>
        <item x="196"/>
        <item x="174"/>
        <item x="435"/>
        <item x="398"/>
        <item x="487"/>
        <item x="565"/>
        <item x="211"/>
        <item x="426"/>
        <item x="93"/>
        <item x="42"/>
        <item x="200"/>
        <item x="82"/>
        <item x="364"/>
        <item x="236"/>
        <item x="513"/>
        <item x="304"/>
        <item x="206"/>
        <item x="534"/>
        <item x="617"/>
        <item x="579"/>
        <item x="3"/>
        <item x="569"/>
        <item x="571"/>
        <item x="120"/>
        <item x="257"/>
        <item x="375"/>
        <item x="601"/>
        <item x="299"/>
        <item x="379"/>
        <item x="417"/>
        <item x="314"/>
        <item x="17"/>
        <item x="146"/>
        <item x="150"/>
        <item x="584"/>
        <item x="248"/>
        <item x="482"/>
        <item x="488"/>
        <item x="606"/>
        <item x="96"/>
        <item x="372"/>
        <item x="420"/>
        <item x="302"/>
        <item x="588"/>
        <item x="575"/>
        <item x="227"/>
        <item x="462"/>
        <item x="368"/>
        <item x="533"/>
        <item x="333"/>
        <item x="100"/>
        <item x="84"/>
        <item x="502"/>
        <item x="553"/>
        <item x="552"/>
        <item x="133"/>
        <item x="306"/>
        <item x="294"/>
        <item x="416"/>
        <item x="307"/>
        <item x="481"/>
        <item x="452"/>
        <item x="159"/>
        <item x="550"/>
        <item x="263"/>
        <item x="525"/>
        <item x="446"/>
        <item x="505"/>
        <item x="32"/>
        <item x="348"/>
        <item x="270"/>
        <item x="389"/>
        <item x="394"/>
        <item x="293"/>
        <item x="12"/>
        <item x="83"/>
        <item x="463"/>
        <item x="131"/>
        <item x="240"/>
        <item x="407"/>
        <item x="11"/>
        <item x="62"/>
        <item x="91"/>
        <item x="614"/>
        <item x="127"/>
        <item x="285"/>
        <item x="98"/>
        <item x="186"/>
        <item x="29"/>
        <item x="212"/>
        <item x="53"/>
        <item x="22"/>
        <item x="210"/>
        <item x="397"/>
        <item x="360"/>
        <item x="399"/>
        <item x="366"/>
        <item x="90"/>
        <item x="208"/>
        <item x="514"/>
        <item x="377"/>
        <item x="58"/>
        <item x="71"/>
        <item x="241"/>
        <item x="113"/>
        <item x="622"/>
        <item x="130"/>
        <item x="421"/>
        <item x="179"/>
        <item x="329"/>
        <item x="563"/>
        <item x="102"/>
        <item x="180"/>
        <item x="428"/>
        <item x="395"/>
        <item x="276"/>
        <item x="222"/>
        <item x="503"/>
        <item x="473"/>
        <item x="597"/>
        <item x="280"/>
        <item x="116"/>
        <item x="173"/>
        <item x="491"/>
        <item x="595"/>
        <item x="37"/>
        <item x="94"/>
        <item x="630"/>
        <item x="330"/>
        <item x="19"/>
        <item x="602"/>
        <item x="290"/>
        <item x="230"/>
        <item x="219"/>
        <item x="59"/>
        <item x="55"/>
        <item x="158"/>
        <item x="531"/>
        <item x="327"/>
        <item x="61"/>
        <item x="471"/>
        <item x="381"/>
        <item x="467"/>
        <item x="425"/>
        <item x="43"/>
        <item x="380"/>
        <item x="498"/>
        <item x="516"/>
        <item x="422"/>
        <item x="14"/>
        <item x="18"/>
        <item x="175"/>
        <item x="593"/>
        <item x="317"/>
        <item x="87"/>
        <item x="385"/>
        <item x="556"/>
        <item x="406"/>
        <item x="264"/>
        <item x="182"/>
        <item x="620"/>
        <item x="262"/>
        <item x="403"/>
        <item x="378"/>
        <item x="289"/>
        <item x="530"/>
        <item x="566"/>
        <item x="56"/>
        <item x="298"/>
        <item x="305"/>
        <item x="246"/>
        <item x="468"/>
        <item x="355"/>
        <item x="119"/>
        <item x="544"/>
        <item x="203"/>
        <item x="282"/>
        <item x="590"/>
        <item x="9"/>
        <item t="default"/>
      </items>
    </pivotField>
    <pivotField numFmtId="165" showAll="0"/>
    <pivotField numFmtId="164" showAll="0"/>
    <pivotField numFmtId="2" showAll="0"/>
    <pivotField axis="axisPage" showAll="0">
      <items count="34">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t="default"/>
      </items>
    </pivotField>
    <pivotField showAll="0"/>
    <pivotField showAll="0"/>
    <pivotField axis="axisRow" showAll="0">
      <items count="17">
        <item x="8"/>
        <item x="5"/>
        <item x="0"/>
        <item x="14"/>
        <item x="6"/>
        <item x="9"/>
        <item x="3"/>
        <item x="10"/>
        <item x="2"/>
        <item x="1"/>
        <item x="11"/>
        <item x="4"/>
        <item x="12"/>
        <item x="13"/>
        <item x="15"/>
        <item x="7"/>
        <item t="default"/>
      </items>
    </pivotField>
    <pivotField showAll="0"/>
    <pivotField numFmtId="2" showAll="0"/>
    <pivotField showAll="0"/>
    <pivotField numFmtId="2" showAll="0"/>
    <pivotField numFmtId="2" showAll="0"/>
    <pivotField numFmtId="2" showAll="0"/>
    <pivotField dataField="1" numFmtId="2" showAll="0"/>
    <pivotField showAll="0"/>
    <pivotField dataField="1" numFmtId="2" showAll="0">
      <items count="633">
        <item x="237"/>
        <item x="63"/>
        <item x="140"/>
        <item x="80"/>
        <item x="392"/>
        <item x="175"/>
        <item x="9"/>
        <item x="619"/>
        <item x="613"/>
        <item x="465"/>
        <item x="622"/>
        <item x="272"/>
        <item x="47"/>
        <item x="624"/>
        <item x="583"/>
        <item x="506"/>
        <item x="556"/>
        <item x="618"/>
        <item x="626"/>
        <item x="195"/>
        <item x="435"/>
        <item x="617"/>
        <item x="629"/>
        <item x="265"/>
        <item x="625"/>
        <item x="628"/>
        <item x="382"/>
        <item x="72"/>
        <item x="242"/>
        <item x="151"/>
        <item x="560"/>
        <item x="196"/>
        <item x="1"/>
        <item x="406"/>
        <item x="385"/>
        <item x="77"/>
        <item x="423"/>
        <item x="192"/>
        <item x="165"/>
        <item x="534"/>
        <item x="42"/>
        <item x="482"/>
        <item x="86"/>
        <item x="111"/>
        <item x="292"/>
        <item x="260"/>
        <item x="606"/>
        <item x="607"/>
        <item x="2"/>
        <item x="99"/>
        <item x="459"/>
        <item x="256"/>
        <item x="273"/>
        <item x="427"/>
        <item x="278"/>
        <item x="244"/>
        <item x="514"/>
        <item x="204"/>
        <item x="614"/>
        <item x="219"/>
        <item x="213"/>
        <item x="402"/>
        <item x="126"/>
        <item x="407"/>
        <item x="61"/>
        <item x="591"/>
        <item x="505"/>
        <item x="236"/>
        <item x="360"/>
        <item x="468"/>
        <item x="611"/>
        <item x="105"/>
        <item x="467"/>
        <item x="122"/>
        <item x="302"/>
        <item x="31"/>
        <item x="431"/>
        <item x="153"/>
        <item x="553"/>
        <item x="188"/>
        <item x="363"/>
        <item x="365"/>
        <item x="207"/>
        <item x="610"/>
        <item x="289"/>
        <item x="45"/>
        <item x="623"/>
        <item x="154"/>
        <item x="554"/>
        <item x="438"/>
        <item x="264"/>
        <item x="56"/>
        <item x="455"/>
        <item x="612"/>
        <item x="605"/>
        <item x="226"/>
        <item x="167"/>
        <item x="107"/>
        <item x="500"/>
        <item x="70"/>
        <item x="615"/>
        <item x="203"/>
        <item x="93"/>
        <item x="484"/>
        <item x="49"/>
        <item x="549"/>
        <item x="185"/>
        <item x="65"/>
        <item x="573"/>
        <item x="134"/>
        <item x="159"/>
        <item x="20"/>
        <item x="295"/>
        <item x="335"/>
        <item x="84"/>
        <item x="390"/>
        <item x="630"/>
        <item x="267"/>
        <item x="321"/>
        <item x="324"/>
        <item x="374"/>
        <item x="601"/>
        <item x="409"/>
        <item x="101"/>
        <item x="343"/>
        <item x="32"/>
        <item x="512"/>
        <item x="25"/>
        <item x="547"/>
        <item x="496"/>
        <item x="421"/>
        <item x="451"/>
        <item x="450"/>
        <item x="189"/>
        <item x="146"/>
        <item x="300"/>
        <item x="440"/>
        <item x="413"/>
        <item x="115"/>
        <item x="415"/>
        <item x="281"/>
        <item x="417"/>
        <item x="17"/>
        <item x="393"/>
        <item x="550"/>
        <item x="616"/>
        <item x="90"/>
        <item x="117"/>
        <item x="148"/>
        <item x="545"/>
        <item x="152"/>
        <item x="315"/>
        <item x="98"/>
        <item x="27"/>
        <item x="279"/>
        <item x="120"/>
        <item x="75"/>
        <item x="121"/>
        <item x="143"/>
        <item x="168"/>
        <item x="535"/>
        <item x="285"/>
        <item x="408"/>
        <item x="376"/>
        <item x="102"/>
        <item x="228"/>
        <item x="457"/>
        <item x="329"/>
        <item x="310"/>
        <item x="595"/>
        <item x="437"/>
        <item x="18"/>
        <item x="38"/>
        <item x="357"/>
        <item x="88"/>
        <item x="525"/>
        <item x="568"/>
        <item x="225"/>
        <item x="205"/>
        <item x="328"/>
        <item x="462"/>
        <item x="544"/>
        <item x="13"/>
        <item x="104"/>
        <item x="548"/>
        <item x="552"/>
        <item x="576"/>
        <item x="627"/>
        <item x="57"/>
        <item x="489"/>
        <item x="546"/>
        <item x="212"/>
        <item x="592"/>
        <item x="593"/>
        <item x="609"/>
        <item x="384"/>
        <item x="290"/>
        <item x="608"/>
        <item x="410"/>
        <item x="332"/>
        <item x="297"/>
        <item x="92"/>
        <item x="288"/>
        <item x="224"/>
        <item x="419"/>
        <item x="198"/>
        <item x="430"/>
        <item x="478"/>
        <item x="142"/>
        <item x="246"/>
        <item x="491"/>
        <item x="28"/>
        <item x="510"/>
        <item x="4"/>
        <item x="259"/>
        <item x="275"/>
        <item x="191"/>
        <item x="397"/>
        <item x="539"/>
        <item x="87"/>
        <item x="137"/>
        <item x="520"/>
        <item x="621"/>
        <item x="0"/>
        <item x="312"/>
        <item x="527"/>
        <item x="248"/>
        <item x="377"/>
        <item x="620"/>
        <item x="113"/>
        <item x="193"/>
        <item x="221"/>
        <item x="171"/>
        <item x="176"/>
        <item x="507"/>
        <item x="136"/>
        <item x="501"/>
        <item x="217"/>
        <item x="564"/>
        <item x="631"/>
        <item x="600"/>
        <item x="190"/>
        <item x="304"/>
        <item x="82"/>
        <item x="434"/>
        <item x="487"/>
        <item x="499"/>
        <item x="464"/>
        <item x="59"/>
        <item x="448"/>
        <item x="571"/>
        <item x="504"/>
        <item x="79"/>
        <item x="345"/>
        <item x="432"/>
        <item x="497"/>
        <item x="41"/>
        <item x="420"/>
        <item x="208"/>
        <item x="135"/>
        <item x="209"/>
        <item x="518"/>
        <item x="349"/>
        <item x="578"/>
        <item x="180"/>
        <item x="358"/>
        <item x="338"/>
        <item x="352"/>
        <item x="283"/>
        <item x="359"/>
        <item x="594"/>
        <item x="412"/>
        <item x="333"/>
        <item x="282"/>
        <item x="66"/>
        <item x="469"/>
        <item x="129"/>
        <item x="485"/>
        <item x="318"/>
        <item x="565"/>
        <item x="559"/>
        <item x="29"/>
        <item x="538"/>
        <item x="394"/>
        <item x="471"/>
        <item x="257"/>
        <item x="214"/>
        <item x="558"/>
        <item x="271"/>
        <item x="590"/>
        <item x="449"/>
        <item x="596"/>
        <item x="227"/>
        <item x="602"/>
        <item x="231"/>
        <item x="466"/>
        <item x="375"/>
        <item x="287"/>
        <item x="551"/>
        <item x="249"/>
        <item x="404"/>
        <item x="158"/>
        <item x="597"/>
        <item x="584"/>
        <item x="391"/>
        <item x="161"/>
        <item x="509"/>
        <item x="138"/>
        <item x="67"/>
        <item x="371"/>
        <item x="493"/>
        <item x="52"/>
        <item x="378"/>
        <item x="347"/>
        <item x="26"/>
        <item x="567"/>
        <item x="124"/>
        <item x="186"/>
        <item x="125"/>
        <item x="586"/>
        <item x="164"/>
        <item x="474"/>
        <item x="327"/>
        <item x="411"/>
        <item x="109"/>
        <item x="62"/>
        <item x="424"/>
        <item x="229"/>
        <item x="182"/>
        <item x="366"/>
        <item x="216"/>
        <item x="473"/>
        <item x="542"/>
        <item x="460"/>
        <item x="277"/>
        <item x="475"/>
        <item x="210"/>
        <item x="524"/>
        <item x="325"/>
        <item x="97"/>
        <item x="582"/>
        <item x="94"/>
        <item x="119"/>
        <item x="83"/>
        <item x="76"/>
        <item x="519"/>
        <item x="490"/>
        <item x="23"/>
        <item x="233"/>
        <item x="232"/>
        <item x="453"/>
        <item x="354"/>
        <item x="589"/>
        <item x="270"/>
        <item x="34"/>
        <item x="326"/>
        <item x="598"/>
        <item x="381"/>
        <item x="418"/>
        <item x="537"/>
        <item x="40"/>
        <item x="301"/>
        <item x="480"/>
        <item x="356"/>
        <item x="307"/>
        <item x="569"/>
        <item x="334"/>
        <item x="108"/>
        <item x="243"/>
        <item x="472"/>
        <item x="502"/>
        <item x="263"/>
        <item x="367"/>
        <item x="575"/>
        <item x="446"/>
        <item x="442"/>
        <item x="85"/>
        <item x="174"/>
        <item x="517"/>
        <item x="234"/>
        <item x="251"/>
        <item x="74"/>
        <item x="425"/>
        <item x="48"/>
        <item x="355"/>
        <item x="170"/>
        <item x="362"/>
        <item x="118"/>
        <item x="528"/>
        <item x="541"/>
        <item x="60"/>
        <item x="201"/>
        <item x="280"/>
        <item x="156"/>
        <item x="305"/>
        <item x="39"/>
        <item x="50"/>
        <item x="445"/>
        <item x="36"/>
        <item x="19"/>
        <item x="339"/>
        <item x="10"/>
        <item x="579"/>
        <item x="206"/>
        <item x="492"/>
        <item x="476"/>
        <item x="403"/>
        <item x="368"/>
        <item x="353"/>
        <item x="162"/>
        <item x="6"/>
        <item x="262"/>
        <item x="169"/>
        <item x="68"/>
        <item x="322"/>
        <item x="222"/>
        <item x="157"/>
        <item x="426"/>
        <item x="314"/>
        <item x="218"/>
        <item x="37"/>
        <item x="513"/>
        <item x="258"/>
        <item x="123"/>
        <item x="523"/>
        <item x="563"/>
        <item x="69"/>
        <item x="183"/>
        <item x="444"/>
        <item x="299"/>
        <item x="261"/>
        <item x="604"/>
        <item x="130"/>
        <item x="268"/>
        <item x="399"/>
        <item x="369"/>
        <item x="15"/>
        <item x="11"/>
        <item x="33"/>
        <item x="44"/>
        <item x="344"/>
        <item x="555"/>
        <item x="581"/>
        <item x="531"/>
        <item x="398"/>
        <item x="238"/>
        <item x="81"/>
        <item x="128"/>
        <item x="96"/>
        <item x="401"/>
        <item x="533"/>
        <item x="22"/>
        <item x="414"/>
        <item x="245"/>
        <item x="223"/>
        <item x="320"/>
        <item x="540"/>
        <item x="12"/>
        <item x="503"/>
        <item x="131"/>
        <item x="351"/>
        <item x="337"/>
        <item x="14"/>
        <item x="132"/>
        <item x="8"/>
        <item x="286"/>
        <item x="100"/>
        <item x="291"/>
        <item x="405"/>
        <item x="5"/>
        <item x="566"/>
        <item x="543"/>
        <item x="241"/>
        <item x="498"/>
        <item x="400"/>
        <item x="239"/>
        <item x="194"/>
        <item x="51"/>
        <item x="532"/>
        <item x="114"/>
        <item x="522"/>
        <item x="266"/>
        <item x="141"/>
        <item x="486"/>
        <item x="361"/>
        <item x="43"/>
        <item x="317"/>
        <item x="364"/>
        <item x="386"/>
        <item x="294"/>
        <item x="479"/>
        <item x="313"/>
        <item x="439"/>
        <item x="293"/>
        <item x="21"/>
        <item x="172"/>
        <item x="530"/>
        <item x="54"/>
        <item x="580"/>
        <item x="133"/>
        <item x="574"/>
        <item x="150"/>
        <item x="387"/>
        <item x="46"/>
        <item x="112"/>
        <item x="370"/>
        <item x="144"/>
        <item x="235"/>
        <item x="603"/>
        <item x="240"/>
        <item x="536"/>
        <item x="529"/>
        <item x="561"/>
        <item x="483"/>
        <item x="340"/>
        <item x="254"/>
        <item x="477"/>
        <item x="436"/>
        <item x="177"/>
        <item x="55"/>
        <item x="350"/>
        <item x="253"/>
        <item x="331"/>
        <item x="71"/>
        <item x="220"/>
        <item x="395"/>
        <item x="495"/>
        <item x="585"/>
        <item x="303"/>
        <item x="452"/>
        <item x="166"/>
        <item x="173"/>
        <item x="306"/>
        <item x="433"/>
        <item x="570"/>
        <item x="346"/>
        <item x="494"/>
        <item x="53"/>
        <item x="429"/>
        <item x="7"/>
        <item x="311"/>
        <item x="284"/>
        <item x="276"/>
        <item x="274"/>
        <item x="24"/>
        <item x="187"/>
        <item x="199"/>
        <item x="250"/>
        <item x="379"/>
        <item x="269"/>
        <item x="521"/>
        <item x="73"/>
        <item x="103"/>
        <item x="179"/>
        <item x="106"/>
        <item x="373"/>
        <item x="116"/>
        <item x="336"/>
        <item x="147"/>
        <item x="202"/>
        <item x="184"/>
        <item x="422"/>
        <item x="508"/>
        <item x="447"/>
        <item x="308"/>
        <item x="323"/>
        <item x="572"/>
        <item x="515"/>
        <item x="396"/>
        <item x="64"/>
        <item x="58"/>
        <item x="342"/>
        <item x="89"/>
        <item x="181"/>
        <item x="511"/>
        <item x="296"/>
        <item x="330"/>
        <item x="383"/>
        <item x="247"/>
        <item x="380"/>
        <item x="587"/>
        <item x="416"/>
        <item x="388"/>
        <item x="389"/>
        <item x="443"/>
        <item x="160"/>
        <item x="316"/>
        <item x="95"/>
        <item x="454"/>
        <item x="3"/>
        <item x="588"/>
        <item x="178"/>
        <item x="470"/>
        <item x="155"/>
        <item x="110"/>
        <item x="309"/>
        <item x="255"/>
        <item x="461"/>
        <item x="463"/>
        <item x="200"/>
        <item x="458"/>
        <item x="197"/>
        <item x="562"/>
        <item x="252"/>
        <item x="348"/>
        <item x="516"/>
        <item x="139"/>
        <item x="230"/>
        <item x="149"/>
        <item x="30"/>
        <item x="526"/>
        <item x="557"/>
        <item x="341"/>
        <item x="211"/>
        <item x="145"/>
        <item x="78"/>
        <item x="441"/>
        <item x="298"/>
        <item x="127"/>
        <item x="428"/>
        <item x="372"/>
        <item x="163"/>
        <item x="215"/>
        <item x="599"/>
        <item x="16"/>
        <item x="91"/>
        <item x="488"/>
        <item x="319"/>
        <item x="35"/>
        <item x="577"/>
        <item x="456"/>
        <item x="481"/>
        <item t="default"/>
      </items>
    </pivotField>
    <pivotField showAll="0"/>
  </pivotFields>
  <rowFields count="1">
    <field x="7"/>
  </rowFields>
  <rowItems count="17">
    <i>
      <x/>
    </i>
    <i>
      <x v="1"/>
    </i>
    <i>
      <x v="2"/>
    </i>
    <i>
      <x v="3"/>
    </i>
    <i>
      <x v="4"/>
    </i>
    <i>
      <x v="5"/>
    </i>
    <i>
      <x v="6"/>
    </i>
    <i>
      <x v="7"/>
    </i>
    <i>
      <x v="8"/>
    </i>
    <i>
      <x v="9"/>
    </i>
    <i>
      <x v="10"/>
    </i>
    <i>
      <x v="11"/>
    </i>
    <i>
      <x v="12"/>
    </i>
    <i>
      <x v="13"/>
    </i>
    <i>
      <x v="14"/>
    </i>
    <i>
      <x v="15"/>
    </i>
    <i t="grand">
      <x/>
    </i>
  </rowItems>
  <colFields count="1">
    <field x="-2"/>
  </colFields>
  <colItems count="3">
    <i>
      <x/>
    </i>
    <i i="1">
      <x v="1"/>
    </i>
    <i i="2">
      <x v="2"/>
    </i>
  </colItems>
  <pageFields count="1">
    <pageField fld="4" hier="-1"/>
  </pageFields>
  <dataFields count="3">
    <dataField name="Sum of Gross Revenue" fld="14" baseField="0" baseItem="0"/>
    <dataField name="Count of OrderID" fld="0" subtotal="count" baseField="0" baseItem="0"/>
    <dataField name="Sum of Gross Profit" fld="16" baseField="0" baseItem="0"/>
  </dataFields>
  <chartFormats count="6">
    <chartFormat chart="29"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1"/>
          </reference>
        </references>
      </pivotArea>
    </chartFormat>
    <chartFormat chart="29" format="2" series="1">
      <pivotArea type="data" outline="0" fieldPosition="0">
        <references count="1">
          <reference field="4294967294" count="1" selected="0">
            <x v="2"/>
          </reference>
        </references>
      </pivotArea>
    </chartFormat>
    <chartFormat chart="32" format="6" series="1">
      <pivotArea type="data" outline="0" fieldPosition="0">
        <references count="1">
          <reference field="4294967294" count="1" selected="0">
            <x v="0"/>
          </reference>
        </references>
      </pivotArea>
    </chartFormat>
    <chartFormat chart="32" format="7" series="1">
      <pivotArea type="data" outline="0" fieldPosition="0">
        <references count="1">
          <reference field="4294967294" count="1" selected="0">
            <x v="1"/>
          </reference>
        </references>
      </pivotArea>
    </chartFormat>
    <chartFormat chart="3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FA317B-59E7-4862-96DE-8534BD4FFCD5}" name="PivotTable1"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H9" firstHeaderRow="1" firstDataRow="2" firstDataCol="1"/>
  <pivotFields count="23">
    <pivotField showAll="0"/>
    <pivotField showAll="0"/>
    <pivotField showAll="0"/>
    <pivotField showAll="0"/>
    <pivotField showAll="0"/>
    <pivotField showAll="0"/>
    <pivotField axis="axisRow" showAll="0">
      <items count="6">
        <item x="0"/>
        <item x="2"/>
        <item x="1"/>
        <item x="3"/>
        <item x="4"/>
        <item t="default"/>
      </items>
    </pivotField>
    <pivotField showAll="0"/>
    <pivotField showAll="0"/>
    <pivotField showAll="0"/>
    <pivotField axis="axisCol" showAll="0">
      <items count="8">
        <item x="4"/>
        <item x="3"/>
        <item x="2"/>
        <item x="5"/>
        <item x="1"/>
        <item x="0"/>
        <item h="1" x="6"/>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6"/>
  </rowFields>
  <rowItems count="5">
    <i>
      <x/>
    </i>
    <i>
      <x v="1"/>
    </i>
    <i>
      <x v="2"/>
    </i>
    <i>
      <x v="3"/>
    </i>
    <i t="grand">
      <x/>
    </i>
  </rowItems>
  <colFields count="1">
    <field x="10"/>
  </colFields>
  <colItems count="7">
    <i>
      <x/>
    </i>
    <i>
      <x v="1"/>
    </i>
    <i>
      <x v="2"/>
    </i>
    <i>
      <x v="3"/>
    </i>
    <i>
      <x v="4"/>
    </i>
    <i>
      <x v="5"/>
    </i>
    <i t="grand">
      <x/>
    </i>
  </colItems>
  <dataFields count="1">
    <dataField name="Sum of Gross Revenue" fld="19" baseField="0" baseItem="0"/>
  </dataFields>
  <chartFormats count="15">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series="1">
      <pivotArea type="data" outline="0" fieldPosition="0">
        <references count="2">
          <reference field="4294967294" count="1" selected="0">
            <x v="0"/>
          </reference>
          <reference field="10" count="1" selected="0">
            <x v="3"/>
          </reference>
        </references>
      </pivotArea>
    </chartFormat>
    <chartFormat chart="0" format="4" series="1">
      <pivotArea type="data" outline="0" fieldPosition="0">
        <references count="2">
          <reference field="4294967294" count="1" selected="0">
            <x v="0"/>
          </reference>
          <reference field="10" count="1" selected="0">
            <x v="4"/>
          </reference>
        </references>
      </pivotArea>
    </chartFormat>
    <chartFormat chart="0" format="5" series="1">
      <pivotArea type="data" outline="0" fieldPosition="0">
        <references count="2">
          <reference field="4294967294" count="1" selected="0">
            <x v="0"/>
          </reference>
          <reference field="10" count="1" selected="0">
            <x v="5"/>
          </reference>
        </references>
      </pivotArea>
    </chartFormat>
    <chartFormat chart="0" format="6" series="1">
      <pivotArea type="data" outline="0" fieldPosition="0">
        <references count="2">
          <reference field="4294967294" count="1" selected="0">
            <x v="0"/>
          </reference>
          <reference field="10" count="1" selected="0">
            <x v="6"/>
          </reference>
        </references>
      </pivotArea>
    </chartFormat>
    <chartFormat chart="3" format="13" series="1">
      <pivotArea type="data" outline="0" fieldPosition="0">
        <references count="2">
          <reference field="4294967294" count="1" selected="0">
            <x v="0"/>
          </reference>
          <reference field="10" count="1" selected="0">
            <x v="0"/>
          </reference>
        </references>
      </pivotArea>
    </chartFormat>
    <chartFormat chart="3" format="14" series="1">
      <pivotArea type="data" outline="0" fieldPosition="0">
        <references count="2">
          <reference field="4294967294" count="1" selected="0">
            <x v="0"/>
          </reference>
          <reference field="10" count="1" selected="0">
            <x v="1"/>
          </reference>
        </references>
      </pivotArea>
    </chartFormat>
    <chartFormat chart="3" format="15" series="1">
      <pivotArea type="data" outline="0" fieldPosition="0">
        <references count="2">
          <reference field="4294967294" count="1" selected="0">
            <x v="0"/>
          </reference>
          <reference field="10" count="1" selected="0">
            <x v="2"/>
          </reference>
        </references>
      </pivotArea>
    </chartFormat>
    <chartFormat chart="3" format="16" series="1">
      <pivotArea type="data" outline="0" fieldPosition="0">
        <references count="2">
          <reference field="4294967294" count="1" selected="0">
            <x v="0"/>
          </reference>
          <reference field="10" count="1" selected="0">
            <x v="3"/>
          </reference>
        </references>
      </pivotArea>
    </chartFormat>
    <chartFormat chart="3" format="17" series="1">
      <pivotArea type="data" outline="0" fieldPosition="0">
        <references count="2">
          <reference field="4294967294" count="1" selected="0">
            <x v="0"/>
          </reference>
          <reference field="10" count="1" selected="0">
            <x v="4"/>
          </reference>
        </references>
      </pivotArea>
    </chartFormat>
    <chartFormat chart="3" format="18" series="1">
      <pivotArea type="data" outline="0" fieldPosition="0">
        <references count="2">
          <reference field="4294967294" count="1" selected="0">
            <x v="0"/>
          </reference>
          <reference field="10" count="1" selected="0">
            <x v="5"/>
          </reference>
        </references>
      </pivotArea>
    </chartFormat>
    <chartFormat chart="3" format="19"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10DB12-0DD6-41BA-AC5A-069E1A58C7CE}" name="PivotTable2"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H20" firstHeaderRow="1" firstDataRow="2" firstDataCol="1"/>
  <pivotFields count="23">
    <pivotField showAll="0"/>
    <pivotField showAll="0"/>
    <pivotField showAll="0"/>
    <pivotField showAll="0"/>
    <pivotField axis="axisRow" showAll="0">
      <items count="35">
        <item x="12"/>
        <item x="20"/>
        <item x="19"/>
        <item h="1" x="25"/>
        <item h="1" x="21"/>
        <item h="1" x="28"/>
        <item h="1" x="4"/>
        <item h="1" x="6"/>
        <item h="1" x="2"/>
        <item h="1" x="31"/>
        <item h="1" x="26"/>
        <item h="1" x="5"/>
        <item h="1" x="9"/>
        <item h="1" x="10"/>
        <item h="1" x="24"/>
        <item h="1" x="14"/>
        <item h="1" x="13"/>
        <item h="1" x="23"/>
        <item h="1" x="17"/>
        <item h="1" x="16"/>
        <item h="1" x="22"/>
        <item h="1" x="0"/>
        <item h="1" x="3"/>
        <item h="1" x="15"/>
        <item h="1" x="7"/>
        <item h="1" x="8"/>
        <item h="1" x="30"/>
        <item h="1" x="18"/>
        <item h="1" x="32"/>
        <item h="1" x="1"/>
        <item h="1" x="27"/>
        <item h="1" x="29"/>
        <item h="1" x="11"/>
        <item h="1" x="33"/>
        <item t="default"/>
      </items>
    </pivotField>
    <pivotField showAll="0"/>
    <pivotField axis="axisRow" showAll="0">
      <items count="6">
        <item x="0"/>
        <item x="2"/>
        <item x="1"/>
        <item x="3"/>
        <item x="4"/>
        <item t="default"/>
      </items>
    </pivotField>
    <pivotField showAll="0"/>
    <pivotField showAll="0"/>
    <pivotField showAll="0"/>
    <pivotField axis="axisCol" showAll="0">
      <items count="8">
        <item x="4"/>
        <item x="3"/>
        <item x="2"/>
        <item x="5"/>
        <item x="1"/>
        <item x="0"/>
        <item x="6"/>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s>
  <rowFields count="2">
    <field x="4"/>
    <field x="6"/>
  </rowFields>
  <rowItems count="16">
    <i>
      <x/>
    </i>
    <i r="1">
      <x/>
    </i>
    <i r="1">
      <x v="1"/>
    </i>
    <i r="1">
      <x v="2"/>
    </i>
    <i r="1">
      <x v="3"/>
    </i>
    <i>
      <x v="1"/>
    </i>
    <i r="1">
      <x/>
    </i>
    <i r="1">
      <x v="1"/>
    </i>
    <i r="1">
      <x v="2"/>
    </i>
    <i r="1">
      <x v="3"/>
    </i>
    <i>
      <x v="2"/>
    </i>
    <i r="1">
      <x/>
    </i>
    <i r="1">
      <x v="1"/>
    </i>
    <i r="1">
      <x v="2"/>
    </i>
    <i r="1">
      <x v="3"/>
    </i>
    <i t="grand">
      <x/>
    </i>
  </rowItems>
  <colFields count="1">
    <field x="10"/>
  </colFields>
  <colItems count="7">
    <i>
      <x/>
    </i>
    <i>
      <x v="1"/>
    </i>
    <i>
      <x v="2"/>
    </i>
    <i>
      <x v="3"/>
    </i>
    <i>
      <x v="4"/>
    </i>
    <i>
      <x v="5"/>
    </i>
    <i t="grand">
      <x/>
    </i>
  </colItems>
  <dataFields count="1">
    <dataField name="Sum of Gross Revenue"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EB6A9C1-B1FA-4D08-B262-138FD3B528E3}" name="PivotTable3"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C28" firstHeaderRow="0" firstDataRow="1" firstDataCol="1"/>
  <pivotFields count="23">
    <pivotField dataField="1" showAll="0">
      <items count="633">
        <item x="605"/>
        <item x="449"/>
        <item x="7"/>
        <item x="518"/>
        <item x="573"/>
        <item x="46"/>
        <item x="367"/>
        <item x="201"/>
        <item x="551"/>
        <item x="324"/>
        <item x="438"/>
        <item x="166"/>
        <item x="80"/>
        <item x="361"/>
        <item x="328"/>
        <item x="300"/>
        <item x="453"/>
        <item x="577"/>
        <item x="193"/>
        <item x="122"/>
        <item x="332"/>
        <item x="439"/>
        <item x="457"/>
        <item x="148"/>
        <item x="224"/>
        <item x="190"/>
        <item x="347"/>
        <item x="278"/>
        <item x="350"/>
        <item x="535"/>
        <item x="54"/>
        <item x="65"/>
        <item x="163"/>
        <item x="470"/>
        <item x="580"/>
        <item x="625"/>
        <item x="106"/>
        <item x="269"/>
        <item x="256"/>
        <item x="89"/>
        <item x="339"/>
        <item x="24"/>
        <item x="220"/>
        <item x="281"/>
        <item x="250"/>
        <item x="376"/>
        <item x="540"/>
        <item x="172"/>
        <item x="225"/>
        <item x="78"/>
        <item x="49"/>
        <item x="603"/>
        <item x="226"/>
        <item x="168"/>
        <item x="45"/>
        <item x="144"/>
        <item x="183"/>
        <item x="574"/>
        <item x="81"/>
        <item x="512"/>
        <item x="562"/>
        <item x="315"/>
        <item x="391"/>
        <item x="288"/>
        <item x="272"/>
        <item x="2"/>
        <item x="92"/>
        <item x="292"/>
        <item x="434"/>
        <item x="585"/>
        <item x="199"/>
        <item x="74"/>
        <item x="363"/>
        <item x="204"/>
        <item x="185"/>
        <item x="497"/>
        <item x="52"/>
        <item x="99"/>
        <item x="118"/>
        <item x="132"/>
        <item x="215"/>
        <item x="495"/>
        <item x="171"/>
        <item x="613"/>
        <item x="543"/>
        <item x="629"/>
        <item x="520"/>
        <item x="547"/>
        <item x="255"/>
        <item x="351"/>
        <item x="64"/>
        <item x="546"/>
        <item x="151"/>
        <item x="223"/>
        <item x="615"/>
        <item x="239"/>
        <item x="260"/>
        <item x="129"/>
        <item x="532"/>
        <item x="326"/>
        <item x="459"/>
        <item x="371"/>
        <item x="66"/>
        <item x="626"/>
        <item x="604"/>
        <item x="624"/>
        <item x="31"/>
        <item x="515"/>
        <item x="477"/>
        <item x="344"/>
        <item x="499"/>
        <item x="197"/>
        <item x="121"/>
        <item x="445"/>
        <item x="455"/>
        <item x="202"/>
        <item x="474"/>
        <item x="301"/>
        <item x="382"/>
        <item x="152"/>
        <item x="485"/>
        <item x="296"/>
        <item x="124"/>
        <item x="229"/>
        <item x="478"/>
        <item x="284"/>
        <item x="137"/>
        <item x="216"/>
        <item x="387"/>
        <item x="591"/>
        <item x="316"/>
        <item x="537"/>
        <item x="419"/>
        <item x="261"/>
        <item x="266"/>
        <item x="259"/>
        <item x="528"/>
        <item x="39"/>
        <item x="213"/>
        <item x="431"/>
        <item x="337"/>
        <item x="176"/>
        <item x="609"/>
        <item x="291"/>
        <item x="408"/>
        <item x="384"/>
        <item x="596"/>
        <item x="526"/>
        <item x="198"/>
        <item x="460"/>
        <item x="221"/>
        <item x="576"/>
        <item x="279"/>
        <item x="75"/>
        <item x="5"/>
        <item x="589"/>
        <item x="466"/>
        <item x="412"/>
        <item x="349"/>
        <item x="501"/>
        <item x="243"/>
        <item x="68"/>
        <item x="436"/>
        <item x="619"/>
        <item x="340"/>
        <item x="444"/>
        <item x="450"/>
        <item x="476"/>
        <item x="437"/>
        <item x="69"/>
        <item x="539"/>
        <item x="369"/>
        <item x="4"/>
        <item x="338"/>
        <item x="145"/>
        <item x="187"/>
        <item x="318"/>
        <item x="388"/>
        <item x="85"/>
        <item x="154"/>
        <item x="441"/>
        <item x="160"/>
        <item x="404"/>
        <item x="370"/>
        <item x="581"/>
        <item x="35"/>
        <item x="507"/>
        <item x="483"/>
        <item x="135"/>
        <item x="21"/>
        <item x="570"/>
        <item x="95"/>
        <item x="115"/>
        <item x="456"/>
        <item x="125"/>
        <item x="308"/>
        <item x="165"/>
        <item x="623"/>
        <item x="258"/>
        <item x="321"/>
        <item x="311"/>
        <item x="28"/>
        <item x="346"/>
        <item x="140"/>
        <item x="142"/>
        <item x="509"/>
        <item x="205"/>
        <item x="627"/>
        <item x="192"/>
        <item x="393"/>
        <item x="469"/>
        <item x="411"/>
        <item x="15"/>
        <item x="331"/>
        <item x="233"/>
        <item x="228"/>
        <item x="555"/>
        <item x="542"/>
        <item x="628"/>
        <item x="237"/>
        <item x="267"/>
        <item x="538"/>
        <item x="114"/>
        <item x="414"/>
        <item x="178"/>
        <item x="396"/>
        <item x="479"/>
        <item x="336"/>
        <item x="164"/>
        <item x="155"/>
        <item x="549"/>
        <item x="325"/>
        <item x="105"/>
        <item x="134"/>
        <item x="309"/>
        <item x="109"/>
        <item x="34"/>
        <item x="401"/>
        <item x="30"/>
        <item x="79"/>
        <item x="214"/>
        <item x="153"/>
        <item x="458"/>
        <item x="548"/>
        <item x="16"/>
        <item x="322"/>
        <item x="523"/>
        <item x="297"/>
        <item x="564"/>
        <item x="480"/>
        <item x="10"/>
        <item x="147"/>
        <item x="191"/>
        <item x="25"/>
        <item x="162"/>
        <item x="251"/>
        <item x="111"/>
        <item x="353"/>
        <item x="139"/>
        <item x="181"/>
        <item x="586"/>
        <item x="489"/>
        <item x="63"/>
        <item x="560"/>
        <item x="392"/>
        <item x="454"/>
        <item x="51"/>
        <item x="607"/>
        <item x="0"/>
        <item x="287"/>
        <item x="234"/>
        <item x="107"/>
        <item x="70"/>
        <item x="57"/>
        <item x="41"/>
        <item x="252"/>
        <item x="390"/>
        <item x="504"/>
        <item x="247"/>
        <item x="167"/>
        <item x="561"/>
        <item x="610"/>
        <item x="334"/>
        <item x="341"/>
        <item x="6"/>
        <item x="612"/>
        <item x="362"/>
        <item x="67"/>
        <item x="253"/>
        <item x="536"/>
        <item x="572"/>
        <item x="461"/>
        <item x="161"/>
        <item x="1"/>
        <item x="524"/>
        <item x="283"/>
        <item x="486"/>
        <item x="410"/>
        <item x="429"/>
        <item x="484"/>
        <item x="143"/>
        <item x="44"/>
        <item x="405"/>
        <item x="383"/>
        <item x="517"/>
        <item x="310"/>
        <item x="545"/>
        <item x="231"/>
        <item x="313"/>
        <item x="494"/>
        <item x="568"/>
        <item x="149"/>
        <item x="594"/>
        <item x="194"/>
        <item x="440"/>
        <item x="76"/>
        <item x="77"/>
        <item x="413"/>
        <item x="50"/>
        <item x="521"/>
        <item x="423"/>
        <item x="117"/>
        <item x="103"/>
        <item x="578"/>
        <item x="274"/>
        <item x="23"/>
        <item x="265"/>
        <item x="323"/>
        <item x="188"/>
        <item x="464"/>
        <item x="443"/>
        <item x="356"/>
        <item x="424"/>
        <item x="492"/>
        <item x="386"/>
        <item x="529"/>
        <item x="554"/>
        <item x="409"/>
        <item x="245"/>
        <item x="47"/>
        <item x="600"/>
        <item x="157"/>
        <item x="558"/>
        <item x="448"/>
        <item x="500"/>
        <item x="232"/>
        <item x="335"/>
        <item x="587"/>
        <item x="493"/>
        <item x="277"/>
        <item x="433"/>
        <item x="126"/>
        <item x="598"/>
        <item x="123"/>
        <item x="8"/>
        <item x="582"/>
        <item x="86"/>
        <item x="38"/>
        <item x="88"/>
        <item x="128"/>
        <item x="170"/>
        <item x="400"/>
        <item x="541"/>
        <item x="33"/>
        <item x="40"/>
        <item x="97"/>
        <item x="184"/>
        <item x="475"/>
        <item x="342"/>
        <item x="472"/>
        <item x="430"/>
        <item x="415"/>
        <item x="249"/>
        <item x="195"/>
        <item x="402"/>
        <item x="209"/>
        <item x="557"/>
        <item x="207"/>
        <item x="583"/>
        <item x="373"/>
        <item x="36"/>
        <item x="359"/>
        <item x="527"/>
        <item x="320"/>
        <item x="217"/>
        <item x="496"/>
        <item x="506"/>
        <item x="611"/>
        <item x="442"/>
        <item x="271"/>
        <item x="418"/>
        <item x="618"/>
        <item x="189"/>
        <item x="156"/>
        <item x="567"/>
        <item x="104"/>
        <item x="508"/>
        <item x="218"/>
        <item x="138"/>
        <item x="465"/>
        <item x="26"/>
        <item x="295"/>
        <item x="490"/>
        <item x="108"/>
        <item x="20"/>
        <item x="73"/>
        <item x="235"/>
        <item x="427"/>
        <item x="621"/>
        <item x="365"/>
        <item x="319"/>
        <item x="522"/>
        <item x="273"/>
        <item x="136"/>
        <item x="432"/>
        <item x="608"/>
        <item x="101"/>
        <item x="451"/>
        <item x="244"/>
        <item x="27"/>
        <item x="254"/>
        <item x="286"/>
        <item x="242"/>
        <item x="374"/>
        <item x="559"/>
        <item x="303"/>
        <item x="268"/>
        <item x="447"/>
        <item x="13"/>
        <item x="358"/>
        <item x="519"/>
        <item x="343"/>
        <item x="238"/>
        <item x="345"/>
        <item x="141"/>
        <item x="60"/>
        <item x="599"/>
        <item x="110"/>
        <item x="352"/>
        <item x="112"/>
        <item x="354"/>
        <item x="312"/>
        <item x="616"/>
        <item x="72"/>
        <item x="169"/>
        <item x="592"/>
        <item x="275"/>
        <item x="177"/>
        <item x="510"/>
        <item x="357"/>
        <item x="511"/>
        <item x="48"/>
        <item x="196"/>
        <item x="174"/>
        <item x="435"/>
        <item x="398"/>
        <item x="487"/>
        <item x="565"/>
        <item x="211"/>
        <item x="426"/>
        <item x="93"/>
        <item x="42"/>
        <item x="200"/>
        <item x="82"/>
        <item x="364"/>
        <item x="236"/>
        <item x="513"/>
        <item x="304"/>
        <item x="206"/>
        <item x="534"/>
        <item x="617"/>
        <item x="579"/>
        <item x="3"/>
        <item x="569"/>
        <item x="571"/>
        <item x="120"/>
        <item x="257"/>
        <item x="375"/>
        <item x="601"/>
        <item x="299"/>
        <item x="379"/>
        <item x="417"/>
        <item x="314"/>
        <item x="17"/>
        <item x="146"/>
        <item x="150"/>
        <item x="584"/>
        <item x="248"/>
        <item x="482"/>
        <item x="488"/>
        <item x="606"/>
        <item x="96"/>
        <item x="372"/>
        <item x="420"/>
        <item x="302"/>
        <item x="588"/>
        <item x="575"/>
        <item x="227"/>
        <item x="462"/>
        <item x="368"/>
        <item x="533"/>
        <item x="333"/>
        <item x="100"/>
        <item x="84"/>
        <item x="502"/>
        <item x="553"/>
        <item x="552"/>
        <item x="133"/>
        <item x="306"/>
        <item x="294"/>
        <item x="416"/>
        <item x="307"/>
        <item x="481"/>
        <item x="452"/>
        <item x="159"/>
        <item x="550"/>
        <item x="263"/>
        <item x="525"/>
        <item x="446"/>
        <item x="505"/>
        <item x="32"/>
        <item x="348"/>
        <item x="270"/>
        <item x="389"/>
        <item x="394"/>
        <item x="293"/>
        <item x="12"/>
        <item x="83"/>
        <item x="463"/>
        <item x="131"/>
        <item x="240"/>
        <item x="407"/>
        <item x="11"/>
        <item x="62"/>
        <item x="91"/>
        <item x="614"/>
        <item x="127"/>
        <item x="285"/>
        <item x="98"/>
        <item x="186"/>
        <item x="29"/>
        <item x="212"/>
        <item x="53"/>
        <item x="22"/>
        <item x="210"/>
        <item x="397"/>
        <item x="360"/>
        <item x="399"/>
        <item x="366"/>
        <item x="90"/>
        <item x="208"/>
        <item x="514"/>
        <item x="377"/>
        <item x="58"/>
        <item x="71"/>
        <item x="241"/>
        <item x="113"/>
        <item x="622"/>
        <item x="130"/>
        <item x="421"/>
        <item x="179"/>
        <item x="329"/>
        <item x="563"/>
        <item x="102"/>
        <item x="180"/>
        <item x="428"/>
        <item x="395"/>
        <item x="276"/>
        <item x="222"/>
        <item x="503"/>
        <item x="473"/>
        <item x="597"/>
        <item x="280"/>
        <item x="116"/>
        <item x="173"/>
        <item x="491"/>
        <item x="595"/>
        <item x="37"/>
        <item x="94"/>
        <item x="630"/>
        <item x="330"/>
        <item x="19"/>
        <item x="602"/>
        <item x="290"/>
        <item x="230"/>
        <item x="219"/>
        <item x="59"/>
        <item x="55"/>
        <item x="158"/>
        <item x="531"/>
        <item x="327"/>
        <item x="61"/>
        <item x="471"/>
        <item x="381"/>
        <item x="467"/>
        <item x="425"/>
        <item x="43"/>
        <item x="380"/>
        <item x="498"/>
        <item x="516"/>
        <item x="422"/>
        <item x="14"/>
        <item x="18"/>
        <item x="175"/>
        <item x="593"/>
        <item x="317"/>
        <item x="87"/>
        <item x="385"/>
        <item x="556"/>
        <item x="406"/>
        <item x="264"/>
        <item x="182"/>
        <item x="620"/>
        <item x="262"/>
        <item x="403"/>
        <item x="378"/>
        <item x="289"/>
        <item x="530"/>
        <item x="566"/>
        <item x="56"/>
        <item x="298"/>
        <item x="305"/>
        <item x="246"/>
        <item x="468"/>
        <item x="355"/>
        <item x="119"/>
        <item x="544"/>
        <item x="203"/>
        <item x="282"/>
        <item x="590"/>
        <item x="9"/>
        <item x="631"/>
        <item t="default"/>
      </items>
    </pivotField>
    <pivotField showAll="0"/>
    <pivotField showAll="0"/>
    <pivotField dataField="1" showAll="0">
      <items count="33">
        <item x="18"/>
        <item x="1"/>
        <item x="6"/>
        <item x="4"/>
        <item x="3"/>
        <item x="16"/>
        <item x="30"/>
        <item x="20"/>
        <item x="12"/>
        <item x="25"/>
        <item x="24"/>
        <item x="23"/>
        <item x="8"/>
        <item x="19"/>
        <item x="17"/>
        <item x="15"/>
        <item x="13"/>
        <item x="14"/>
        <item x="5"/>
        <item x="7"/>
        <item x="9"/>
        <item x="28"/>
        <item x="22"/>
        <item x="21"/>
        <item x="10"/>
        <item x="2"/>
        <item x="0"/>
        <item x="29"/>
        <item x="27"/>
        <item x="11"/>
        <item x="26"/>
        <item x="31"/>
        <item t="default"/>
      </items>
    </pivotField>
    <pivotField showAll="0"/>
    <pivotField showAll="0"/>
    <pivotField showAll="0"/>
    <pivotField axis="axisRow" showAll="0">
      <items count="14">
        <item x="5"/>
        <item x="3"/>
        <item x="9"/>
        <item h="1" x="7"/>
        <item h="1" x="6"/>
        <item h="1" x="4"/>
        <item h="1" x="2"/>
        <item h="1" x="0"/>
        <item h="1" x="1"/>
        <item h="1" x="11"/>
        <item h="1" x="8"/>
        <item h="1" x="10"/>
        <item h="1" x="12"/>
        <item t="default"/>
      </items>
    </pivotField>
    <pivotField showAll="0"/>
    <pivotField showAll="0"/>
    <pivotField showAll="0"/>
    <pivotField showAll="0"/>
    <pivotField axis="axisRow" showAll="0">
      <items count="9">
        <item x="6"/>
        <item x="0"/>
        <item x="4"/>
        <item x="5"/>
        <item x="2"/>
        <item x="3"/>
        <item x="1"/>
        <item x="7"/>
        <item t="default"/>
      </items>
    </pivotField>
    <pivotField showAll="0"/>
    <pivotField showAll="0"/>
    <pivotField showAll="0"/>
    <pivotField showAll="0"/>
    <pivotField showAll="0"/>
    <pivotField showAll="0"/>
    <pivotField showAll="0"/>
    <pivotField showAll="0"/>
    <pivotField showAll="0"/>
    <pivotField showAll="0"/>
  </pivotFields>
  <rowFields count="2">
    <field x="7"/>
    <field x="12"/>
  </rowFields>
  <rowItems count="25">
    <i>
      <x/>
    </i>
    <i r="1">
      <x/>
    </i>
    <i r="1">
      <x v="1"/>
    </i>
    <i r="1">
      <x v="2"/>
    </i>
    <i r="1">
      <x v="3"/>
    </i>
    <i r="1">
      <x v="4"/>
    </i>
    <i r="1">
      <x v="5"/>
    </i>
    <i r="1">
      <x v="6"/>
    </i>
    <i>
      <x v="1"/>
    </i>
    <i r="1">
      <x/>
    </i>
    <i r="1">
      <x v="1"/>
    </i>
    <i r="1">
      <x v="2"/>
    </i>
    <i r="1">
      <x v="3"/>
    </i>
    <i r="1">
      <x v="4"/>
    </i>
    <i r="1">
      <x v="5"/>
    </i>
    <i r="1">
      <x v="6"/>
    </i>
    <i>
      <x v="2"/>
    </i>
    <i r="1">
      <x/>
    </i>
    <i r="1">
      <x v="1"/>
    </i>
    <i r="1">
      <x v="2"/>
    </i>
    <i r="1">
      <x v="3"/>
    </i>
    <i r="1">
      <x v="4"/>
    </i>
    <i r="1">
      <x v="5"/>
    </i>
    <i r="1">
      <x v="6"/>
    </i>
    <i t="grand">
      <x/>
    </i>
  </rowItems>
  <colFields count="1">
    <field x="-2"/>
  </colFields>
  <colItems count="2">
    <i>
      <x/>
    </i>
    <i i="1">
      <x v="1"/>
    </i>
  </colItems>
  <dataFields count="2">
    <dataField name="Count of OrderID" fld="0" subtotal="count" baseField="0" baseItem="0"/>
    <dataField name="Sum of Leadtime days" fld="3"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451DAF5-44AC-44F0-AB1D-0728AC27198A}" name="PivotTable1"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3:C55" firstHeaderRow="0" firstDataRow="1" firstDataCol="1"/>
  <pivotFields count="23">
    <pivotField dataField="1" showAll="0"/>
    <pivotField showAll="0"/>
    <pivotField showAll="0"/>
    <pivotField showAll="0"/>
    <pivotField showAll="0"/>
    <pivotField showAll="0"/>
    <pivotField axis="axisRow" showAll="0" sortType="descending">
      <items count="6">
        <item h="1" x="4"/>
        <item h="1" x="3"/>
        <item x="1"/>
        <item x="2"/>
        <item x="0"/>
        <item t="default"/>
      </items>
    </pivotField>
    <pivotField showAll="0"/>
    <pivotField showAll="0"/>
    <pivotField showAll="0"/>
    <pivotField showAll="0"/>
    <pivotField axis="axisRow" showAll="0" sortType="descending">
      <items count="18">
        <item x="16"/>
        <item x="7"/>
        <item x="15"/>
        <item x="13"/>
        <item x="12"/>
        <item x="4"/>
        <item x="11"/>
        <item x="1"/>
        <item x="2"/>
        <item x="10"/>
        <item x="3"/>
        <item x="9"/>
        <item x="6"/>
        <item x="14"/>
        <item x="0"/>
        <item x="5"/>
        <item x="8"/>
        <item t="default"/>
      </items>
    </pivotField>
    <pivotField showAll="0"/>
    <pivotField showAll="0"/>
    <pivotField showAll="0"/>
    <pivotField showAll="0"/>
    <pivotField showAll="0"/>
    <pivotField dataField="1" showAll="0">
      <items count="230">
        <item x="5"/>
        <item x="140"/>
        <item x="10"/>
        <item x="20"/>
        <item x="99"/>
        <item x="19"/>
        <item x="84"/>
        <item x="170"/>
        <item x="212"/>
        <item x="108"/>
        <item x="205"/>
        <item x="113"/>
        <item x="106"/>
        <item x="118"/>
        <item x="109"/>
        <item x="179"/>
        <item x="134"/>
        <item x="71"/>
        <item x="8"/>
        <item x="195"/>
        <item x="76"/>
        <item x="42"/>
        <item x="32"/>
        <item x="16"/>
        <item x="188"/>
        <item x="208"/>
        <item x="174"/>
        <item x="89"/>
        <item x="221"/>
        <item x="107"/>
        <item x="215"/>
        <item x="58"/>
        <item x="216"/>
        <item x="54"/>
        <item x="130"/>
        <item x="114"/>
        <item x="223"/>
        <item x="133"/>
        <item x="121"/>
        <item x="92"/>
        <item x="193"/>
        <item x="163"/>
        <item x="227"/>
        <item x="96"/>
        <item x="201"/>
        <item x="176"/>
        <item x="72"/>
        <item x="143"/>
        <item x="55"/>
        <item x="90"/>
        <item x="68"/>
        <item x="88"/>
        <item x="3"/>
        <item x="93"/>
        <item x="13"/>
        <item x="43"/>
        <item x="171"/>
        <item x="202"/>
        <item x="117"/>
        <item x="164"/>
        <item x="226"/>
        <item x="104"/>
        <item x="200"/>
        <item x="26"/>
        <item x="147"/>
        <item x="24"/>
        <item x="167"/>
        <item x="25"/>
        <item x="168"/>
        <item x="119"/>
        <item x="77"/>
        <item x="142"/>
        <item x="12"/>
        <item x="148"/>
        <item x="73"/>
        <item x="224"/>
        <item x="199"/>
        <item x="74"/>
        <item x="165"/>
        <item x="27"/>
        <item x="4"/>
        <item x="172"/>
        <item x="67"/>
        <item x="52"/>
        <item x="192"/>
        <item x="105"/>
        <item x="86"/>
        <item x="14"/>
        <item x="46"/>
        <item x="95"/>
        <item x="0"/>
        <item x="139"/>
        <item x="60"/>
        <item x="158"/>
        <item x="144"/>
        <item x="85"/>
        <item x="45"/>
        <item x="18"/>
        <item x="173"/>
        <item x="153"/>
        <item x="82"/>
        <item x="213"/>
        <item x="22"/>
        <item x="38"/>
        <item x="110"/>
        <item x="137"/>
        <item x="31"/>
        <item x="49"/>
        <item x="2"/>
        <item x="191"/>
        <item x="112"/>
        <item x="61"/>
        <item x="157"/>
        <item x="29"/>
        <item x="81"/>
        <item x="159"/>
        <item x="23"/>
        <item x="78"/>
        <item x="169"/>
        <item x="56"/>
        <item x="17"/>
        <item x="41"/>
        <item x="180"/>
        <item x="34"/>
        <item x="6"/>
        <item x="135"/>
        <item x="9"/>
        <item x="209"/>
        <item x="102"/>
        <item x="136"/>
        <item x="125"/>
        <item x="69"/>
        <item x="131"/>
        <item x="161"/>
        <item x="87"/>
        <item x="181"/>
        <item x="129"/>
        <item x="75"/>
        <item x="64"/>
        <item x="196"/>
        <item x="156"/>
        <item x="211"/>
        <item x="150"/>
        <item x="21"/>
        <item x="36"/>
        <item x="189"/>
        <item x="225"/>
        <item x="145"/>
        <item x="122"/>
        <item x="155"/>
        <item x="30"/>
        <item x="166"/>
        <item x="120"/>
        <item x="94"/>
        <item x="79"/>
        <item x="111"/>
        <item x="35"/>
        <item x="15"/>
        <item x="50"/>
        <item x="57"/>
        <item x="63"/>
        <item x="37"/>
        <item x="70"/>
        <item x="51"/>
        <item x="197"/>
        <item x="98"/>
        <item x="7"/>
        <item x="124"/>
        <item x="115"/>
        <item x="47"/>
        <item x="138"/>
        <item x="91"/>
        <item x="53"/>
        <item x="44"/>
        <item x="162"/>
        <item x="222"/>
        <item x="219"/>
        <item x="182"/>
        <item x="126"/>
        <item x="123"/>
        <item x="207"/>
        <item x="66"/>
        <item x="154"/>
        <item x="203"/>
        <item x="218"/>
        <item x="97"/>
        <item x="217"/>
        <item x="152"/>
        <item x="204"/>
        <item x="83"/>
        <item x="214"/>
        <item x="127"/>
        <item x="146"/>
        <item x="128"/>
        <item x="1"/>
        <item x="149"/>
        <item x="177"/>
        <item x="183"/>
        <item x="65"/>
        <item x="28"/>
        <item x="103"/>
        <item x="220"/>
        <item x="11"/>
        <item x="116"/>
        <item x="48"/>
        <item x="194"/>
        <item x="62"/>
        <item x="132"/>
        <item x="101"/>
        <item x="187"/>
        <item x="151"/>
        <item x="100"/>
        <item x="141"/>
        <item x="178"/>
        <item x="190"/>
        <item x="80"/>
        <item x="186"/>
        <item x="39"/>
        <item x="210"/>
        <item x="40"/>
        <item x="184"/>
        <item x="206"/>
        <item x="160"/>
        <item x="33"/>
        <item x="59"/>
        <item x="175"/>
        <item x="198"/>
        <item x="185"/>
        <item x="228"/>
        <item t="default"/>
      </items>
    </pivotField>
    <pivotField showAll="0"/>
    <pivotField showAll="0"/>
    <pivotField showAll="0"/>
    <pivotField showAll="0"/>
    <pivotField showAll="0"/>
  </pivotFields>
  <rowFields count="2">
    <field x="6"/>
    <field x="11"/>
  </rowFields>
  <rowItems count="52">
    <i>
      <x v="2"/>
    </i>
    <i r="1">
      <x v="1"/>
    </i>
    <i r="1">
      <x v="2"/>
    </i>
    <i r="1">
      <x v="3"/>
    </i>
    <i r="1">
      <x v="4"/>
    </i>
    <i r="1">
      <x v="5"/>
    </i>
    <i r="1">
      <x v="6"/>
    </i>
    <i r="1">
      <x v="7"/>
    </i>
    <i r="1">
      <x v="8"/>
    </i>
    <i r="1">
      <x v="9"/>
    </i>
    <i r="1">
      <x v="10"/>
    </i>
    <i r="1">
      <x v="11"/>
    </i>
    <i r="1">
      <x v="12"/>
    </i>
    <i r="1">
      <x v="13"/>
    </i>
    <i r="1">
      <x v="14"/>
    </i>
    <i r="1">
      <x v="15"/>
    </i>
    <i r="1">
      <x v="16"/>
    </i>
    <i>
      <x v="3"/>
    </i>
    <i r="1">
      <x v="1"/>
    </i>
    <i r="1">
      <x v="2"/>
    </i>
    <i r="1">
      <x v="3"/>
    </i>
    <i r="1">
      <x v="4"/>
    </i>
    <i r="1">
      <x v="5"/>
    </i>
    <i r="1">
      <x v="6"/>
    </i>
    <i r="1">
      <x v="7"/>
    </i>
    <i r="1">
      <x v="8"/>
    </i>
    <i r="1">
      <x v="9"/>
    </i>
    <i r="1">
      <x v="10"/>
    </i>
    <i r="1">
      <x v="11"/>
    </i>
    <i r="1">
      <x v="12"/>
    </i>
    <i r="1">
      <x v="13"/>
    </i>
    <i r="1">
      <x v="14"/>
    </i>
    <i r="1">
      <x v="15"/>
    </i>
    <i r="1">
      <x v="16"/>
    </i>
    <i>
      <x v="4"/>
    </i>
    <i r="1">
      <x v="1"/>
    </i>
    <i r="1">
      <x v="2"/>
    </i>
    <i r="1">
      <x v="3"/>
    </i>
    <i r="1">
      <x v="4"/>
    </i>
    <i r="1">
      <x v="5"/>
    </i>
    <i r="1">
      <x v="6"/>
    </i>
    <i r="1">
      <x v="7"/>
    </i>
    <i r="1">
      <x v="8"/>
    </i>
    <i r="1">
      <x v="9"/>
    </i>
    <i r="1">
      <x v="10"/>
    </i>
    <i r="1">
      <x v="11"/>
    </i>
    <i r="1">
      <x v="12"/>
    </i>
    <i r="1">
      <x v="13"/>
    </i>
    <i r="1">
      <x v="14"/>
    </i>
    <i r="1">
      <x v="15"/>
    </i>
    <i r="1">
      <x v="16"/>
    </i>
    <i t="grand">
      <x/>
    </i>
  </rowItems>
  <colFields count="1">
    <field x="-2"/>
  </colFields>
  <colItems count="2">
    <i>
      <x/>
    </i>
    <i i="1">
      <x v="1"/>
    </i>
  </colItems>
  <dataFields count="2">
    <dataField name="Count of OrderID" fld="0" subtotal="count" baseField="0" baseItem="0"/>
    <dataField name="Sum of DiscountPct" fld="17"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8DFC167A-90C3-46A9-B59B-45C4E40598A2}" sourceName="ProductCategory">
  <pivotTables>
    <pivotTable tabId="13" name="PivotTable5"/>
  </pivotTables>
  <data>
    <tabular pivotCacheId="737800872">
      <items count="8">
        <i x="6" s="1"/>
        <i x="0" s="1"/>
        <i x="4" s="1"/>
        <i x="5" s="1"/>
        <i x="2" s="1"/>
        <i x="3" s="1"/>
        <i x="1" s="1"/>
        <i x="7"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KU" xr10:uid="{7FFB3822-5386-4D30-9609-1F1711DCB03F}" sourceName="SKU">
  <pivotTables>
    <pivotTable tabId="13" name="PivotTable5"/>
  </pivotTables>
  <data>
    <tabular pivotCacheId="737800872">
      <items count="631">
        <i x="139" s="1"/>
        <i x="621" s="1"/>
        <i x="333" s="1"/>
        <i x="415" s="1"/>
        <i x="340" s="1"/>
        <i x="394" s="1"/>
        <i x="441" s="1"/>
        <i x="293" s="1"/>
        <i x="491" s="1"/>
        <i x="587" s="1"/>
        <i x="207" s="1"/>
        <i x="14" s="1"/>
        <i x="478" s="1"/>
        <i x="58" s="1"/>
        <i x="261" s="1"/>
        <i x="59" s="1"/>
        <i x="325" s="1"/>
        <i x="103" s="1"/>
        <i x="170" s="1"/>
        <i x="70" s="1"/>
        <i x="497" s="1"/>
        <i x="416" s="1"/>
        <i x="312" s="1"/>
        <i x="319" s="1"/>
        <i x="489" s="1"/>
        <i x="332" s="1"/>
        <i x="355" s="1"/>
        <i x="516" s="1"/>
        <i x="185" s="1"/>
        <i x="545" s="1"/>
        <i x="221" s="1"/>
        <i x="259" s="1"/>
        <i x="450" s="1"/>
        <i x="521" s="1"/>
        <i x="576" s="1"/>
        <i x="270" s="1"/>
        <i x="22" s="1"/>
        <i x="158" s="1"/>
        <i x="131" s="1"/>
        <i x="154" s="1"/>
        <i x="290" s="1"/>
        <i x="76" s="1"/>
        <i x="113" s="1"/>
        <i x="569" s="1"/>
        <i x="187" s="1"/>
        <i x="618" s="1"/>
        <i x="588" s="1"/>
        <i x="227" s="1"/>
        <i x="552" s="1"/>
        <i x="551" s="1"/>
        <i x="97" s="1"/>
        <i x="460" s="1"/>
        <i x="214" s="1"/>
        <i x="352" s="1"/>
        <i x="299" s="1"/>
        <i x="57" s="1"/>
        <i x="288" s="1"/>
        <i x="50" s="1"/>
        <i x="147" s="1"/>
        <i x="437" s="1"/>
        <i x="346" s="1"/>
        <i x="180" s="1"/>
        <i x="358" s="1"/>
        <i x="142" s="1"/>
        <i x="493" s="1"/>
        <i x="557" s="1"/>
        <i x="465" s="1"/>
        <i x="604" s="1"/>
        <i x="360" s="1"/>
        <i x="592" s="1"/>
        <i x="10" s="1"/>
        <i x="277" s="1"/>
        <i x="18" s="1"/>
        <i x="338" s="1"/>
        <i x="541" s="1"/>
        <i x="292" s="1"/>
        <i x="454" s="1"/>
        <i x="25" s="1"/>
        <i x="209" s="1"/>
        <i x="93" s="1"/>
        <i x="66" s="1"/>
        <i x="77" s="1"/>
        <i x="554" s="1"/>
        <i x="536" s="1"/>
        <i x="306" s="1"/>
        <i x="182" s="1"/>
        <i x="408" s="1"/>
        <i x="109" s="1"/>
        <i x="75" s="1"/>
        <i x="169" s="1"/>
        <i x="513" s="1"/>
        <i x="471" s="1"/>
        <i x="579" s="1"/>
        <i x="607" s="1"/>
        <i x="624" s="1"/>
        <i x="34" s="1"/>
        <i x="172" s="1"/>
        <i x="627" s="1"/>
        <i x="401" s="1"/>
        <i x="126" s="1"/>
        <i x="391" s="1"/>
        <i x="124" s="1"/>
        <i x="484" s="1"/>
        <i x="523" s="1"/>
        <i x="377" s="1"/>
        <i x="24" s="1"/>
        <i x="87" s="1"/>
        <i x="82" s="1"/>
        <i x="324" s="1"/>
        <i x="510" s="1"/>
        <i x="367" s="1"/>
        <i x="458" s="1"/>
        <i x="12" s="1"/>
        <i x="136" s="1"/>
        <i x="9" s="1"/>
        <i x="294" s="1"/>
        <i x="157" s="1"/>
        <i x="464" s="1"/>
        <i x="210" s="1"/>
        <i x="315" s="1"/>
        <i x="467" s="1"/>
        <i x="85" s="1"/>
        <i x="161" s="1"/>
        <i x="260" s="1"/>
        <i x="348" s="1"/>
        <i x="256" s="1"/>
        <i x="573" s="1"/>
        <i x="220" s="1"/>
        <i x="617" s="1"/>
        <i x="594" s="1"/>
        <i x="326" s="1"/>
        <i x="74" s="1"/>
        <i x="171" s="1"/>
        <i x="589" s="1"/>
        <i x="490" s="1"/>
        <i x="518" s="1"/>
        <i x="463" s="1"/>
        <i x="78" s="1"/>
        <i x="519" s="1"/>
        <i x="564" s="1"/>
        <i x="44" s="1"/>
        <i x="127" s="1"/>
        <i x="125" s="1"/>
        <i x="110" s="1"/>
        <i x="568" s="1"/>
        <i x="504" s="1"/>
        <i x="459" s="1"/>
        <i x="451" s="1"/>
        <i x="397" s="1"/>
        <i x="30" s="1"/>
        <i x="230" s="1"/>
        <i x="61" s="1"/>
        <i x="365" s="1"/>
        <i x="222" s="1"/>
        <i x="206" s="1"/>
        <i x="69" s="1"/>
        <i x="250" s="1"/>
        <i x="36" s="1"/>
        <i x="60" s="1"/>
        <i x="105" s="1"/>
        <i x="511" s="1"/>
        <i x="101" s="1"/>
        <i x="86" s="1"/>
        <i x="234" s="1"/>
        <i x="0" s="1"/>
        <i x="37" s="1"/>
        <i x="393" s="1"/>
        <i x="436" s="1"/>
        <i x="403" s="1"/>
        <i x="289" s="1"/>
        <i x="476" s="1"/>
        <i x="237" s="1"/>
        <i x="585" s="1"/>
        <i x="177" s="1"/>
        <i x="300" s="1"/>
        <i x="267" s="1"/>
        <i x="559" s="1"/>
        <i x="323" s="1"/>
        <i x="475" s="1"/>
        <i x="477" s="1"/>
        <i x="533" s="1"/>
        <i x="166" s="1"/>
        <i x="145" s="1"/>
        <i x="295" s="1"/>
        <i x="15" s="1"/>
        <i x="527" s="1"/>
        <i x="445" s="1"/>
        <i x="582" s="1"/>
        <i x="539" s="1"/>
        <i x="349" s="1"/>
        <i x="119" s="1"/>
        <i x="279" s="1"/>
        <i x="246" s="1"/>
        <i x="384" s="1"/>
        <i x="239" s="1"/>
        <i x="370" s="1"/>
        <i x="629" s="1"/>
        <i x="481" s="1"/>
        <i x="146" s="1"/>
        <i x="19" s="1"/>
        <i x="64" s="1"/>
        <i x="264" s="1"/>
        <i x="507" s="1"/>
        <i x="571" s="1"/>
        <i x="345" s="1"/>
        <i x="99" s="1"/>
        <i x="53" s="1"/>
        <i x="362" s="1"/>
        <i x="514" s="1"/>
        <i x="581" s="1"/>
        <i x="71" s="1"/>
        <i x="309" s="1"/>
        <i x="304" s="1"/>
        <i x="542" s="1"/>
        <i x="242" s="1"/>
        <i x="457" s="1"/>
        <i x="603" s="1"/>
        <i x="23" s="1"/>
        <i x="255" s="1"/>
        <i x="508" s="1"/>
        <i x="104" s="1"/>
        <i x="190" s="1"/>
        <i x="563" s="1"/>
        <i x="387" s="1"/>
        <i x="251" s="1"/>
        <i x="151" s="1"/>
        <i x="520" s="1"/>
        <i x="593" s="1"/>
        <i x="368" s="1"/>
        <i x="56" s="1"/>
        <i x="409" s="1"/>
        <i x="275" s="1"/>
        <i x="173" s="1"/>
        <i x="102" s="1"/>
        <i x="388" s="1"/>
        <i x="534" s="1"/>
        <i x="565" s="1"/>
        <i x="425" s="1"/>
        <i x="52" s="1"/>
        <i x="192" s="1"/>
        <i x="407" s="1"/>
        <i x="117" s="1"/>
        <i x="396" s="1"/>
        <i x="424" s="1"/>
        <i x="72" s="1"/>
        <i x="5" s="1"/>
        <i x="598" s="1"/>
        <i x="430" s="1"/>
        <i x="421" s="1"/>
        <i x="283" s="1"/>
        <i x="329" s="1"/>
        <i x="386" s="1"/>
        <i x="111" s="1"/>
        <i x="224" s="1"/>
        <i x="132" s="1"/>
        <i x="20" s="1"/>
        <i x="402" s="1"/>
        <i x="284" s="1"/>
        <i x="33" s="1"/>
        <i x="339" s="1"/>
        <i x="566" s="1"/>
        <i x="314" s="1"/>
        <i x="271" s="1"/>
        <i x="591" s="1"/>
        <i x="216" s="1"/>
        <i x="186" s="1"/>
        <i x="205" s="1"/>
        <i x="96" s="1"/>
        <i x="404" s="1"/>
        <i x="167" s="1"/>
        <i x="140" s="1"/>
        <i x="68" s="1"/>
        <i x="472" s="1"/>
        <i x="509" s="1"/>
        <i x="217" s="1"/>
        <i x="115" s="1"/>
        <i x="247" s="1"/>
        <i x="597" s="1"/>
        <i x="89" s="1"/>
        <i x="328" s="1"/>
        <i x="249" s="1"/>
        <i x="135" s="1"/>
        <i x="273" s="1"/>
        <i x="427" s="1"/>
        <i x="83" s="1"/>
        <i x="398" s="1"/>
        <i x="121" s="1"/>
        <i x="625" s="1"/>
        <i x="418" s="1"/>
        <i x="615" s="1"/>
        <i x="189" s="1"/>
        <i x="351" s="1"/>
        <i x="549" s="1"/>
        <i x="297" s="1"/>
        <i x="51" s="1"/>
        <i x="252" s="1"/>
        <i x="372" s="1"/>
        <i x="432" s="1"/>
        <i x="499" s="1"/>
        <i x="55" s="1"/>
        <i x="204" s="1"/>
        <i x="456" s="1"/>
        <i x="130" s="1"/>
        <i x="63" s="1"/>
        <i x="233" s="1"/>
        <i x="178" s="1"/>
        <i x="305" s="1"/>
        <i x="447" s="1"/>
        <i x="280" s="1"/>
        <i x="298" s="1"/>
        <i x="183" s="1"/>
        <i x="363" s="1"/>
        <i x="389" s="1"/>
        <i x="561" s="1"/>
        <i x="572" s="1"/>
        <i x="522" s="1"/>
        <i x="547" s="1"/>
        <i x="310" s="1"/>
        <i x="195" s="1"/>
        <i x="165" s="1"/>
        <i x="67" s="1"/>
        <i x="453" s="1"/>
        <i x="8" s="1"/>
        <i x="175" s="1"/>
        <i x="556" s="1"/>
        <i x="446" s="1"/>
        <i x="580" s="1"/>
        <i x="191" s="1"/>
        <i x="168" s="1"/>
        <i x="383" s="1"/>
        <i x="258" s="1"/>
        <i x="211" s="1"/>
        <i x="188" s="1"/>
        <i x="79" s="1"/>
        <i x="610" s="1"/>
        <i x="544" s="1"/>
        <i x="6" s="1"/>
        <i x="272" s="1"/>
        <i x="540" s="1"/>
        <i x="431" s="1"/>
        <i x="184" s="1"/>
        <i x="494" s="1"/>
        <i x="254" s="1"/>
        <i x="88" s="1"/>
        <i x="118" s="1"/>
        <i x="531" s="1"/>
        <i x="163" s="1"/>
        <i x="498" s="1"/>
        <i x="318" s="1"/>
        <i x="395" s="1"/>
        <i x="266" s="1"/>
        <i x="160" s="1"/>
        <i x="40" s="1"/>
        <i x="496" s="1"/>
        <i x="311" s="1"/>
        <i x="495" s="1"/>
        <i x="590" s="1"/>
        <i x="380" s="1"/>
        <i x="41" s="1"/>
        <i x="223" s="1"/>
        <i x="226" s="1"/>
        <i x="302" s="1"/>
        <i x="98" s="1"/>
        <i x="341" s="1"/>
        <i x="73" s="1"/>
        <i x="479" s="1"/>
        <i x="90" s="1"/>
        <i x="45" s="1"/>
        <i x="47" s="1"/>
        <i x="144" s="1"/>
        <i x="257" s="1"/>
        <i x="623" s="1"/>
        <i x="438" s="1"/>
        <i x="562" s="1"/>
        <i x="248" s="1"/>
        <i x="483" s="1"/>
        <i x="577" s="1"/>
        <i x="114" s="1"/>
        <i x="21" s="1"/>
        <i x="399" s="1"/>
        <i x="198" s="1"/>
        <i x="376" s="1"/>
        <i x="575" s="1"/>
        <i x="506" s="1"/>
        <i x="307" s="1"/>
        <i x="574" s="1"/>
        <i x="382" s="1"/>
        <i x="357" s="1"/>
        <i x="317" s="1"/>
        <i x="129" s="1"/>
        <i x="517" s="1"/>
        <i x="112" s="1"/>
        <i x="548" s="1"/>
        <i x="321" s="1"/>
        <i x="620" s="1"/>
        <i x="622" s="1"/>
        <i x="80" s="1"/>
        <i x="322" s="1"/>
        <i x="543" s="1"/>
        <i x="48" s="1"/>
        <i x="462" s="1"/>
        <i x="612" s="1"/>
        <i x="379" s="1"/>
        <i x="276" s="1"/>
        <i x="194" s="1"/>
        <i x="611" s="1"/>
        <i x="466" s="1"/>
        <i x="203" s="1"/>
        <i x="600" s="1"/>
        <i x="503" s="1"/>
        <i x="120" s="1"/>
        <i x="108" s="1"/>
        <i x="535" s="1"/>
        <i x="413" s="1"/>
        <i x="84" s="1"/>
        <i x="550" s="1"/>
        <i x="215" s="1"/>
        <i x="378" s="1"/>
        <i x="155" s="1"/>
        <i x="32" s="1"/>
        <i x="433" s="1"/>
        <i x="502" s="1"/>
        <i x="281" s="1"/>
        <i x="123" s="1"/>
        <i x="619" s="1"/>
        <i x="156" s="1"/>
        <i x="538" s="1"/>
        <i x="614" s="1"/>
        <i x="353" s="1"/>
        <i x="331" s="1"/>
        <i x="262" s="1"/>
        <i x="567" s="1"/>
        <i x="529" s="1"/>
        <i x="344" s="1"/>
        <i x="2" s="1"/>
        <i x="29" s="1"/>
        <i x="435" s="1"/>
        <i x="287" s="1"/>
        <i x="54" s="1"/>
        <i x="420" s="1"/>
        <i x="17" s="1"/>
        <i x="282" s="1"/>
        <i x="347" s="1"/>
        <i x="213" s="1"/>
        <i x="343" s="1"/>
        <i x="28" s="1"/>
        <i x="560" s="1"/>
        <i x="512" s="1"/>
        <i x="202" s="1"/>
        <i x="371" s="1"/>
        <i x="327" s="1"/>
        <i x="107" s="1"/>
        <i x="448" s="1"/>
        <i x="238" s="1"/>
        <i x="482" s="1"/>
        <i x="231" s="1"/>
        <i x="422" s="1"/>
        <i x="133" s="1"/>
        <i x="530" s="1"/>
        <i x="268" s="1"/>
        <i x="426" s="1"/>
        <i x="200" s="1"/>
        <i x="392" s="1"/>
        <i x="91" s="1"/>
        <i x="241" s="1"/>
        <i x="286" s="1"/>
        <i x="263" s="1"/>
        <i x="334" s="1"/>
        <i x="412" s="1"/>
        <i x="440" s="1"/>
        <i x="128" s="1"/>
        <i x="570" s="1"/>
        <i x="3" s="1"/>
        <i x="583" s="1"/>
        <i x="149" s="1"/>
        <i x="65" s="1"/>
        <i x="626" s="1"/>
        <i x="245" s="1"/>
        <i x="31" s="1"/>
        <i x="375" s="1"/>
        <i x="197" s="1"/>
        <i x="303" s="1"/>
        <i x="584" s="1"/>
        <i x="361" s="1"/>
        <i x="162" s="1"/>
        <i x="452" s="1"/>
        <i x="428" s="1"/>
        <i x="406" s="1"/>
        <i x="485" s="1"/>
        <i x="553" s="1"/>
        <i x="316" s="1"/>
        <i x="330" s="1"/>
        <i x="488" s="1"/>
        <i x="455" s="1"/>
        <i x="285" s="1"/>
        <i x="278" s="1"/>
        <i x="27" s="1"/>
        <i x="366" s="1"/>
        <i x="94" s="1"/>
        <i x="11" s="1"/>
        <i x="244" s="1"/>
        <i x="225" s="1"/>
        <i x="605" s="1"/>
        <i x="181" s="1"/>
        <i x="578" s="1"/>
        <i x="336" s="1"/>
        <i x="492" s="1"/>
        <i x="122" s="1"/>
        <i x="374" s="1"/>
        <i x="137" s="1"/>
        <i x="141" s="1"/>
        <i x="532" s="1"/>
        <i x="62" s="1"/>
        <i x="100" s="1"/>
        <i x="419" s="1"/>
        <i x="411" s="1"/>
        <i x="505" s="1"/>
        <i x="236" s="1"/>
        <i x="434" s="1"/>
        <i x="106" s="1"/>
        <i x="500" s="1"/>
        <i x="628" s="1"/>
        <i x="159" s="1"/>
        <i x="320" s="1"/>
        <i x="473" s="1"/>
        <i x="586" s="1"/>
        <i x="196" s="1"/>
        <i x="501" s="1"/>
        <i x="335" s="1"/>
        <i x="232" s="1"/>
        <i x="390" s="1"/>
        <i x="474" s="1"/>
        <i x="265" s="1"/>
        <i x="486" s="1"/>
        <i x="49" s="1"/>
        <i x="526" s="1"/>
        <i x="537" s="1"/>
        <i x="410" s="1"/>
        <i x="515" s="1"/>
        <i x="525" s="1"/>
        <i x="439" s="1"/>
        <i x="228" s="1"/>
        <i x="313" s="1"/>
        <i x="449" s="1"/>
        <i x="555" s="1"/>
        <i x="429" s="1"/>
        <i x="46" s="1"/>
        <i x="524" s="1"/>
        <i x="219" s="1"/>
        <i x="253" s="1"/>
        <i x="308" s="1"/>
        <i x="212" s="1"/>
        <i x="42" s="1"/>
        <i x="468" s="1"/>
        <i x="364" s="1"/>
        <i x="369" s="1"/>
        <i x="174" s="1"/>
        <i x="480" s="1"/>
        <i x="164" s="1"/>
        <i x="26" s="1"/>
        <i x="148" s="1"/>
        <i x="143" s="1"/>
        <i x="35" s="1"/>
        <i x="528" s="1"/>
        <i x="595" s="1"/>
        <i x="134" s="1"/>
        <i x="442" s="1"/>
        <i x="342" s="1"/>
        <i x="609" s="1"/>
        <i x="138" s="1"/>
        <i x="193" s="1"/>
        <i x="240" s="1"/>
        <i x="602" s="1"/>
        <i x="176" s="1"/>
        <i x="613" s="1"/>
        <i x="337" s="1"/>
        <i x="243" s="1"/>
        <i x="606" s="1"/>
        <i x="400" s="1"/>
        <i x="218" s="1"/>
        <i x="616" s="1"/>
        <i x="487" s="1"/>
        <i x="417" s="1"/>
        <i x="381" s="1"/>
        <i x="208" s="1"/>
        <i x="601" s="1"/>
        <i x="150" s="1"/>
        <i x="7" s="1"/>
        <i x="423" s="1"/>
        <i x="116" s="1"/>
        <i x="92" s="1"/>
        <i x="301" s="1"/>
        <i x="39" s="1"/>
        <i x="558" s="1"/>
        <i x="359" s="1"/>
        <i x="269" s="1"/>
        <i x="16" s="1"/>
        <i x="461" s="1"/>
        <i x="199" s="1"/>
        <i x="229" s="1"/>
        <i x="470" s="1"/>
        <i x="153" s="1"/>
        <i x="38" s="1"/>
        <i x="350" s="1"/>
        <i x="235" s="1"/>
        <i x="296" s="1"/>
        <i x="444" s="1"/>
        <i x="4" s="1"/>
        <i x="179" s="1"/>
        <i x="152" s="1"/>
        <i x="13" s="1"/>
        <i x="201" s="1"/>
        <i x="373" s="1"/>
        <i x="274" s="1"/>
        <i x="291" s="1"/>
        <i x="385" s="1"/>
        <i x="95" s="1"/>
        <i x="608" s="1"/>
        <i x="1" s="1"/>
        <i x="405" s="1"/>
        <i x="469" s="1"/>
        <i x="356" s="1"/>
        <i x="443" s="1"/>
        <i x="546" s="1"/>
        <i x="81" s="1"/>
        <i x="43" s="1"/>
        <i x="599" s="1"/>
        <i x="596" s="1"/>
        <i x="354" s="1"/>
        <i x="414" s="1"/>
        <i x="63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oss_Revenue" xr10:uid="{B1856CB3-CF4B-45DA-A991-72A8F938D01F}" sourceName="Gross Revenue">
  <pivotTables>
    <pivotTable tabId="13" name="PivotTable5"/>
  </pivotTables>
  <data>
    <tabular pivotCacheId="737800872">
      <items count="608">
        <i x="591" s="1"/>
        <i x="32" s="1"/>
        <i x="606" s="1"/>
        <i x="86" s="1"/>
        <i x="154" s="1"/>
        <i x="146" s="1"/>
        <i x="260" s="1"/>
        <i x="467" s="1"/>
        <i x="272" s="1"/>
        <i x="221" s="1"/>
        <i x="546" s="1"/>
        <i x="70" s="1"/>
        <i x="363" s="1"/>
        <i x="57" s="1"/>
        <i x="285" s="1"/>
        <i x="80" s="1"/>
        <i x="90" s="1"/>
        <i x="25" s="1"/>
        <i x="28" s="1"/>
        <i x="297" s="1"/>
        <i x="605" s="1"/>
        <i x="151" s="1"/>
        <i x="87" s="1"/>
        <i x="204" s="1"/>
        <i x="180" s="1"/>
        <i x="455" s="1"/>
        <i x="462" s="1"/>
        <i x="217" s="1"/>
        <i x="113" s="1"/>
        <i x="256" s="1"/>
        <i x="315" s="1"/>
        <i x="328" s="1"/>
        <i x="101" s="1"/>
        <i x="279" s="1"/>
        <i x="464" s="1"/>
        <i x="437" s="1"/>
        <i x="549" s="1"/>
        <i x="27" s="1"/>
        <i x="450" s="1"/>
        <i x="282" s="1"/>
        <i x="0" s="1"/>
        <i x="491" s="1"/>
        <i x="343" s="1"/>
        <i x="506" s="1"/>
        <i x="185" s="1"/>
        <i x="556" s="1"/>
        <i x="265" s="1"/>
        <i x="408" s="1"/>
        <i x="410" s="1"/>
        <i x="168" s="1"/>
        <i x="93" s="1"/>
        <i x="421" s="1"/>
        <i x="435" s="1"/>
        <i x="417" s="1"/>
        <i x="75" s="1"/>
        <i x="434" s="1"/>
        <i x="525" s="1"/>
        <i x="412" s="1"/>
        <i x="583" s="1"/>
        <i x="189" s="1"/>
        <i x="248" s="1"/>
        <i x="82" s="1"/>
        <i x="213" s="1"/>
        <i x="335" s="1"/>
        <i x="332" s="1"/>
        <i x="152" s="1"/>
        <i x="500" s="1"/>
        <i x="304" s="1"/>
        <i x="292" s="1"/>
        <i x="102" s="1"/>
        <i x="321" s="1"/>
        <i x="493" s="1"/>
        <i x="281" s="1"/>
        <i x="88" s="1"/>
        <i x="602" s="1"/>
        <i x="295" s="1"/>
        <i x="560" s="1"/>
        <i x="551" s="1"/>
        <i x="586" s="1"/>
        <i x="413" s="1"/>
        <i x="318" s="1"/>
        <i x="191" s="1"/>
        <i x="63" s="1"/>
        <i x="601" s="1"/>
        <i x="565" s="1"/>
        <i x="137" s="1"/>
        <i x="571" s="1"/>
        <i x="451" s="1"/>
        <i x="79" s="1"/>
        <i x="489" s="1"/>
        <i x="466" s="1"/>
        <i x="595" s="1"/>
        <i x="257" s="1"/>
        <i x="392" s="1"/>
        <i x="391" s="1"/>
        <i x="20" s="1"/>
        <i x="109" s="1"/>
        <i x="544" s="1"/>
        <i x="406" s="1"/>
        <i x="98" s="1"/>
        <i x="195" s="1"/>
        <i x="143" s="1"/>
        <i x="171" s="1"/>
        <i x="597" s="1"/>
        <i x="267" s="1"/>
        <i x="347" s="1"/>
        <i x="459" s="1"/>
        <i x="77" s="1"/>
        <i x="26" s="1"/>
        <i x="415" s="1"/>
        <i x="432" s="1"/>
        <i x="514" s="1"/>
        <i x="105" s="1"/>
        <i x="593" s="1"/>
        <i x="59" s="1"/>
        <i x="56" s="1"/>
        <i x="124" s="1"/>
        <i x="83" s="1"/>
        <i x="119" s="1"/>
        <i x="104" s="1"/>
        <i x="244" s="1"/>
        <i x="92" s="1"/>
        <i x="207" s="1"/>
        <i x="358" s="1"/>
        <i x="2" s="1"/>
        <i x="219" s="1"/>
        <i x="212" s="1"/>
        <i x="231" s="1"/>
        <i x="505" s="1"/>
        <i x="354" s="1"/>
        <i x="547" s="1"/>
        <i x="430" s="1"/>
        <i x="324" s="1"/>
        <i x="460" s="1"/>
        <i x="418" s="1"/>
        <i x="490" s="1"/>
        <i x="582" s="1"/>
        <i x="519" s="1"/>
        <i x="584" s="1"/>
        <i x="594" s="1"/>
        <i x="237" s="1"/>
        <i x="148" s="1"/>
        <i x="457" s="1"/>
        <i x="535" s="1"/>
        <i x="520" s="1"/>
        <i x="193" s="1"/>
        <i x="9" s="1"/>
        <i x="338" s="1"/>
        <i x="167" s="1"/>
        <i x="554" s="1"/>
        <i x="440" s="1"/>
        <i x="393" s="1"/>
        <i x="243" s="1"/>
        <i x="326" s="1"/>
        <i x="575" s="1"/>
        <i x="378" s="1"/>
        <i x="263" s="1"/>
        <i x="107" s="1"/>
        <i x="402" s="1"/>
        <i x="482" s="1"/>
        <i x="327" s="1"/>
        <i x="153" s="1"/>
        <i x="108" s="1"/>
        <i x="419" s="1"/>
        <i x="42" s="1"/>
        <i x="72" s="1"/>
        <i x="578" s="1"/>
        <i x="517" s="1"/>
        <i x="312" s="1"/>
        <i x="232" s="1"/>
        <i x="214" s="1"/>
        <i x="198" s="1"/>
        <i x="545" s="1"/>
        <i x="186" s="1"/>
        <i x="246" s="1"/>
        <i x="349" s="1"/>
        <i x="161" s="1"/>
        <i x="115" s="1"/>
        <i x="111" s="1"/>
        <i x="277" s="1"/>
        <i x="333" s="1"/>
        <i x="271" s="1"/>
        <i x="227" s="1"/>
        <i x="13" s="1"/>
        <i x="305" s="1"/>
        <i x="518" s="1"/>
        <i x="196" s="1"/>
        <i x="174" s="1"/>
        <i x="553" s="1"/>
        <i x="509" s="1"/>
        <i x="485" s="1"/>
        <i x="573" s="1"/>
        <i x="122" s="1"/>
        <i x="334" s="1"/>
        <i x="275" s="1"/>
        <i x="158" s="1"/>
        <i x="233" s="1"/>
        <i x="445" s="1"/>
        <i x="61" s="1"/>
        <i x="182" s="1"/>
        <i x="510" s="1"/>
        <i x="41" s="1"/>
        <i x="290" s="1"/>
        <i x="596" s="1"/>
        <i x="598" s="1"/>
        <i x="507" s="1"/>
        <i x="345" s="1"/>
        <i x="468" s="1"/>
        <i x="476" s="1"/>
        <i x="307" s="1"/>
        <i x="527" s="1"/>
        <i x="225" s="1"/>
        <i x="289" s="1"/>
        <i x="558" s="1"/>
        <i x="524" s="1"/>
        <i x="176" s="1"/>
        <i x="576" s="1"/>
        <i x="121" s="1"/>
        <i x="136" s="1"/>
        <i x="278" s="1"/>
        <i x="38" s="1"/>
        <i x="283" s="1"/>
        <i x="499" s="1"/>
        <i x="169" s="1"/>
        <i x="564" s="1"/>
        <i x="129" s="1"/>
        <i x="4" s="1"/>
        <i x="473" s="1"/>
        <i x="96" s="1"/>
        <i x="228" s="1"/>
        <i x="531" s="1"/>
        <i x="579" s="1"/>
        <i x="427" s="1"/>
        <i x="99" s="1"/>
        <i x="559" s="1"/>
        <i x="504" s="1"/>
        <i x="39" s="1"/>
        <i x="6" s="1"/>
        <i x="534" s="1"/>
        <i x="403" s="1"/>
        <i x="222" s="1"/>
        <i x="226" s="1"/>
        <i x="118" s="1"/>
        <i x="156" s="1"/>
        <i x="359" s="1"/>
        <i x="242" s="1"/>
        <i x="484" s="1"/>
        <i x="344" s="1"/>
        <i x="568" s="1"/>
        <i x="188" s="1"/>
        <i x="273" s="1"/>
        <i x="65" s="1"/>
        <i x="258" s="1"/>
        <i x="62" s="1"/>
        <i x="390" s="1"/>
        <i x="94" s="1"/>
        <i x="128" s="1"/>
        <i x="205" s="1"/>
        <i x="286" s="1"/>
        <i x="259" s="1"/>
        <i x="270" s="1"/>
        <i x="365" s="1"/>
        <i x="496" s="1"/>
        <i x="159" s="1"/>
        <i x="74" s="1"/>
        <i x="31" s="1"/>
        <i x="446" s="1"/>
        <i x="164" s="1"/>
        <i x="411" s="1"/>
        <i x="552" s="1"/>
        <i x="301" s="1"/>
        <i x="245" s="1"/>
        <i x="589" s="1"/>
        <i x="502" s="1"/>
        <i x="538" s="1"/>
        <i x="604" s="1"/>
        <i x="52" s="1"/>
        <i x="581" s="1"/>
        <i x="550" s="1"/>
        <i x="409" s="1"/>
        <i x="291" s="1"/>
        <i x="134" s="1"/>
        <i x="130" s="1"/>
        <i x="201" s="1"/>
        <i x="314" s="1"/>
        <i x="300" s="1"/>
        <i x="216" s="1"/>
        <i x="420" s="1"/>
        <i x="513" s="1"/>
        <i x="67" s="1"/>
        <i x="377" s="1"/>
        <i x="563" s="1"/>
        <i x="325" s="1"/>
        <i x="206" s="1"/>
        <i x="374" s="1"/>
        <i x="287" s="1"/>
        <i x="394" s="1"/>
        <i x="329" s="1"/>
        <i x="453" s="1"/>
        <i x="29" s="1"/>
        <i x="249" s="1"/>
        <i x="69" s="1"/>
        <i x="532" s="1"/>
        <i x="51" s="1"/>
        <i x="404" s="1"/>
        <i x="501" s="1"/>
        <i x="369" s="1"/>
        <i x="84" s="1"/>
        <i x="218" s="1"/>
        <i x="438" s="1"/>
        <i x="469" s="1"/>
        <i x="209" s="1"/>
        <i x="288" s="1"/>
        <i x="262" s="1"/>
        <i x="5" s="1"/>
        <i x="12" s="1"/>
        <i x="360" s="1"/>
        <i x="472" s="1"/>
        <i x="368" s="1"/>
        <i x="183" s="1"/>
        <i x="37" s="1"/>
        <i x="310" s="1"/>
        <i x="210" s="1"/>
        <i x="114" s="1"/>
        <i x="229" s="1"/>
        <i x="590" s="1"/>
        <i x="367" s="1"/>
        <i x="239" s="1"/>
        <i x="382" s="1"/>
        <i x="474" s="1"/>
        <i x="162" s="1"/>
        <i x="366" s="1"/>
        <i x="192" s="1"/>
        <i x="425" s="1"/>
        <i x="208" s="1"/>
        <i x="172" s="1"/>
        <i x="540" s="1"/>
        <i x="194" s="1"/>
        <i x="23" s="1"/>
        <i x="54" s="1"/>
        <i x="135" s="1"/>
        <i x="33" s="1"/>
        <i x="45" s="1"/>
        <i x="224" s="1"/>
        <i x="498" s="1"/>
        <i x="398" s="1"/>
        <i x="15" s="1"/>
        <i x="120" s="1"/>
        <i x="112" s="1"/>
        <i x="541" s="1"/>
        <i x="17" s="1"/>
        <i x="384" s="1"/>
        <i x="487" s="1"/>
        <i x="523" s="1"/>
        <i x="503" s="1"/>
        <i x="268" s="1"/>
        <i x="449" s="1"/>
        <i x="140" s="1"/>
        <i x="407" s="1"/>
        <i x="486" s="1"/>
        <i x="238" s="1"/>
        <i x="439" s="1"/>
        <i x="533" s="1"/>
        <i x="131" s="1"/>
        <i x="68" s="1"/>
        <i x="371" s="1"/>
        <i x="431" s="1"/>
        <i x="280" s="1"/>
        <i x="18" s="1"/>
        <i x="381" s="1"/>
        <i x="22" s="1"/>
        <i x="125" s="1"/>
        <i x="543" s="1"/>
        <i x="492" s="1"/>
        <i x="141" s="1"/>
        <i x="177" s="1"/>
        <i x="133" s="1"/>
        <i x="293" s="1"/>
        <i x="47" s="1"/>
        <i x="251" s="1"/>
        <i x="34" s="1"/>
        <i x="8" s="1"/>
        <i x="43" s="1"/>
        <i x="175" s="1"/>
        <i x="370" s="1"/>
        <i x="50" s="1"/>
        <i x="241" s="1"/>
        <i x="261" s="1"/>
        <i x="1" s="1"/>
        <i x="405" s="1"/>
        <i x="123" s="1"/>
        <i x="66" s="1"/>
        <i x="302" s="1"/>
        <i x="240" s="1"/>
        <i x="399" s="1"/>
        <i x="85" s="1"/>
        <i x="600" s="1"/>
        <i x="234" s="1"/>
        <i x="190" s="1"/>
        <i x="254" s="1"/>
        <i x="436" s="1"/>
        <i x="170" s="1"/>
        <i x="386" s="1"/>
        <i x="475" s="1"/>
        <i x="352" s="1"/>
        <i x="46" s="1"/>
        <i x="320" s="1"/>
        <i x="14" s="1"/>
        <i x="397" s="1"/>
        <i x="7" s="1"/>
        <i x="444" s="1"/>
        <i x="495" s="1"/>
        <i x="471" s="1"/>
        <i x="483" s="1"/>
        <i x="361" s="1"/>
        <i x="71" s="1"/>
        <i x="355" s="1"/>
        <i x="350" s="1"/>
        <i x="570" s="1"/>
        <i x="478" s="1"/>
        <i x="294" s="1"/>
        <i x="311" s="1"/>
        <i x="157" s="1"/>
        <i x="442" s="1"/>
        <i x="299" s="1"/>
        <i x="385" s="1"/>
        <i x="580" s="1"/>
        <i x="423" s="1"/>
        <i x="465" s="1"/>
        <i x="10" s="1"/>
        <i x="53" s="1"/>
        <i x="49" s="1"/>
        <i x="569" s="1"/>
        <i x="331" s="1"/>
        <i x="236" s="1"/>
        <i x="536" s="1"/>
        <i x="76" s="1"/>
        <i x="561" s="1"/>
        <i x="530" s="1"/>
        <i x="477" s="1"/>
        <i x="106" s="1"/>
        <i x="414" s="1"/>
        <i x="44" s="1"/>
        <i x="548" s="1"/>
        <i x="220" s="1"/>
        <i x="376" s="1"/>
        <i x="555" s="1"/>
        <i x="116" s="1"/>
        <i x="339" s="1"/>
        <i x="480" s="1"/>
        <i x="572" s="1"/>
        <i x="592" s="1"/>
        <i x="21" s="1"/>
        <i x="364" s="1"/>
        <i x="351" s="1"/>
        <i x="323" s="1"/>
        <i x="433" s="1"/>
        <i x="103" s="1"/>
        <i x="132" s="1"/>
        <i x="401" s="1"/>
        <i x="322" s="1"/>
        <i x="264" s="1"/>
        <i x="36" s="1"/>
        <i x="508" s="1"/>
        <i x="542" s="1"/>
        <i x="19" s="1"/>
        <i x="89" s="1"/>
        <i x="97" s="1"/>
        <i x="274" s="1"/>
        <i x="11" s="1"/>
        <i x="303" s="1"/>
        <i x="356" s="1"/>
        <i x="48" s="1"/>
        <i x="179" s="1"/>
        <i x="400" s="1"/>
        <i x="566" s="1"/>
        <i x="150" s="1"/>
        <i x="308" s="1"/>
        <i x="373" s="1"/>
        <i x="250" s="1"/>
        <i x="247" s="1"/>
        <i x="142" s="1"/>
        <i x="81" s="1"/>
        <i x="330" s="1"/>
        <i x="494" s="1"/>
        <i x="117" s="1"/>
        <i x="448" s="1"/>
        <i x="389" s="1"/>
        <i x="269" s="1"/>
        <i x="317" s="1"/>
        <i x="447" s="1"/>
        <i x="511" s="1"/>
        <i x="452" s="1"/>
        <i x="203" s="1"/>
        <i x="357" s="1"/>
        <i x="522" s="1"/>
        <i x="296" s="1"/>
        <i x="574" s="1"/>
        <i x="138" s="1"/>
        <i x="253" s="1"/>
        <i x="395" s="1"/>
        <i x="529" s="1"/>
        <i x="60" s="1"/>
        <i x="567" s="1"/>
        <i x="126" s="1"/>
        <i x="497" s="1"/>
        <i x="443" s="1"/>
        <i x="387" s="1"/>
        <i x="461" s="1"/>
        <i x="515" s="1"/>
        <i x="235" s="1"/>
        <i x="353" s="1"/>
        <i x="144" s="1"/>
        <i x="24" s="1"/>
        <i x="479" s="1"/>
        <i x="100" s="1"/>
        <i x="537" s="1"/>
        <i x="340" s="1"/>
        <i x="463" s="1"/>
        <i x="178" s="1"/>
        <i x="284" s="1"/>
        <i x="147" s="1"/>
        <i x="40" s="1"/>
        <i x="585" s="1"/>
        <i x="266" s="1"/>
        <i x="337" s="1"/>
        <i x="166" s="1"/>
        <i x="426" s="1"/>
        <i x="342" s="1"/>
        <i x="3" s="1"/>
        <i x="470" s="1"/>
        <i x="73" s="1"/>
        <i x="316" s="1"/>
        <i x="603" s="1"/>
        <i x="230" s="1"/>
        <i x="139" s="1"/>
        <i x="309" s="1"/>
        <i x="539" s="1"/>
        <i x="458" s="1"/>
        <i x="375" s="1"/>
        <i x="379" s="1"/>
        <i x="313" s="1"/>
        <i x="380" s="1"/>
        <i x="341" s="1"/>
        <i x="173" s="1"/>
        <i x="336" s="1"/>
        <i x="526" s="1"/>
        <i x="211" s="1"/>
        <i x="155" s="1"/>
        <i x="223" s="1"/>
        <i x="202" s="1"/>
        <i x="424" s="1"/>
        <i x="197" s="1"/>
        <i x="255" s="1"/>
        <i x="298" s="1"/>
        <i x="512" s="1"/>
        <i x="165" s="1"/>
        <i x="454" s="1"/>
        <i x="127" s="1"/>
        <i x="416" s="1"/>
        <i x="429" s="1"/>
        <i x="145" s="1"/>
        <i x="160" s="1"/>
        <i x="30" s="1"/>
        <i x="110" s="1"/>
        <i x="78" s="1"/>
        <i x="64" s="1"/>
        <i x="388" s="1"/>
        <i x="362" s="1"/>
        <i x="200" s="1"/>
        <i x="184" s="1"/>
        <i x="587" s="1"/>
        <i x="348" s="1"/>
        <i x="95" s="1"/>
        <i x="181" s="1"/>
        <i x="441" s="1"/>
        <i x="55" s="1"/>
        <i x="163" s="1"/>
        <i x="516" s="1"/>
        <i x="252" s="1"/>
        <i x="521" s="1"/>
        <i x="187" s="1"/>
        <i x="396" s="1"/>
        <i x="306" s="1"/>
        <i x="528" s="1"/>
        <i x="428" s="1"/>
        <i x="199" s="1"/>
        <i x="562" s="1"/>
        <i x="599" s="1"/>
        <i x="149" s="1"/>
        <i x="557" s="1"/>
        <i x="372" s="1"/>
        <i x="346" s="1"/>
        <i x="588" s="1"/>
        <i x="215" s="1"/>
        <i x="488" s="1"/>
        <i x="276" s="1"/>
        <i x="383" s="1"/>
        <i x="91" s="1"/>
        <i x="422" s="1"/>
        <i x="16" s="1"/>
        <i x="35" s="1"/>
        <i x="58" s="1"/>
        <i x="577" s="1"/>
        <i x="456" s="1"/>
        <i x="319" s="1"/>
        <i x="481" s="1"/>
        <i x="607"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ID" xr10:uid="{DA47E564-2082-4E9A-829B-891AFCEF569E}" sourceName="OrderID">
  <pivotTables>
    <pivotTable tabId="15" name="PivotTable6"/>
  </pivotTables>
  <data>
    <tabular pivotCacheId="1345100488">
      <items count="631">
        <i x="605" s="1"/>
        <i x="449" s="1"/>
        <i x="7" s="1"/>
        <i x="518" s="1"/>
        <i x="573" s="1"/>
        <i x="46" s="1"/>
        <i x="367" s="1"/>
        <i x="201" s="1"/>
        <i x="551" s="1"/>
        <i x="324" s="1"/>
        <i x="438" s="1"/>
        <i x="166" s="1"/>
        <i x="80" s="1"/>
        <i x="361" s="1"/>
        <i x="328" s="1"/>
        <i x="300" s="1"/>
        <i x="453" s="1"/>
        <i x="577" s="1"/>
        <i x="193" s="1"/>
        <i x="122" s="1"/>
        <i x="332" s="1"/>
        <i x="439" s="1"/>
        <i x="457" s="1"/>
        <i x="148" s="1"/>
        <i x="224" s="1"/>
        <i x="190" s="1"/>
        <i x="347" s="1"/>
        <i x="278" s="1"/>
        <i x="350" s="1"/>
        <i x="535" s="1"/>
        <i x="54" s="1"/>
        <i x="65" s="1"/>
        <i x="163" s="1"/>
        <i x="470" s="1"/>
        <i x="580" s="1"/>
        <i x="625" s="1"/>
        <i x="106" s="1"/>
        <i x="269" s="1"/>
        <i x="256" s="1"/>
        <i x="89" s="1"/>
        <i x="339" s="1"/>
        <i x="24" s="1"/>
        <i x="220" s="1"/>
        <i x="281" s="1"/>
        <i x="250" s="1"/>
        <i x="376" s="1"/>
        <i x="540" s="1"/>
        <i x="172" s="1"/>
        <i x="225" s="1"/>
        <i x="78" s="1"/>
        <i x="49" s="1"/>
        <i x="603" s="1"/>
        <i x="226" s="1"/>
        <i x="168" s="1"/>
        <i x="45" s="1"/>
        <i x="144" s="1"/>
        <i x="183" s="1"/>
        <i x="574" s="1"/>
        <i x="81" s="1"/>
        <i x="512" s="1"/>
        <i x="562" s="1"/>
        <i x="315" s="1"/>
        <i x="391" s="1"/>
        <i x="288" s="1"/>
        <i x="272" s="1"/>
        <i x="2" s="1"/>
        <i x="92" s="1"/>
        <i x="292" s="1"/>
        <i x="434" s="1"/>
        <i x="585" s="1"/>
        <i x="199" s="1"/>
        <i x="74" s="1"/>
        <i x="363" s="1"/>
        <i x="204" s="1"/>
        <i x="185" s="1"/>
        <i x="497" s="1"/>
        <i x="52" s="1"/>
        <i x="99" s="1"/>
        <i x="118" s="1"/>
        <i x="132" s="1"/>
        <i x="215" s="1"/>
        <i x="495" s="1"/>
        <i x="171" s="1"/>
        <i x="613" s="1"/>
        <i x="543" s="1"/>
        <i x="629" s="1"/>
        <i x="520" s="1"/>
        <i x="547" s="1"/>
        <i x="255" s="1"/>
        <i x="351" s="1"/>
        <i x="64" s="1"/>
        <i x="546" s="1"/>
        <i x="151" s="1"/>
        <i x="223" s="1"/>
        <i x="615" s="1"/>
        <i x="239" s="1"/>
        <i x="260" s="1"/>
        <i x="129" s="1"/>
        <i x="532" s="1"/>
        <i x="326" s="1"/>
        <i x="459" s="1"/>
        <i x="371" s="1"/>
        <i x="66" s="1"/>
        <i x="626" s="1"/>
        <i x="604" s="1"/>
        <i x="624" s="1"/>
        <i x="31" s="1"/>
        <i x="515" s="1"/>
        <i x="477" s="1"/>
        <i x="344" s="1"/>
        <i x="499" s="1"/>
        <i x="197" s="1"/>
        <i x="121" s="1"/>
        <i x="445" s="1"/>
        <i x="455" s="1"/>
        <i x="202" s="1"/>
        <i x="474" s="1"/>
        <i x="301" s="1"/>
        <i x="382" s="1"/>
        <i x="152" s="1"/>
        <i x="485" s="1"/>
        <i x="296" s="1"/>
        <i x="124" s="1"/>
        <i x="229" s="1"/>
        <i x="478" s="1"/>
        <i x="284" s="1"/>
        <i x="137" s="1"/>
        <i x="216" s="1"/>
        <i x="387" s="1"/>
        <i x="591" s="1"/>
        <i x="316" s="1"/>
        <i x="537" s="1"/>
        <i x="419" s="1"/>
        <i x="261" s="1"/>
        <i x="266" s="1"/>
        <i x="259" s="1"/>
        <i x="528" s="1"/>
        <i x="39" s="1"/>
        <i x="213" s="1"/>
        <i x="431" s="1"/>
        <i x="337" s="1"/>
        <i x="176" s="1"/>
        <i x="609" s="1"/>
        <i x="291" s="1"/>
        <i x="408" s="1"/>
        <i x="384" s="1"/>
        <i x="596" s="1"/>
        <i x="526" s="1"/>
        <i x="198" s="1"/>
        <i x="460" s="1"/>
        <i x="221" s="1"/>
        <i x="576" s="1"/>
        <i x="279" s="1"/>
        <i x="75" s="1"/>
        <i x="5" s="1"/>
        <i x="589" s="1"/>
        <i x="466" s="1"/>
        <i x="412" s="1"/>
        <i x="349" s="1"/>
        <i x="501" s="1"/>
        <i x="243" s="1"/>
        <i x="68" s="1"/>
        <i x="436" s="1"/>
        <i x="619" s="1"/>
        <i x="340" s="1"/>
        <i x="444" s="1"/>
        <i x="450" s="1"/>
        <i x="476" s="1"/>
        <i x="437" s="1"/>
        <i x="69" s="1"/>
        <i x="539" s="1"/>
        <i x="369" s="1"/>
        <i x="4" s="1"/>
        <i x="338" s="1"/>
        <i x="145" s="1"/>
        <i x="187" s="1"/>
        <i x="318" s="1"/>
        <i x="388" s="1"/>
        <i x="85" s="1"/>
        <i x="154" s="1"/>
        <i x="441" s="1"/>
        <i x="160" s="1"/>
        <i x="404" s="1"/>
        <i x="370" s="1"/>
        <i x="581" s="1"/>
        <i x="35" s="1"/>
        <i x="507" s="1"/>
        <i x="483" s="1"/>
        <i x="135" s="1"/>
        <i x="21" s="1"/>
        <i x="570" s="1"/>
        <i x="95" s="1"/>
        <i x="115" s="1"/>
        <i x="456" s="1"/>
        <i x="125" s="1"/>
        <i x="308" s="1"/>
        <i x="165" s="1"/>
        <i x="623" s="1"/>
        <i x="258" s="1"/>
        <i x="321" s="1"/>
        <i x="311" s="1"/>
        <i x="28" s="1"/>
        <i x="346" s="1"/>
        <i x="140" s="1"/>
        <i x="142" s="1"/>
        <i x="509" s="1"/>
        <i x="205" s="1"/>
        <i x="627" s="1"/>
        <i x="192" s="1"/>
        <i x="393" s="1"/>
        <i x="469" s="1"/>
        <i x="411" s="1"/>
        <i x="15" s="1"/>
        <i x="331" s="1"/>
        <i x="233" s="1"/>
        <i x="228" s="1"/>
        <i x="555" s="1"/>
        <i x="542" s="1"/>
        <i x="628" s="1"/>
        <i x="237" s="1"/>
        <i x="267" s="1"/>
        <i x="538" s="1"/>
        <i x="114" s="1"/>
        <i x="414" s="1"/>
        <i x="178" s="1"/>
        <i x="396" s="1"/>
        <i x="479" s="1"/>
        <i x="336" s="1"/>
        <i x="164" s="1"/>
        <i x="155" s="1"/>
        <i x="549" s="1"/>
        <i x="325" s="1"/>
        <i x="105" s="1"/>
        <i x="134" s="1"/>
        <i x="309" s="1"/>
        <i x="109" s="1"/>
        <i x="34" s="1"/>
        <i x="401" s="1"/>
        <i x="30" s="1"/>
        <i x="79" s="1"/>
        <i x="214" s="1"/>
        <i x="153" s="1"/>
        <i x="458" s="1"/>
        <i x="548" s="1"/>
        <i x="16" s="1"/>
        <i x="322" s="1"/>
        <i x="523" s="1"/>
        <i x="297" s="1"/>
        <i x="564" s="1"/>
        <i x="480" s="1"/>
        <i x="10" s="1"/>
        <i x="147" s="1"/>
        <i x="191" s="1"/>
        <i x="25" s="1"/>
        <i x="162" s="1"/>
        <i x="251" s="1"/>
        <i x="111" s="1"/>
        <i x="353" s="1"/>
        <i x="139" s="1"/>
        <i x="181" s="1"/>
        <i x="586" s="1"/>
        <i x="489" s="1"/>
        <i x="63" s="1"/>
        <i x="560" s="1"/>
        <i x="392" s="1"/>
        <i x="454" s="1"/>
        <i x="51" s="1"/>
        <i x="607" s="1"/>
        <i x="0" s="1"/>
        <i x="287" s="1"/>
        <i x="234" s="1"/>
        <i x="107" s="1"/>
        <i x="70" s="1"/>
        <i x="57" s="1"/>
        <i x="41" s="1"/>
        <i x="252" s="1"/>
        <i x="390" s="1"/>
        <i x="504" s="1"/>
        <i x="247" s="1"/>
        <i x="167" s="1"/>
        <i x="561" s="1"/>
        <i x="610" s="1"/>
        <i x="334" s="1"/>
        <i x="341" s="1"/>
        <i x="6" s="1"/>
        <i x="612" s="1"/>
        <i x="362" s="1"/>
        <i x="67" s="1"/>
        <i x="253" s="1"/>
        <i x="536" s="1"/>
        <i x="572" s="1"/>
        <i x="461" s="1"/>
        <i x="161" s="1"/>
        <i x="1" s="1"/>
        <i x="524" s="1"/>
        <i x="283" s="1"/>
        <i x="486" s="1"/>
        <i x="410" s="1"/>
        <i x="429" s="1"/>
        <i x="484" s="1"/>
        <i x="143" s="1"/>
        <i x="44" s="1"/>
        <i x="405" s="1"/>
        <i x="383" s="1"/>
        <i x="517" s="1"/>
        <i x="310" s="1"/>
        <i x="545" s="1"/>
        <i x="231" s="1"/>
        <i x="313" s="1"/>
        <i x="494" s="1"/>
        <i x="568" s="1"/>
        <i x="149" s="1"/>
        <i x="594" s="1"/>
        <i x="194" s="1"/>
        <i x="440" s="1"/>
        <i x="76" s="1"/>
        <i x="77" s="1"/>
        <i x="413" s="1"/>
        <i x="50" s="1"/>
        <i x="521" s="1"/>
        <i x="423" s="1"/>
        <i x="117" s="1"/>
        <i x="103" s="1"/>
        <i x="578" s="1"/>
        <i x="274" s="1"/>
        <i x="23" s="1"/>
        <i x="265" s="1"/>
        <i x="323" s="1"/>
        <i x="188" s="1"/>
        <i x="464" s="1"/>
        <i x="443" s="1"/>
        <i x="356" s="1"/>
        <i x="424" s="1"/>
        <i x="492" s="1"/>
        <i x="386" s="1"/>
        <i x="529" s="1"/>
        <i x="554" s="1"/>
        <i x="409" s="1"/>
        <i x="245" s="1"/>
        <i x="47" s="1"/>
        <i x="600" s="1"/>
        <i x="157" s="1"/>
        <i x="558" s="1"/>
        <i x="448" s="1"/>
        <i x="500" s="1"/>
        <i x="232" s="1"/>
        <i x="335" s="1"/>
        <i x="587" s="1"/>
        <i x="493" s="1"/>
        <i x="277" s="1"/>
        <i x="433" s="1"/>
        <i x="126" s="1"/>
        <i x="598" s="1"/>
        <i x="123" s="1"/>
        <i x="8" s="1"/>
        <i x="582" s="1"/>
        <i x="86" s="1"/>
        <i x="38" s="1"/>
        <i x="88" s="1"/>
        <i x="128" s="1"/>
        <i x="170" s="1"/>
        <i x="400" s="1"/>
        <i x="541" s="1"/>
        <i x="33" s="1"/>
        <i x="40" s="1"/>
        <i x="97" s="1"/>
        <i x="184" s="1"/>
        <i x="475" s="1"/>
        <i x="342" s="1"/>
        <i x="472" s="1"/>
        <i x="430" s="1"/>
        <i x="415" s="1"/>
        <i x="249" s="1"/>
        <i x="195" s="1"/>
        <i x="402" s="1"/>
        <i x="209" s="1"/>
        <i x="557" s="1"/>
        <i x="207" s="1"/>
        <i x="583" s="1"/>
        <i x="373" s="1"/>
        <i x="36" s="1"/>
        <i x="359" s="1"/>
        <i x="527" s="1"/>
        <i x="320" s="1"/>
        <i x="217" s="1"/>
        <i x="496" s="1"/>
        <i x="506" s="1"/>
        <i x="611" s="1"/>
        <i x="442" s="1"/>
        <i x="271" s="1"/>
        <i x="418" s="1"/>
        <i x="618" s="1"/>
        <i x="189" s="1"/>
        <i x="156" s="1"/>
        <i x="567" s="1"/>
        <i x="104" s="1"/>
        <i x="508" s="1"/>
        <i x="218" s="1"/>
        <i x="138" s="1"/>
        <i x="465" s="1"/>
        <i x="26" s="1"/>
        <i x="295" s="1"/>
        <i x="490" s="1"/>
        <i x="108" s="1"/>
        <i x="20" s="1"/>
        <i x="73" s="1"/>
        <i x="235" s="1"/>
        <i x="427" s="1"/>
        <i x="621" s="1"/>
        <i x="365" s="1"/>
        <i x="319" s="1"/>
        <i x="522" s="1"/>
        <i x="273" s="1"/>
        <i x="136" s="1"/>
        <i x="432" s="1"/>
        <i x="608" s="1"/>
        <i x="101" s="1"/>
        <i x="451" s="1"/>
        <i x="244" s="1"/>
        <i x="27" s="1"/>
        <i x="254" s="1"/>
        <i x="286" s="1"/>
        <i x="242" s="1"/>
        <i x="374" s="1"/>
        <i x="559" s="1"/>
        <i x="303" s="1"/>
        <i x="268" s="1"/>
        <i x="447" s="1"/>
        <i x="13" s="1"/>
        <i x="358" s="1"/>
        <i x="519" s="1"/>
        <i x="343" s="1"/>
        <i x="238" s="1"/>
        <i x="345" s="1"/>
        <i x="141" s="1"/>
        <i x="60" s="1"/>
        <i x="599" s="1"/>
        <i x="110" s="1"/>
        <i x="352" s="1"/>
        <i x="112" s="1"/>
        <i x="354" s="1"/>
        <i x="312" s="1"/>
        <i x="616" s="1"/>
        <i x="72" s="1"/>
        <i x="169" s="1"/>
        <i x="592" s="1"/>
        <i x="275" s="1"/>
        <i x="177" s="1"/>
        <i x="510" s="1"/>
        <i x="357" s="1"/>
        <i x="511" s="1"/>
        <i x="48" s="1"/>
        <i x="196" s="1"/>
        <i x="174" s="1"/>
        <i x="435" s="1"/>
        <i x="398" s="1"/>
        <i x="487" s="1"/>
        <i x="565" s="1"/>
        <i x="211" s="1"/>
        <i x="426" s="1"/>
        <i x="93" s="1"/>
        <i x="42" s="1"/>
        <i x="200" s="1"/>
        <i x="82" s="1"/>
        <i x="364" s="1"/>
        <i x="236" s="1"/>
        <i x="513" s="1"/>
        <i x="304" s="1"/>
        <i x="206" s="1"/>
        <i x="534" s="1"/>
        <i x="617" s="1"/>
        <i x="579" s="1"/>
        <i x="3" s="1"/>
        <i x="569" s="1"/>
        <i x="571" s="1"/>
        <i x="120" s="1"/>
        <i x="257" s="1"/>
        <i x="375" s="1"/>
        <i x="601" s="1"/>
        <i x="299" s="1"/>
        <i x="379" s="1"/>
        <i x="417" s="1"/>
        <i x="314" s="1"/>
        <i x="17" s="1"/>
        <i x="146" s="1"/>
        <i x="150" s="1"/>
        <i x="584" s="1"/>
        <i x="248" s="1"/>
        <i x="482" s="1"/>
        <i x="488" s="1"/>
        <i x="606" s="1"/>
        <i x="96" s="1"/>
        <i x="372" s="1"/>
        <i x="420" s="1"/>
        <i x="302" s="1"/>
        <i x="588" s="1"/>
        <i x="575" s="1"/>
        <i x="227" s="1"/>
        <i x="462" s="1"/>
        <i x="368" s="1"/>
        <i x="533" s="1"/>
        <i x="333" s="1"/>
        <i x="100" s="1"/>
        <i x="84" s="1"/>
        <i x="502" s="1"/>
        <i x="553" s="1"/>
        <i x="552" s="1"/>
        <i x="133" s="1"/>
        <i x="306" s="1"/>
        <i x="294" s="1"/>
        <i x="416" s="1"/>
        <i x="307" s="1"/>
        <i x="481" s="1"/>
        <i x="452" s="1"/>
        <i x="159" s="1"/>
        <i x="550" s="1"/>
        <i x="263" s="1"/>
        <i x="525" s="1"/>
        <i x="446" s="1"/>
        <i x="505" s="1"/>
        <i x="32" s="1"/>
        <i x="348" s="1"/>
        <i x="270" s="1"/>
        <i x="389" s="1"/>
        <i x="394" s="1"/>
        <i x="293" s="1"/>
        <i x="12" s="1"/>
        <i x="83" s="1"/>
        <i x="463" s="1"/>
        <i x="131" s="1"/>
        <i x="240" s="1"/>
        <i x="407" s="1"/>
        <i x="11" s="1"/>
        <i x="62" s="1"/>
        <i x="91" s="1"/>
        <i x="614" s="1"/>
        <i x="127" s="1"/>
        <i x="285" s="1"/>
        <i x="98" s="1"/>
        <i x="186" s="1"/>
        <i x="29" s="1"/>
        <i x="212" s="1"/>
        <i x="53" s="1"/>
        <i x="22" s="1"/>
        <i x="210" s="1"/>
        <i x="397" s="1"/>
        <i x="360" s="1"/>
        <i x="399" s="1"/>
        <i x="366" s="1"/>
        <i x="90" s="1"/>
        <i x="208" s="1"/>
        <i x="514" s="1"/>
        <i x="377" s="1"/>
        <i x="58" s="1"/>
        <i x="71" s="1"/>
        <i x="241" s="1"/>
        <i x="113" s="1"/>
        <i x="622" s="1"/>
        <i x="130" s="1"/>
        <i x="421" s="1"/>
        <i x="179" s="1"/>
        <i x="329" s="1"/>
        <i x="563" s="1"/>
        <i x="102" s="1"/>
        <i x="180" s="1"/>
        <i x="428" s="1"/>
        <i x="395" s="1"/>
        <i x="276" s="1"/>
        <i x="222" s="1"/>
        <i x="503" s="1"/>
        <i x="473" s="1"/>
        <i x="597" s="1"/>
        <i x="280" s="1"/>
        <i x="116" s="1"/>
        <i x="173" s="1"/>
        <i x="491" s="1"/>
        <i x="595" s="1"/>
        <i x="37" s="1"/>
        <i x="94" s="1"/>
        <i x="630" s="1"/>
        <i x="330" s="1"/>
        <i x="19" s="1"/>
        <i x="602" s="1"/>
        <i x="290" s="1"/>
        <i x="230" s="1"/>
        <i x="219" s="1"/>
        <i x="59" s="1"/>
        <i x="55" s="1"/>
        <i x="158" s="1"/>
        <i x="531" s="1"/>
        <i x="327" s="1"/>
        <i x="61" s="1"/>
        <i x="471" s="1"/>
        <i x="381" s="1"/>
        <i x="467" s="1"/>
        <i x="425" s="1"/>
        <i x="43" s="1"/>
        <i x="380" s="1"/>
        <i x="498" s="1"/>
        <i x="516" s="1"/>
        <i x="422" s="1"/>
        <i x="14" s="1"/>
        <i x="18" s="1"/>
        <i x="175" s="1"/>
        <i x="593" s="1"/>
        <i x="317" s="1"/>
        <i x="87" s="1"/>
        <i x="385" s="1"/>
        <i x="556" s="1"/>
        <i x="406" s="1"/>
        <i x="264" s="1"/>
        <i x="182" s="1"/>
        <i x="620" s="1"/>
        <i x="262" s="1"/>
        <i x="403" s="1"/>
        <i x="378" s="1"/>
        <i x="289" s="1"/>
        <i x="530" s="1"/>
        <i x="566" s="1"/>
        <i x="56" s="1"/>
        <i x="298" s="1"/>
        <i x="305" s="1"/>
        <i x="246" s="1"/>
        <i x="468" s="1"/>
        <i x="355" s="1"/>
        <i x="119" s="1"/>
        <i x="544" s="1"/>
        <i x="203" s="1"/>
        <i x="282" s="1"/>
        <i x="590" s="1"/>
        <i x="9"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2BFEB596-3E89-483B-8BB1-4BA0A6A39D38}" sourceName="Salesperson">
  <pivotTables>
    <pivotTable tabId="15" name="PivotTable6"/>
  </pivotTables>
  <data>
    <tabular pivotCacheId="1345100488">
      <items count="16">
        <i x="8" s="1"/>
        <i x="5" s="1"/>
        <i x="0" s="1"/>
        <i x="14" s="1"/>
        <i x="6" s="1"/>
        <i x="9" s="1"/>
        <i x="3" s="1"/>
        <i x="10" s="1"/>
        <i x="2" s="1"/>
        <i x="1" s="1"/>
        <i x="11" s="1"/>
        <i x="4" s="1"/>
        <i x="12" s="1"/>
        <i x="13" s="1"/>
        <i x="15" s="1"/>
        <i x="7"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oss_Profit" xr10:uid="{32FB17C8-C80F-4260-8B1F-BB4738F6AFCE}" sourceName="Gross Profit">
  <pivotTables>
    <pivotTable tabId="15" name="PivotTable6"/>
  </pivotTables>
  <data>
    <tabular pivotCacheId="1345100488">
      <items count="632">
        <i x="237" s="1"/>
        <i x="63" s="1"/>
        <i x="140" s="1"/>
        <i x="80" s="1"/>
        <i x="392" s="1"/>
        <i x="175" s="1"/>
        <i x="9" s="1"/>
        <i x="619" s="1"/>
        <i x="613" s="1"/>
        <i x="465" s="1"/>
        <i x="622" s="1"/>
        <i x="272" s="1"/>
        <i x="47" s="1"/>
        <i x="624" s="1"/>
        <i x="583" s="1"/>
        <i x="506" s="1"/>
        <i x="556" s="1"/>
        <i x="618" s="1"/>
        <i x="626" s="1"/>
        <i x="195" s="1"/>
        <i x="435" s="1"/>
        <i x="617" s="1"/>
        <i x="629" s="1"/>
        <i x="265" s="1"/>
        <i x="625" s="1"/>
        <i x="628" s="1"/>
        <i x="382" s="1"/>
        <i x="72" s="1"/>
        <i x="242" s="1"/>
        <i x="151" s="1"/>
        <i x="560" s="1"/>
        <i x="196" s="1"/>
        <i x="1" s="1"/>
        <i x="406" s="1"/>
        <i x="385" s="1"/>
        <i x="77" s="1"/>
        <i x="423" s="1"/>
        <i x="192" s="1"/>
        <i x="165" s="1"/>
        <i x="534" s="1"/>
        <i x="42" s="1"/>
        <i x="482" s="1"/>
        <i x="86" s="1"/>
        <i x="111" s="1"/>
        <i x="292" s="1"/>
        <i x="260" s="1"/>
        <i x="606" s="1"/>
        <i x="607" s="1"/>
        <i x="2" s="1"/>
        <i x="99" s="1"/>
        <i x="459" s="1"/>
        <i x="256" s="1"/>
        <i x="273" s="1"/>
        <i x="427" s="1"/>
        <i x="278" s="1"/>
        <i x="244" s="1"/>
        <i x="514" s="1"/>
        <i x="204" s="1"/>
        <i x="614" s="1"/>
        <i x="219" s="1"/>
        <i x="213" s="1"/>
        <i x="402" s="1"/>
        <i x="126" s="1"/>
        <i x="407" s="1"/>
        <i x="61" s="1"/>
        <i x="591" s="1"/>
        <i x="505" s="1"/>
        <i x="236" s="1"/>
        <i x="360" s="1"/>
        <i x="468" s="1"/>
        <i x="611" s="1"/>
        <i x="105" s="1"/>
        <i x="467" s="1"/>
        <i x="122" s="1"/>
        <i x="302" s="1"/>
        <i x="31" s="1"/>
        <i x="431" s="1"/>
        <i x="153" s="1"/>
        <i x="553" s="1"/>
        <i x="188" s="1"/>
        <i x="363" s="1"/>
        <i x="365" s="1"/>
        <i x="207" s="1"/>
        <i x="610" s="1"/>
        <i x="289" s="1"/>
        <i x="45" s="1"/>
        <i x="623" s="1"/>
        <i x="154" s="1"/>
        <i x="554" s="1"/>
        <i x="438" s="1"/>
        <i x="264" s="1"/>
        <i x="56" s="1"/>
        <i x="455" s="1"/>
        <i x="612" s="1"/>
        <i x="605" s="1"/>
        <i x="226" s="1"/>
        <i x="167" s="1"/>
        <i x="107" s="1"/>
        <i x="500" s="1"/>
        <i x="70" s="1"/>
        <i x="615" s="1"/>
        <i x="203" s="1"/>
        <i x="93" s="1"/>
        <i x="484" s="1"/>
        <i x="49" s="1"/>
        <i x="549" s="1"/>
        <i x="185" s="1"/>
        <i x="65" s="1"/>
        <i x="573" s="1"/>
        <i x="134" s="1"/>
        <i x="159" s="1"/>
        <i x="20" s="1"/>
        <i x="295" s="1"/>
        <i x="335" s="1"/>
        <i x="84" s="1"/>
        <i x="390" s="1"/>
        <i x="630" s="1"/>
        <i x="267" s="1"/>
        <i x="321" s="1"/>
        <i x="324" s="1"/>
        <i x="374" s="1"/>
        <i x="601" s="1"/>
        <i x="409" s="1"/>
        <i x="101" s="1"/>
        <i x="343" s="1"/>
        <i x="32" s="1"/>
        <i x="512" s="1"/>
        <i x="25" s="1"/>
        <i x="547" s="1"/>
        <i x="496" s="1"/>
        <i x="421" s="1"/>
        <i x="451" s="1"/>
        <i x="450" s="1"/>
        <i x="189" s="1"/>
        <i x="146" s="1"/>
        <i x="300" s="1"/>
        <i x="440" s="1"/>
        <i x="413" s="1"/>
        <i x="115" s="1"/>
        <i x="415" s="1"/>
        <i x="281" s="1"/>
        <i x="417" s="1"/>
        <i x="17" s="1"/>
        <i x="393" s="1"/>
        <i x="550" s="1"/>
        <i x="616" s="1"/>
        <i x="90" s="1"/>
        <i x="117" s="1"/>
        <i x="148" s="1"/>
        <i x="545" s="1"/>
        <i x="152" s="1"/>
        <i x="315" s="1"/>
        <i x="98" s="1"/>
        <i x="27" s="1"/>
        <i x="279" s="1"/>
        <i x="120" s="1"/>
        <i x="75" s="1"/>
        <i x="121" s="1"/>
        <i x="143" s="1"/>
        <i x="168" s="1"/>
        <i x="535" s="1"/>
        <i x="285" s="1"/>
        <i x="408" s="1"/>
        <i x="376" s="1"/>
        <i x="102" s="1"/>
        <i x="228" s="1"/>
        <i x="457" s="1"/>
        <i x="329" s="1"/>
        <i x="310" s="1"/>
        <i x="595" s="1"/>
        <i x="437" s="1"/>
        <i x="18" s="1"/>
        <i x="38" s="1"/>
        <i x="357" s="1"/>
        <i x="88" s="1"/>
        <i x="525" s="1"/>
        <i x="568" s="1"/>
        <i x="225" s="1"/>
        <i x="205" s="1"/>
        <i x="328" s="1"/>
        <i x="462" s="1"/>
        <i x="544" s="1"/>
        <i x="13" s="1"/>
        <i x="104" s="1"/>
        <i x="548" s="1"/>
        <i x="552" s="1"/>
        <i x="576" s="1"/>
        <i x="627" s="1"/>
        <i x="57" s="1"/>
        <i x="489" s="1"/>
        <i x="546" s="1"/>
        <i x="212" s="1"/>
        <i x="592" s="1"/>
        <i x="593" s="1"/>
        <i x="609" s="1"/>
        <i x="384" s="1"/>
        <i x="290" s="1"/>
        <i x="608" s="1"/>
        <i x="410" s="1"/>
        <i x="332" s="1"/>
        <i x="297" s="1"/>
        <i x="92" s="1"/>
        <i x="288" s="1"/>
        <i x="224" s="1"/>
        <i x="419" s="1"/>
        <i x="198" s="1"/>
        <i x="430" s="1"/>
        <i x="478" s="1"/>
        <i x="142" s="1"/>
        <i x="246" s="1"/>
        <i x="491" s="1"/>
        <i x="28" s="1"/>
        <i x="510" s="1"/>
        <i x="4" s="1"/>
        <i x="259" s="1"/>
        <i x="275" s="1"/>
        <i x="191" s="1"/>
        <i x="397" s="1"/>
        <i x="539" s="1"/>
        <i x="87" s="1"/>
        <i x="137" s="1"/>
        <i x="520" s="1"/>
        <i x="621" s="1"/>
        <i x="0" s="1"/>
        <i x="312" s="1"/>
        <i x="527" s="1"/>
        <i x="248" s="1"/>
        <i x="377" s="1"/>
        <i x="620" s="1"/>
        <i x="113" s="1"/>
        <i x="193" s="1"/>
        <i x="221" s="1"/>
        <i x="171" s="1"/>
        <i x="176" s="1"/>
        <i x="507" s="1"/>
        <i x="136" s="1"/>
        <i x="501" s="1"/>
        <i x="217" s="1"/>
        <i x="564" s="1"/>
        <i x="631" s="1"/>
        <i x="600" s="1"/>
        <i x="190" s="1"/>
        <i x="304" s="1"/>
        <i x="82" s="1"/>
        <i x="434" s="1"/>
        <i x="487" s="1"/>
        <i x="499" s="1"/>
        <i x="464" s="1"/>
        <i x="59" s="1"/>
        <i x="448" s="1"/>
        <i x="571" s="1"/>
        <i x="504" s="1"/>
        <i x="79" s="1"/>
        <i x="345" s="1"/>
        <i x="432" s="1"/>
        <i x="497" s="1"/>
        <i x="41" s="1"/>
        <i x="420" s="1"/>
        <i x="208" s="1"/>
        <i x="135" s="1"/>
        <i x="209" s="1"/>
        <i x="518" s="1"/>
        <i x="349" s="1"/>
        <i x="578" s="1"/>
        <i x="180" s="1"/>
        <i x="358" s="1"/>
        <i x="338" s="1"/>
        <i x="352" s="1"/>
        <i x="283" s="1"/>
        <i x="359" s="1"/>
        <i x="594" s="1"/>
        <i x="412" s="1"/>
        <i x="333" s="1"/>
        <i x="282" s="1"/>
        <i x="66" s="1"/>
        <i x="469" s="1"/>
        <i x="129" s="1"/>
        <i x="485" s="1"/>
        <i x="318" s="1"/>
        <i x="565" s="1"/>
        <i x="559" s="1"/>
        <i x="29" s="1"/>
        <i x="538" s="1"/>
        <i x="394" s="1"/>
        <i x="471" s="1"/>
        <i x="257" s="1"/>
        <i x="214" s="1"/>
        <i x="558" s="1"/>
        <i x="271" s="1"/>
        <i x="590" s="1"/>
        <i x="449" s="1"/>
        <i x="596" s="1"/>
        <i x="227" s="1"/>
        <i x="602" s="1"/>
        <i x="231" s="1"/>
        <i x="466" s="1"/>
        <i x="375" s="1"/>
        <i x="287" s="1"/>
        <i x="551" s="1"/>
        <i x="249" s="1"/>
        <i x="404" s="1"/>
        <i x="158" s="1"/>
        <i x="597" s="1"/>
        <i x="584" s="1"/>
        <i x="391" s="1"/>
        <i x="161" s="1"/>
        <i x="509" s="1"/>
        <i x="138" s="1"/>
        <i x="67" s="1"/>
        <i x="371" s="1"/>
        <i x="493" s="1"/>
        <i x="52" s="1"/>
        <i x="378" s="1"/>
        <i x="347" s="1"/>
        <i x="26" s="1"/>
        <i x="567" s="1"/>
        <i x="124" s="1"/>
        <i x="186" s="1"/>
        <i x="125" s="1"/>
        <i x="586" s="1"/>
        <i x="164" s="1"/>
        <i x="474" s="1"/>
        <i x="327" s="1"/>
        <i x="411" s="1"/>
        <i x="109" s="1"/>
        <i x="62" s="1"/>
        <i x="424" s="1"/>
        <i x="229" s="1"/>
        <i x="182" s="1"/>
        <i x="366" s="1"/>
        <i x="216" s="1"/>
        <i x="473" s="1"/>
        <i x="542" s="1"/>
        <i x="460" s="1"/>
        <i x="277" s="1"/>
        <i x="475" s="1"/>
        <i x="210" s="1"/>
        <i x="524" s="1"/>
        <i x="325" s="1"/>
        <i x="97" s="1"/>
        <i x="582" s="1"/>
        <i x="94" s="1"/>
        <i x="119" s="1"/>
        <i x="83" s="1"/>
        <i x="76" s="1"/>
        <i x="519" s="1"/>
        <i x="490" s="1"/>
        <i x="23" s="1"/>
        <i x="233" s="1"/>
        <i x="232" s="1"/>
        <i x="453" s="1"/>
        <i x="354" s="1"/>
        <i x="589" s="1"/>
        <i x="270" s="1"/>
        <i x="34" s="1"/>
        <i x="326" s="1"/>
        <i x="598" s="1"/>
        <i x="381" s="1"/>
        <i x="418" s="1"/>
        <i x="537" s="1"/>
        <i x="40" s="1"/>
        <i x="301" s="1"/>
        <i x="480" s="1"/>
        <i x="356" s="1"/>
        <i x="307" s="1"/>
        <i x="569" s="1"/>
        <i x="334" s="1"/>
        <i x="108" s="1"/>
        <i x="243" s="1"/>
        <i x="472" s="1"/>
        <i x="502" s="1"/>
        <i x="263" s="1"/>
        <i x="367" s="1"/>
        <i x="575" s="1"/>
        <i x="446" s="1"/>
        <i x="442" s="1"/>
        <i x="85" s="1"/>
        <i x="174" s="1"/>
        <i x="517" s="1"/>
        <i x="234" s="1"/>
        <i x="251" s="1"/>
        <i x="74" s="1"/>
        <i x="425" s="1"/>
        <i x="48" s="1"/>
        <i x="355" s="1"/>
        <i x="170" s="1"/>
        <i x="362" s="1"/>
        <i x="118" s="1"/>
        <i x="528" s="1"/>
        <i x="541" s="1"/>
        <i x="60" s="1"/>
        <i x="201" s="1"/>
        <i x="280" s="1"/>
        <i x="156" s="1"/>
        <i x="305" s="1"/>
        <i x="39" s="1"/>
        <i x="50" s="1"/>
        <i x="445" s="1"/>
        <i x="36" s="1"/>
        <i x="19" s="1"/>
        <i x="339" s="1"/>
        <i x="10" s="1"/>
        <i x="579" s="1"/>
        <i x="206" s="1"/>
        <i x="492" s="1"/>
        <i x="476" s="1"/>
        <i x="403" s="1"/>
        <i x="368" s="1"/>
        <i x="353" s="1"/>
        <i x="162" s="1"/>
        <i x="6" s="1"/>
        <i x="262" s="1"/>
        <i x="169" s="1"/>
        <i x="68" s="1"/>
        <i x="322" s="1"/>
        <i x="222" s="1"/>
        <i x="157" s="1"/>
        <i x="426" s="1"/>
        <i x="314" s="1"/>
        <i x="218" s="1"/>
        <i x="37" s="1"/>
        <i x="513" s="1"/>
        <i x="258" s="1"/>
        <i x="123" s="1"/>
        <i x="523" s="1"/>
        <i x="563" s="1"/>
        <i x="69" s="1"/>
        <i x="183" s="1"/>
        <i x="444" s="1"/>
        <i x="299" s="1"/>
        <i x="261" s="1"/>
        <i x="604" s="1"/>
        <i x="130" s="1"/>
        <i x="268" s="1"/>
        <i x="399" s="1"/>
        <i x="369" s="1"/>
        <i x="15" s="1"/>
        <i x="11" s="1"/>
        <i x="33" s="1"/>
        <i x="44" s="1"/>
        <i x="344" s="1"/>
        <i x="555" s="1"/>
        <i x="581" s="1"/>
        <i x="531" s="1"/>
        <i x="398" s="1"/>
        <i x="238" s="1"/>
        <i x="81" s="1"/>
        <i x="128" s="1"/>
        <i x="96" s="1"/>
        <i x="401" s="1"/>
        <i x="533" s="1"/>
        <i x="22" s="1"/>
        <i x="414" s="1"/>
        <i x="245" s="1"/>
        <i x="223" s="1"/>
        <i x="320" s="1"/>
        <i x="540" s="1"/>
        <i x="12" s="1"/>
        <i x="503" s="1"/>
        <i x="131" s="1"/>
        <i x="351" s="1"/>
        <i x="337" s="1"/>
        <i x="14" s="1"/>
        <i x="132" s="1"/>
        <i x="8" s="1"/>
        <i x="286" s="1"/>
        <i x="100" s="1"/>
        <i x="291" s="1"/>
        <i x="405" s="1"/>
        <i x="5" s="1"/>
        <i x="566" s="1"/>
        <i x="543" s="1"/>
        <i x="241" s="1"/>
        <i x="498" s="1"/>
        <i x="400" s="1"/>
        <i x="239" s="1"/>
        <i x="194" s="1"/>
        <i x="51" s="1"/>
        <i x="532" s="1"/>
        <i x="114" s="1"/>
        <i x="522" s="1"/>
        <i x="266" s="1"/>
        <i x="141" s="1"/>
        <i x="486" s="1"/>
        <i x="361" s="1"/>
        <i x="43" s="1"/>
        <i x="317" s="1"/>
        <i x="364" s="1"/>
        <i x="386" s="1"/>
        <i x="294" s="1"/>
        <i x="479" s="1"/>
        <i x="313" s="1"/>
        <i x="439" s="1"/>
        <i x="293" s="1"/>
        <i x="21" s="1"/>
        <i x="172" s="1"/>
        <i x="530" s="1"/>
        <i x="54" s="1"/>
        <i x="580" s="1"/>
        <i x="133" s="1"/>
        <i x="574" s="1"/>
        <i x="150" s="1"/>
        <i x="387" s="1"/>
        <i x="46" s="1"/>
        <i x="112" s="1"/>
        <i x="370" s="1"/>
        <i x="144" s="1"/>
        <i x="235" s="1"/>
        <i x="603" s="1"/>
        <i x="240" s="1"/>
        <i x="536" s="1"/>
        <i x="529" s="1"/>
        <i x="561" s="1"/>
        <i x="483" s="1"/>
        <i x="340" s="1"/>
        <i x="254" s="1"/>
        <i x="477" s="1"/>
        <i x="436" s="1"/>
        <i x="177" s="1"/>
        <i x="55" s="1"/>
        <i x="350" s="1"/>
        <i x="253" s="1"/>
        <i x="331" s="1"/>
        <i x="71" s="1"/>
        <i x="220" s="1"/>
        <i x="395" s="1"/>
        <i x="495" s="1"/>
        <i x="585" s="1"/>
        <i x="303" s="1"/>
        <i x="452" s="1"/>
        <i x="166" s="1"/>
        <i x="173" s="1"/>
        <i x="306" s="1"/>
        <i x="433" s="1"/>
        <i x="570" s="1"/>
        <i x="346" s="1"/>
        <i x="494" s="1"/>
        <i x="53" s="1"/>
        <i x="429" s="1"/>
        <i x="7" s="1"/>
        <i x="311" s="1"/>
        <i x="284" s="1"/>
        <i x="276" s="1"/>
        <i x="274" s="1"/>
        <i x="24" s="1"/>
        <i x="187" s="1"/>
        <i x="199" s="1"/>
        <i x="250" s="1"/>
        <i x="379" s="1"/>
        <i x="269" s="1"/>
        <i x="521" s="1"/>
        <i x="73" s="1"/>
        <i x="103" s="1"/>
        <i x="179" s="1"/>
        <i x="106" s="1"/>
        <i x="373" s="1"/>
        <i x="116" s="1"/>
        <i x="336" s="1"/>
        <i x="147" s="1"/>
        <i x="202" s="1"/>
        <i x="184" s="1"/>
        <i x="422" s="1"/>
        <i x="508" s="1"/>
        <i x="447" s="1"/>
        <i x="308" s="1"/>
        <i x="323" s="1"/>
        <i x="572" s="1"/>
        <i x="515" s="1"/>
        <i x="396" s="1"/>
        <i x="64" s="1"/>
        <i x="58" s="1"/>
        <i x="342" s="1"/>
        <i x="89" s="1"/>
        <i x="181" s="1"/>
        <i x="511" s="1"/>
        <i x="296" s="1"/>
        <i x="330" s="1"/>
        <i x="383" s="1"/>
        <i x="247" s="1"/>
        <i x="380" s="1"/>
        <i x="587" s="1"/>
        <i x="416" s="1"/>
        <i x="388" s="1"/>
        <i x="389" s="1"/>
        <i x="443" s="1"/>
        <i x="160" s="1"/>
        <i x="316" s="1"/>
        <i x="95" s="1"/>
        <i x="454" s="1"/>
        <i x="3" s="1"/>
        <i x="588" s="1"/>
        <i x="178" s="1"/>
        <i x="470" s="1"/>
        <i x="155" s="1"/>
        <i x="110" s="1"/>
        <i x="309" s="1"/>
        <i x="255" s="1"/>
        <i x="461" s="1"/>
        <i x="463" s="1"/>
        <i x="200" s="1"/>
        <i x="458" s="1"/>
        <i x="197" s="1"/>
        <i x="562" s="1"/>
        <i x="252" s="1"/>
        <i x="348" s="1"/>
        <i x="516" s="1"/>
        <i x="139" s="1"/>
        <i x="230" s="1"/>
        <i x="149" s="1"/>
        <i x="30" s="1"/>
        <i x="526" s="1"/>
        <i x="557" s="1"/>
        <i x="341" s="1"/>
        <i x="211" s="1"/>
        <i x="145" s="1"/>
        <i x="78" s="1"/>
        <i x="441" s="1"/>
        <i x="298" s="1"/>
        <i x="127" s="1"/>
        <i x="428" s="1"/>
        <i x="372" s="1"/>
        <i x="163" s="1"/>
        <i x="215" s="1"/>
        <i x="599" s="1"/>
        <i x="16" s="1"/>
        <i x="91" s="1"/>
        <i x="488" s="1"/>
        <i x="319" s="1"/>
        <i x="35" s="1"/>
        <i x="577" s="1"/>
        <i x="456" s="1"/>
        <i x="48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40655D9-D061-4BA3-A5C7-C702D2C01501}" sourceName="Region">
  <pivotTables>
    <pivotTable tabId="19" name="PivotTable1"/>
    <pivotTable tabId="20" name="PivotTable2"/>
  </pivotTables>
  <data>
    <tabular pivotCacheId="278489429">
      <items count="5">
        <i x="0" s="1"/>
        <i x="2" s="1"/>
        <i x="1" s="1"/>
        <i x="3" s="1"/>
        <i x="4"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dtime_days" xr10:uid="{EF2D6222-BC16-4E1A-AEF3-2C693540DD2B}" sourceName="Leadtime days">
  <pivotTables>
    <pivotTable tabId="22" name="PivotTable3"/>
  </pivotTables>
  <data>
    <tabular pivotCacheId="1248026111">
      <items count="32">
        <i x="18" s="1"/>
        <i x="1" s="1"/>
        <i x="6" s="1"/>
        <i x="4" s="1"/>
        <i x="3" s="1"/>
        <i x="16" s="1"/>
        <i x="30" s="1"/>
        <i x="20" s="1"/>
        <i x="12" s="1"/>
        <i x="25" s="1"/>
        <i x="24" s="1"/>
        <i x="23" s="1"/>
        <i x="8" s="1"/>
        <i x="19" s="1"/>
        <i x="17" s="1"/>
        <i x="15" s="1"/>
        <i x="13" s="1"/>
        <i x="14" s="1"/>
        <i x="5" s="1"/>
        <i x="7" s="1"/>
        <i x="9" s="1"/>
        <i x="28" s="1"/>
        <i x="22" s="1"/>
        <i x="21" s="1"/>
        <i x="10" s="1"/>
        <i x="2" s="1"/>
        <i x="0" s="1"/>
        <i x="29" s="1"/>
        <i x="27" s="1"/>
        <i x="11" s="1"/>
        <i x="26" s="1"/>
        <i x="31"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9A370B0-B157-4099-8F8B-ACD3C6F8F3D7}" sourceName="Country">
  <pivotTables>
    <pivotTable tabId="22" name="PivotTable3"/>
  </pivotTables>
  <data>
    <tabular pivotCacheId="1248026111">
      <items count="13">
        <i x="5" s="1"/>
        <i x="3" s="1"/>
        <i x="9" s="1"/>
        <i x="7"/>
        <i x="6"/>
        <i x="4"/>
        <i x="2"/>
        <i x="0"/>
        <i x="1"/>
        <i x="11"/>
        <i x="8"/>
        <i x="10"/>
        <i x="12"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Pct" xr10:uid="{7BB2E6A8-805A-4408-B146-AEF97AF9BC32}" sourceName="DiscountPct">
  <pivotTables>
    <pivotTable tabId="25" name="PivotTable1"/>
  </pivotTables>
  <data>
    <tabular pivotCacheId="1858317149">
      <items count="229">
        <i x="5" s="1"/>
        <i x="140" s="1"/>
        <i x="20" s="1"/>
        <i x="99" s="1"/>
        <i x="19" s="1"/>
        <i x="84" s="1"/>
        <i x="170" s="1"/>
        <i x="212" s="1"/>
        <i x="205" s="1"/>
        <i x="113" s="1"/>
        <i x="106" s="1"/>
        <i x="118" s="1"/>
        <i x="109" s="1"/>
        <i x="179" s="1"/>
        <i x="134" s="1"/>
        <i x="71" s="1"/>
        <i x="8" s="1"/>
        <i x="195" s="1"/>
        <i x="42" s="1"/>
        <i x="16" s="1"/>
        <i x="188" s="1"/>
        <i x="208" s="1"/>
        <i x="174" s="1"/>
        <i x="89" s="1"/>
        <i x="221" s="1"/>
        <i x="107" s="1"/>
        <i x="58" s="1"/>
        <i x="216" s="1"/>
        <i x="54" s="1"/>
        <i x="130" s="1"/>
        <i x="114" s="1"/>
        <i x="223" s="1"/>
        <i x="133" s="1"/>
        <i x="121" s="1"/>
        <i x="92" s="1"/>
        <i x="163" s="1"/>
        <i x="96" s="1"/>
        <i x="201" s="1"/>
        <i x="176" s="1"/>
        <i x="72" s="1"/>
        <i x="143" s="1"/>
        <i x="55" s="1"/>
        <i x="90" s="1"/>
        <i x="68" s="1"/>
        <i x="88" s="1"/>
        <i x="3" s="1"/>
        <i x="93" s="1"/>
        <i x="13" s="1"/>
        <i x="43" s="1"/>
        <i x="171" s="1"/>
        <i x="202" s="1"/>
        <i x="117" s="1"/>
        <i x="164" s="1"/>
        <i x="226" s="1"/>
        <i x="104" s="1"/>
        <i x="200" s="1"/>
        <i x="26" s="1"/>
        <i x="147" s="1"/>
        <i x="24" s="1"/>
        <i x="167" s="1"/>
        <i x="25" s="1"/>
        <i x="168" s="1"/>
        <i x="119" s="1"/>
        <i x="77" s="1"/>
        <i x="142" s="1"/>
        <i x="12" s="1"/>
        <i x="148" s="1"/>
        <i x="73" s="1"/>
        <i x="224" s="1"/>
        <i x="199" s="1"/>
        <i x="74" s="1"/>
        <i x="165" s="1"/>
        <i x="27" s="1"/>
        <i x="4" s="1"/>
        <i x="172" s="1"/>
        <i x="67" s="1"/>
        <i x="52" s="1"/>
        <i x="192" s="1"/>
        <i x="105" s="1"/>
        <i x="86" s="1"/>
        <i x="14" s="1"/>
        <i x="46" s="1"/>
        <i x="95" s="1"/>
        <i x="0" s="1"/>
        <i x="139" s="1"/>
        <i x="60" s="1"/>
        <i x="158" s="1"/>
        <i x="144" s="1"/>
        <i x="85" s="1"/>
        <i x="45" s="1"/>
        <i x="18" s="1"/>
        <i x="173" s="1"/>
        <i x="153" s="1"/>
        <i x="82" s="1"/>
        <i x="213" s="1"/>
        <i x="22" s="1"/>
        <i x="38" s="1"/>
        <i x="110" s="1"/>
        <i x="137" s="1"/>
        <i x="31" s="1"/>
        <i x="49" s="1"/>
        <i x="2" s="1"/>
        <i x="191" s="1"/>
        <i x="112" s="1"/>
        <i x="61" s="1"/>
        <i x="157" s="1"/>
        <i x="29" s="1"/>
        <i x="81" s="1"/>
        <i x="159" s="1"/>
        <i x="23" s="1"/>
        <i x="78" s="1"/>
        <i x="169" s="1"/>
        <i x="56" s="1"/>
        <i x="17" s="1"/>
        <i x="41" s="1"/>
        <i x="180" s="1"/>
        <i x="34" s="1"/>
        <i x="6" s="1"/>
        <i x="135" s="1"/>
        <i x="9" s="1"/>
        <i x="209" s="1"/>
        <i x="102" s="1"/>
        <i x="136" s="1"/>
        <i x="125" s="1"/>
        <i x="69" s="1"/>
        <i x="161" s="1"/>
        <i x="87" s="1"/>
        <i x="129" s="1"/>
        <i x="75" s="1"/>
        <i x="64" s="1"/>
        <i x="196" s="1"/>
        <i x="156" s="1"/>
        <i x="211" s="1"/>
        <i x="150" s="1"/>
        <i x="21" s="1"/>
        <i x="36" s="1"/>
        <i x="189" s="1"/>
        <i x="145" s="1"/>
        <i x="122" s="1"/>
        <i x="155" s="1"/>
        <i x="30" s="1"/>
        <i x="166" s="1"/>
        <i x="94" s="1"/>
        <i x="79" s="1"/>
        <i x="111" s="1"/>
        <i x="35" s="1"/>
        <i x="15" s="1"/>
        <i x="50" s="1"/>
        <i x="57" s="1"/>
        <i x="63" s="1"/>
        <i x="37" s="1"/>
        <i x="70" s="1"/>
        <i x="51" s="1"/>
        <i x="197" s="1"/>
        <i x="98" s="1"/>
        <i x="7" s="1"/>
        <i x="124" s="1"/>
        <i x="115" s="1"/>
        <i x="47" s="1"/>
        <i x="138" s="1"/>
        <i x="91" s="1"/>
        <i x="53" s="1"/>
        <i x="44" s="1"/>
        <i x="162" s="1"/>
        <i x="222" s="1"/>
        <i x="219" s="1"/>
        <i x="182" s="1"/>
        <i x="126" s="1"/>
        <i x="123" s="1"/>
        <i x="207" s="1"/>
        <i x="66" s="1"/>
        <i x="154" s="1"/>
        <i x="203" s="1"/>
        <i x="218" s="1"/>
        <i x="97" s="1"/>
        <i x="152" s="1"/>
        <i x="204" s="1"/>
        <i x="83" s="1"/>
        <i x="127" s="1"/>
        <i x="146" s="1"/>
        <i x="128" s="1"/>
        <i x="1" s="1"/>
        <i x="183" s="1"/>
        <i x="65" s="1"/>
        <i x="28" s="1"/>
        <i x="103" s="1"/>
        <i x="220" s="1"/>
        <i x="11" s="1"/>
        <i x="116" s="1"/>
        <i x="48" s="1"/>
        <i x="194" s="1"/>
        <i x="62" s="1"/>
        <i x="132" s="1"/>
        <i x="101" s="1"/>
        <i x="187" s="1"/>
        <i x="151" s="1"/>
        <i x="100" s="1"/>
        <i x="141" s="1"/>
        <i x="178" s="1"/>
        <i x="190" s="1"/>
        <i x="80" s="1"/>
        <i x="186" s="1"/>
        <i x="39" s="1"/>
        <i x="210" s="1"/>
        <i x="40" s="1"/>
        <i x="184" s="1"/>
        <i x="206" s="1"/>
        <i x="160" s="1"/>
        <i x="33" s="1"/>
        <i x="59" s="1"/>
        <i x="175" s="1"/>
        <i x="198" s="1"/>
        <i x="185" s="1"/>
        <i x="10" s="1" nd="1"/>
        <i x="108" s="1" nd="1"/>
        <i x="76" s="1" nd="1"/>
        <i x="32" s="1" nd="1"/>
        <i x="215" s="1" nd="1"/>
        <i x="193" s="1" nd="1"/>
        <i x="227" s="1" nd="1"/>
        <i x="131" s="1" nd="1"/>
        <i x="181" s="1" nd="1"/>
        <i x="225" s="1" nd="1"/>
        <i x="120" s="1" nd="1"/>
        <i x="217" s="1" nd="1"/>
        <i x="214" s="1" nd="1"/>
        <i x="149" s="1" nd="1"/>
        <i x="177" s="1" nd="1"/>
        <i x="228" s="1"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09E3B02C-D86B-434F-B3C8-FA46BEA454F8}" sourceName="Channel">
  <pivotTables>
    <pivotTable tabId="19" name="PivotTable1"/>
  </pivotTables>
  <data>
    <tabular pivotCacheId="278489429">
      <items count="7">
        <i x="4" s="1"/>
        <i x="3" s="1"/>
        <i x="2" s="1"/>
        <i x="5" s="1"/>
        <i x="1" s="1"/>
        <i x="0" s="1"/>
        <i x="6" nd="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5F80622-6D32-47D9-82F3-3776E2300F07}" sourceName="Month">
  <pivotTables>
    <pivotTable tabId="15" name="PivotTable6"/>
  </pivotTables>
  <data>
    <tabular pivotCacheId="1345100488">
      <items count="33">
        <i x="12" s="1"/>
        <i x="20" s="1"/>
        <i x="19" s="1"/>
        <i x="25" s="1"/>
        <i x="21" s="1"/>
        <i x="28" s="1"/>
        <i x="4" s="1"/>
        <i x="6" s="1"/>
        <i x="2" s="1"/>
        <i x="31" s="1"/>
        <i x="26" s="1"/>
        <i x="5" s="1"/>
        <i x="9" s="1"/>
        <i x="10" s="1"/>
        <i x="24" s="1"/>
        <i x="14" s="1"/>
        <i x="13" s="1"/>
        <i x="23" s="1"/>
        <i x="17" s="1"/>
        <i x="16" s="1"/>
        <i x="22" s="1"/>
        <i x="0" s="1"/>
        <i x="3" s="1"/>
        <i x="15" s="1"/>
        <i x="7" s="1"/>
        <i x="8" s="1"/>
        <i x="30" s="1"/>
        <i x="18" s="1"/>
        <i x="32" s="1"/>
        <i x="1" s="1"/>
        <i x="27" s="1"/>
        <i x="29"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Category" xr10:uid="{019E7688-9353-40AE-A415-B814CE3EDC9A}" cache="Slicer_ProductCategory" caption="ProductCategory" rowHeight="234950"/>
  <slicer name="SKU" xr10:uid="{CDCEBF66-0876-4ED5-B39E-744E5909E258}" cache="Slicer_SKU" caption="SKU" rowHeight="234950"/>
  <slicer name="Gross Revenue" xr10:uid="{521A5FB7-834D-48E4-9CF4-797A47F4AE20}" cache="Slicer_Gross_Revenue" caption="Gross Revenu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ID" xr10:uid="{353D3D71-E3B4-4ADE-B85D-354E86C2A1DC}" cache="Slicer_OrderID" caption="OrderID" rowHeight="234950"/>
  <slicer name="Salesperson" xr10:uid="{A106C4C1-4165-4C29-8E54-3611863C5C77}" cache="Slicer_Salesperson" caption="Salesperson" rowHeight="234950"/>
  <slicer name="Gross Profit" xr10:uid="{57C963B4-E565-4F22-A55C-43D413B9B095}" cache="Slicer_Gross_Profit" caption="Gross Profit" rowHeight="234950"/>
  <slicer name="Month" xr10:uid="{5D7291CD-7E9F-4988-B125-EB06B722D0CD}" cache="Slicer_Month" caption="Month"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0565579-3778-4D8F-9213-87832D632519}" cache="Slicer_Region" caption="Region" rowHeight="234950"/>
  <slicer name="Channel" xr10:uid="{166E4C3D-C813-4E85-9E53-C7CA2EDDFAB0}" cache="Slicer_Channel" caption="Channel"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eadtime days" xr10:uid="{07E230BD-71C8-4CEB-8428-E7A768239004}" cache="Slicer_Leadtime_days" caption="Leadtime days" rowHeight="234950"/>
  <slicer name="Country" xr10:uid="{95F9AC03-EC07-4AA4-9929-A337F0152A60}" cache="Slicer_Country" caption="Country"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Pct" xr10:uid="{8D4BB5A3-8070-43F7-9ED9-16D9FEC0AAB3}" cache="Slicer_DiscountPct" caption="DiscountPct"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Category 1" xr10:uid="{894F9460-4840-4427-A04D-A7A61817014D}" cache="Slicer_ProductCategory" caption="ProductCategory" rowHeight="234950"/>
  <slicer name="SKU 1" xr10:uid="{F40596B7-3472-4749-B41F-BF1EC72A4931}" cache="Slicer_SKU" caption="SKU" rowHeight="234950"/>
  <slicer name="Gross Revenue 1" xr10:uid="{D5E929FF-F324-4123-AD56-6E49E9C4D156}" cache="Slicer_Gross_Revenue" caption="Gross Revenue" rowHeight="234950"/>
  <slicer name="OrderID 1" xr10:uid="{357CD88E-9A65-4631-BD2D-613A55BAEDDB}" cache="Slicer_OrderID" caption="OrderID" rowHeight="234950"/>
  <slicer name="Salesperson 1" xr10:uid="{611F4B3B-A84A-4E06-94EE-2C100129E97D}" cache="Slicer_Salesperson" caption="Salesperson" rowHeight="234950"/>
  <slicer name="Gross Profit 1" xr10:uid="{518FB1D0-3723-4D41-93D9-F9CF2C8BB92A}" cache="Slicer_Gross_Profit" caption="Gross Profit" rowHeight="234950"/>
  <slicer name="Region 1" xr10:uid="{360EE5F1-AEDC-482F-8B91-9B8F986F8E13}" cache="Slicer_Region" caption="Region" rowHeight="234950"/>
  <slicer name="Leadtime days 1" xr10:uid="{6F5362F7-68FA-4D14-B307-83A809BC55F0}" cache="Slicer_Leadtime_days" caption="Leadtime days" rowHeight="234950"/>
  <slicer name="Country 1" xr10:uid="{801C16A6-4507-4B8B-BE13-9902EB20CA02}" cache="Slicer_Country" caption="Country" rowHeight="234950"/>
  <slicer name="DiscountPct 1" xr10:uid="{E0B56D63-0F90-4B7A-B806-3712459475C6}" cache="Slicer_DiscountPct" caption="DiscountPct" rowHeight="234950"/>
  <slicer name="Channel 1" xr10:uid="{CF05C39E-7036-4DF3-8D19-7F0AD9363BAD}" cache="Slicer_Channel" caption="Channel" rowHeight="234950"/>
  <slicer name="Month 1" xr10:uid="{CB6B4840-1342-423E-9052-5A63AC9AE43B}" cache="Slicer_Month" caption="Month" rowHeight="2349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Category 2" xr10:uid="{A4734932-73AA-4586-9B98-E5C5E1224D3E}" cache="Slicer_ProductCategory" caption="ProductCategory" rowHeight="234950"/>
  <slicer name="Salesperson 2" xr10:uid="{436922B2-FFE4-459E-AECE-316DAA27BF0A}" cache="Slicer_Salesperson" caption="Salesperson" rowHeight="234950"/>
  <slicer name="Region 2" xr10:uid="{7A093C8B-9437-4CED-8F42-DE3B8B7BC02E}" cache="Slicer_Region" caption="Region" rowHeight="234950"/>
  <slicer name="Country 2" xr10:uid="{F90E3AC7-75FA-43AA-870E-533F78AF8536}" cache="Slicer_Country" caption="Country" rowHeight="234950"/>
  <slicer name="Channel 2" xr10:uid="{0E3DCC8B-4DE9-41D7-8E03-CA1A98CF488E}" cache="Slicer_Channel" caption="Channel" rowHeight="234950"/>
  <slicer name="Month 2" xr10:uid="{6E442EAF-4BCF-4D95-88AF-F4302F586195}" cache="Slicer_Month" caption="Month"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1A8F3F-529E-44FA-9989-147C082B7B49}" name="Table1" displayName="Table1" ref="A1:W633" totalsRowShown="0" headerRowDxfId="32" headerRowBorderDxfId="31" tableBorderDxfId="30">
  <autoFilter ref="A1:W633" xr:uid="{AF1A8F3F-529E-44FA-9989-147C082B7B49}"/>
  <tableColumns count="23">
    <tableColumn id="1" xr3:uid="{94077901-EF2C-469A-831B-1E266AF93E41}" name="OrderID"/>
    <tableColumn id="2" xr3:uid="{E924CB2F-404D-4D12-AF08-CCD65D1FDA4B}" name="OrderDate" dataDxfId="29"/>
    <tableColumn id="3" xr3:uid="{BB3B819E-3ABC-4252-B7EF-FF34F9C2F4A1}" name="RequiredDate" dataDxfId="28"/>
    <tableColumn id="4" xr3:uid="{CBB37EB6-DF5C-4D9E-8143-4836397CDE39}" name="Leadtime days" dataDxfId="27">
      <calculatedColumnFormula>DATEDIF(B2,C2, "MD")</calculatedColumnFormula>
    </tableColumn>
    <tableColumn id="5" xr3:uid="{FE2B682C-0FD0-4FB8-9AE7-24C683218411}" name="Month" dataDxfId="26">
      <calculatedColumnFormula>TEXT(Data!B2,"MMM-YYYY")</calculatedColumnFormula>
    </tableColumn>
    <tableColumn id="6" xr3:uid="{FA1C0526-88F0-4B7E-8627-8E9B3EA3860C}" name="Quarter" dataDxfId="25">
      <calculatedColumnFormula>"Q"&amp;ROUNDUP(MONTH(B2)/3,0)&amp;"-"&amp;YEAR(B2)</calculatedColumnFormula>
    </tableColumn>
    <tableColumn id="7" xr3:uid="{C4635A40-3D0E-46DA-846F-A424D66F9557}" name="Region"/>
    <tableColumn id="8" xr3:uid="{7D7D4D24-3736-415A-8C33-156AF0F8F21E}" name="Country"/>
    <tableColumn id="9" xr3:uid="{A13AA7B9-9D90-4AB1-8464-18935F590913}" name="City"/>
    <tableColumn id="10" xr3:uid="{D2343D6D-145C-438A-8CD1-92CA111F7D5F}" name="CustomerSegment"/>
    <tableColumn id="11" xr3:uid="{E986B810-A956-4451-B49E-192304BABB46}" name="Channel"/>
    <tableColumn id="12" xr3:uid="{4552B0C1-18E1-4B8F-9F0E-A5283DF2CBFA}" name="Salesperson"/>
    <tableColumn id="13" xr3:uid="{E5841025-4A73-4D2D-9E76-0C8DDCBCC2FD}" name="ProductCategory"/>
    <tableColumn id="14" xr3:uid="{D20AF0B6-B467-4152-8E0F-8AE95627A473}" name="SKU"/>
    <tableColumn id="15" xr3:uid="{DA25F920-E4F7-4170-A5FA-592EDBF5D84C}" name="UnitCost" dataDxfId="24"/>
    <tableColumn id="16" xr3:uid="{1A6522E9-635F-471A-9EE3-58D106FBF762}" name="Price Band" dataDxfId="23">
      <calculatedColumnFormula>IF(Q2&lt;50, "Low", IF(Q2&lt;200, "Medium", "High"))</calculatedColumnFormula>
    </tableColumn>
    <tableColumn id="17" xr3:uid="{41A33A48-A737-4D57-9DFD-D0F222220AC5}" name="UnitPrice" dataDxfId="22"/>
    <tableColumn id="18" xr3:uid="{A7F41E6B-71D4-467F-AFA0-2E850DEDCF3E}" name="DiscountPct" dataDxfId="21"/>
    <tableColumn id="19" xr3:uid="{BE52D0F1-361A-438F-819C-0B95DB2BFD2A}" name="Quantity" dataDxfId="20"/>
    <tableColumn id="20" xr3:uid="{5215AD5E-5CEC-414B-A66C-ACD1C28AD14E}" name="Gross Revenue" dataDxfId="19">
      <calculatedColumnFormula>(Q28*S2)*(1-R2)</calculatedColumnFormula>
    </tableColumn>
    <tableColumn id="21" xr3:uid="{EA5ECB4E-76DB-4508-A885-29D84CC5276E}" name="Cost of Goods">
      <calculatedColumnFormula>(O2*S2)</calculatedColumnFormula>
    </tableColumn>
    <tableColumn id="22" xr3:uid="{F6E1BC0A-3A79-4FEE-A38F-AE13BAD8A586}" name="Gross Profit" dataDxfId="18">
      <calculatedColumnFormula>(T2-U2)</calculatedColumnFormula>
    </tableColumn>
    <tableColumn id="23" xr3:uid="{F1FFEB72-A006-48E6-BD27-88AE98BEF094}" name="Margin Percentage" dataDxfId="17">
      <calculatedColumnFormula>IF(T2=0, 0, V2/T2)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microsoft.com/office/2007/relationships/slicer" Target="../slicers/slicer1.xml"/><Relationship Id="rId4"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6.bin"/><Relationship Id="rId1" Type="http://schemas.openxmlformats.org/officeDocument/2006/relationships/pivotTable" Target="../pivotTables/pivotTable4.xml"/><Relationship Id="rId4" Type="http://schemas.microsoft.com/office/2007/relationships/slicer" Target="../slicers/slicer2.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7.bin"/><Relationship Id="rId1" Type="http://schemas.openxmlformats.org/officeDocument/2006/relationships/pivotTable" Target="../pivotTables/pivotTable5.xml"/><Relationship Id="rId4" Type="http://schemas.microsoft.com/office/2007/relationships/slicer" Target="../slicers/slicer3.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pivotTable" Target="../pivotTables/pivotTable7.xml"/><Relationship Id="rId4" Type="http://schemas.microsoft.com/office/2007/relationships/slicer" Target="../slicers/slicer4.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9.bin"/><Relationship Id="rId1" Type="http://schemas.openxmlformats.org/officeDocument/2006/relationships/pivotTable" Target="../pivotTables/pivotTable8.xml"/><Relationship Id="rId4" Type="http://schemas.microsoft.com/office/2007/relationships/slicer" Target="../slicers/slicer5.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10.bin"/><Relationship Id="rId4" Type="http://schemas.openxmlformats.org/officeDocument/2006/relationships/ctrlProp" Target="../ctrlProps/ctrlProp1.xml"/></Relationships>
</file>

<file path=xl/worksheets/_rels/sheet19.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7.xml"/></Relationships>
</file>

<file path=xl/worksheets/_rels/sheet20.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1DE45-7564-421B-A698-DA6B4528B876}">
  <dimension ref="A1:W633"/>
  <sheetViews>
    <sheetView topLeftCell="A606" zoomScaleNormal="100" workbookViewId="0">
      <selection activeCell="J1" sqref="A1:W633"/>
    </sheetView>
  </sheetViews>
  <sheetFormatPr defaultRowHeight="14.4" x14ac:dyDescent="0.3"/>
  <cols>
    <col min="1" max="1" width="16.109375" bestFit="1" customWidth="1"/>
    <col min="2" max="2" width="10.33203125" style="7" bestFit="1" customWidth="1"/>
    <col min="3" max="3" width="12.44140625" bestFit="1" customWidth="1"/>
    <col min="4" max="6" width="14.44140625" style="4" customWidth="1"/>
    <col min="7" max="7" width="8.44140625" bestFit="1" customWidth="1"/>
    <col min="8" max="8" width="14" bestFit="1" customWidth="1"/>
    <col min="9" max="9" width="12.44140625" bestFit="1" customWidth="1"/>
    <col min="10" max="10" width="16.6640625" bestFit="1" customWidth="1"/>
    <col min="11" max="11" width="11.21875" bestFit="1" customWidth="1"/>
    <col min="12" max="12" width="11" bestFit="1" customWidth="1"/>
    <col min="13" max="13" width="15.33203125" bestFit="1" customWidth="1"/>
    <col min="14" max="14" width="10" bestFit="1" customWidth="1"/>
    <col min="15" max="15" width="8.21875" style="4" bestFit="1" customWidth="1"/>
    <col min="16" max="16" width="11.109375" style="4" customWidth="1"/>
    <col min="17" max="17" width="8.6640625" style="4" bestFit="1" customWidth="1"/>
    <col min="18" max="18" width="11" style="4" bestFit="1" customWidth="1"/>
    <col min="19" max="19" width="8.33203125" style="4" bestFit="1" customWidth="1"/>
    <col min="20" max="20" width="14.5546875" customWidth="1"/>
    <col min="21" max="21" width="13.77734375" customWidth="1"/>
    <col min="22" max="22" width="11.77734375" customWidth="1"/>
    <col min="23" max="23" width="16.33203125" customWidth="1"/>
  </cols>
  <sheetData>
    <row r="1" spans="1:23" x14ac:dyDescent="0.3">
      <c r="A1" s="39" t="s">
        <v>15</v>
      </c>
      <c r="B1" s="40">
        <v>45362</v>
      </c>
      <c r="C1" s="41">
        <v>45388</v>
      </c>
      <c r="D1" s="42">
        <f>DATEDIF(B1,C1, "MD")</f>
        <v>26</v>
      </c>
      <c r="E1" s="42" t="str">
        <f>TEXT(Data!B1,"MMM-YYYY")</f>
        <v>Mar-2024</v>
      </c>
      <c r="F1" s="42" t="str">
        <f>"Q"&amp;ROUNDUP(MONTH(B1)/3,0)&amp;"-"&amp;YEAR(B1)</f>
        <v>Q1-2024</v>
      </c>
      <c r="G1" s="37" t="s">
        <v>16</v>
      </c>
      <c r="H1" s="37" t="s">
        <v>17</v>
      </c>
      <c r="I1" s="37" t="s">
        <v>18</v>
      </c>
      <c r="J1" s="37" t="s">
        <v>19</v>
      </c>
      <c r="K1" s="37" t="s">
        <v>20</v>
      </c>
      <c r="L1" s="37" t="s">
        <v>21</v>
      </c>
      <c r="M1" s="37" t="s">
        <v>22</v>
      </c>
      <c r="N1" s="37" t="s">
        <v>23</v>
      </c>
      <c r="O1" s="42">
        <v>279.24</v>
      </c>
      <c r="P1" s="43" t="str">
        <f>IF(Q1&lt;50, "Low", IF(Q1&lt;200, "Medium", "High"))</f>
        <v>High</v>
      </c>
      <c r="Q1" s="42">
        <v>608.9</v>
      </c>
      <c r="R1" s="42">
        <v>0.112</v>
      </c>
      <c r="S1" s="42">
        <v>9</v>
      </c>
      <c r="T1" s="42">
        <f t="shared" ref="T1:T64" si="0">(Q27*S1)*(1-R1)</f>
        <v>1403.9546399999999</v>
      </c>
      <c r="U1" s="37">
        <f t="shared" ref="U1:U64" si="1">(O1*S1)</f>
        <v>2513.16</v>
      </c>
      <c r="V1" s="42">
        <f>(T1-U1)</f>
        <v>-1109.2053599999999</v>
      </c>
      <c r="W1" s="44">
        <f>IF(T1=0, 0, V1/T1)</f>
        <v>-0.79005783263766982</v>
      </c>
    </row>
    <row r="2" spans="1:23" x14ac:dyDescent="0.3">
      <c r="A2" s="45" t="s">
        <v>24</v>
      </c>
      <c r="B2" s="46">
        <v>45588</v>
      </c>
      <c r="C2" s="47">
        <v>45587</v>
      </c>
      <c r="D2" s="48">
        <f>DATEDIF(C2, B2, "MD")</f>
        <v>1</v>
      </c>
      <c r="E2" s="48" t="str">
        <f>TEXT(Data!B2,"MMM-YYYY")</f>
        <v>Oct-2024</v>
      </c>
      <c r="F2" s="48" t="str">
        <f t="shared" ref="F2:F65" si="2">"Q"&amp;ROUNDUP(MONTH(B2)/3,0)&amp;"-"&amp;YEAR(B2)</f>
        <v>Q4-2024</v>
      </c>
      <c r="G2" s="38" t="s">
        <v>16</v>
      </c>
      <c r="H2" s="38" t="s">
        <v>25</v>
      </c>
      <c r="I2" s="38" t="s">
        <v>26</v>
      </c>
      <c r="J2" s="38" t="s">
        <v>27</v>
      </c>
      <c r="K2" s="38" t="s">
        <v>28</v>
      </c>
      <c r="L2" s="38" t="s">
        <v>29</v>
      </c>
      <c r="M2" s="38" t="s">
        <v>30</v>
      </c>
      <c r="N2" s="38" t="s">
        <v>31</v>
      </c>
      <c r="O2" s="48">
        <v>1084.3900000000001</v>
      </c>
      <c r="P2" s="49" t="str">
        <f t="shared" ref="P2:P65" si="3">IF(Q2&lt;50, "Low", IF(Q2&lt;200, "Medium", "High"))</f>
        <v>High</v>
      </c>
      <c r="Q2" s="48">
        <v>759.33</v>
      </c>
      <c r="R2" s="48">
        <v>0.23699999999999999</v>
      </c>
      <c r="S2" s="48">
        <v>31</v>
      </c>
      <c r="T2" s="48">
        <f t="shared" si="0"/>
        <v>17934.41419</v>
      </c>
      <c r="U2" s="38">
        <f t="shared" si="1"/>
        <v>33616.090000000004</v>
      </c>
      <c r="V2" s="48">
        <f t="shared" ref="V2:V65" si="4">(T2-U2)</f>
        <v>-15681.675810000004</v>
      </c>
      <c r="W2" s="50">
        <f t="shared" ref="W2:W65" si="5">IF(T2=0, 0, V2/T2)</f>
        <v>-0.87439018882166253</v>
      </c>
    </row>
    <row r="3" spans="1:23" x14ac:dyDescent="0.3">
      <c r="A3" s="39" t="s">
        <v>32</v>
      </c>
      <c r="B3" s="40">
        <v>44985</v>
      </c>
      <c r="C3" s="41">
        <v>45010</v>
      </c>
      <c r="D3" s="42">
        <f t="shared" ref="D3:D66" si="6">DATEDIF(B3,C3, "MD")</f>
        <v>25</v>
      </c>
      <c r="E3" s="42" t="str">
        <f>TEXT(Data!B3,"MMM-YYYY")</f>
        <v>Feb-2023</v>
      </c>
      <c r="F3" s="42" t="str">
        <f t="shared" si="2"/>
        <v>Q1-2023</v>
      </c>
      <c r="G3" s="37" t="s">
        <v>16</v>
      </c>
      <c r="H3" s="37" t="s">
        <v>17</v>
      </c>
      <c r="I3" s="37" t="s">
        <v>33</v>
      </c>
      <c r="J3" s="37" t="s">
        <v>19</v>
      </c>
      <c r="K3" s="37" t="s">
        <v>20</v>
      </c>
      <c r="L3" s="37" t="s">
        <v>34</v>
      </c>
      <c r="M3" s="37" t="s">
        <v>35</v>
      </c>
      <c r="N3" s="37" t="s">
        <v>36</v>
      </c>
      <c r="O3" s="42">
        <v>1460.76</v>
      </c>
      <c r="P3" s="43" t="str">
        <f t="shared" si="3"/>
        <v>Low</v>
      </c>
      <c r="Q3" s="42">
        <v>-30.66</v>
      </c>
      <c r="R3" s="42">
        <v>0.13100000000000001</v>
      </c>
      <c r="S3" s="42">
        <v>12</v>
      </c>
      <c r="T3" s="42">
        <f t="shared" si="0"/>
        <v>4534.0944</v>
      </c>
      <c r="U3" s="37">
        <f t="shared" si="1"/>
        <v>17529.12</v>
      </c>
      <c r="V3" s="42">
        <f t="shared" si="4"/>
        <v>-12995.025599999999</v>
      </c>
      <c r="W3" s="44">
        <f t="shared" si="5"/>
        <v>-2.8660686023652264</v>
      </c>
    </row>
    <row r="4" spans="1:23" x14ac:dyDescent="0.3">
      <c r="A4" s="45" t="s">
        <v>37</v>
      </c>
      <c r="B4" s="46">
        <v>45745</v>
      </c>
      <c r="C4" s="47">
        <v>45749</v>
      </c>
      <c r="D4" s="48">
        <f t="shared" si="6"/>
        <v>4</v>
      </c>
      <c r="E4" s="48" t="str">
        <f>TEXT(Data!B4,"MMM-YYYY")</f>
        <v>Mar-2025</v>
      </c>
      <c r="F4" s="48" t="str">
        <f t="shared" si="2"/>
        <v>Q1-2025</v>
      </c>
      <c r="G4" s="38" t="s">
        <v>16</v>
      </c>
      <c r="H4" s="38" t="s">
        <v>25</v>
      </c>
      <c r="I4" s="38" t="s">
        <v>38</v>
      </c>
      <c r="J4" s="38" t="s">
        <v>39</v>
      </c>
      <c r="K4" s="38" t="s">
        <v>40</v>
      </c>
      <c r="L4" s="38" t="s">
        <v>41</v>
      </c>
      <c r="M4" s="38" t="s">
        <v>42</v>
      </c>
      <c r="N4" s="38" t="s">
        <v>43</v>
      </c>
      <c r="O4" s="48">
        <v>259.93</v>
      </c>
      <c r="P4" s="49" t="str">
        <f t="shared" si="3"/>
        <v>High</v>
      </c>
      <c r="Q4" s="48">
        <v>255.94</v>
      </c>
      <c r="R4" s="48">
        <v>7.1999999999999995E-2</v>
      </c>
      <c r="S4" s="48">
        <v>22</v>
      </c>
      <c r="T4" s="48">
        <f t="shared" si="0"/>
        <v>34016.730880000003</v>
      </c>
      <c r="U4" s="38">
        <f t="shared" si="1"/>
        <v>5718.46</v>
      </c>
      <c r="V4" s="48">
        <f t="shared" si="4"/>
        <v>28298.270880000004</v>
      </c>
      <c r="W4" s="50">
        <f t="shared" si="5"/>
        <v>0.83189272301994943</v>
      </c>
    </row>
    <row r="5" spans="1:23" x14ac:dyDescent="0.3">
      <c r="A5" s="39" t="s">
        <v>44</v>
      </c>
      <c r="B5" s="40">
        <v>45266</v>
      </c>
      <c r="C5" s="41">
        <v>45291</v>
      </c>
      <c r="D5" s="42">
        <f t="shared" si="6"/>
        <v>25</v>
      </c>
      <c r="E5" s="42" t="str">
        <f>TEXT(Data!B5,"MMM-YYYY")</f>
        <v>Dec-2023</v>
      </c>
      <c r="F5" s="42" t="str">
        <f t="shared" si="2"/>
        <v>Q4-2023</v>
      </c>
      <c r="G5" s="37" t="s">
        <v>45</v>
      </c>
      <c r="H5" s="37" t="s">
        <v>46</v>
      </c>
      <c r="I5" s="37" t="s">
        <v>47</v>
      </c>
      <c r="J5" s="37" t="s">
        <v>48</v>
      </c>
      <c r="K5" s="37" t="s">
        <v>20</v>
      </c>
      <c r="L5" s="37" t="s">
        <v>49</v>
      </c>
      <c r="M5" s="37" t="s">
        <v>30</v>
      </c>
      <c r="N5" s="37" t="s">
        <v>50</v>
      </c>
      <c r="O5" s="42">
        <v>663.03</v>
      </c>
      <c r="P5" s="43" t="str">
        <f t="shared" si="3"/>
        <v>High</v>
      </c>
      <c r="Q5" s="42">
        <v>813.51</v>
      </c>
      <c r="R5" s="42">
        <v>0.10199999999999999</v>
      </c>
      <c r="S5" s="42">
        <v>15</v>
      </c>
      <c r="T5" s="42">
        <f t="shared" si="0"/>
        <v>8510.0765999999985</v>
      </c>
      <c r="U5" s="37">
        <f t="shared" si="1"/>
        <v>9945.4499999999989</v>
      </c>
      <c r="V5" s="42">
        <f t="shared" si="4"/>
        <v>-1435.3734000000004</v>
      </c>
      <c r="W5" s="44">
        <f t="shared" si="5"/>
        <v>-0.16866750647109341</v>
      </c>
    </row>
    <row r="6" spans="1:23" x14ac:dyDescent="0.3">
      <c r="A6" s="45" t="s">
        <v>51</v>
      </c>
      <c r="B6" s="46">
        <v>44928</v>
      </c>
      <c r="C6" s="47">
        <v>44931</v>
      </c>
      <c r="D6" s="48">
        <f t="shared" si="6"/>
        <v>3</v>
      </c>
      <c r="E6" s="48" t="str">
        <f>TEXT(Data!B6,"MMM-YYYY")</f>
        <v>Jan-2023</v>
      </c>
      <c r="F6" s="48" t="str">
        <f t="shared" si="2"/>
        <v>Q1-2023</v>
      </c>
      <c r="G6" s="38" t="s">
        <v>52</v>
      </c>
      <c r="H6" s="38" t="s">
        <v>53</v>
      </c>
      <c r="I6" s="38" t="s">
        <v>54</v>
      </c>
      <c r="J6" s="38" t="s">
        <v>19</v>
      </c>
      <c r="K6" s="38" t="s">
        <v>55</v>
      </c>
      <c r="L6" s="38" t="s">
        <v>56</v>
      </c>
      <c r="M6" s="38" t="s">
        <v>57</v>
      </c>
      <c r="N6" s="38" t="s">
        <v>58</v>
      </c>
      <c r="O6" s="48">
        <v>315.87</v>
      </c>
      <c r="P6" s="49" t="str">
        <f t="shared" si="3"/>
        <v>High</v>
      </c>
      <c r="Q6" s="48">
        <v>591.67999999999995</v>
      </c>
      <c r="R6" s="48">
        <v>0</v>
      </c>
      <c r="S6" s="48">
        <v>7</v>
      </c>
      <c r="T6" s="48">
        <f t="shared" si="0"/>
        <v>12558.49</v>
      </c>
      <c r="U6" s="38">
        <f t="shared" si="1"/>
        <v>2211.09</v>
      </c>
      <c r="V6" s="48">
        <f t="shared" si="4"/>
        <v>10347.4</v>
      </c>
      <c r="W6" s="50">
        <f t="shared" si="5"/>
        <v>0.82393663569425946</v>
      </c>
    </row>
    <row r="7" spans="1:23" x14ac:dyDescent="0.3">
      <c r="A7" s="39" t="s">
        <v>59</v>
      </c>
      <c r="B7" s="40">
        <v>45653</v>
      </c>
      <c r="C7" s="41">
        <v>45671</v>
      </c>
      <c r="D7" s="42">
        <f t="shared" si="6"/>
        <v>18</v>
      </c>
      <c r="E7" s="42" t="str">
        <f>TEXT(Data!B7,"MMM-YYYY")</f>
        <v>Dec-2024</v>
      </c>
      <c r="F7" s="42" t="str">
        <f t="shared" si="2"/>
        <v>Q4-2024</v>
      </c>
      <c r="G7" s="37" t="s">
        <v>45</v>
      </c>
      <c r="H7" s="37" t="s">
        <v>60</v>
      </c>
      <c r="I7" s="37" t="s">
        <v>61</v>
      </c>
      <c r="J7" s="37" t="s">
        <v>62</v>
      </c>
      <c r="K7" s="37" t="s">
        <v>40</v>
      </c>
      <c r="L7" s="37" t="s">
        <v>63</v>
      </c>
      <c r="M7" s="37" t="s">
        <v>64</v>
      </c>
      <c r="N7" s="37" t="s">
        <v>65</v>
      </c>
      <c r="O7" s="42">
        <v>586.07000000000005</v>
      </c>
      <c r="P7" s="43" t="str">
        <f t="shared" si="3"/>
        <v>High</v>
      </c>
      <c r="Q7" s="42">
        <v>845.97</v>
      </c>
      <c r="R7" s="42">
        <v>0.14699999999999999</v>
      </c>
      <c r="S7" s="42">
        <v>4</v>
      </c>
      <c r="T7" s="42">
        <f t="shared" si="0"/>
        <v>8983.864239999999</v>
      </c>
      <c r="U7" s="37">
        <f t="shared" si="1"/>
        <v>2344.2800000000002</v>
      </c>
      <c r="V7" s="42">
        <f t="shared" si="4"/>
        <v>6639.5842399999983</v>
      </c>
      <c r="W7" s="44">
        <f t="shared" si="5"/>
        <v>0.73905660889639613</v>
      </c>
    </row>
    <row r="8" spans="1:23" x14ac:dyDescent="0.3">
      <c r="A8" s="45" t="s">
        <v>66</v>
      </c>
      <c r="B8" s="46">
        <v>44941</v>
      </c>
      <c r="C8" s="47">
        <v>44939</v>
      </c>
      <c r="D8" s="48">
        <f>DATEDIF(C8,B8, "MD")</f>
        <v>2</v>
      </c>
      <c r="E8" s="48" t="str">
        <f>TEXT(Data!B8,"MMM-YYYY")</f>
        <v>Jan-2023</v>
      </c>
      <c r="F8" s="48" t="str">
        <f t="shared" si="2"/>
        <v>Q1-2023</v>
      </c>
      <c r="G8" s="38" t="s">
        <v>16</v>
      </c>
      <c r="H8" s="38" t="s">
        <v>25</v>
      </c>
      <c r="I8" s="38" t="s">
        <v>67</v>
      </c>
      <c r="J8" s="38" t="s">
        <v>27</v>
      </c>
      <c r="K8" s="38" t="s">
        <v>28</v>
      </c>
      <c r="L8" s="38" t="s">
        <v>68</v>
      </c>
      <c r="M8" s="38" t="s">
        <v>30</v>
      </c>
      <c r="N8" s="38" t="s">
        <v>69</v>
      </c>
      <c r="O8" s="48">
        <v>28.38</v>
      </c>
      <c r="P8" s="49" t="str">
        <f t="shared" si="3"/>
        <v>Low</v>
      </c>
      <c r="Q8" s="48">
        <v>47.22</v>
      </c>
      <c r="R8" s="48">
        <v>0.19400000000000001</v>
      </c>
      <c r="S8" s="48">
        <v>18</v>
      </c>
      <c r="T8" s="48">
        <f t="shared" si="0"/>
        <v>19177.399799999999</v>
      </c>
      <c r="U8" s="38">
        <f t="shared" si="1"/>
        <v>510.84</v>
      </c>
      <c r="V8" s="48">
        <f t="shared" si="4"/>
        <v>18666.559799999999</v>
      </c>
      <c r="W8" s="50">
        <f t="shared" si="5"/>
        <v>0.97336239504168864</v>
      </c>
    </row>
    <row r="9" spans="1:23" x14ac:dyDescent="0.3">
      <c r="A9" s="39" t="s">
        <v>70</v>
      </c>
      <c r="B9" s="40">
        <v>45416</v>
      </c>
      <c r="C9" s="41">
        <v>45441</v>
      </c>
      <c r="D9" s="42">
        <f t="shared" si="6"/>
        <v>25</v>
      </c>
      <c r="E9" s="42" t="str">
        <f>TEXT(Data!B9,"MMM-YYYY")</f>
        <v>May-2024</v>
      </c>
      <c r="F9" s="42" t="str">
        <f t="shared" si="2"/>
        <v>Q2-2024</v>
      </c>
      <c r="G9" s="37" t="s">
        <v>16</v>
      </c>
      <c r="H9" s="37" t="s">
        <v>25</v>
      </c>
      <c r="I9" s="37" t="s">
        <v>67</v>
      </c>
      <c r="J9" s="37" t="s">
        <v>39</v>
      </c>
      <c r="K9" s="37" t="s">
        <v>40</v>
      </c>
      <c r="L9" s="37" t="s">
        <v>68</v>
      </c>
      <c r="M9" s="37" t="s">
        <v>64</v>
      </c>
      <c r="N9" s="37" t="s">
        <v>71</v>
      </c>
      <c r="O9" s="42">
        <v>1295.3399999999999</v>
      </c>
      <c r="P9" s="43" t="str">
        <f t="shared" si="3"/>
        <v>High</v>
      </c>
      <c r="Q9" s="42">
        <v>2530.81</v>
      </c>
      <c r="R9" s="42">
        <v>3.1E-2</v>
      </c>
      <c r="S9" s="42">
        <v>6</v>
      </c>
      <c r="T9" s="42">
        <f t="shared" si="0"/>
        <v>17656.36218</v>
      </c>
      <c r="U9" s="37">
        <f t="shared" si="1"/>
        <v>7772.0399999999991</v>
      </c>
      <c r="V9" s="42">
        <f t="shared" si="4"/>
        <v>9884.322180000001</v>
      </c>
      <c r="W9" s="44">
        <f t="shared" si="5"/>
        <v>0.55981646044825306</v>
      </c>
    </row>
    <row r="10" spans="1:23" x14ac:dyDescent="0.3">
      <c r="A10" s="45" t="s">
        <v>72</v>
      </c>
      <c r="B10" s="46">
        <v>45798</v>
      </c>
      <c r="C10" s="47">
        <v>45817</v>
      </c>
      <c r="D10" s="48">
        <f t="shared" si="6"/>
        <v>19</v>
      </c>
      <c r="E10" s="48" t="str">
        <f>TEXT(Data!B10,"MMM-YYYY")</f>
        <v>May-2025</v>
      </c>
      <c r="F10" s="48" t="str">
        <f t="shared" si="2"/>
        <v>Q2-2025</v>
      </c>
      <c r="G10" s="38" t="s">
        <v>52</v>
      </c>
      <c r="H10" s="38" t="s">
        <v>73</v>
      </c>
      <c r="I10" s="38" t="s">
        <v>74</v>
      </c>
      <c r="J10" s="38" t="s">
        <v>39</v>
      </c>
      <c r="K10" s="38" t="s">
        <v>28</v>
      </c>
      <c r="L10" s="38" t="s">
        <v>75</v>
      </c>
      <c r="M10" s="38" t="s">
        <v>22</v>
      </c>
      <c r="N10" s="38" t="s">
        <v>76</v>
      </c>
      <c r="O10" s="48">
        <v>1331.38</v>
      </c>
      <c r="P10" s="49" t="str">
        <f t="shared" si="3"/>
        <v>High</v>
      </c>
      <c r="Q10" s="48">
        <v>2309.56</v>
      </c>
      <c r="R10" s="48">
        <v>0.14899999999999999</v>
      </c>
      <c r="S10" s="48">
        <v>31</v>
      </c>
      <c r="T10" s="48">
        <f t="shared" si="0"/>
        <v>5259.5799699999998</v>
      </c>
      <c r="U10" s="38">
        <f t="shared" si="1"/>
        <v>41272.780000000006</v>
      </c>
      <c r="V10" s="48">
        <f t="shared" si="4"/>
        <v>-36013.200030000007</v>
      </c>
      <c r="W10" s="50">
        <f t="shared" si="5"/>
        <v>-6.8471627459635354</v>
      </c>
    </row>
    <row r="11" spans="1:23" x14ac:dyDescent="0.3">
      <c r="A11" s="39" t="s">
        <v>77</v>
      </c>
      <c r="B11" s="40">
        <v>45319</v>
      </c>
      <c r="C11" s="41">
        <v>45331</v>
      </c>
      <c r="D11" s="42">
        <f t="shared" si="6"/>
        <v>12</v>
      </c>
      <c r="E11" s="42" t="str">
        <f>TEXT(Data!B11,"MMM-YYYY")</f>
        <v>Jan-2024</v>
      </c>
      <c r="F11" s="42" t="str">
        <f t="shared" si="2"/>
        <v>Q1-2024</v>
      </c>
      <c r="G11" s="37" t="s">
        <v>78</v>
      </c>
      <c r="H11" s="37" t="s">
        <v>79</v>
      </c>
      <c r="I11" s="37" t="s">
        <v>80</v>
      </c>
      <c r="J11" s="37" t="s">
        <v>19</v>
      </c>
      <c r="K11" s="37" t="s">
        <v>28</v>
      </c>
      <c r="L11" s="37" t="s">
        <v>41</v>
      </c>
      <c r="M11" s="37" t="s">
        <v>81</v>
      </c>
      <c r="N11" s="37" t="s">
        <v>82</v>
      </c>
      <c r="O11" s="42">
        <v>644.16999999999996</v>
      </c>
      <c r="P11" s="43" t="str">
        <f t="shared" si="3"/>
        <v>High</v>
      </c>
      <c r="Q11" s="42">
        <v>700.12</v>
      </c>
      <c r="R11" s="42">
        <v>6.0000000000000001E-3</v>
      </c>
      <c r="S11" s="42">
        <v>23</v>
      </c>
      <c r="T11" s="42">
        <f t="shared" si="0"/>
        <v>21204.733619999999</v>
      </c>
      <c r="U11" s="37">
        <f t="shared" si="1"/>
        <v>14815.91</v>
      </c>
      <c r="V11" s="42">
        <f t="shared" si="4"/>
        <v>6388.8236199999992</v>
      </c>
      <c r="W11" s="44">
        <f t="shared" si="5"/>
        <v>0.30129233097152197</v>
      </c>
    </row>
    <row r="12" spans="1:23" x14ac:dyDescent="0.3">
      <c r="A12" s="45" t="s">
        <v>83</v>
      </c>
      <c r="B12" s="46">
        <v>45660</v>
      </c>
      <c r="C12" s="47">
        <v>45680</v>
      </c>
      <c r="D12" s="48">
        <f t="shared" si="6"/>
        <v>20</v>
      </c>
      <c r="E12" s="48" t="str">
        <f>TEXT(Data!B12,"MMM-YYYY")</f>
        <v>Jan-2025</v>
      </c>
      <c r="F12" s="48" t="str">
        <f t="shared" si="2"/>
        <v>Q1-2025</v>
      </c>
      <c r="G12" s="38" t="s">
        <v>45</v>
      </c>
      <c r="H12" s="38" t="s">
        <v>46</v>
      </c>
      <c r="I12" s="38" t="s">
        <v>47</v>
      </c>
      <c r="J12" s="38" t="s">
        <v>19</v>
      </c>
      <c r="K12" s="38" t="s">
        <v>55</v>
      </c>
      <c r="L12" s="38" t="s">
        <v>84</v>
      </c>
      <c r="M12" s="38" t="s">
        <v>42</v>
      </c>
      <c r="N12" s="38" t="s">
        <v>85</v>
      </c>
      <c r="O12" s="48">
        <v>908.6</v>
      </c>
      <c r="P12" s="49" t="str">
        <f t="shared" si="3"/>
        <v>High</v>
      </c>
      <c r="Q12" s="48">
        <v>691.37</v>
      </c>
      <c r="R12" s="48">
        <v>0.25</v>
      </c>
      <c r="S12" s="48">
        <v>20</v>
      </c>
      <c r="T12" s="48">
        <f t="shared" si="0"/>
        <v>26031.15</v>
      </c>
      <c r="U12" s="38">
        <f t="shared" si="1"/>
        <v>18172</v>
      </c>
      <c r="V12" s="48">
        <f t="shared" si="4"/>
        <v>7859.1500000000015</v>
      </c>
      <c r="W12" s="50">
        <f t="shared" si="5"/>
        <v>0.30191328466087747</v>
      </c>
    </row>
    <row r="13" spans="1:23" x14ac:dyDescent="0.3">
      <c r="A13" s="39" t="s">
        <v>86</v>
      </c>
      <c r="B13" s="40">
        <v>45722</v>
      </c>
      <c r="C13" s="41">
        <v>45747</v>
      </c>
      <c r="D13" s="42">
        <f t="shared" si="6"/>
        <v>25</v>
      </c>
      <c r="E13" s="42" t="str">
        <f>TEXT(Data!B13,"MMM-YYYY")</f>
        <v>Mar-2025</v>
      </c>
      <c r="F13" s="42" t="str">
        <f t="shared" si="2"/>
        <v>Q1-2025</v>
      </c>
      <c r="G13" s="37" t="s">
        <v>52</v>
      </c>
      <c r="H13" s="37" t="s">
        <v>73</v>
      </c>
      <c r="I13" s="37" t="s">
        <v>87</v>
      </c>
      <c r="J13" s="37" t="s">
        <v>39</v>
      </c>
      <c r="K13" s="37" t="s">
        <v>28</v>
      </c>
      <c r="L13" s="37" t="s">
        <v>29</v>
      </c>
      <c r="M13" s="37" t="s">
        <v>22</v>
      </c>
      <c r="N13" s="37" t="s">
        <v>88</v>
      </c>
      <c r="O13" s="42">
        <v>331.57</v>
      </c>
      <c r="P13" s="43" t="str">
        <f t="shared" si="3"/>
        <v>High</v>
      </c>
      <c r="Q13" s="42">
        <v>548.4</v>
      </c>
      <c r="R13" s="42">
        <v>9.4E-2</v>
      </c>
      <c r="S13" s="42">
        <v>10</v>
      </c>
      <c r="T13" s="42">
        <f t="shared" si="0"/>
        <v>12644.498400000002</v>
      </c>
      <c r="U13" s="37">
        <f t="shared" si="1"/>
        <v>3315.7</v>
      </c>
      <c r="V13" s="42">
        <f t="shared" si="4"/>
        <v>9328.7984000000033</v>
      </c>
      <c r="W13" s="44">
        <f t="shared" si="5"/>
        <v>0.73777528415045723</v>
      </c>
    </row>
    <row r="14" spans="1:23" x14ac:dyDescent="0.3">
      <c r="A14" s="45" t="s">
        <v>89</v>
      </c>
      <c r="B14" s="46">
        <v>45311</v>
      </c>
      <c r="C14" s="47">
        <v>45335</v>
      </c>
      <c r="D14" s="48">
        <f t="shared" si="6"/>
        <v>24</v>
      </c>
      <c r="E14" s="48" t="str">
        <f>TEXT(Data!B14,"MMM-YYYY")</f>
        <v>Jan-2024</v>
      </c>
      <c r="F14" s="48" t="str">
        <f t="shared" si="2"/>
        <v>Q1-2024</v>
      </c>
      <c r="G14" s="38" t="s">
        <v>78</v>
      </c>
      <c r="H14" s="38" t="s">
        <v>90</v>
      </c>
      <c r="I14" s="38" t="s">
        <v>91</v>
      </c>
      <c r="J14" s="38" t="s">
        <v>19</v>
      </c>
      <c r="K14" s="38" t="s">
        <v>20</v>
      </c>
      <c r="L14" s="38" t="s">
        <v>92</v>
      </c>
      <c r="M14" s="38" t="s">
        <v>30</v>
      </c>
      <c r="N14" s="38" t="s">
        <v>93</v>
      </c>
      <c r="O14" s="48">
        <v>643.53</v>
      </c>
      <c r="P14" s="49" t="str">
        <f t="shared" si="3"/>
        <v>High</v>
      </c>
      <c r="Q14" s="48">
        <v>1439.01</v>
      </c>
      <c r="R14" s="48">
        <v>0</v>
      </c>
      <c r="S14" s="48">
        <v>15</v>
      </c>
      <c r="T14" s="48">
        <f t="shared" si="0"/>
        <v>6816.3</v>
      </c>
      <c r="U14" s="38">
        <f t="shared" si="1"/>
        <v>9652.9499999999989</v>
      </c>
      <c r="V14" s="48">
        <f t="shared" si="4"/>
        <v>-2836.6499999999987</v>
      </c>
      <c r="W14" s="50">
        <f t="shared" si="5"/>
        <v>-0.4161568592931647</v>
      </c>
    </row>
    <row r="15" spans="1:23" x14ac:dyDescent="0.3">
      <c r="A15" s="39" t="s">
        <v>94</v>
      </c>
      <c r="B15" s="40">
        <v>45901</v>
      </c>
      <c r="C15" s="41">
        <v>45930</v>
      </c>
      <c r="D15" s="42">
        <f t="shared" si="6"/>
        <v>29</v>
      </c>
      <c r="E15" s="42" t="str">
        <f>TEXT(Data!B15,"MMM-YYYY")</f>
        <v>Sept-2025</v>
      </c>
      <c r="F15" s="42" t="str">
        <f t="shared" si="2"/>
        <v>Q3-2025</v>
      </c>
      <c r="G15" s="37" t="s">
        <v>52</v>
      </c>
      <c r="H15" s="37" t="s">
        <v>73</v>
      </c>
      <c r="I15" s="37" t="s">
        <v>87</v>
      </c>
      <c r="J15" s="37" t="s">
        <v>27</v>
      </c>
      <c r="K15" s="37" t="s">
        <v>20</v>
      </c>
      <c r="L15" s="37" t="s">
        <v>95</v>
      </c>
      <c r="M15" s="37" t="s">
        <v>81</v>
      </c>
      <c r="N15" s="37" t="s">
        <v>96</v>
      </c>
      <c r="O15" s="42">
        <v>780.59</v>
      </c>
      <c r="P15" s="43" t="str">
        <f t="shared" si="3"/>
        <v>High</v>
      </c>
      <c r="Q15" s="42">
        <v>631.57000000000005</v>
      </c>
      <c r="R15" s="42">
        <v>0</v>
      </c>
      <c r="S15" s="42">
        <v>12</v>
      </c>
      <c r="T15" s="42">
        <f t="shared" si="0"/>
        <v>18971.64</v>
      </c>
      <c r="U15" s="37">
        <f t="shared" si="1"/>
        <v>9367.08</v>
      </c>
      <c r="V15" s="42">
        <f t="shared" si="4"/>
        <v>9604.56</v>
      </c>
      <c r="W15" s="44">
        <f t="shared" si="5"/>
        <v>0.50625881579030596</v>
      </c>
    </row>
    <row r="16" spans="1:23" x14ac:dyDescent="0.3">
      <c r="A16" s="45" t="s">
        <v>97</v>
      </c>
      <c r="B16" s="46">
        <v>45039</v>
      </c>
      <c r="C16" s="47">
        <v>45038</v>
      </c>
      <c r="D16" s="48">
        <f>DATEDIF(C16, B16, "MD")</f>
        <v>1</v>
      </c>
      <c r="E16" s="48" t="str">
        <f>TEXT(Data!B16,"MMM-YYYY")</f>
        <v>Apr-2023</v>
      </c>
      <c r="F16" s="48" t="str">
        <f t="shared" si="2"/>
        <v>Q2-2023</v>
      </c>
      <c r="G16" s="38" t="s">
        <v>16</v>
      </c>
      <c r="H16" s="38" t="s">
        <v>17</v>
      </c>
      <c r="I16" s="38" t="s">
        <v>33</v>
      </c>
      <c r="J16" s="38" t="s">
        <v>62</v>
      </c>
      <c r="K16" s="38" t="s">
        <v>98</v>
      </c>
      <c r="L16" s="38" t="s">
        <v>63</v>
      </c>
      <c r="M16" s="38" t="s">
        <v>57</v>
      </c>
      <c r="N16" s="38" t="s">
        <v>99</v>
      </c>
      <c r="O16" s="48">
        <v>756.51</v>
      </c>
      <c r="P16" s="49" t="str">
        <f t="shared" si="3"/>
        <v>High</v>
      </c>
      <c r="Q16" s="48">
        <v>850.8</v>
      </c>
      <c r="R16" s="48">
        <v>7.3999999999999996E-2</v>
      </c>
      <c r="S16" s="48">
        <v>9</v>
      </c>
      <c r="T16" s="48">
        <f t="shared" si="0"/>
        <v>14666.089860000002</v>
      </c>
      <c r="U16" s="38">
        <f t="shared" si="1"/>
        <v>6808.59</v>
      </c>
      <c r="V16" s="48">
        <f t="shared" si="4"/>
        <v>7857.4998600000017</v>
      </c>
      <c r="W16" s="50">
        <f t="shared" si="5"/>
        <v>0.53575969702943038</v>
      </c>
    </row>
    <row r="17" spans="1:23" x14ac:dyDescent="0.3">
      <c r="A17" s="39" t="s">
        <v>100</v>
      </c>
      <c r="B17" s="40">
        <v>45636</v>
      </c>
      <c r="C17" s="41">
        <v>45665</v>
      </c>
      <c r="D17" s="42">
        <f t="shared" si="6"/>
        <v>29</v>
      </c>
      <c r="E17" s="42" t="str">
        <f>TEXT(Data!B17,"MMM-YYYY")</f>
        <v>Dec-2024</v>
      </c>
      <c r="F17" s="42" t="str">
        <f t="shared" si="2"/>
        <v>Q4-2024</v>
      </c>
      <c r="G17" s="37" t="s">
        <v>78</v>
      </c>
      <c r="H17" s="37" t="s">
        <v>90</v>
      </c>
      <c r="I17" s="37" t="s">
        <v>91</v>
      </c>
      <c r="J17" s="37" t="s">
        <v>62</v>
      </c>
      <c r="K17" s="37" t="s">
        <v>20</v>
      </c>
      <c r="L17" s="37" t="s">
        <v>95</v>
      </c>
      <c r="M17" s="37" t="s">
        <v>30</v>
      </c>
      <c r="N17" s="37" t="s">
        <v>101</v>
      </c>
      <c r="O17" s="42">
        <v>891.08</v>
      </c>
      <c r="P17" s="43" t="str">
        <f t="shared" si="3"/>
        <v>High</v>
      </c>
      <c r="Q17" s="42">
        <v>1040.0999999999999</v>
      </c>
      <c r="R17" s="42">
        <v>0.109</v>
      </c>
      <c r="S17" s="42">
        <v>28</v>
      </c>
      <c r="T17" s="42">
        <f t="shared" si="0"/>
        <v>79945.865999999995</v>
      </c>
      <c r="U17" s="37">
        <f t="shared" si="1"/>
        <v>24950.240000000002</v>
      </c>
      <c r="V17" s="42">
        <f t="shared" si="4"/>
        <v>54995.625999999989</v>
      </c>
      <c r="W17" s="44">
        <f t="shared" si="5"/>
        <v>0.68791081705212864</v>
      </c>
    </row>
    <row r="18" spans="1:23" x14ac:dyDescent="0.3">
      <c r="A18" s="45" t="s">
        <v>102</v>
      </c>
      <c r="B18" s="46">
        <v>45908</v>
      </c>
      <c r="C18" s="47">
        <v>45916</v>
      </c>
      <c r="D18" s="48">
        <f t="shared" si="6"/>
        <v>8</v>
      </c>
      <c r="E18" s="48" t="str">
        <f>TEXT(Data!B18,"MMM-YYYY")</f>
        <v>Sept-2025</v>
      </c>
      <c r="F18" s="48" t="str">
        <f t="shared" si="2"/>
        <v>Q3-2025</v>
      </c>
      <c r="G18" s="38" t="s">
        <v>45</v>
      </c>
      <c r="H18" s="38" t="s">
        <v>46</v>
      </c>
      <c r="I18" s="38" t="s">
        <v>47</v>
      </c>
      <c r="J18" s="38" t="s">
        <v>19</v>
      </c>
      <c r="K18" s="38" t="s">
        <v>55</v>
      </c>
      <c r="L18" s="38" t="s">
        <v>21</v>
      </c>
      <c r="M18" s="38" t="s">
        <v>42</v>
      </c>
      <c r="N18" s="38" t="s">
        <v>103</v>
      </c>
      <c r="O18" s="48">
        <v>1225.57</v>
      </c>
      <c r="P18" s="49" t="str">
        <f t="shared" si="3"/>
        <v>High</v>
      </c>
      <c r="Q18" s="48">
        <v>2705.57</v>
      </c>
      <c r="R18" s="48">
        <v>0.183</v>
      </c>
      <c r="S18" s="48">
        <v>16</v>
      </c>
      <c r="T18" s="48">
        <f t="shared" si="0"/>
        <v>14842.34096</v>
      </c>
      <c r="U18" s="38">
        <f t="shared" si="1"/>
        <v>19609.12</v>
      </c>
      <c r="V18" s="48">
        <f t="shared" si="4"/>
        <v>-4766.7790399999994</v>
      </c>
      <c r="W18" s="50">
        <f t="shared" si="5"/>
        <v>-0.32116086356232038</v>
      </c>
    </row>
    <row r="19" spans="1:23" x14ac:dyDescent="0.3">
      <c r="A19" s="39" t="s">
        <v>104</v>
      </c>
      <c r="B19" s="40">
        <v>45858</v>
      </c>
      <c r="C19" s="41">
        <v>45874</v>
      </c>
      <c r="D19" s="42">
        <f t="shared" si="6"/>
        <v>16</v>
      </c>
      <c r="E19" s="42" t="str">
        <f>TEXT(Data!B19,"MMM-YYYY")</f>
        <v>Jul-2025</v>
      </c>
      <c r="F19" s="42" t="str">
        <f t="shared" si="2"/>
        <v>Q3-2025</v>
      </c>
      <c r="G19" s="37" t="s">
        <v>52</v>
      </c>
      <c r="H19" s="37" t="s">
        <v>73</v>
      </c>
      <c r="I19" s="37" t="s">
        <v>87</v>
      </c>
      <c r="J19" s="37" t="s">
        <v>105</v>
      </c>
      <c r="K19" s="37" t="s">
        <v>40</v>
      </c>
      <c r="L19" s="37" t="s">
        <v>41</v>
      </c>
      <c r="M19" s="37" t="s">
        <v>81</v>
      </c>
      <c r="N19" s="37" t="s">
        <v>106</v>
      </c>
      <c r="O19" s="42">
        <v>1068.17</v>
      </c>
      <c r="P19" s="43" t="str">
        <f t="shared" si="3"/>
        <v>High</v>
      </c>
      <c r="Q19" s="42">
        <v>2375.37</v>
      </c>
      <c r="R19" s="42">
        <v>0.109</v>
      </c>
      <c r="S19" s="42">
        <v>18</v>
      </c>
      <c r="T19" s="42">
        <f t="shared" si="0"/>
        <v>15979.62168</v>
      </c>
      <c r="U19" s="37">
        <f t="shared" si="1"/>
        <v>19227.060000000001</v>
      </c>
      <c r="V19" s="42">
        <f t="shared" si="4"/>
        <v>-3247.4383200000011</v>
      </c>
      <c r="W19" s="44">
        <f t="shared" si="5"/>
        <v>-0.20322372988745258</v>
      </c>
    </row>
    <row r="20" spans="1:23" x14ac:dyDescent="0.3">
      <c r="A20" s="45" t="s">
        <v>107</v>
      </c>
      <c r="B20" s="46">
        <v>45798</v>
      </c>
      <c r="C20" s="47">
        <v>45796</v>
      </c>
      <c r="D20" s="48">
        <f>DATEDIF(C20,B20, "MD")</f>
        <v>2</v>
      </c>
      <c r="E20" s="48" t="str">
        <f>TEXT(Data!B20,"MMM-YYYY")</f>
        <v>May-2025</v>
      </c>
      <c r="F20" s="48" t="str">
        <f t="shared" si="2"/>
        <v>Q2-2025</v>
      </c>
      <c r="G20" s="38" t="s">
        <v>78</v>
      </c>
      <c r="H20" s="38" t="s">
        <v>108</v>
      </c>
      <c r="I20" s="38" t="s">
        <v>109</v>
      </c>
      <c r="J20" s="38" t="s">
        <v>105</v>
      </c>
      <c r="K20" s="38" t="s">
        <v>28</v>
      </c>
      <c r="L20" s="38" t="s">
        <v>110</v>
      </c>
      <c r="M20" s="38" t="s">
        <v>57</v>
      </c>
      <c r="N20" s="38" t="s">
        <v>111</v>
      </c>
      <c r="O20" s="48">
        <v>1015.16</v>
      </c>
      <c r="P20" s="49" t="str">
        <f t="shared" si="3"/>
        <v>High</v>
      </c>
      <c r="Q20" s="48">
        <v>2148.14</v>
      </c>
      <c r="R20" s="48">
        <v>3.7999999999999999E-2</v>
      </c>
      <c r="S20" s="48">
        <v>19</v>
      </c>
      <c r="T20" s="48">
        <f t="shared" si="0"/>
        <v>25535.279900000001</v>
      </c>
      <c r="U20" s="38">
        <f t="shared" si="1"/>
        <v>19288.04</v>
      </c>
      <c r="V20" s="48">
        <f t="shared" si="4"/>
        <v>6247.2399000000005</v>
      </c>
      <c r="W20" s="50">
        <f t="shared" si="5"/>
        <v>0.24465131866441769</v>
      </c>
    </row>
    <row r="21" spans="1:23" x14ac:dyDescent="0.3">
      <c r="A21" s="39" t="s">
        <v>112</v>
      </c>
      <c r="B21" s="40">
        <v>45498</v>
      </c>
      <c r="C21" s="41">
        <v>45497</v>
      </c>
      <c r="D21" s="42">
        <f>DATEDIF(C21,B21, "MD")</f>
        <v>1</v>
      </c>
      <c r="E21" s="42" t="str">
        <f>TEXT(Data!B21,"MMM-YYYY")</f>
        <v>Jul-2024</v>
      </c>
      <c r="F21" s="42" t="str">
        <f t="shared" si="2"/>
        <v>Q3-2024</v>
      </c>
      <c r="G21" s="37" t="s">
        <v>16</v>
      </c>
      <c r="H21" s="37" t="s">
        <v>17</v>
      </c>
      <c r="I21" s="37" t="s">
        <v>113</v>
      </c>
      <c r="J21" s="37" t="s">
        <v>39</v>
      </c>
      <c r="K21" s="37" t="s">
        <v>98</v>
      </c>
      <c r="L21" s="37" t="s">
        <v>29</v>
      </c>
      <c r="M21" s="37" t="s">
        <v>57</v>
      </c>
      <c r="N21" s="37" t="s">
        <v>114</v>
      </c>
      <c r="O21" s="42">
        <v>1494.4</v>
      </c>
      <c r="P21" s="43" t="str">
        <f t="shared" si="3"/>
        <v>High</v>
      </c>
      <c r="Q21" s="42">
        <v>3661.07</v>
      </c>
      <c r="R21" s="42">
        <v>7.1999999999999995E-2</v>
      </c>
      <c r="S21" s="42">
        <v>7</v>
      </c>
      <c r="T21" s="42">
        <f t="shared" si="0"/>
        <v>3565.5894400000002</v>
      </c>
      <c r="U21" s="37">
        <f t="shared" si="1"/>
        <v>10460.800000000001</v>
      </c>
      <c r="V21" s="42">
        <f t="shared" si="4"/>
        <v>-6895.2105600000014</v>
      </c>
      <c r="W21" s="44">
        <f t="shared" si="5"/>
        <v>-1.9338206700544864</v>
      </c>
    </row>
    <row r="22" spans="1:23" x14ac:dyDescent="0.3">
      <c r="A22" s="45" t="s">
        <v>115</v>
      </c>
      <c r="B22" s="46">
        <v>45057</v>
      </c>
      <c r="C22" s="47">
        <v>45074</v>
      </c>
      <c r="D22" s="48">
        <f t="shared" si="6"/>
        <v>17</v>
      </c>
      <c r="E22" s="48" t="str">
        <f>TEXT(Data!B22,"MMM-YYYY")</f>
        <v>May-2023</v>
      </c>
      <c r="F22" s="48" t="str">
        <f t="shared" si="2"/>
        <v>Q2-2023</v>
      </c>
      <c r="G22" s="38" t="s">
        <v>45</v>
      </c>
      <c r="H22" s="38" t="s">
        <v>116</v>
      </c>
      <c r="I22" s="38" t="s">
        <v>117</v>
      </c>
      <c r="J22" s="38" t="s">
        <v>105</v>
      </c>
      <c r="K22" s="38" t="s">
        <v>40</v>
      </c>
      <c r="L22" s="38" t="s">
        <v>63</v>
      </c>
      <c r="M22" s="38" t="s">
        <v>35</v>
      </c>
      <c r="N22" s="38" t="s">
        <v>118</v>
      </c>
      <c r="O22" s="48">
        <v>1331.19</v>
      </c>
      <c r="P22" s="49" t="str">
        <f t="shared" si="3"/>
        <v>High</v>
      </c>
      <c r="Q22" s="48">
        <v>2903.09</v>
      </c>
      <c r="R22" s="48">
        <v>0.14299999999999999</v>
      </c>
      <c r="S22" s="48">
        <v>8</v>
      </c>
      <c r="T22" s="48">
        <f t="shared" si="0"/>
        <v>24160.543999999998</v>
      </c>
      <c r="U22" s="38">
        <f t="shared" si="1"/>
        <v>10649.52</v>
      </c>
      <c r="V22" s="48">
        <f t="shared" si="4"/>
        <v>13511.023999999998</v>
      </c>
      <c r="W22" s="50">
        <f t="shared" si="5"/>
        <v>0.55921853415221112</v>
      </c>
    </row>
    <row r="23" spans="1:23" x14ac:dyDescent="0.3">
      <c r="A23" s="39" t="s">
        <v>119</v>
      </c>
      <c r="B23" s="40">
        <v>45822</v>
      </c>
      <c r="C23" s="41">
        <v>45837</v>
      </c>
      <c r="D23" s="42">
        <f t="shared" si="6"/>
        <v>15</v>
      </c>
      <c r="E23" s="42" t="str">
        <f>TEXT(Data!B23,"MMM-YYYY")</f>
        <v>Jun-2025</v>
      </c>
      <c r="F23" s="42" t="str">
        <f t="shared" si="2"/>
        <v>Q2-2025</v>
      </c>
      <c r="G23" s="37" t="s">
        <v>16</v>
      </c>
      <c r="H23" s="37" t="s">
        <v>25</v>
      </c>
      <c r="I23" s="37" t="s">
        <v>26</v>
      </c>
      <c r="J23" s="37" t="s">
        <v>48</v>
      </c>
      <c r="K23" s="37" t="s">
        <v>40</v>
      </c>
      <c r="L23" s="37" t="s">
        <v>110</v>
      </c>
      <c r="M23" s="37" t="s">
        <v>81</v>
      </c>
      <c r="N23" s="37" t="s">
        <v>120</v>
      </c>
      <c r="O23" s="42">
        <v>730.99</v>
      </c>
      <c r="P23" s="43" t="str">
        <f t="shared" si="3"/>
        <v>High</v>
      </c>
      <c r="Q23" s="42">
        <v>1242.8399999999999</v>
      </c>
      <c r="R23" s="42">
        <v>0.12</v>
      </c>
      <c r="S23" s="42">
        <v>10</v>
      </c>
      <c r="T23" s="42">
        <f t="shared" si="0"/>
        <v>16065.367999999999</v>
      </c>
      <c r="U23" s="37">
        <f t="shared" si="1"/>
        <v>7309.9</v>
      </c>
      <c r="V23" s="42">
        <f t="shared" si="4"/>
        <v>8755.4679999999989</v>
      </c>
      <c r="W23" s="44">
        <f t="shared" si="5"/>
        <v>0.54499019256826231</v>
      </c>
    </row>
    <row r="24" spans="1:23" x14ac:dyDescent="0.3">
      <c r="A24" s="45" t="s">
        <v>121</v>
      </c>
      <c r="B24" s="46">
        <v>45430</v>
      </c>
      <c r="C24" s="47">
        <v>45435</v>
      </c>
      <c r="D24" s="48">
        <f t="shared" si="6"/>
        <v>5</v>
      </c>
      <c r="E24" s="48" t="str">
        <f>TEXT(Data!B24,"MMM-YYYY")</f>
        <v>May-2024</v>
      </c>
      <c r="F24" s="48" t="str">
        <f t="shared" si="2"/>
        <v>Q2-2024</v>
      </c>
      <c r="G24" s="38" t="s">
        <v>52</v>
      </c>
      <c r="H24" s="38" t="s">
        <v>122</v>
      </c>
      <c r="I24" s="38" t="s">
        <v>123</v>
      </c>
      <c r="J24" s="38" t="s">
        <v>105</v>
      </c>
      <c r="K24" s="38" t="s">
        <v>20</v>
      </c>
      <c r="L24" s="38" t="s">
        <v>92</v>
      </c>
      <c r="M24" s="38" t="s">
        <v>57</v>
      </c>
      <c r="N24" s="38" t="s">
        <v>124</v>
      </c>
      <c r="O24" s="48">
        <v>1274.5899999999999</v>
      </c>
      <c r="P24" s="49" t="str">
        <f t="shared" si="3"/>
        <v>High</v>
      </c>
      <c r="Q24" s="48">
        <v>2553.69</v>
      </c>
      <c r="R24" s="48">
        <v>0.01</v>
      </c>
      <c r="S24" s="48">
        <v>8</v>
      </c>
      <c r="T24" s="48">
        <f t="shared" si="0"/>
        <v>14187.650399999999</v>
      </c>
      <c r="U24" s="38">
        <f t="shared" si="1"/>
        <v>10196.719999999999</v>
      </c>
      <c r="V24" s="48">
        <f t="shared" si="4"/>
        <v>3990.9303999999993</v>
      </c>
      <c r="W24" s="50">
        <f t="shared" si="5"/>
        <v>0.28129607704458237</v>
      </c>
    </row>
    <row r="25" spans="1:23" x14ac:dyDescent="0.3">
      <c r="A25" s="39" t="s">
        <v>125</v>
      </c>
      <c r="B25" s="40">
        <v>44964</v>
      </c>
      <c r="C25" s="41">
        <v>44969</v>
      </c>
      <c r="D25" s="42">
        <f t="shared" si="6"/>
        <v>5</v>
      </c>
      <c r="E25" s="42" t="str">
        <f>TEXT(Data!B25,"MMM-YYYY")</f>
        <v>Feb-2023</v>
      </c>
      <c r="F25" s="42" t="str">
        <f t="shared" si="2"/>
        <v>Q1-2023</v>
      </c>
      <c r="G25" s="37" t="s">
        <v>52</v>
      </c>
      <c r="H25" s="37" t="s">
        <v>73</v>
      </c>
      <c r="I25" s="37" t="s">
        <v>74</v>
      </c>
      <c r="J25" s="37" t="s">
        <v>27</v>
      </c>
      <c r="K25" s="37" t="s">
        <v>28</v>
      </c>
      <c r="L25" s="37" t="s">
        <v>126</v>
      </c>
      <c r="M25" s="37" t="s">
        <v>22</v>
      </c>
      <c r="N25" s="37" t="s">
        <v>127</v>
      </c>
      <c r="O25" s="42">
        <v>948.55</v>
      </c>
      <c r="P25" s="43" t="str">
        <f t="shared" si="3"/>
        <v>High</v>
      </c>
      <c r="Q25" s="42">
        <v>2089.16</v>
      </c>
      <c r="R25" s="42">
        <v>7.0000000000000001E-3</v>
      </c>
      <c r="S25" s="42">
        <v>12</v>
      </c>
      <c r="T25" s="42">
        <f t="shared" si="0"/>
        <v>31336.100999999999</v>
      </c>
      <c r="U25" s="37">
        <f t="shared" si="1"/>
        <v>11382.599999999999</v>
      </c>
      <c r="V25" s="42">
        <f t="shared" si="4"/>
        <v>19953.501</v>
      </c>
      <c r="W25" s="44">
        <f t="shared" si="5"/>
        <v>0.63675761703729516</v>
      </c>
    </row>
    <row r="26" spans="1:23" x14ac:dyDescent="0.3">
      <c r="A26" s="45" t="s">
        <v>128</v>
      </c>
      <c r="B26" s="46">
        <v>45473</v>
      </c>
      <c r="C26" s="47">
        <v>45487</v>
      </c>
      <c r="D26" s="48">
        <f t="shared" si="6"/>
        <v>14</v>
      </c>
      <c r="E26" s="48" t="str">
        <f>TEXT(Data!B26,"MMM-YYYY")</f>
        <v>Jun-2024</v>
      </c>
      <c r="F26" s="48" t="str">
        <f t="shared" si="2"/>
        <v>Q2-2024</v>
      </c>
      <c r="G26" s="38" t="s">
        <v>52</v>
      </c>
      <c r="H26" s="38" t="s">
        <v>73</v>
      </c>
      <c r="I26" s="38" t="s">
        <v>87</v>
      </c>
      <c r="J26" s="38" t="s">
        <v>27</v>
      </c>
      <c r="K26" s="38" t="s">
        <v>20</v>
      </c>
      <c r="L26" s="38" t="s">
        <v>21</v>
      </c>
      <c r="M26" s="38" t="s">
        <v>81</v>
      </c>
      <c r="N26" s="38" t="s">
        <v>129</v>
      </c>
      <c r="O26" s="48">
        <v>1491.85</v>
      </c>
      <c r="P26" s="49" t="str">
        <f t="shared" si="3"/>
        <v>High</v>
      </c>
      <c r="Q26" s="48">
        <v>2583.02</v>
      </c>
      <c r="R26" s="48">
        <v>0.16800000000000001</v>
      </c>
      <c r="S26" s="48">
        <v>4</v>
      </c>
      <c r="T26" s="48">
        <f t="shared" si="0"/>
        <v>353.76639999999998</v>
      </c>
      <c r="U26" s="38">
        <f t="shared" si="1"/>
        <v>5967.4</v>
      </c>
      <c r="V26" s="48">
        <f t="shared" si="4"/>
        <v>-5613.6335999999992</v>
      </c>
      <c r="W26" s="50">
        <f t="shared" si="5"/>
        <v>-15.868193248426079</v>
      </c>
    </row>
    <row r="27" spans="1:23" x14ac:dyDescent="0.3">
      <c r="A27" s="39" t="s">
        <v>130</v>
      </c>
      <c r="B27" s="40">
        <v>45626</v>
      </c>
      <c r="C27" s="41">
        <v>45656</v>
      </c>
      <c r="D27" s="42">
        <f t="shared" si="6"/>
        <v>0</v>
      </c>
      <c r="E27" s="42" t="str">
        <f>TEXT(Data!B27,"MMM-YYYY")</f>
        <v>Nov-2024</v>
      </c>
      <c r="F27" s="42" t="str">
        <f t="shared" si="2"/>
        <v>Q4-2024</v>
      </c>
      <c r="G27" s="37" t="s">
        <v>78</v>
      </c>
      <c r="H27" s="37" t="s">
        <v>90</v>
      </c>
      <c r="I27" s="37" t="s">
        <v>91</v>
      </c>
      <c r="J27" s="37" t="s">
        <v>48</v>
      </c>
      <c r="K27" s="37" t="s">
        <v>40</v>
      </c>
      <c r="L27" s="37" t="s">
        <v>84</v>
      </c>
      <c r="M27" s="37" t="s">
        <v>30</v>
      </c>
      <c r="N27" s="37" t="s">
        <v>131</v>
      </c>
      <c r="O27" s="42">
        <v>117.64</v>
      </c>
      <c r="P27" s="43" t="str">
        <f t="shared" si="3"/>
        <v>Medium</v>
      </c>
      <c r="Q27" s="42">
        <v>175.67</v>
      </c>
      <c r="R27" s="42">
        <v>0</v>
      </c>
      <c r="S27" s="42">
        <v>10</v>
      </c>
      <c r="T27" s="42">
        <f t="shared" si="0"/>
        <v>3857.2000000000003</v>
      </c>
      <c r="U27" s="37">
        <f t="shared" si="1"/>
        <v>1176.4000000000001</v>
      </c>
      <c r="V27" s="42">
        <f t="shared" si="4"/>
        <v>2680.8</v>
      </c>
      <c r="W27" s="44">
        <f t="shared" si="5"/>
        <v>0.69501192574924819</v>
      </c>
    </row>
    <row r="28" spans="1:23" x14ac:dyDescent="0.3">
      <c r="A28" s="45" t="s">
        <v>132</v>
      </c>
      <c r="B28" s="46">
        <v>45492</v>
      </c>
      <c r="C28" s="47">
        <v>45492</v>
      </c>
      <c r="D28" s="48">
        <f t="shared" si="6"/>
        <v>0</v>
      </c>
      <c r="E28" s="48" t="str">
        <f>TEXT(Data!B28,"MMM-YYYY")</f>
        <v>Jul-2024</v>
      </c>
      <c r="F28" s="48" t="str">
        <f t="shared" si="2"/>
        <v>Q3-2024</v>
      </c>
      <c r="G28" s="38" t="s">
        <v>16</v>
      </c>
      <c r="H28" s="38" t="s">
        <v>17</v>
      </c>
      <c r="I28" s="38" t="s">
        <v>18</v>
      </c>
      <c r="J28" s="38" t="s">
        <v>62</v>
      </c>
      <c r="K28" s="38" t="s">
        <v>20</v>
      </c>
      <c r="L28" s="38" t="s">
        <v>75</v>
      </c>
      <c r="M28" s="38" t="s">
        <v>42</v>
      </c>
      <c r="N28" s="38" t="s">
        <v>133</v>
      </c>
      <c r="O28" s="48">
        <v>857.24</v>
      </c>
      <c r="P28" s="49" t="str">
        <f t="shared" si="3"/>
        <v>High</v>
      </c>
      <c r="Q28" s="48">
        <v>758.23</v>
      </c>
      <c r="R28" s="48">
        <v>0.125</v>
      </c>
      <c r="S28" s="48">
        <v>6</v>
      </c>
      <c r="T28" s="48">
        <f t="shared" si="0"/>
        <v>1243.5675000000001</v>
      </c>
      <c r="U28" s="38">
        <f t="shared" si="1"/>
        <v>5143.4400000000005</v>
      </c>
      <c r="V28" s="48">
        <f t="shared" si="4"/>
        <v>-3899.8725000000004</v>
      </c>
      <c r="W28" s="50">
        <f t="shared" si="5"/>
        <v>-3.1360360414694015</v>
      </c>
    </row>
    <row r="29" spans="1:23" x14ac:dyDescent="0.3">
      <c r="A29" s="39" t="s">
        <v>134</v>
      </c>
      <c r="B29" s="40">
        <v>45030</v>
      </c>
      <c r="C29" s="41">
        <v>45060</v>
      </c>
      <c r="D29" s="42">
        <f t="shared" si="6"/>
        <v>0</v>
      </c>
      <c r="E29" s="42" t="str">
        <f>TEXT(Data!B29,"MMM-YYYY")</f>
        <v>Apr-2023</v>
      </c>
      <c r="F29" s="42" t="str">
        <f t="shared" si="2"/>
        <v>Q2-2023</v>
      </c>
      <c r="G29" s="37" t="s">
        <v>16</v>
      </c>
      <c r="H29" s="37" t="s">
        <v>17</v>
      </c>
      <c r="I29" s="37" t="s">
        <v>135</v>
      </c>
      <c r="J29" s="37" t="s">
        <v>48</v>
      </c>
      <c r="K29" s="37" t="s">
        <v>40</v>
      </c>
      <c r="L29" s="37" t="s">
        <v>110</v>
      </c>
      <c r="M29" s="37" t="s">
        <v>42</v>
      </c>
      <c r="N29" s="37" t="s">
        <v>136</v>
      </c>
      <c r="O29" s="42">
        <v>209.25</v>
      </c>
      <c r="P29" s="43" t="str">
        <f t="shared" si="3"/>
        <v>High</v>
      </c>
      <c r="Q29" s="42">
        <v>434.8</v>
      </c>
      <c r="R29" s="42">
        <v>0</v>
      </c>
      <c r="S29" s="42">
        <v>9</v>
      </c>
      <c r="T29" s="42">
        <f t="shared" si="0"/>
        <v>377.09999999999997</v>
      </c>
      <c r="U29" s="37">
        <f t="shared" si="1"/>
        <v>1883.25</v>
      </c>
      <c r="V29" s="42">
        <f t="shared" si="4"/>
        <v>-1506.15</v>
      </c>
      <c r="W29" s="44">
        <f t="shared" si="5"/>
        <v>-3.9940334128878288</v>
      </c>
    </row>
    <row r="30" spans="1:23" x14ac:dyDescent="0.3">
      <c r="A30" s="45" t="s">
        <v>137</v>
      </c>
      <c r="B30" s="46">
        <v>45754</v>
      </c>
      <c r="C30" s="47">
        <v>45758</v>
      </c>
      <c r="D30" s="48">
        <f t="shared" si="6"/>
        <v>4</v>
      </c>
      <c r="E30" s="48" t="str">
        <f>TEXT(Data!B30,"MMM-YYYY")</f>
        <v>Apr-2025</v>
      </c>
      <c r="F30" s="48" t="str">
        <f t="shared" si="2"/>
        <v>Q2-2025</v>
      </c>
      <c r="G30" s="38" t="s">
        <v>78</v>
      </c>
      <c r="H30" s="38" t="s">
        <v>90</v>
      </c>
      <c r="I30" s="38" t="s">
        <v>138</v>
      </c>
      <c r="J30" s="38" t="s">
        <v>27</v>
      </c>
      <c r="K30" s="38" t="s">
        <v>20</v>
      </c>
      <c r="L30" s="38" t="s">
        <v>63</v>
      </c>
      <c r="M30" s="38" t="s">
        <v>35</v>
      </c>
      <c r="N30" s="38" t="s">
        <v>139</v>
      </c>
      <c r="O30" s="48">
        <v>754.77</v>
      </c>
      <c r="P30" s="49" t="str">
        <f t="shared" si="3"/>
        <v>High</v>
      </c>
      <c r="Q30" s="48">
        <v>1666.18</v>
      </c>
      <c r="R30" s="48">
        <v>0.13900000000000001</v>
      </c>
      <c r="S30" s="48">
        <v>14</v>
      </c>
      <c r="T30" s="48">
        <f t="shared" si="0"/>
        <v>11781.338519999999</v>
      </c>
      <c r="U30" s="38">
        <f t="shared" si="1"/>
        <v>10566.779999999999</v>
      </c>
      <c r="V30" s="48">
        <f t="shared" si="4"/>
        <v>1214.5585200000005</v>
      </c>
      <c r="W30" s="50">
        <f t="shared" si="5"/>
        <v>0.10309172577786183</v>
      </c>
    </row>
    <row r="31" spans="1:23" x14ac:dyDescent="0.3">
      <c r="A31" s="39" t="s">
        <v>140</v>
      </c>
      <c r="B31" s="40">
        <v>45653</v>
      </c>
      <c r="C31" s="41">
        <v>45672</v>
      </c>
      <c r="D31" s="42">
        <f t="shared" si="6"/>
        <v>19</v>
      </c>
      <c r="E31" s="42" t="str">
        <f>TEXT(Data!B31,"MMM-YYYY")</f>
        <v>Dec-2024</v>
      </c>
      <c r="F31" s="42" t="str">
        <f t="shared" si="2"/>
        <v>Q4-2024</v>
      </c>
      <c r="G31" s="37" t="s">
        <v>45</v>
      </c>
      <c r="H31" s="37" t="s">
        <v>60</v>
      </c>
      <c r="I31" s="37" t="s">
        <v>141</v>
      </c>
      <c r="J31" s="37" t="s">
        <v>39</v>
      </c>
      <c r="K31" s="37" t="s">
        <v>55</v>
      </c>
      <c r="L31" s="37" t="s">
        <v>41</v>
      </c>
      <c r="M31" s="37" t="s">
        <v>22</v>
      </c>
      <c r="N31" s="37" t="s">
        <v>142</v>
      </c>
      <c r="O31" s="42">
        <v>495.59</v>
      </c>
      <c r="P31" s="43" t="str">
        <f t="shared" si="3"/>
        <v>High</v>
      </c>
      <c r="Q31" s="42">
        <v>631.78</v>
      </c>
      <c r="R31" s="42">
        <v>8.6999999999999994E-2</v>
      </c>
      <c r="S31" s="42">
        <v>17</v>
      </c>
      <c r="T31" s="42">
        <f t="shared" si="0"/>
        <v>43367.691729999999</v>
      </c>
      <c r="U31" s="37">
        <f t="shared" si="1"/>
        <v>8425.0299999999988</v>
      </c>
      <c r="V31" s="42">
        <f t="shared" si="4"/>
        <v>34942.66173</v>
      </c>
      <c r="W31" s="44">
        <f t="shared" si="5"/>
        <v>0.8057302645376464</v>
      </c>
    </row>
    <row r="32" spans="1:23" x14ac:dyDescent="0.3">
      <c r="A32" s="45" t="s">
        <v>143</v>
      </c>
      <c r="B32" s="46">
        <v>44980</v>
      </c>
      <c r="C32" s="47">
        <v>45010</v>
      </c>
      <c r="D32" s="48">
        <f t="shared" si="6"/>
        <v>2</v>
      </c>
      <c r="E32" s="48" t="str">
        <f>TEXT(Data!B32,"MMM-YYYY")</f>
        <v>Feb-2023</v>
      </c>
      <c r="F32" s="48" t="str">
        <f t="shared" si="2"/>
        <v>Q1-2023</v>
      </c>
      <c r="G32" s="38" t="s">
        <v>52</v>
      </c>
      <c r="H32" s="38" t="s">
        <v>53</v>
      </c>
      <c r="I32" s="38" t="s">
        <v>144</v>
      </c>
      <c r="J32" s="38" t="s">
        <v>105</v>
      </c>
      <c r="K32" s="38" t="s">
        <v>28</v>
      </c>
      <c r="L32" s="38" t="s">
        <v>145</v>
      </c>
      <c r="M32" s="38" t="s">
        <v>42</v>
      </c>
      <c r="N32" s="38" t="s">
        <v>146</v>
      </c>
      <c r="O32" s="48">
        <v>1242.6600000000001</v>
      </c>
      <c r="P32" s="49" t="str">
        <f t="shared" si="3"/>
        <v>High</v>
      </c>
      <c r="Q32" s="48">
        <v>1794.07</v>
      </c>
      <c r="R32" s="48">
        <v>8.8999999999999996E-2</v>
      </c>
      <c r="S32" s="48">
        <v>16</v>
      </c>
      <c r="T32" s="48">
        <f t="shared" si="0"/>
        <v>10231.623200000002</v>
      </c>
      <c r="U32" s="38">
        <f t="shared" si="1"/>
        <v>19882.560000000001</v>
      </c>
      <c r="V32" s="48">
        <f t="shared" si="4"/>
        <v>-9650.9367999999995</v>
      </c>
      <c r="W32" s="50">
        <f t="shared" si="5"/>
        <v>-0.94324591624914389</v>
      </c>
    </row>
    <row r="33" spans="1:23" x14ac:dyDescent="0.3">
      <c r="A33" s="39" t="s">
        <v>147</v>
      </c>
      <c r="B33" s="40">
        <v>45862</v>
      </c>
      <c r="C33" s="41">
        <v>45875</v>
      </c>
      <c r="D33" s="42">
        <f t="shared" si="6"/>
        <v>13</v>
      </c>
      <c r="E33" s="42" t="str">
        <f>TEXT(Data!B33,"MMM-YYYY")</f>
        <v>Jul-2025</v>
      </c>
      <c r="F33" s="42" t="str">
        <f t="shared" si="2"/>
        <v>Q3-2025</v>
      </c>
      <c r="G33" s="37" t="s">
        <v>16</v>
      </c>
      <c r="H33" s="37" t="s">
        <v>148</v>
      </c>
      <c r="I33" s="37" t="s">
        <v>149</v>
      </c>
      <c r="J33" s="37" t="s">
        <v>27</v>
      </c>
      <c r="K33" s="37" t="s">
        <v>40</v>
      </c>
      <c r="L33" s="37" t="s">
        <v>145</v>
      </c>
      <c r="M33" s="37" t="s">
        <v>35</v>
      </c>
      <c r="N33" s="37" t="s">
        <v>150</v>
      </c>
      <c r="O33" s="42">
        <v>1463.9</v>
      </c>
      <c r="P33" s="43" t="str">
        <f t="shared" si="3"/>
        <v>High</v>
      </c>
      <c r="Q33" s="42">
        <v>2633.02</v>
      </c>
      <c r="R33" s="42">
        <v>8.4000000000000005E-2</v>
      </c>
      <c r="S33" s="42">
        <v>4</v>
      </c>
      <c r="T33" s="42">
        <f t="shared" si="0"/>
        <v>-19.309279999999998</v>
      </c>
      <c r="U33" s="37">
        <f t="shared" si="1"/>
        <v>5855.6</v>
      </c>
      <c r="V33" s="42">
        <f t="shared" si="4"/>
        <v>-5874.9092800000008</v>
      </c>
      <c r="W33" s="44">
        <f t="shared" si="5"/>
        <v>304.25315081660227</v>
      </c>
    </row>
    <row r="34" spans="1:23" x14ac:dyDescent="0.3">
      <c r="A34" s="45" t="s">
        <v>151</v>
      </c>
      <c r="B34" s="46">
        <v>45400</v>
      </c>
      <c r="C34" s="47">
        <v>45420</v>
      </c>
      <c r="D34" s="48">
        <f t="shared" si="6"/>
        <v>20</v>
      </c>
      <c r="E34" s="48" t="str">
        <f>TEXT(Data!B34,"MMM-YYYY")</f>
        <v>Apr-2024</v>
      </c>
      <c r="F34" s="48" t="str">
        <f t="shared" si="2"/>
        <v>Q2-2024</v>
      </c>
      <c r="G34" s="38" t="s">
        <v>78</v>
      </c>
      <c r="H34" s="38" t="s">
        <v>108</v>
      </c>
      <c r="I34" s="38" t="s">
        <v>152</v>
      </c>
      <c r="J34" s="38" t="s">
        <v>39</v>
      </c>
      <c r="K34" s="38" t="s">
        <v>1364</v>
      </c>
      <c r="L34" s="38" t="s">
        <v>145</v>
      </c>
      <c r="M34" s="38" t="s">
        <v>57</v>
      </c>
      <c r="N34" s="38" t="s">
        <v>153</v>
      </c>
      <c r="O34" s="48">
        <v>645.33000000000004</v>
      </c>
      <c r="P34" s="49" t="str">
        <f t="shared" si="3"/>
        <v>High</v>
      </c>
      <c r="Q34" s="48">
        <v>1321.85</v>
      </c>
      <c r="R34" s="48">
        <v>0</v>
      </c>
      <c r="S34" s="48">
        <v>10</v>
      </c>
      <c r="T34" s="48">
        <f t="shared" si="0"/>
        <v>14370.599999999999</v>
      </c>
      <c r="U34" s="38">
        <f t="shared" si="1"/>
        <v>6453.3</v>
      </c>
      <c r="V34" s="48">
        <f t="shared" si="4"/>
        <v>7917.2999999999984</v>
      </c>
      <c r="W34" s="50">
        <f t="shared" si="5"/>
        <v>0.55093733038286496</v>
      </c>
    </row>
    <row r="35" spans="1:23" x14ac:dyDescent="0.3">
      <c r="A35" s="39" t="s">
        <v>154</v>
      </c>
      <c r="B35" s="40">
        <v>45527</v>
      </c>
      <c r="C35" s="41">
        <v>45525</v>
      </c>
      <c r="D35" s="42">
        <f>DATEDIF(C35,B35, "MD")</f>
        <v>2</v>
      </c>
      <c r="E35" s="42" t="str">
        <f>TEXT(Data!B35,"MMM-YYYY")</f>
        <v>Aug-2024</v>
      </c>
      <c r="F35" s="42" t="str">
        <f t="shared" si="2"/>
        <v>Q3-2024</v>
      </c>
      <c r="G35" s="37" t="s">
        <v>16</v>
      </c>
      <c r="H35" s="37" t="s">
        <v>148</v>
      </c>
      <c r="I35" s="37" t="s">
        <v>149</v>
      </c>
      <c r="J35" s="37" t="s">
        <v>27</v>
      </c>
      <c r="K35" s="37" t="s">
        <v>20</v>
      </c>
      <c r="L35" s="37" t="s">
        <v>63</v>
      </c>
      <c r="M35" s="37" t="s">
        <v>22</v>
      </c>
      <c r="N35" s="37" t="s">
        <v>155</v>
      </c>
      <c r="O35" s="42">
        <v>1432.52</v>
      </c>
      <c r="P35" s="43" t="str">
        <f t="shared" si="3"/>
        <v>High</v>
      </c>
      <c r="Q35" s="42">
        <v>3036.87</v>
      </c>
      <c r="R35" s="42">
        <v>0</v>
      </c>
      <c r="S35" s="42">
        <v>9</v>
      </c>
      <c r="T35" s="42">
        <f t="shared" si="0"/>
        <v>17207.010000000002</v>
      </c>
      <c r="U35" s="37">
        <f t="shared" si="1"/>
        <v>12892.68</v>
      </c>
      <c r="V35" s="42">
        <f t="shared" si="4"/>
        <v>4314.3300000000017</v>
      </c>
      <c r="W35" s="44">
        <f t="shared" si="5"/>
        <v>0.25073095209452434</v>
      </c>
    </row>
    <row r="36" spans="1:23" x14ac:dyDescent="0.3">
      <c r="A36" s="45" t="s">
        <v>156</v>
      </c>
      <c r="B36" s="46">
        <v>45012</v>
      </c>
      <c r="C36" s="47">
        <v>45038</v>
      </c>
      <c r="D36" s="48">
        <f t="shared" si="6"/>
        <v>26</v>
      </c>
      <c r="E36" s="48" t="str">
        <f>TEXT(Data!B36,"MMM-YYYY")</f>
        <v>Mar-2023</v>
      </c>
      <c r="F36" s="48" t="str">
        <f t="shared" si="2"/>
        <v>Q1-2023</v>
      </c>
      <c r="G36" s="38" t="s">
        <v>45</v>
      </c>
      <c r="H36" s="38" t="s">
        <v>60</v>
      </c>
      <c r="I36" s="38" t="s">
        <v>141</v>
      </c>
      <c r="J36" s="38" t="s">
        <v>39</v>
      </c>
      <c r="K36" s="38" t="s">
        <v>40</v>
      </c>
      <c r="L36" s="38" t="s">
        <v>29</v>
      </c>
      <c r="M36" s="38" t="s">
        <v>30</v>
      </c>
      <c r="N36" s="38" t="s">
        <v>157</v>
      </c>
      <c r="O36" s="48">
        <v>178.53</v>
      </c>
      <c r="P36" s="49" t="str">
        <f t="shared" si="3"/>
        <v>Medium</v>
      </c>
      <c r="Q36" s="48">
        <v>199.37</v>
      </c>
      <c r="R36" s="48">
        <v>0.10100000000000001</v>
      </c>
      <c r="S36" s="48">
        <v>37</v>
      </c>
      <c r="T36" s="48">
        <f t="shared" si="0"/>
        <v>86276.904139999999</v>
      </c>
      <c r="U36" s="38">
        <f t="shared" si="1"/>
        <v>6605.61</v>
      </c>
      <c r="V36" s="48">
        <f t="shared" si="4"/>
        <v>79671.294139999998</v>
      </c>
      <c r="W36" s="50">
        <f t="shared" si="5"/>
        <v>0.92343709981432354</v>
      </c>
    </row>
    <row r="37" spans="1:23" x14ac:dyDescent="0.3">
      <c r="A37" s="39" t="s">
        <v>158</v>
      </c>
      <c r="B37" s="40">
        <v>45358</v>
      </c>
      <c r="C37" s="41">
        <v>45376</v>
      </c>
      <c r="D37" s="42">
        <f t="shared" si="6"/>
        <v>18</v>
      </c>
      <c r="E37" s="42" t="str">
        <f>TEXT(Data!B37,"MMM-YYYY")</f>
        <v>Mar-2024</v>
      </c>
      <c r="F37" s="42" t="str">
        <f t="shared" si="2"/>
        <v>Q1-2024</v>
      </c>
      <c r="G37" s="37" t="s">
        <v>78</v>
      </c>
      <c r="H37" s="37" t="s">
        <v>79</v>
      </c>
      <c r="I37" s="37" t="s">
        <v>159</v>
      </c>
      <c r="J37" s="37" t="s">
        <v>19</v>
      </c>
      <c r="K37" s="37" t="s">
        <v>28</v>
      </c>
      <c r="L37" s="37" t="s">
        <v>56</v>
      </c>
      <c r="M37" s="37" t="s">
        <v>22</v>
      </c>
      <c r="N37" s="37" t="s">
        <v>160</v>
      </c>
      <c r="O37" s="42">
        <v>712.84</v>
      </c>
      <c r="P37" s="43" t="str">
        <f t="shared" si="3"/>
        <v>High</v>
      </c>
      <c r="Q37" s="42">
        <v>927.51</v>
      </c>
      <c r="R37" s="42">
        <v>0.24299999999999999</v>
      </c>
      <c r="S37" s="42">
        <v>27</v>
      </c>
      <c r="T37" s="42">
        <f t="shared" si="0"/>
        <v>25427.751119999997</v>
      </c>
      <c r="U37" s="37">
        <f t="shared" si="1"/>
        <v>19246.68</v>
      </c>
      <c r="V37" s="42">
        <f t="shared" si="4"/>
        <v>6181.0711199999969</v>
      </c>
      <c r="W37" s="44">
        <f t="shared" si="5"/>
        <v>0.24308367227718869</v>
      </c>
    </row>
    <row r="38" spans="1:23" x14ac:dyDescent="0.3">
      <c r="A38" s="45" t="s">
        <v>161</v>
      </c>
      <c r="B38" s="46">
        <v>45832</v>
      </c>
      <c r="C38" s="47">
        <v>45848</v>
      </c>
      <c r="D38" s="48">
        <f t="shared" si="6"/>
        <v>16</v>
      </c>
      <c r="E38" s="48" t="str">
        <f>TEXT(Data!B38,"MMM-YYYY")</f>
        <v>Jun-2025</v>
      </c>
      <c r="F38" s="48" t="str">
        <f t="shared" si="2"/>
        <v>Q2-2025</v>
      </c>
      <c r="G38" s="38" t="s">
        <v>45</v>
      </c>
      <c r="H38" s="38" t="s">
        <v>116</v>
      </c>
      <c r="I38" s="38" t="s">
        <v>162</v>
      </c>
      <c r="J38" s="38" t="s">
        <v>105</v>
      </c>
      <c r="K38" s="38" t="s">
        <v>98</v>
      </c>
      <c r="L38" s="38" t="s">
        <v>126</v>
      </c>
      <c r="M38" s="38" t="s">
        <v>22</v>
      </c>
      <c r="N38" s="38" t="s">
        <v>163</v>
      </c>
      <c r="O38" s="48">
        <v>757.19</v>
      </c>
      <c r="P38" s="49" t="str">
        <f t="shared" si="3"/>
        <v>High</v>
      </c>
      <c r="Q38" s="48">
        <v>1735.41</v>
      </c>
      <c r="R38" s="48">
        <v>0.13600000000000001</v>
      </c>
      <c r="S38" s="48">
        <v>8</v>
      </c>
      <c r="T38" s="48">
        <f t="shared" si="0"/>
        <v>13219.269119999999</v>
      </c>
      <c r="U38" s="38">
        <f t="shared" si="1"/>
        <v>6057.52</v>
      </c>
      <c r="V38" s="48">
        <f t="shared" si="4"/>
        <v>7161.7491199999986</v>
      </c>
      <c r="W38" s="50">
        <f t="shared" si="5"/>
        <v>0.54176589151700383</v>
      </c>
    </row>
    <row r="39" spans="1:23" x14ac:dyDescent="0.3">
      <c r="A39" s="39" t="s">
        <v>164</v>
      </c>
      <c r="B39" s="40">
        <v>45401</v>
      </c>
      <c r="C39" s="41">
        <v>45418</v>
      </c>
      <c r="D39" s="42">
        <f t="shared" si="6"/>
        <v>17</v>
      </c>
      <c r="E39" s="42" t="str">
        <f>TEXT(Data!B39,"MMM-YYYY")</f>
        <v>Apr-2024</v>
      </c>
      <c r="F39" s="42" t="str">
        <f t="shared" si="2"/>
        <v>Q2-2024</v>
      </c>
      <c r="G39" s="37" t="s">
        <v>16</v>
      </c>
      <c r="H39" s="37" t="s">
        <v>25</v>
      </c>
      <c r="I39" s="37" t="s">
        <v>26</v>
      </c>
      <c r="J39" s="37" t="s">
        <v>39</v>
      </c>
      <c r="K39" s="37" t="s">
        <v>28</v>
      </c>
      <c r="L39" s="37" t="s">
        <v>75</v>
      </c>
      <c r="M39" s="37" t="s">
        <v>30</v>
      </c>
      <c r="N39" s="37" t="s">
        <v>165</v>
      </c>
      <c r="O39" s="42">
        <v>865.33</v>
      </c>
      <c r="P39" s="43" t="str">
        <f t="shared" si="3"/>
        <v>High</v>
      </c>
      <c r="Q39" s="42">
        <v>1395.64</v>
      </c>
      <c r="R39" s="42">
        <v>0.17499999999999999</v>
      </c>
      <c r="S39" s="42">
        <v>13</v>
      </c>
      <c r="T39" s="42">
        <f t="shared" si="0"/>
        <v>8106.7057499999992</v>
      </c>
      <c r="U39" s="37">
        <f t="shared" si="1"/>
        <v>11249.29</v>
      </c>
      <c r="V39" s="42">
        <f t="shared" si="4"/>
        <v>-3142.5842500000017</v>
      </c>
      <c r="W39" s="44">
        <f t="shared" si="5"/>
        <v>-0.38765243822991874</v>
      </c>
    </row>
    <row r="40" spans="1:23" x14ac:dyDescent="0.3">
      <c r="A40" s="45" t="s">
        <v>166</v>
      </c>
      <c r="B40" s="46">
        <v>45094</v>
      </c>
      <c r="C40" s="47">
        <v>45101</v>
      </c>
      <c r="D40" s="48">
        <f t="shared" si="6"/>
        <v>7</v>
      </c>
      <c r="E40" s="48" t="str">
        <f>TEXT(Data!B40,"MMM-YYYY")</f>
        <v>Jun-2023</v>
      </c>
      <c r="F40" s="48" t="str">
        <f t="shared" si="2"/>
        <v>Q2-2023</v>
      </c>
      <c r="G40" s="38" t="s">
        <v>52</v>
      </c>
      <c r="H40" s="38" t="s">
        <v>122</v>
      </c>
      <c r="I40" s="38" t="s">
        <v>167</v>
      </c>
      <c r="J40" s="38" t="s">
        <v>19</v>
      </c>
      <c r="K40" s="38" t="s">
        <v>20</v>
      </c>
      <c r="L40" s="38" t="s">
        <v>34</v>
      </c>
      <c r="M40" s="38" t="s">
        <v>30</v>
      </c>
      <c r="N40" s="38" t="s">
        <v>168</v>
      </c>
      <c r="O40" s="48">
        <v>313.99</v>
      </c>
      <c r="P40" s="49" t="str">
        <f t="shared" si="3"/>
        <v>High</v>
      </c>
      <c r="Q40" s="48">
        <v>454.42</v>
      </c>
      <c r="R40" s="48">
        <v>0.129</v>
      </c>
      <c r="S40" s="48">
        <v>9</v>
      </c>
      <c r="T40" s="48">
        <f t="shared" si="0"/>
        <v>8980.9071300000014</v>
      </c>
      <c r="U40" s="38">
        <f t="shared" si="1"/>
        <v>2825.91</v>
      </c>
      <c r="V40" s="48">
        <f t="shared" si="4"/>
        <v>6154.9971300000016</v>
      </c>
      <c r="W40" s="50">
        <f t="shared" si="5"/>
        <v>0.68534247608904963</v>
      </c>
    </row>
    <row r="41" spans="1:23" x14ac:dyDescent="0.3">
      <c r="A41" s="39" t="s">
        <v>169</v>
      </c>
      <c r="B41" s="40">
        <v>45531</v>
      </c>
      <c r="C41" s="41">
        <v>45554</v>
      </c>
      <c r="D41" s="42">
        <f t="shared" si="6"/>
        <v>23</v>
      </c>
      <c r="E41" s="42" t="str">
        <f>TEXT(Data!B41,"MMM-YYYY")</f>
        <v>Aug-2024</v>
      </c>
      <c r="F41" s="42" t="str">
        <f t="shared" si="2"/>
        <v>Q3-2024</v>
      </c>
      <c r="G41" s="37" t="s">
        <v>78</v>
      </c>
      <c r="H41" s="37" t="s">
        <v>79</v>
      </c>
      <c r="I41" s="37" t="s">
        <v>80</v>
      </c>
      <c r="J41" s="37" t="s">
        <v>62</v>
      </c>
      <c r="K41" s="37" t="s">
        <v>98</v>
      </c>
      <c r="L41" s="37" t="s">
        <v>145</v>
      </c>
      <c r="M41" s="37" t="s">
        <v>64</v>
      </c>
      <c r="N41" s="37" t="s">
        <v>170</v>
      </c>
      <c r="O41" s="42">
        <v>1024.01</v>
      </c>
      <c r="P41" s="43" t="str">
        <f t="shared" si="3"/>
        <v>High</v>
      </c>
      <c r="Q41" s="42">
        <v>1580.97</v>
      </c>
      <c r="R41" s="42">
        <v>3.6999999999999998E-2</v>
      </c>
      <c r="S41" s="42">
        <v>27</v>
      </c>
      <c r="T41" s="42">
        <f t="shared" si="0"/>
        <v>32087.834099999996</v>
      </c>
      <c r="U41" s="37">
        <f t="shared" si="1"/>
        <v>27648.27</v>
      </c>
      <c r="V41" s="42">
        <f t="shared" si="4"/>
        <v>4439.564099999996</v>
      </c>
      <c r="W41" s="44">
        <f t="shared" si="5"/>
        <v>0.13835661472707492</v>
      </c>
    </row>
    <row r="42" spans="1:23" x14ac:dyDescent="0.3">
      <c r="A42" s="45" t="s">
        <v>171</v>
      </c>
      <c r="B42" s="46">
        <v>45302</v>
      </c>
      <c r="C42" s="47">
        <v>45324</v>
      </c>
      <c r="D42" s="48">
        <f t="shared" si="6"/>
        <v>22</v>
      </c>
      <c r="E42" s="48" t="str">
        <f>TEXT(Data!B42,"MMM-YYYY")</f>
        <v>Jan-2024</v>
      </c>
      <c r="F42" s="48" t="str">
        <f t="shared" si="2"/>
        <v>Q1-2024</v>
      </c>
      <c r="G42" s="38" t="s">
        <v>16</v>
      </c>
      <c r="H42" s="38" t="s">
        <v>148</v>
      </c>
      <c r="I42" s="38" t="s">
        <v>172</v>
      </c>
      <c r="J42" s="38" t="s">
        <v>48</v>
      </c>
      <c r="K42" s="38" t="s">
        <v>28</v>
      </c>
      <c r="L42" s="38" t="s">
        <v>95</v>
      </c>
      <c r="M42" s="38" t="s">
        <v>35</v>
      </c>
      <c r="N42" s="38" t="s">
        <v>173</v>
      </c>
      <c r="O42" s="48">
        <v>1206.2</v>
      </c>
      <c r="P42" s="49" t="str">
        <f t="shared" si="3"/>
        <v>High</v>
      </c>
      <c r="Q42" s="48">
        <v>1759.79</v>
      </c>
      <c r="R42" s="48">
        <v>0</v>
      </c>
      <c r="S42" s="48">
        <v>6</v>
      </c>
      <c r="T42" s="48">
        <f t="shared" si="0"/>
        <v>7368.0599999999995</v>
      </c>
      <c r="U42" s="38">
        <f t="shared" si="1"/>
        <v>7237.2000000000007</v>
      </c>
      <c r="V42" s="48">
        <f t="shared" si="4"/>
        <v>130.85999999999876</v>
      </c>
      <c r="W42" s="50">
        <f t="shared" si="5"/>
        <v>1.7760441690214082E-2</v>
      </c>
    </row>
    <row r="43" spans="1:23" x14ac:dyDescent="0.3">
      <c r="A43" s="39" t="s">
        <v>174</v>
      </c>
      <c r="B43" s="40">
        <v>45590</v>
      </c>
      <c r="C43" s="41">
        <v>45610</v>
      </c>
      <c r="D43" s="42">
        <f t="shared" si="6"/>
        <v>20</v>
      </c>
      <c r="E43" s="42" t="str">
        <f>TEXT(Data!B43,"MMM-YYYY")</f>
        <v>Oct-2024</v>
      </c>
      <c r="F43" s="42" t="str">
        <f t="shared" si="2"/>
        <v>Q4-2024</v>
      </c>
      <c r="G43" s="37" t="s">
        <v>16</v>
      </c>
      <c r="H43" s="37" t="s">
        <v>17</v>
      </c>
      <c r="I43" s="37" t="s">
        <v>113</v>
      </c>
      <c r="J43" s="37" t="s">
        <v>19</v>
      </c>
      <c r="K43" s="37" t="s">
        <v>98</v>
      </c>
      <c r="L43" s="37" t="s">
        <v>92</v>
      </c>
      <c r="M43" s="37" t="s">
        <v>30</v>
      </c>
      <c r="N43" s="37" t="s">
        <v>175</v>
      </c>
      <c r="O43" s="42">
        <v>1396.48</v>
      </c>
      <c r="P43" s="43" t="str">
        <f t="shared" si="3"/>
        <v>High</v>
      </c>
      <c r="Q43" s="42">
        <v>3204.5</v>
      </c>
      <c r="R43" s="42">
        <v>0.318</v>
      </c>
      <c r="S43" s="42">
        <v>14</v>
      </c>
      <c r="T43" s="42">
        <f t="shared" si="0"/>
        <v>5778.7360400000007</v>
      </c>
      <c r="U43" s="37">
        <f t="shared" si="1"/>
        <v>19550.72</v>
      </c>
      <c r="V43" s="42">
        <f t="shared" si="4"/>
        <v>-13771.983960000001</v>
      </c>
      <c r="W43" s="44">
        <f t="shared" si="5"/>
        <v>-2.3832173445319715</v>
      </c>
    </row>
    <row r="44" spans="1:23" x14ac:dyDescent="0.3">
      <c r="A44" s="45" t="s">
        <v>176</v>
      </c>
      <c r="B44" s="46">
        <v>45806</v>
      </c>
      <c r="C44" s="47">
        <v>45828</v>
      </c>
      <c r="D44" s="48">
        <f t="shared" si="6"/>
        <v>22</v>
      </c>
      <c r="E44" s="48" t="str">
        <f>TEXT(Data!B44,"MMM-YYYY")</f>
        <v>May-2025</v>
      </c>
      <c r="F44" s="48" t="str">
        <f t="shared" si="2"/>
        <v>Q2-2025</v>
      </c>
      <c r="G44" s="38" t="s">
        <v>78</v>
      </c>
      <c r="H44" s="38" t="s">
        <v>79</v>
      </c>
      <c r="I44" s="38" t="s">
        <v>80</v>
      </c>
      <c r="J44" s="38" t="s">
        <v>19</v>
      </c>
      <c r="K44" s="38" t="s">
        <v>98</v>
      </c>
      <c r="L44" s="38" t="s">
        <v>75</v>
      </c>
      <c r="M44" s="38" t="s">
        <v>30</v>
      </c>
      <c r="N44" s="38" t="s">
        <v>177</v>
      </c>
      <c r="O44" s="48">
        <v>483.47</v>
      </c>
      <c r="P44" s="49" t="str">
        <f t="shared" si="3"/>
        <v>High</v>
      </c>
      <c r="Q44" s="48">
        <v>1135.43</v>
      </c>
      <c r="R44" s="48">
        <v>0.14599999999999999</v>
      </c>
      <c r="S44" s="48">
        <v>11</v>
      </c>
      <c r="T44" s="48">
        <f t="shared" si="0"/>
        <v>17662.129100000002</v>
      </c>
      <c r="U44" s="38">
        <f t="shared" si="1"/>
        <v>5318.17</v>
      </c>
      <c r="V44" s="48">
        <f t="shared" si="4"/>
        <v>12343.959100000002</v>
      </c>
      <c r="W44" s="50">
        <f t="shared" si="5"/>
        <v>0.6988941723905755</v>
      </c>
    </row>
    <row r="45" spans="1:23" x14ac:dyDescent="0.3">
      <c r="A45" s="39" t="s">
        <v>178</v>
      </c>
      <c r="B45" s="40">
        <v>45432</v>
      </c>
      <c r="C45" s="41">
        <v>45445</v>
      </c>
      <c r="D45" s="42">
        <f t="shared" si="6"/>
        <v>13</v>
      </c>
      <c r="E45" s="42" t="str">
        <f>TEXT(Data!B45,"MMM-YYYY")</f>
        <v>May-2024</v>
      </c>
      <c r="F45" s="42" t="str">
        <f t="shared" si="2"/>
        <v>Q2-2024</v>
      </c>
      <c r="G45" s="37" t="s">
        <v>52</v>
      </c>
      <c r="H45" s="37" t="s">
        <v>53</v>
      </c>
      <c r="I45" s="37" t="s">
        <v>179</v>
      </c>
      <c r="J45" s="37" t="s">
        <v>105</v>
      </c>
      <c r="K45" s="37" t="s">
        <v>40</v>
      </c>
      <c r="L45" s="37" t="s">
        <v>95</v>
      </c>
      <c r="M45" s="37" t="s">
        <v>22</v>
      </c>
      <c r="N45" s="37" t="s">
        <v>180</v>
      </c>
      <c r="O45" s="42">
        <v>675.43</v>
      </c>
      <c r="P45" s="43" t="str">
        <f t="shared" si="3"/>
        <v>High</v>
      </c>
      <c r="Q45" s="42">
        <v>996.36</v>
      </c>
      <c r="R45" s="42">
        <v>0.182</v>
      </c>
      <c r="S45" s="42">
        <v>22</v>
      </c>
      <c r="T45" s="42">
        <f t="shared" si="0"/>
        <v>22844.122400000004</v>
      </c>
      <c r="U45" s="37">
        <f t="shared" si="1"/>
        <v>14859.46</v>
      </c>
      <c r="V45" s="42">
        <f t="shared" si="4"/>
        <v>7984.6624000000047</v>
      </c>
      <c r="W45" s="44">
        <f t="shared" si="5"/>
        <v>0.34952808692707771</v>
      </c>
    </row>
    <row r="46" spans="1:23" x14ac:dyDescent="0.3">
      <c r="A46" s="45" t="s">
        <v>181</v>
      </c>
      <c r="B46" s="46">
        <v>45035</v>
      </c>
      <c r="C46" s="47">
        <v>45046</v>
      </c>
      <c r="D46" s="48">
        <f t="shared" si="6"/>
        <v>11</v>
      </c>
      <c r="E46" s="48" t="str">
        <f>TEXT(Data!B46,"MMM-YYYY")</f>
        <v>Apr-2023</v>
      </c>
      <c r="F46" s="48" t="str">
        <f t="shared" si="2"/>
        <v>Q2-2023</v>
      </c>
      <c r="G46" s="38" t="s">
        <v>45</v>
      </c>
      <c r="H46" s="38" t="s">
        <v>60</v>
      </c>
      <c r="I46" s="38" t="s">
        <v>141</v>
      </c>
      <c r="J46" s="38" t="s">
        <v>62</v>
      </c>
      <c r="K46" s="38" t="s">
        <v>20</v>
      </c>
      <c r="L46" s="38" t="s">
        <v>75</v>
      </c>
      <c r="M46" s="38" t="s">
        <v>35</v>
      </c>
      <c r="N46" s="38" t="s">
        <v>182</v>
      </c>
      <c r="O46" s="48">
        <v>826.55</v>
      </c>
      <c r="P46" s="49" t="str">
        <f t="shared" si="3"/>
        <v>High</v>
      </c>
      <c r="Q46" s="48">
        <v>1397.05</v>
      </c>
      <c r="R46" s="48">
        <v>0.16900000000000001</v>
      </c>
      <c r="S46" s="48">
        <v>28</v>
      </c>
      <c r="T46" s="48">
        <f t="shared" si="0"/>
        <v>14447.799239999997</v>
      </c>
      <c r="U46" s="38">
        <f t="shared" si="1"/>
        <v>23143.399999999998</v>
      </c>
      <c r="V46" s="48">
        <f t="shared" si="4"/>
        <v>-8695.6007600000012</v>
      </c>
      <c r="W46" s="50">
        <f t="shared" si="5"/>
        <v>-0.6018633437212686</v>
      </c>
    </row>
    <row r="47" spans="1:23" x14ac:dyDescent="0.3">
      <c r="A47" s="39" t="s">
        <v>183</v>
      </c>
      <c r="B47" s="40">
        <v>45100</v>
      </c>
      <c r="C47" s="41">
        <v>45110</v>
      </c>
      <c r="D47" s="42">
        <f t="shared" si="6"/>
        <v>10</v>
      </c>
      <c r="E47" s="42" t="str">
        <f>TEXT(Data!B47,"MMM-YYYY")</f>
        <v>Jun-2023</v>
      </c>
      <c r="F47" s="42" t="str">
        <f t="shared" si="2"/>
        <v>Q2-2023</v>
      </c>
      <c r="G47" s="37" t="s">
        <v>16</v>
      </c>
      <c r="H47" s="37" t="s">
        <v>25</v>
      </c>
      <c r="I47" s="37" t="s">
        <v>67</v>
      </c>
      <c r="J47" s="37" t="s">
        <v>48</v>
      </c>
      <c r="K47" s="37" t="s">
        <v>28</v>
      </c>
      <c r="L47" s="37" t="s">
        <v>29</v>
      </c>
      <c r="M47" s="37" t="s">
        <v>30</v>
      </c>
      <c r="N47" s="37" t="s">
        <v>184</v>
      </c>
      <c r="O47" s="42">
        <v>337.75</v>
      </c>
      <c r="P47" s="43" t="str">
        <f t="shared" si="3"/>
        <v>High</v>
      </c>
      <c r="Q47" s="42">
        <v>548.89</v>
      </c>
      <c r="R47" s="42">
        <v>0</v>
      </c>
      <c r="S47" s="42">
        <v>13</v>
      </c>
      <c r="T47" s="42">
        <f t="shared" si="0"/>
        <v>18926.830000000002</v>
      </c>
      <c r="U47" s="37">
        <f t="shared" si="1"/>
        <v>4390.75</v>
      </c>
      <c r="V47" s="42">
        <f t="shared" si="4"/>
        <v>14536.080000000002</v>
      </c>
      <c r="W47" s="44">
        <f t="shared" si="5"/>
        <v>0.76801450639119173</v>
      </c>
    </row>
    <row r="48" spans="1:23" x14ac:dyDescent="0.3">
      <c r="A48" s="45" t="s">
        <v>185</v>
      </c>
      <c r="B48" s="46">
        <v>45426</v>
      </c>
      <c r="C48" s="47">
        <v>45440</v>
      </c>
      <c r="D48" s="48">
        <f t="shared" si="6"/>
        <v>14</v>
      </c>
      <c r="E48" s="48" t="str">
        <f>TEXT(Data!B48,"MMM-YYYY")</f>
        <v>May-2024</v>
      </c>
      <c r="F48" s="48" t="str">
        <f t="shared" si="2"/>
        <v>Q2-2024</v>
      </c>
      <c r="G48" s="38" t="s">
        <v>78</v>
      </c>
      <c r="H48" s="38" t="s">
        <v>108</v>
      </c>
      <c r="I48" s="38" t="s">
        <v>109</v>
      </c>
      <c r="J48" s="38" t="s">
        <v>48</v>
      </c>
      <c r="K48" s="38" t="s">
        <v>20</v>
      </c>
      <c r="L48" s="38" t="s">
        <v>56</v>
      </c>
      <c r="M48" s="38" t="s">
        <v>35</v>
      </c>
      <c r="N48" s="38" t="s">
        <v>186</v>
      </c>
      <c r="O48" s="48">
        <v>1421.14</v>
      </c>
      <c r="P48" s="49" t="str">
        <f t="shared" si="3"/>
        <v>High</v>
      </c>
      <c r="Q48" s="48">
        <v>3524</v>
      </c>
      <c r="R48" s="48">
        <v>0</v>
      </c>
      <c r="S48" s="48">
        <v>31</v>
      </c>
      <c r="T48" s="48">
        <f t="shared" si="0"/>
        <v>16939.329999999998</v>
      </c>
      <c r="U48" s="38">
        <f t="shared" si="1"/>
        <v>44055.340000000004</v>
      </c>
      <c r="V48" s="48">
        <f t="shared" si="4"/>
        <v>-27116.010000000006</v>
      </c>
      <c r="W48" s="50">
        <f t="shared" si="5"/>
        <v>-1.6007722855626527</v>
      </c>
    </row>
    <row r="49" spans="1:23" x14ac:dyDescent="0.3">
      <c r="A49" s="39" t="s">
        <v>187</v>
      </c>
      <c r="B49" s="40">
        <v>45579</v>
      </c>
      <c r="C49" s="41">
        <v>45604</v>
      </c>
      <c r="D49" s="42">
        <f t="shared" si="6"/>
        <v>25</v>
      </c>
      <c r="E49" s="42" t="str">
        <f>TEXT(Data!B49,"MMM-YYYY")</f>
        <v>Oct-2024</v>
      </c>
      <c r="F49" s="42" t="str">
        <f t="shared" si="2"/>
        <v>Q4-2024</v>
      </c>
      <c r="G49" s="37" t="s">
        <v>16</v>
      </c>
      <c r="H49" s="37" t="s">
        <v>25</v>
      </c>
      <c r="I49" s="37" t="s">
        <v>38</v>
      </c>
      <c r="J49" s="37" t="s">
        <v>105</v>
      </c>
      <c r="K49" s="37" t="s">
        <v>28</v>
      </c>
      <c r="L49" s="37" t="s">
        <v>68</v>
      </c>
      <c r="M49" s="37" t="s">
        <v>35</v>
      </c>
      <c r="N49" s="37" t="s">
        <v>188</v>
      </c>
      <c r="O49" s="42">
        <v>859.35</v>
      </c>
      <c r="P49" s="43" t="str">
        <f t="shared" si="3"/>
        <v>High</v>
      </c>
      <c r="Q49" s="42">
        <v>1825.61</v>
      </c>
      <c r="R49" s="42">
        <v>0.187</v>
      </c>
      <c r="S49" s="42">
        <v>24</v>
      </c>
      <c r="T49" s="42">
        <f t="shared" si="0"/>
        <v>26300.615040000001</v>
      </c>
      <c r="U49" s="37">
        <f t="shared" si="1"/>
        <v>20624.400000000001</v>
      </c>
      <c r="V49" s="42">
        <f t="shared" si="4"/>
        <v>5676.2150399999991</v>
      </c>
      <c r="W49" s="44">
        <f t="shared" si="5"/>
        <v>0.21582061983596865</v>
      </c>
    </row>
    <row r="50" spans="1:23" x14ac:dyDescent="0.3">
      <c r="A50" s="45" t="s">
        <v>189</v>
      </c>
      <c r="B50" s="46">
        <v>45117</v>
      </c>
      <c r="C50" s="47">
        <v>45139</v>
      </c>
      <c r="D50" s="48">
        <f t="shared" si="6"/>
        <v>22</v>
      </c>
      <c r="E50" s="48" t="str">
        <f>TEXT(Data!B50,"MMM-YYYY")</f>
        <v>Jul-2023</v>
      </c>
      <c r="F50" s="48" t="str">
        <f t="shared" si="2"/>
        <v>Q3-2023</v>
      </c>
      <c r="G50" s="38" t="s">
        <v>78</v>
      </c>
      <c r="H50" s="38" t="s">
        <v>90</v>
      </c>
      <c r="I50" s="38" t="s">
        <v>91</v>
      </c>
      <c r="J50" s="38" t="s">
        <v>48</v>
      </c>
      <c r="K50" s="38" t="s">
        <v>40</v>
      </c>
      <c r="L50" s="38" t="s">
        <v>56</v>
      </c>
      <c r="M50" s="38" t="s">
        <v>30</v>
      </c>
      <c r="N50" s="38" t="s">
        <v>190</v>
      </c>
      <c r="O50" s="48">
        <v>1303.56</v>
      </c>
      <c r="P50" s="49" t="str">
        <f t="shared" si="3"/>
        <v>High</v>
      </c>
      <c r="Q50" s="48">
        <v>1791.37</v>
      </c>
      <c r="R50" s="48">
        <v>0.126</v>
      </c>
      <c r="S50" s="48">
        <v>22</v>
      </c>
      <c r="T50" s="48">
        <f t="shared" si="0"/>
        <v>21312.892040000002</v>
      </c>
      <c r="U50" s="38">
        <f t="shared" si="1"/>
        <v>28678.32</v>
      </c>
      <c r="V50" s="48">
        <f t="shared" si="4"/>
        <v>-7365.4279599999973</v>
      </c>
      <c r="W50" s="50">
        <f t="shared" si="5"/>
        <v>-0.34558557075110097</v>
      </c>
    </row>
    <row r="51" spans="1:23" x14ac:dyDescent="0.3">
      <c r="A51" s="39" t="s">
        <v>191</v>
      </c>
      <c r="B51" s="40">
        <v>45602</v>
      </c>
      <c r="C51" s="41">
        <v>45618</v>
      </c>
      <c r="D51" s="42">
        <f t="shared" si="6"/>
        <v>16</v>
      </c>
      <c r="E51" s="42" t="str">
        <f>TEXT(Data!B51,"MMM-YYYY")</f>
        <v>Nov-2024</v>
      </c>
      <c r="F51" s="42" t="str">
        <f t="shared" si="2"/>
        <v>Q4-2024</v>
      </c>
      <c r="G51" s="37" t="s">
        <v>52</v>
      </c>
      <c r="H51" s="37" t="s">
        <v>53</v>
      </c>
      <c r="I51" s="37" t="s">
        <v>54</v>
      </c>
      <c r="J51" s="37" t="s">
        <v>39</v>
      </c>
      <c r="K51" s="37" t="s">
        <v>55</v>
      </c>
      <c r="L51" s="37" t="s">
        <v>145</v>
      </c>
      <c r="M51" s="37" t="s">
        <v>81</v>
      </c>
      <c r="N51" s="37" t="s">
        <v>192</v>
      </c>
      <c r="O51" s="42">
        <v>1454.11</v>
      </c>
      <c r="P51" s="43" t="str">
        <f t="shared" si="3"/>
        <v>High</v>
      </c>
      <c r="Q51" s="42">
        <v>2629.75</v>
      </c>
      <c r="R51" s="42">
        <v>0.29199999999999998</v>
      </c>
      <c r="S51" s="42">
        <v>8</v>
      </c>
      <c r="T51" s="42">
        <f t="shared" si="0"/>
        <v>17808.182399999998</v>
      </c>
      <c r="U51" s="37">
        <f t="shared" si="1"/>
        <v>11632.88</v>
      </c>
      <c r="V51" s="42">
        <f t="shared" si="4"/>
        <v>6175.3023999999987</v>
      </c>
      <c r="W51" s="44">
        <f t="shared" si="5"/>
        <v>0.34676769707839467</v>
      </c>
    </row>
    <row r="52" spans="1:23" x14ac:dyDescent="0.3">
      <c r="A52" s="45" t="s">
        <v>193</v>
      </c>
      <c r="B52" s="46">
        <v>45582</v>
      </c>
      <c r="C52" s="47">
        <v>45602</v>
      </c>
      <c r="D52" s="48">
        <f t="shared" si="6"/>
        <v>20</v>
      </c>
      <c r="E52" s="48" t="str">
        <f>TEXT(Data!B52,"MMM-YYYY")</f>
        <v>Oct-2024</v>
      </c>
      <c r="F52" s="48" t="str">
        <f t="shared" si="2"/>
        <v>Q4-2024</v>
      </c>
      <c r="G52" s="38" t="s">
        <v>45</v>
      </c>
      <c r="H52" s="38" t="s">
        <v>60</v>
      </c>
      <c r="I52" s="38" t="s">
        <v>61</v>
      </c>
      <c r="J52" s="38" t="s">
        <v>105</v>
      </c>
      <c r="K52" s="38" t="s">
        <v>55</v>
      </c>
      <c r="L52" s="38" t="s">
        <v>68</v>
      </c>
      <c r="M52" s="38" t="s">
        <v>64</v>
      </c>
      <c r="N52" s="38" t="s">
        <v>194</v>
      </c>
      <c r="O52" s="48">
        <v>72.94</v>
      </c>
      <c r="P52" s="49" t="str">
        <f t="shared" si="3"/>
        <v>Medium</v>
      </c>
      <c r="Q52" s="48">
        <v>106.3</v>
      </c>
      <c r="R52" s="48">
        <v>0.29499999999999998</v>
      </c>
      <c r="S52" s="48">
        <v>8</v>
      </c>
      <c r="T52" s="48">
        <f t="shared" si="0"/>
        <v>11819.917200000002</v>
      </c>
      <c r="U52" s="38">
        <f t="shared" si="1"/>
        <v>583.52</v>
      </c>
      <c r="V52" s="48">
        <f t="shared" si="4"/>
        <v>11236.397200000001</v>
      </c>
      <c r="W52" s="50">
        <f t="shared" si="5"/>
        <v>0.95063247989588284</v>
      </c>
    </row>
    <row r="53" spans="1:23" x14ac:dyDescent="0.3">
      <c r="A53" s="39" t="s">
        <v>195</v>
      </c>
      <c r="B53" s="40">
        <v>45016</v>
      </c>
      <c r="C53" s="41">
        <v>45021</v>
      </c>
      <c r="D53" s="42">
        <f t="shared" si="6"/>
        <v>5</v>
      </c>
      <c r="E53" s="42" t="str">
        <f>TEXT(Data!B53,"MMM-YYYY")</f>
        <v>Mar-2023</v>
      </c>
      <c r="F53" s="42" t="str">
        <f t="shared" si="2"/>
        <v>Q1-2023</v>
      </c>
      <c r="G53" s="37" t="s">
        <v>16</v>
      </c>
      <c r="H53" s="37" t="s">
        <v>17</v>
      </c>
      <c r="I53" s="37" t="s">
        <v>135</v>
      </c>
      <c r="J53" s="37" t="s">
        <v>27</v>
      </c>
      <c r="K53" s="37" t="s">
        <v>40</v>
      </c>
      <c r="L53" s="37" t="s">
        <v>56</v>
      </c>
      <c r="M53" s="37" t="s">
        <v>57</v>
      </c>
      <c r="N53" s="37" t="s">
        <v>196</v>
      </c>
      <c r="O53" s="42">
        <v>533.26</v>
      </c>
      <c r="P53" s="43" t="str">
        <f t="shared" si="3"/>
        <v>High</v>
      </c>
      <c r="Q53" s="42">
        <v>385.72</v>
      </c>
      <c r="R53" s="42">
        <v>0</v>
      </c>
      <c r="S53" s="42">
        <v>15</v>
      </c>
      <c r="T53" s="42">
        <f t="shared" si="0"/>
        <v>10554.3</v>
      </c>
      <c r="U53" s="37">
        <f t="shared" si="1"/>
        <v>7998.9</v>
      </c>
      <c r="V53" s="42">
        <f t="shared" si="4"/>
        <v>2555.3999999999996</v>
      </c>
      <c r="W53" s="44">
        <f t="shared" si="5"/>
        <v>0.24211932577243397</v>
      </c>
    </row>
    <row r="54" spans="1:23" x14ac:dyDescent="0.3">
      <c r="A54" s="45" t="s">
        <v>197</v>
      </c>
      <c r="B54" s="46">
        <v>45678</v>
      </c>
      <c r="C54" s="47">
        <v>45704</v>
      </c>
      <c r="D54" s="48">
        <f t="shared" si="6"/>
        <v>26</v>
      </c>
      <c r="E54" s="48" t="str">
        <f>TEXT(Data!B54,"MMM-YYYY")</f>
        <v>Jan-2025</v>
      </c>
      <c r="F54" s="48" t="str">
        <f t="shared" si="2"/>
        <v>Q1-2025</v>
      </c>
      <c r="G54" s="38" t="s">
        <v>78</v>
      </c>
      <c r="H54" s="38" t="s">
        <v>90</v>
      </c>
      <c r="I54" s="38" t="s">
        <v>138</v>
      </c>
      <c r="J54" s="38" t="s">
        <v>19</v>
      </c>
      <c r="K54" s="38" t="s">
        <v>55</v>
      </c>
      <c r="L54" s="38" t="s">
        <v>68</v>
      </c>
      <c r="M54" s="38" t="s">
        <v>57</v>
      </c>
      <c r="N54" s="38" t="s">
        <v>198</v>
      </c>
      <c r="O54" s="48">
        <v>204.11</v>
      </c>
      <c r="P54" s="49" t="str">
        <f t="shared" si="3"/>
        <v>High</v>
      </c>
      <c r="Q54" s="48">
        <v>236.87</v>
      </c>
      <c r="R54" s="48">
        <v>0.182</v>
      </c>
      <c r="S54" s="48">
        <v>13</v>
      </c>
      <c r="T54" s="48">
        <f t="shared" si="0"/>
        <v>21238.118460000002</v>
      </c>
      <c r="U54" s="38">
        <f t="shared" si="1"/>
        <v>2653.4300000000003</v>
      </c>
      <c r="V54" s="48">
        <f t="shared" si="4"/>
        <v>18584.688460000001</v>
      </c>
      <c r="W54" s="50">
        <f t="shared" si="5"/>
        <v>0.87506284961177294</v>
      </c>
    </row>
    <row r="55" spans="1:23" x14ac:dyDescent="0.3">
      <c r="A55" s="39" t="s">
        <v>199</v>
      </c>
      <c r="B55" s="40">
        <v>45168</v>
      </c>
      <c r="C55" s="41">
        <v>45170</v>
      </c>
      <c r="D55" s="42">
        <f t="shared" si="6"/>
        <v>2</v>
      </c>
      <c r="E55" s="42" t="str">
        <f>TEXT(Data!B55,"MMM-YYYY")</f>
        <v>Aug-2023</v>
      </c>
      <c r="F55" s="42" t="str">
        <f t="shared" si="2"/>
        <v>Q3-2023</v>
      </c>
      <c r="G55" s="37" t="s">
        <v>78</v>
      </c>
      <c r="H55" s="37" t="s">
        <v>79</v>
      </c>
      <c r="I55" s="37" t="s">
        <v>159</v>
      </c>
      <c r="J55" s="37" t="s">
        <v>19</v>
      </c>
      <c r="K55" s="37" t="s">
        <v>98</v>
      </c>
      <c r="L55" s="37" t="s">
        <v>126</v>
      </c>
      <c r="M55" s="37" t="s">
        <v>35</v>
      </c>
      <c r="N55" s="37" t="s">
        <v>200</v>
      </c>
      <c r="O55" s="42">
        <v>44.42</v>
      </c>
      <c r="P55" s="43" t="str">
        <f t="shared" si="3"/>
        <v>Low</v>
      </c>
      <c r="Q55" s="42">
        <v>41.9</v>
      </c>
      <c r="R55" s="42">
        <v>0.14399999999999999</v>
      </c>
      <c r="S55" s="42">
        <v>6</v>
      </c>
      <c r="T55" s="42">
        <f t="shared" si="0"/>
        <v>14195.647199999998</v>
      </c>
      <c r="U55" s="37">
        <f t="shared" si="1"/>
        <v>266.52</v>
      </c>
      <c r="V55" s="42">
        <f t="shared" si="4"/>
        <v>13929.127199999997</v>
      </c>
      <c r="W55" s="44">
        <f t="shared" si="5"/>
        <v>0.9812252307876459</v>
      </c>
    </row>
    <row r="56" spans="1:23" x14ac:dyDescent="0.3">
      <c r="A56" s="45" t="s">
        <v>201</v>
      </c>
      <c r="B56" s="46">
        <v>45753</v>
      </c>
      <c r="C56" s="47">
        <v>45777</v>
      </c>
      <c r="D56" s="48">
        <f t="shared" si="6"/>
        <v>24</v>
      </c>
      <c r="E56" s="48" t="str">
        <f>TEXT(Data!B56,"MMM-YYYY")</f>
        <v>Apr-2025</v>
      </c>
      <c r="F56" s="48" t="str">
        <f t="shared" si="2"/>
        <v>Q2-2025</v>
      </c>
      <c r="G56" s="38" t="s">
        <v>52</v>
      </c>
      <c r="H56" s="38" t="s">
        <v>73</v>
      </c>
      <c r="I56" s="38" t="s">
        <v>87</v>
      </c>
      <c r="J56" s="38" t="s">
        <v>27</v>
      </c>
      <c r="K56" s="38" t="s">
        <v>28</v>
      </c>
      <c r="L56" s="38" t="s">
        <v>95</v>
      </c>
      <c r="M56" s="38" t="s">
        <v>64</v>
      </c>
      <c r="N56" s="38" t="s">
        <v>202</v>
      </c>
      <c r="O56" s="48">
        <v>855.78</v>
      </c>
      <c r="P56" s="49" t="str">
        <f t="shared" si="3"/>
        <v>High</v>
      </c>
      <c r="Q56" s="48">
        <v>977.38</v>
      </c>
      <c r="R56" s="48">
        <v>0.14699999999999999</v>
      </c>
      <c r="S56" s="48">
        <v>38</v>
      </c>
      <c r="T56" s="48">
        <f t="shared" si="0"/>
        <v>48735.421419999999</v>
      </c>
      <c r="U56" s="38">
        <f t="shared" si="1"/>
        <v>32519.64</v>
      </c>
      <c r="V56" s="48">
        <f t="shared" si="4"/>
        <v>16215.781419999999</v>
      </c>
      <c r="W56" s="50">
        <f t="shared" si="5"/>
        <v>0.33273091619036216</v>
      </c>
    </row>
    <row r="57" spans="1:23" x14ac:dyDescent="0.3">
      <c r="A57" s="39" t="s">
        <v>203</v>
      </c>
      <c r="B57" s="40">
        <v>45697</v>
      </c>
      <c r="C57" s="41">
        <v>45717</v>
      </c>
      <c r="D57" s="42">
        <f t="shared" si="6"/>
        <v>20</v>
      </c>
      <c r="E57" s="42" t="str">
        <f>TEXT(Data!B57,"MMM-YYYY")</f>
        <v>Feb-2025</v>
      </c>
      <c r="F57" s="42" t="str">
        <f t="shared" si="2"/>
        <v>Q1-2025</v>
      </c>
      <c r="G57" s="37" t="s">
        <v>52</v>
      </c>
      <c r="H57" s="37" t="s">
        <v>73</v>
      </c>
      <c r="I57" s="37" t="s">
        <v>74</v>
      </c>
      <c r="J57" s="37" t="s">
        <v>19</v>
      </c>
      <c r="K57" s="37" t="s">
        <v>55</v>
      </c>
      <c r="L57" s="37" t="s">
        <v>56</v>
      </c>
      <c r="M57" s="37" t="s">
        <v>57</v>
      </c>
      <c r="N57" s="37" t="s">
        <v>204</v>
      </c>
      <c r="O57" s="42">
        <v>1154.6400000000001</v>
      </c>
      <c r="P57" s="43" t="str">
        <f t="shared" si="3"/>
        <v>High</v>
      </c>
      <c r="Q57" s="42">
        <v>2794.13</v>
      </c>
      <c r="R57" s="42">
        <v>3.5000000000000003E-2</v>
      </c>
      <c r="S57" s="42">
        <v>11</v>
      </c>
      <c r="T57" s="42">
        <f t="shared" si="0"/>
        <v>4119.0446000000002</v>
      </c>
      <c r="U57" s="37">
        <f t="shared" si="1"/>
        <v>12701.04</v>
      </c>
      <c r="V57" s="42">
        <f t="shared" si="4"/>
        <v>-8581.9953999999998</v>
      </c>
      <c r="W57" s="44">
        <f t="shared" si="5"/>
        <v>-2.0834917398078185</v>
      </c>
    </row>
    <row r="58" spans="1:23" x14ac:dyDescent="0.3">
      <c r="A58" s="45" t="s">
        <v>205</v>
      </c>
      <c r="B58" s="46">
        <v>45643</v>
      </c>
      <c r="C58" s="47">
        <v>45644</v>
      </c>
      <c r="D58" s="48">
        <f t="shared" si="6"/>
        <v>1</v>
      </c>
      <c r="E58" s="48" t="str">
        <f>TEXT(Data!B58,"MMM-YYYY")</f>
        <v>Dec-2024</v>
      </c>
      <c r="F58" s="48" t="str">
        <f t="shared" si="2"/>
        <v>Q4-2024</v>
      </c>
      <c r="G58" s="38" t="s">
        <v>78</v>
      </c>
      <c r="H58" s="38" t="s">
        <v>79</v>
      </c>
      <c r="I58" s="38" t="s">
        <v>159</v>
      </c>
      <c r="J58" s="38" t="s">
        <v>27</v>
      </c>
      <c r="K58" s="38" t="s">
        <v>20</v>
      </c>
      <c r="L58" s="38" t="s">
        <v>49</v>
      </c>
      <c r="M58" s="38" t="s">
        <v>81</v>
      </c>
      <c r="N58" s="38" t="s">
        <v>206</v>
      </c>
      <c r="O58" s="48">
        <v>346.82</v>
      </c>
      <c r="P58" s="49" t="str">
        <f t="shared" si="3"/>
        <v>High</v>
      </c>
      <c r="Q58" s="48">
        <v>701.95</v>
      </c>
      <c r="R58" s="48">
        <v>0.14699999999999999</v>
      </c>
      <c r="S58" s="48">
        <v>8</v>
      </c>
      <c r="T58" s="48">
        <f t="shared" si="0"/>
        <v>304.14567999999997</v>
      </c>
      <c r="U58" s="38">
        <f t="shared" si="1"/>
        <v>2774.56</v>
      </c>
      <c r="V58" s="48">
        <f t="shared" si="4"/>
        <v>-2470.4143199999999</v>
      </c>
      <c r="W58" s="50">
        <f t="shared" si="5"/>
        <v>-8.122470521363315</v>
      </c>
    </row>
    <row r="59" spans="1:23" x14ac:dyDescent="0.3">
      <c r="A59" s="39" t="s">
        <v>207</v>
      </c>
      <c r="B59" s="40">
        <v>45817</v>
      </c>
      <c r="C59" s="41">
        <v>45826</v>
      </c>
      <c r="D59" s="42">
        <f t="shared" si="6"/>
        <v>9</v>
      </c>
      <c r="E59" s="42" t="str">
        <f>TEXT(Data!B59,"MMM-YYYY")</f>
        <v>Jun-2025</v>
      </c>
      <c r="F59" s="42" t="str">
        <f t="shared" si="2"/>
        <v>Q2-2025</v>
      </c>
      <c r="G59" s="37" t="s">
        <v>78</v>
      </c>
      <c r="H59" s="37" t="s">
        <v>90</v>
      </c>
      <c r="I59" s="37" t="s">
        <v>91</v>
      </c>
      <c r="J59" s="37" t="s">
        <v>62</v>
      </c>
      <c r="K59" s="37" t="s">
        <v>40</v>
      </c>
      <c r="L59" s="37" t="s">
        <v>92</v>
      </c>
      <c r="M59" s="37" t="s">
        <v>81</v>
      </c>
      <c r="N59" s="37" t="s">
        <v>208</v>
      </c>
      <c r="O59" s="42">
        <v>1225.5</v>
      </c>
      <c r="P59" s="43" t="str">
        <f t="shared" si="3"/>
        <v>Low</v>
      </c>
      <c r="Q59" s="42">
        <v>-5.27</v>
      </c>
      <c r="R59" s="42">
        <v>7.4999999999999997E-2</v>
      </c>
      <c r="S59" s="42">
        <v>56</v>
      </c>
      <c r="T59" s="42">
        <f t="shared" si="0"/>
        <v>93667.868000000002</v>
      </c>
      <c r="U59" s="37">
        <f t="shared" si="1"/>
        <v>68628</v>
      </c>
      <c r="V59" s="42">
        <f t="shared" si="4"/>
        <v>25039.868000000002</v>
      </c>
      <c r="W59" s="44">
        <f t="shared" si="5"/>
        <v>0.2673261229774121</v>
      </c>
    </row>
    <row r="60" spans="1:23" x14ac:dyDescent="0.3">
      <c r="A60" s="45" t="s">
        <v>209</v>
      </c>
      <c r="B60" s="46">
        <v>45779</v>
      </c>
      <c r="C60" s="47">
        <v>45790</v>
      </c>
      <c r="D60" s="48">
        <f t="shared" si="6"/>
        <v>11</v>
      </c>
      <c r="E60" s="48" t="str">
        <f>TEXT(Data!B60,"MMM-YYYY")</f>
        <v>May-2025</v>
      </c>
      <c r="F60" s="48" t="str">
        <f t="shared" si="2"/>
        <v>Q2-2025</v>
      </c>
      <c r="G60" s="38" t="s">
        <v>16</v>
      </c>
      <c r="H60" s="38" t="s">
        <v>17</v>
      </c>
      <c r="I60" s="38" t="s">
        <v>135</v>
      </c>
      <c r="J60" s="38" t="s">
        <v>62</v>
      </c>
      <c r="K60" s="38" t="s">
        <v>28</v>
      </c>
      <c r="L60" s="38" t="s">
        <v>75</v>
      </c>
      <c r="M60" s="38" t="s">
        <v>81</v>
      </c>
      <c r="N60" s="38" t="s">
        <v>210</v>
      </c>
      <c r="O60" s="48">
        <v>1057.5999999999999</v>
      </c>
      <c r="P60" s="49" t="str">
        <f t="shared" si="3"/>
        <v>High</v>
      </c>
      <c r="Q60" s="48">
        <v>1437.06</v>
      </c>
      <c r="R60" s="48">
        <v>0.20499999999999999</v>
      </c>
      <c r="S60" s="48">
        <v>4</v>
      </c>
      <c r="T60" s="48">
        <f t="shared" si="0"/>
        <v>4086.5861999999997</v>
      </c>
      <c r="U60" s="38">
        <f t="shared" si="1"/>
        <v>4230.3999999999996</v>
      </c>
      <c r="V60" s="48">
        <f t="shared" si="4"/>
        <v>-143.8137999999999</v>
      </c>
      <c r="W60" s="50">
        <f t="shared" si="5"/>
        <v>-3.5191671718560573E-2</v>
      </c>
    </row>
    <row r="61" spans="1:23" x14ac:dyDescent="0.3">
      <c r="A61" s="39" t="s">
        <v>211</v>
      </c>
      <c r="B61" s="40">
        <v>45361</v>
      </c>
      <c r="C61" s="41">
        <v>45391</v>
      </c>
      <c r="D61" s="42">
        <f t="shared" si="6"/>
        <v>30</v>
      </c>
      <c r="E61" s="42" t="str">
        <f>TEXT(Data!B61,"MMM-YYYY")</f>
        <v>Mar-2024</v>
      </c>
      <c r="F61" s="42" t="str">
        <f t="shared" si="2"/>
        <v>Q1-2024</v>
      </c>
      <c r="G61" s="37" t="s">
        <v>78</v>
      </c>
      <c r="H61" s="37" t="s">
        <v>90</v>
      </c>
      <c r="I61" s="37" t="s">
        <v>138</v>
      </c>
      <c r="J61" s="37" t="s">
        <v>19</v>
      </c>
      <c r="K61" s="37" t="s">
        <v>98</v>
      </c>
      <c r="L61" s="37" t="s">
        <v>34</v>
      </c>
      <c r="M61" s="37" t="s">
        <v>22</v>
      </c>
      <c r="N61" s="37" t="s">
        <v>212</v>
      </c>
      <c r="O61" s="42">
        <v>1176.56</v>
      </c>
      <c r="P61" s="43" t="str">
        <f t="shared" si="3"/>
        <v>High</v>
      </c>
      <c r="Q61" s="42">
        <v>1911.89</v>
      </c>
      <c r="R61" s="42">
        <v>0.11899999999999999</v>
      </c>
      <c r="S61" s="42">
        <v>20</v>
      </c>
      <c r="T61" s="42">
        <f t="shared" si="0"/>
        <v>29568.826800000003</v>
      </c>
      <c r="U61" s="37">
        <f t="shared" si="1"/>
        <v>23531.199999999997</v>
      </c>
      <c r="V61" s="42">
        <f t="shared" si="4"/>
        <v>6037.6268000000055</v>
      </c>
      <c r="W61" s="44">
        <f t="shared" si="5"/>
        <v>0.20418891966319086</v>
      </c>
    </row>
    <row r="62" spans="1:23" x14ac:dyDescent="0.3">
      <c r="A62" s="45" t="s">
        <v>213</v>
      </c>
      <c r="B62" s="46">
        <v>45910</v>
      </c>
      <c r="C62" s="47">
        <v>45912</v>
      </c>
      <c r="D62" s="48">
        <f t="shared" si="6"/>
        <v>2</v>
      </c>
      <c r="E62" s="48" t="str">
        <f>TEXT(Data!B62,"MMM-YYYY")</f>
        <v>Sept-2025</v>
      </c>
      <c r="F62" s="48" t="str">
        <f t="shared" si="2"/>
        <v>Q3-2025</v>
      </c>
      <c r="G62" s="38" t="s">
        <v>45</v>
      </c>
      <c r="H62" s="38" t="s">
        <v>46</v>
      </c>
      <c r="I62" s="38" t="s">
        <v>214</v>
      </c>
      <c r="J62" s="38" t="s">
        <v>48</v>
      </c>
      <c r="K62" s="38" t="s">
        <v>28</v>
      </c>
      <c r="L62" s="38" t="s">
        <v>68</v>
      </c>
      <c r="M62" s="38" t="s">
        <v>22</v>
      </c>
      <c r="N62" s="38" t="s">
        <v>215</v>
      </c>
      <c r="O62" s="48">
        <v>1470.15</v>
      </c>
      <c r="P62" s="49" t="str">
        <f t="shared" si="3"/>
        <v>High</v>
      </c>
      <c r="Q62" s="48">
        <v>2593.7800000000002</v>
      </c>
      <c r="R62" s="48">
        <v>0.11</v>
      </c>
      <c r="S62" s="48">
        <v>12</v>
      </c>
      <c r="T62" s="48">
        <f t="shared" si="0"/>
        <v>7255.4580000000005</v>
      </c>
      <c r="U62" s="38">
        <f t="shared" si="1"/>
        <v>17641.800000000003</v>
      </c>
      <c r="V62" s="48">
        <f t="shared" si="4"/>
        <v>-10386.342000000002</v>
      </c>
      <c r="W62" s="50">
        <f t="shared" si="5"/>
        <v>-1.4315212078961799</v>
      </c>
    </row>
    <row r="63" spans="1:23" x14ac:dyDescent="0.3">
      <c r="A63" s="39" t="s">
        <v>216</v>
      </c>
      <c r="B63" s="40">
        <v>45774</v>
      </c>
      <c r="C63" s="41">
        <v>45802</v>
      </c>
      <c r="D63" s="42">
        <f t="shared" si="6"/>
        <v>28</v>
      </c>
      <c r="E63" s="42" t="str">
        <f>TEXT(Data!B63,"MMM-YYYY")</f>
        <v>Apr-2025</v>
      </c>
      <c r="F63" s="42" t="str">
        <f t="shared" si="2"/>
        <v>Q2-2025</v>
      </c>
      <c r="G63" s="37" t="s">
        <v>78</v>
      </c>
      <c r="H63" s="37" t="s">
        <v>90</v>
      </c>
      <c r="I63" s="37" t="s">
        <v>217</v>
      </c>
      <c r="J63" s="37" t="s">
        <v>62</v>
      </c>
      <c r="K63" s="37" t="s">
        <v>40</v>
      </c>
      <c r="L63" s="37" t="s">
        <v>34</v>
      </c>
      <c r="M63" s="37" t="s">
        <v>42</v>
      </c>
      <c r="N63" s="37" t="s">
        <v>218</v>
      </c>
      <c r="O63" s="42">
        <v>603.45000000000005</v>
      </c>
      <c r="P63" s="43" t="str">
        <f t="shared" si="3"/>
        <v>High</v>
      </c>
      <c r="Q63" s="42">
        <v>1244.08</v>
      </c>
      <c r="R63" s="42">
        <v>0.2</v>
      </c>
      <c r="S63" s="42">
        <v>11</v>
      </c>
      <c r="T63" s="42">
        <f t="shared" si="0"/>
        <v>9767.2960000000003</v>
      </c>
      <c r="U63" s="37">
        <f t="shared" si="1"/>
        <v>6637.9500000000007</v>
      </c>
      <c r="V63" s="42">
        <f t="shared" si="4"/>
        <v>3129.3459999999995</v>
      </c>
      <c r="W63" s="44">
        <f t="shared" si="5"/>
        <v>0.32039020830330106</v>
      </c>
    </row>
    <row r="64" spans="1:23" x14ac:dyDescent="0.3">
      <c r="A64" s="45" t="s">
        <v>219</v>
      </c>
      <c r="B64" s="46">
        <v>45598</v>
      </c>
      <c r="C64" s="47">
        <v>45614</v>
      </c>
      <c r="D64" s="48">
        <f t="shared" si="6"/>
        <v>16</v>
      </c>
      <c r="E64" s="48" t="str">
        <f>TEXT(Data!B64,"MMM-YYYY")</f>
        <v>Nov-2024</v>
      </c>
      <c r="F64" s="48" t="str">
        <f t="shared" si="2"/>
        <v>Q4-2024</v>
      </c>
      <c r="G64" s="38" t="s">
        <v>45</v>
      </c>
      <c r="H64" s="38" t="s">
        <v>60</v>
      </c>
      <c r="I64" s="38" t="s">
        <v>220</v>
      </c>
      <c r="J64" s="38" t="s">
        <v>62</v>
      </c>
      <c r="K64" s="38" t="s">
        <v>55</v>
      </c>
      <c r="L64" s="38" t="s">
        <v>68</v>
      </c>
      <c r="M64" s="38" t="s">
        <v>64</v>
      </c>
      <c r="N64" s="38" t="s">
        <v>221</v>
      </c>
      <c r="O64" s="48">
        <v>1233.58</v>
      </c>
      <c r="P64" s="49" t="str">
        <f t="shared" si="3"/>
        <v>High</v>
      </c>
      <c r="Q64" s="48">
        <v>1912.51</v>
      </c>
      <c r="R64" s="48">
        <v>0.255</v>
      </c>
      <c r="S64" s="48">
        <v>51</v>
      </c>
      <c r="T64" s="48">
        <f t="shared" si="0"/>
        <v>3175.2421499999996</v>
      </c>
      <c r="U64" s="38">
        <f t="shared" si="1"/>
        <v>62912.579999999994</v>
      </c>
      <c r="V64" s="48">
        <f t="shared" si="4"/>
        <v>-59737.337849999996</v>
      </c>
      <c r="W64" s="50">
        <f t="shared" si="5"/>
        <v>-18.813474698299782</v>
      </c>
    </row>
    <row r="65" spans="1:23" x14ac:dyDescent="0.3">
      <c r="A65" s="39" t="s">
        <v>222</v>
      </c>
      <c r="B65" s="40">
        <v>44972</v>
      </c>
      <c r="C65" s="41">
        <v>44983</v>
      </c>
      <c r="D65" s="42">
        <f t="shared" si="6"/>
        <v>11</v>
      </c>
      <c r="E65" s="42" t="str">
        <f>TEXT(Data!B65,"MMM-YYYY")</f>
        <v>Feb-2023</v>
      </c>
      <c r="F65" s="42" t="str">
        <f t="shared" si="2"/>
        <v>Q1-2023</v>
      </c>
      <c r="G65" s="37" t="s">
        <v>16</v>
      </c>
      <c r="H65" s="37" t="s">
        <v>148</v>
      </c>
      <c r="I65" s="37" t="s">
        <v>149</v>
      </c>
      <c r="J65" s="37" t="s">
        <v>39</v>
      </c>
      <c r="K65" s="37" t="s">
        <v>20</v>
      </c>
      <c r="L65" s="37" t="s">
        <v>95</v>
      </c>
      <c r="M65" s="37" t="s">
        <v>57</v>
      </c>
      <c r="N65" s="37" t="s">
        <v>223</v>
      </c>
      <c r="O65" s="42">
        <v>498.5</v>
      </c>
      <c r="P65" s="43" t="str">
        <f t="shared" si="3"/>
        <v>High</v>
      </c>
      <c r="Q65" s="42">
        <v>755.87</v>
      </c>
      <c r="R65" s="42">
        <v>0.13</v>
      </c>
      <c r="S65" s="42">
        <v>40</v>
      </c>
      <c r="T65" s="42">
        <f t="shared" ref="T65:T128" si="7">(Q91*S65)*(1-R65)</f>
        <v>44693.64</v>
      </c>
      <c r="U65" s="37">
        <f t="shared" ref="U65:U128" si="8">(O65*S65)</f>
        <v>19940</v>
      </c>
      <c r="V65" s="42">
        <f t="shared" si="4"/>
        <v>24753.64</v>
      </c>
      <c r="W65" s="44">
        <f t="shared" si="5"/>
        <v>0.55385150996875621</v>
      </c>
    </row>
    <row r="66" spans="1:23" x14ac:dyDescent="0.3">
      <c r="A66" s="45" t="s">
        <v>224</v>
      </c>
      <c r="B66" s="46">
        <v>45263</v>
      </c>
      <c r="C66" s="47">
        <v>45286</v>
      </c>
      <c r="D66" s="48">
        <f t="shared" si="6"/>
        <v>23</v>
      </c>
      <c r="E66" s="48" t="str">
        <f>TEXT(Data!B66,"MMM-YYYY")</f>
        <v>Dec-2023</v>
      </c>
      <c r="F66" s="48" t="str">
        <f t="shared" ref="F66:F129" si="9">"Q"&amp;ROUNDUP(MONTH(B66)/3,0)&amp;"-"&amp;YEAR(B66)</f>
        <v>Q4-2023</v>
      </c>
      <c r="G66" s="38" t="s">
        <v>52</v>
      </c>
      <c r="H66" s="38" t="s">
        <v>73</v>
      </c>
      <c r="I66" s="38" t="s">
        <v>225</v>
      </c>
      <c r="J66" s="38" t="s">
        <v>27</v>
      </c>
      <c r="K66" s="38" t="s">
        <v>20</v>
      </c>
      <c r="L66" s="38" t="s">
        <v>68</v>
      </c>
      <c r="M66" s="38" t="s">
        <v>42</v>
      </c>
      <c r="N66" s="38" t="s">
        <v>226</v>
      </c>
      <c r="O66" s="48">
        <v>1303.1099999999999</v>
      </c>
      <c r="P66" s="49" t="str">
        <f t="shared" ref="P66:P129" si="10">IF(Q66&lt;50, "Low", IF(Q66&lt;200, "Medium", "High"))</f>
        <v>High</v>
      </c>
      <c r="Q66" s="48">
        <v>1145.67</v>
      </c>
      <c r="R66" s="48">
        <v>0.184</v>
      </c>
      <c r="S66" s="48">
        <v>13</v>
      </c>
      <c r="T66" s="48">
        <f t="shared" si="7"/>
        <v>9671.5257600000004</v>
      </c>
      <c r="U66" s="38">
        <f t="shared" si="8"/>
        <v>16940.43</v>
      </c>
      <c r="V66" s="48">
        <f t="shared" ref="V66:V129" si="11">(T66-U66)</f>
        <v>-7268.9042399999998</v>
      </c>
      <c r="W66" s="50">
        <f t="shared" ref="W66:W129" si="12">IF(T66=0, 0, V66/T66)</f>
        <v>-0.75157781929952694</v>
      </c>
    </row>
    <row r="67" spans="1:23" x14ac:dyDescent="0.3">
      <c r="A67" s="39" t="s">
        <v>227</v>
      </c>
      <c r="B67" s="40">
        <v>45004</v>
      </c>
      <c r="C67" s="41">
        <v>45025</v>
      </c>
      <c r="D67" s="42">
        <f t="shared" ref="D67:D130" si="13">DATEDIF(B67,C67, "MD")</f>
        <v>21</v>
      </c>
      <c r="E67" s="42" t="str">
        <f>TEXT(Data!B67,"MMM-YYYY")</f>
        <v>Mar-2023</v>
      </c>
      <c r="F67" s="42" t="str">
        <f t="shared" si="9"/>
        <v>Q1-2023</v>
      </c>
      <c r="G67" s="37" t="s">
        <v>78</v>
      </c>
      <c r="H67" s="37" t="s">
        <v>108</v>
      </c>
      <c r="I67" s="37" t="s">
        <v>228</v>
      </c>
      <c r="J67" s="37" t="s">
        <v>48</v>
      </c>
      <c r="K67" s="37" t="s">
        <v>20</v>
      </c>
      <c r="L67" s="37" t="s">
        <v>49</v>
      </c>
      <c r="M67" s="37" t="s">
        <v>81</v>
      </c>
      <c r="N67" s="37" t="s">
        <v>229</v>
      </c>
      <c r="O67" s="42">
        <v>1082.17</v>
      </c>
      <c r="P67" s="43" t="str">
        <f t="shared" si="10"/>
        <v>High</v>
      </c>
      <c r="Q67" s="42">
        <v>1234.0999999999999</v>
      </c>
      <c r="R67" s="42">
        <v>0.189</v>
      </c>
      <c r="S67" s="42">
        <v>16</v>
      </c>
      <c r="T67" s="42">
        <f t="shared" si="7"/>
        <v>18232.188319999997</v>
      </c>
      <c r="U67" s="37">
        <f t="shared" si="8"/>
        <v>17314.72</v>
      </c>
      <c r="V67" s="42">
        <f t="shared" si="11"/>
        <v>917.46831999999631</v>
      </c>
      <c r="W67" s="44">
        <f t="shared" si="12"/>
        <v>5.0321349467061474E-2</v>
      </c>
    </row>
    <row r="68" spans="1:23" x14ac:dyDescent="0.3">
      <c r="A68" s="45" t="s">
        <v>230</v>
      </c>
      <c r="B68" s="46">
        <v>45434</v>
      </c>
      <c r="C68" s="47">
        <v>45449</v>
      </c>
      <c r="D68" s="48">
        <f t="shared" si="13"/>
        <v>15</v>
      </c>
      <c r="E68" s="48" t="str">
        <f>TEXT(Data!B68,"MMM-YYYY")</f>
        <v>May-2024</v>
      </c>
      <c r="F68" s="48" t="str">
        <f t="shared" si="9"/>
        <v>Q2-2024</v>
      </c>
      <c r="G68" s="38" t="s">
        <v>45</v>
      </c>
      <c r="H68" s="38" t="s">
        <v>46</v>
      </c>
      <c r="I68" s="38" t="s">
        <v>231</v>
      </c>
      <c r="J68" s="38" t="s">
        <v>19</v>
      </c>
      <c r="K68" s="38" t="s">
        <v>55</v>
      </c>
      <c r="L68" s="38" t="s">
        <v>21</v>
      </c>
      <c r="M68" s="38" t="s">
        <v>64</v>
      </c>
      <c r="N68" s="38" t="s">
        <v>232</v>
      </c>
      <c r="O68" s="48">
        <v>673.88</v>
      </c>
      <c r="P68" s="49" t="str">
        <f t="shared" si="10"/>
        <v>High</v>
      </c>
      <c r="Q68" s="48">
        <v>1228.01</v>
      </c>
      <c r="R68" s="48">
        <v>0.105</v>
      </c>
      <c r="S68" s="48">
        <v>13</v>
      </c>
      <c r="T68" s="48">
        <f t="shared" si="7"/>
        <v>11273.616900000001</v>
      </c>
      <c r="U68" s="38">
        <f t="shared" si="8"/>
        <v>8760.44</v>
      </c>
      <c r="V68" s="48">
        <f t="shared" si="11"/>
        <v>2513.1769000000004</v>
      </c>
      <c r="W68" s="50">
        <f t="shared" si="12"/>
        <v>0.22292551913840536</v>
      </c>
    </row>
    <row r="69" spans="1:23" x14ac:dyDescent="0.3">
      <c r="A69" s="39" t="s">
        <v>233</v>
      </c>
      <c r="B69" s="40">
        <v>45157</v>
      </c>
      <c r="C69" s="41">
        <v>45176</v>
      </c>
      <c r="D69" s="42">
        <f t="shared" si="13"/>
        <v>19</v>
      </c>
      <c r="E69" s="42" t="str">
        <f>TEXT(Data!B69,"MMM-YYYY")</f>
        <v>Aug-2023</v>
      </c>
      <c r="F69" s="42" t="str">
        <f t="shared" si="9"/>
        <v>Q3-2023</v>
      </c>
      <c r="G69" s="37" t="s">
        <v>16</v>
      </c>
      <c r="H69" s="37" t="s">
        <v>148</v>
      </c>
      <c r="I69" s="37" t="s">
        <v>149</v>
      </c>
      <c r="J69" s="37" t="s">
        <v>105</v>
      </c>
      <c r="K69" s="37" t="s">
        <v>20</v>
      </c>
      <c r="L69" s="37" t="s">
        <v>145</v>
      </c>
      <c r="M69" s="37" t="s">
        <v>64</v>
      </c>
      <c r="N69" s="37" t="s">
        <v>234</v>
      </c>
      <c r="O69" s="42">
        <v>494.61</v>
      </c>
      <c r="P69" s="43" t="str">
        <f t="shared" si="10"/>
        <v>High</v>
      </c>
      <c r="Q69" s="42">
        <v>605.23</v>
      </c>
      <c r="R69" s="42">
        <v>0.20399999999999999</v>
      </c>
      <c r="S69" s="42">
        <v>18</v>
      </c>
      <c r="T69" s="42">
        <f t="shared" si="7"/>
        <v>15600.46968</v>
      </c>
      <c r="U69" s="37">
        <f t="shared" si="8"/>
        <v>8902.98</v>
      </c>
      <c r="V69" s="42">
        <f t="shared" si="11"/>
        <v>6697.4896800000006</v>
      </c>
      <c r="W69" s="44">
        <f t="shared" si="12"/>
        <v>0.42931333590464055</v>
      </c>
    </row>
    <row r="70" spans="1:23" x14ac:dyDescent="0.3">
      <c r="A70" s="45" t="s">
        <v>235</v>
      </c>
      <c r="B70" s="46">
        <v>45037</v>
      </c>
      <c r="C70" s="47">
        <v>45056</v>
      </c>
      <c r="D70" s="48">
        <f t="shared" si="13"/>
        <v>19</v>
      </c>
      <c r="E70" s="48" t="str">
        <f>TEXT(Data!B70,"MMM-YYYY")</f>
        <v>Apr-2023</v>
      </c>
      <c r="F70" s="48" t="str">
        <f t="shared" si="9"/>
        <v>Q2-2023</v>
      </c>
      <c r="G70" s="38" t="s">
        <v>45</v>
      </c>
      <c r="H70" s="38" t="s">
        <v>116</v>
      </c>
      <c r="I70" s="38" t="s">
        <v>162</v>
      </c>
      <c r="J70" s="38" t="s">
        <v>19</v>
      </c>
      <c r="K70" s="38" t="s">
        <v>20</v>
      </c>
      <c r="L70" s="38" t="s">
        <v>75</v>
      </c>
      <c r="M70" s="38" t="s">
        <v>22</v>
      </c>
      <c r="N70" s="38" t="s">
        <v>236</v>
      </c>
      <c r="O70" s="48">
        <v>882.33</v>
      </c>
      <c r="P70" s="49" t="str">
        <f t="shared" si="10"/>
        <v>High</v>
      </c>
      <c r="Q70" s="48">
        <v>1880.15</v>
      </c>
      <c r="R70" s="48">
        <v>0.05</v>
      </c>
      <c r="S70" s="48">
        <v>5</v>
      </c>
      <c r="T70" s="48">
        <f t="shared" si="7"/>
        <v>11803.702499999998</v>
      </c>
      <c r="U70" s="38">
        <f t="shared" si="8"/>
        <v>4411.6500000000005</v>
      </c>
      <c r="V70" s="48">
        <f t="shared" si="11"/>
        <v>7392.0524999999971</v>
      </c>
      <c r="W70" s="50">
        <f t="shared" si="12"/>
        <v>0.6262486283435218</v>
      </c>
    </row>
    <row r="71" spans="1:23" x14ac:dyDescent="0.3">
      <c r="A71" s="39" t="s">
        <v>237</v>
      </c>
      <c r="B71" s="40">
        <v>45369</v>
      </c>
      <c r="C71" s="41">
        <v>45372</v>
      </c>
      <c r="D71" s="42">
        <f t="shared" si="13"/>
        <v>3</v>
      </c>
      <c r="E71" s="42" t="str">
        <f>TEXT(Data!B71,"MMM-YYYY")</f>
        <v>Mar-2024</v>
      </c>
      <c r="F71" s="42" t="str">
        <f t="shared" si="9"/>
        <v>Q1-2024</v>
      </c>
      <c r="G71" s="37" t="s">
        <v>78</v>
      </c>
      <c r="H71" s="37" t="s">
        <v>79</v>
      </c>
      <c r="I71" s="37" t="s">
        <v>159</v>
      </c>
      <c r="J71" s="37" t="s">
        <v>62</v>
      </c>
      <c r="K71" s="37" t="s">
        <v>28</v>
      </c>
      <c r="L71" s="37" t="s">
        <v>110</v>
      </c>
      <c r="M71" s="37" t="s">
        <v>81</v>
      </c>
      <c r="N71" s="37" t="s">
        <v>238</v>
      </c>
      <c r="O71" s="42">
        <v>910.63</v>
      </c>
      <c r="P71" s="43" t="str">
        <f t="shared" si="10"/>
        <v>High</v>
      </c>
      <c r="Q71" s="42">
        <v>1269.4000000000001</v>
      </c>
      <c r="R71" s="42">
        <v>6.8000000000000005E-2</v>
      </c>
      <c r="S71" s="42">
        <v>9</v>
      </c>
      <c r="T71" s="42">
        <f t="shared" si="7"/>
        <v>240.65172000000001</v>
      </c>
      <c r="U71" s="37">
        <f t="shared" si="8"/>
        <v>8195.67</v>
      </c>
      <c r="V71" s="42">
        <f t="shared" si="11"/>
        <v>-7955.0182800000002</v>
      </c>
      <c r="W71" s="44">
        <f t="shared" si="12"/>
        <v>-33.05614553679483</v>
      </c>
    </row>
    <row r="72" spans="1:23" x14ac:dyDescent="0.3">
      <c r="A72" s="45" t="s">
        <v>239</v>
      </c>
      <c r="B72" s="46">
        <v>45756</v>
      </c>
      <c r="C72" s="47">
        <v>45783</v>
      </c>
      <c r="D72" s="48">
        <f t="shared" si="13"/>
        <v>27</v>
      </c>
      <c r="E72" s="48" t="str">
        <f>TEXT(Data!B72,"MMM-YYYY")</f>
        <v>Apr-2025</v>
      </c>
      <c r="F72" s="48" t="str">
        <f t="shared" si="9"/>
        <v>Q2-2025</v>
      </c>
      <c r="G72" s="38" t="s">
        <v>52</v>
      </c>
      <c r="H72" s="38" t="s">
        <v>73</v>
      </c>
      <c r="I72" s="38" t="s">
        <v>87</v>
      </c>
      <c r="J72" s="38" t="s">
        <v>105</v>
      </c>
      <c r="K72" s="38" t="s">
        <v>40</v>
      </c>
      <c r="L72" s="38" t="s">
        <v>84</v>
      </c>
      <c r="M72" s="38" t="s">
        <v>57</v>
      </c>
      <c r="N72" s="38" t="s">
        <v>240</v>
      </c>
      <c r="O72" s="48">
        <v>264.19</v>
      </c>
      <c r="P72" s="49" t="str">
        <f t="shared" si="10"/>
        <v>High</v>
      </c>
      <c r="Q72" s="48">
        <v>620.92999999999995</v>
      </c>
      <c r="R72" s="48">
        <v>0.14199999999999999</v>
      </c>
      <c r="S72" s="48">
        <v>12</v>
      </c>
      <c r="T72" s="48">
        <f t="shared" si="7"/>
        <v>19527.59952</v>
      </c>
      <c r="U72" s="38">
        <f t="shared" si="8"/>
        <v>3170.2799999999997</v>
      </c>
      <c r="V72" s="48">
        <f t="shared" si="11"/>
        <v>16357.319520000001</v>
      </c>
      <c r="W72" s="50">
        <f t="shared" si="12"/>
        <v>0.83765132028885447</v>
      </c>
    </row>
    <row r="73" spans="1:23" x14ac:dyDescent="0.3">
      <c r="A73" s="39" t="s">
        <v>241</v>
      </c>
      <c r="B73" s="40">
        <v>45394</v>
      </c>
      <c r="C73" s="41">
        <v>45419</v>
      </c>
      <c r="D73" s="42">
        <f t="shared" si="13"/>
        <v>25</v>
      </c>
      <c r="E73" s="42" t="str">
        <f>TEXT(Data!B73,"MMM-YYYY")</f>
        <v>Apr-2024</v>
      </c>
      <c r="F73" s="42" t="str">
        <f t="shared" si="9"/>
        <v>Q2-2024</v>
      </c>
      <c r="G73" s="37" t="s">
        <v>16</v>
      </c>
      <c r="H73" s="37" t="s">
        <v>148</v>
      </c>
      <c r="I73" s="37" t="s">
        <v>149</v>
      </c>
      <c r="J73" s="37" t="s">
        <v>27</v>
      </c>
      <c r="K73" s="37" t="s">
        <v>55</v>
      </c>
      <c r="L73" s="37" t="s">
        <v>75</v>
      </c>
      <c r="M73" s="37" t="s">
        <v>57</v>
      </c>
      <c r="N73" s="37" t="s">
        <v>242</v>
      </c>
      <c r="O73" s="42">
        <v>1376.51</v>
      </c>
      <c r="P73" s="43" t="str">
        <f t="shared" si="10"/>
        <v>High</v>
      </c>
      <c r="Q73" s="42">
        <v>1455.91</v>
      </c>
      <c r="R73" s="42">
        <v>0.185</v>
      </c>
      <c r="S73" s="42">
        <v>17</v>
      </c>
      <c r="T73" s="42">
        <f t="shared" si="7"/>
        <v>5807.6003499999997</v>
      </c>
      <c r="U73" s="37">
        <f t="shared" si="8"/>
        <v>23400.67</v>
      </c>
      <c r="V73" s="42">
        <f t="shared" si="11"/>
        <v>-17593.069649999998</v>
      </c>
      <c r="W73" s="44">
        <f t="shared" si="12"/>
        <v>-3.0293182364037841</v>
      </c>
    </row>
    <row r="74" spans="1:23" x14ac:dyDescent="0.3">
      <c r="A74" s="45" t="s">
        <v>243</v>
      </c>
      <c r="B74" s="46">
        <v>45641</v>
      </c>
      <c r="C74" s="47">
        <v>45646</v>
      </c>
      <c r="D74" s="48">
        <f t="shared" si="13"/>
        <v>5</v>
      </c>
      <c r="E74" s="48" t="str">
        <f>TEXT(Data!B74,"MMM-YYYY")</f>
        <v>Dec-2024</v>
      </c>
      <c r="F74" s="48" t="str">
        <f t="shared" si="9"/>
        <v>Q4-2024</v>
      </c>
      <c r="G74" s="38" t="s">
        <v>45</v>
      </c>
      <c r="H74" s="38" t="s">
        <v>116</v>
      </c>
      <c r="I74" s="38" t="s">
        <v>117</v>
      </c>
      <c r="J74" s="38" t="s">
        <v>62</v>
      </c>
      <c r="K74" s="38" t="s">
        <v>98</v>
      </c>
      <c r="L74" s="38" t="s">
        <v>29</v>
      </c>
      <c r="M74" s="38" t="s">
        <v>35</v>
      </c>
      <c r="N74" s="38" t="s">
        <v>244</v>
      </c>
      <c r="O74" s="48">
        <v>717.55</v>
      </c>
      <c r="P74" s="49" t="str">
        <f t="shared" si="10"/>
        <v>High</v>
      </c>
      <c r="Q74" s="48">
        <v>546.42999999999995</v>
      </c>
      <c r="R74" s="48">
        <v>4.7E-2</v>
      </c>
      <c r="S74" s="48">
        <v>18</v>
      </c>
      <c r="T74" s="48">
        <f t="shared" si="7"/>
        <v>34328.070179999995</v>
      </c>
      <c r="U74" s="38">
        <f t="shared" si="8"/>
        <v>12915.9</v>
      </c>
      <c r="V74" s="48">
        <f t="shared" si="11"/>
        <v>21412.170179999994</v>
      </c>
      <c r="W74" s="50">
        <f t="shared" si="12"/>
        <v>0.62375106050893059</v>
      </c>
    </row>
    <row r="75" spans="1:23" x14ac:dyDescent="0.3">
      <c r="A75" s="39" t="s">
        <v>245</v>
      </c>
      <c r="B75" s="40">
        <v>45066</v>
      </c>
      <c r="C75" s="41">
        <v>45064</v>
      </c>
      <c r="D75" s="42">
        <f>DATEDIF(C75,B75, "MD")</f>
        <v>2</v>
      </c>
      <c r="E75" s="42" t="str">
        <f>TEXT(Data!B75,"MMM-YYYY")</f>
        <v>May-2023</v>
      </c>
      <c r="F75" s="42" t="str">
        <f t="shared" si="9"/>
        <v>Q2-2023</v>
      </c>
      <c r="G75" s="37" t="s">
        <v>16</v>
      </c>
      <c r="H75" s="37" t="s">
        <v>148</v>
      </c>
      <c r="I75" s="37" t="s">
        <v>172</v>
      </c>
      <c r="J75" s="37" t="s">
        <v>19</v>
      </c>
      <c r="K75" s="37" t="s">
        <v>55</v>
      </c>
      <c r="L75" s="37" t="s">
        <v>75</v>
      </c>
      <c r="M75" s="37" t="s">
        <v>22</v>
      </c>
      <c r="N75" s="37" t="s">
        <v>246</v>
      </c>
      <c r="O75" s="42">
        <v>917.88</v>
      </c>
      <c r="P75" s="43" t="str">
        <f t="shared" si="10"/>
        <v>High</v>
      </c>
      <c r="Q75" s="42">
        <v>1347.92</v>
      </c>
      <c r="R75" s="42">
        <v>0.34300000000000003</v>
      </c>
      <c r="S75" s="42">
        <v>5</v>
      </c>
      <c r="T75" s="42">
        <f t="shared" si="7"/>
        <v>10198.97235</v>
      </c>
      <c r="U75" s="37">
        <f t="shared" si="8"/>
        <v>4589.3999999999996</v>
      </c>
      <c r="V75" s="42">
        <f t="shared" si="11"/>
        <v>5609.5723500000004</v>
      </c>
      <c r="W75" s="44">
        <f t="shared" si="12"/>
        <v>0.55001348738826616</v>
      </c>
    </row>
    <row r="76" spans="1:23" x14ac:dyDescent="0.3">
      <c r="A76" s="45" t="s">
        <v>247</v>
      </c>
      <c r="B76" s="46">
        <v>45187</v>
      </c>
      <c r="C76" s="47">
        <v>45207</v>
      </c>
      <c r="D76" s="48">
        <f t="shared" si="13"/>
        <v>20</v>
      </c>
      <c r="E76" s="48" t="str">
        <f>TEXT(Data!B76,"MMM-YYYY")</f>
        <v>Sept-2023</v>
      </c>
      <c r="F76" s="48" t="str">
        <f t="shared" si="9"/>
        <v>Q3-2023</v>
      </c>
      <c r="G76" s="38" t="s">
        <v>45</v>
      </c>
      <c r="H76" s="38" t="s">
        <v>60</v>
      </c>
      <c r="I76" s="38" t="s">
        <v>141</v>
      </c>
      <c r="J76" s="38" t="s">
        <v>62</v>
      </c>
      <c r="K76" s="38" t="s">
        <v>98</v>
      </c>
      <c r="L76" s="38" t="s">
        <v>56</v>
      </c>
      <c r="M76" s="38" t="s">
        <v>22</v>
      </c>
      <c r="N76" s="38" t="s">
        <v>248</v>
      </c>
      <c r="O76" s="48">
        <v>825.64</v>
      </c>
      <c r="P76" s="49" t="str">
        <f t="shared" si="10"/>
        <v>High</v>
      </c>
      <c r="Q76" s="48">
        <v>1108.43</v>
      </c>
      <c r="R76" s="48">
        <v>0.114</v>
      </c>
      <c r="S76" s="48">
        <v>7</v>
      </c>
      <c r="T76" s="48">
        <f t="shared" si="7"/>
        <v>2073.2045600000001</v>
      </c>
      <c r="U76" s="38">
        <f t="shared" si="8"/>
        <v>5779.48</v>
      </c>
      <c r="V76" s="48">
        <f t="shared" si="11"/>
        <v>-3706.2754399999994</v>
      </c>
      <c r="W76" s="50">
        <f t="shared" si="12"/>
        <v>-1.7877036890175464</v>
      </c>
    </row>
    <row r="77" spans="1:23" x14ac:dyDescent="0.3">
      <c r="A77" s="39" t="s">
        <v>249</v>
      </c>
      <c r="B77" s="40">
        <v>45532</v>
      </c>
      <c r="C77" s="41">
        <v>45560</v>
      </c>
      <c r="D77" s="42">
        <f t="shared" si="13"/>
        <v>28</v>
      </c>
      <c r="E77" s="42" t="str">
        <f>TEXT(Data!B77,"MMM-YYYY")</f>
        <v>Aug-2024</v>
      </c>
      <c r="F77" s="42" t="str">
        <f t="shared" si="9"/>
        <v>Q3-2024</v>
      </c>
      <c r="G77" s="37" t="s">
        <v>52</v>
      </c>
      <c r="H77" s="37" t="s">
        <v>73</v>
      </c>
      <c r="I77" s="37" t="s">
        <v>225</v>
      </c>
      <c r="J77" s="37" t="s">
        <v>39</v>
      </c>
      <c r="K77" s="37" t="s">
        <v>28</v>
      </c>
      <c r="L77" s="37" t="s">
        <v>1364</v>
      </c>
      <c r="M77" s="37" t="s">
        <v>81</v>
      </c>
      <c r="N77" s="37" t="s">
        <v>250</v>
      </c>
      <c r="O77" s="42">
        <v>1394.65</v>
      </c>
      <c r="P77" s="43" t="str">
        <f t="shared" si="10"/>
        <v>High</v>
      </c>
      <c r="Q77" s="42">
        <v>3144.1</v>
      </c>
      <c r="R77" s="42">
        <v>0.13400000000000001</v>
      </c>
      <c r="S77" s="42">
        <v>13</v>
      </c>
      <c r="T77" s="42">
        <f t="shared" si="7"/>
        <v>21984.960139999999</v>
      </c>
      <c r="U77" s="37">
        <f t="shared" si="8"/>
        <v>18130.45</v>
      </c>
      <c r="V77" s="42">
        <f t="shared" si="11"/>
        <v>3854.5101399999985</v>
      </c>
      <c r="W77" s="44">
        <f t="shared" si="12"/>
        <v>0.17532486370020767</v>
      </c>
    </row>
    <row r="78" spans="1:23" x14ac:dyDescent="0.3">
      <c r="A78" s="45" t="s">
        <v>251</v>
      </c>
      <c r="B78" s="46">
        <v>45473</v>
      </c>
      <c r="C78" s="47">
        <v>45471</v>
      </c>
      <c r="D78" s="48">
        <f>DATEDIF(C78,B78, "MD")</f>
        <v>2</v>
      </c>
      <c r="E78" s="48" t="str">
        <f>TEXT(Data!B78,"MMM-YYYY")</f>
        <v>Jun-2024</v>
      </c>
      <c r="F78" s="48" t="str">
        <f t="shared" si="9"/>
        <v>Q2-2024</v>
      </c>
      <c r="G78" s="38" t="s">
        <v>52</v>
      </c>
      <c r="H78" s="38" t="s">
        <v>73</v>
      </c>
      <c r="I78" s="38" t="s">
        <v>225</v>
      </c>
      <c r="J78" s="38" t="s">
        <v>62</v>
      </c>
      <c r="K78" s="38" t="s">
        <v>98</v>
      </c>
      <c r="L78" s="38" t="s">
        <v>49</v>
      </c>
      <c r="M78" s="38" t="s">
        <v>81</v>
      </c>
      <c r="N78" s="38" t="s">
        <v>252</v>
      </c>
      <c r="O78" s="48">
        <v>1112.98</v>
      </c>
      <c r="P78" s="49" t="str">
        <f t="shared" si="10"/>
        <v>High</v>
      </c>
      <c r="Q78" s="48">
        <v>2095.73</v>
      </c>
      <c r="R78" s="48">
        <v>7.1999999999999995E-2</v>
      </c>
      <c r="S78" s="48">
        <v>17</v>
      </c>
      <c r="T78" s="48">
        <f t="shared" si="7"/>
        <v>3822.3670400000005</v>
      </c>
      <c r="U78" s="38">
        <f t="shared" si="8"/>
        <v>18920.66</v>
      </c>
      <c r="V78" s="48">
        <f t="shared" si="11"/>
        <v>-15098.292959999999</v>
      </c>
      <c r="W78" s="50">
        <f t="shared" si="12"/>
        <v>-3.9499851275402365</v>
      </c>
    </row>
    <row r="79" spans="1:23" x14ac:dyDescent="0.3">
      <c r="A79" s="39" t="s">
        <v>253</v>
      </c>
      <c r="B79" s="40">
        <v>45091</v>
      </c>
      <c r="C79" s="41">
        <v>45093</v>
      </c>
      <c r="D79" s="42">
        <f t="shared" si="13"/>
        <v>2</v>
      </c>
      <c r="E79" s="42" t="str">
        <f>TEXT(Data!B79,"MMM-YYYY")</f>
        <v>Jun-2023</v>
      </c>
      <c r="F79" s="42" t="str">
        <f t="shared" si="9"/>
        <v>Q2-2023</v>
      </c>
      <c r="G79" s="37" t="s">
        <v>78</v>
      </c>
      <c r="H79" s="37" t="s">
        <v>108</v>
      </c>
      <c r="I79" s="37" t="s">
        <v>228</v>
      </c>
      <c r="J79" s="37" t="s">
        <v>39</v>
      </c>
      <c r="K79" s="37" t="s">
        <v>98</v>
      </c>
      <c r="L79" s="37" t="s">
        <v>95</v>
      </c>
      <c r="M79" s="37" t="s">
        <v>22</v>
      </c>
      <c r="N79" s="37" t="s">
        <v>254</v>
      </c>
      <c r="O79" s="42">
        <v>357.36</v>
      </c>
      <c r="P79" s="43" t="str">
        <f t="shared" si="10"/>
        <v>High</v>
      </c>
      <c r="Q79" s="42">
        <v>703.62</v>
      </c>
      <c r="R79" s="42">
        <v>0.25700000000000001</v>
      </c>
      <c r="S79" s="42">
        <v>20</v>
      </c>
      <c r="T79" s="42">
        <f t="shared" si="7"/>
        <v>44117.408199999998</v>
      </c>
      <c r="U79" s="37">
        <f t="shared" si="8"/>
        <v>7147.2000000000007</v>
      </c>
      <c r="V79" s="42">
        <f t="shared" si="11"/>
        <v>36970.208199999994</v>
      </c>
      <c r="W79" s="44">
        <f t="shared" si="12"/>
        <v>0.83799592288832592</v>
      </c>
    </row>
    <row r="80" spans="1:23" x14ac:dyDescent="0.3">
      <c r="A80" s="45" t="s">
        <v>255</v>
      </c>
      <c r="B80" s="46">
        <v>45617</v>
      </c>
      <c r="C80" s="47">
        <v>45647</v>
      </c>
      <c r="D80" s="48">
        <f t="shared" si="13"/>
        <v>0</v>
      </c>
      <c r="E80" s="48" t="str">
        <f>TEXT(Data!B80,"MMM-YYYY")</f>
        <v>Nov-2024</v>
      </c>
      <c r="F80" s="48" t="str">
        <f t="shared" si="9"/>
        <v>Q4-2024</v>
      </c>
      <c r="G80" s="38" t="s">
        <v>78</v>
      </c>
      <c r="H80" s="38" t="s">
        <v>90</v>
      </c>
      <c r="I80" s="38" t="s">
        <v>91</v>
      </c>
      <c r="J80" s="38" t="s">
        <v>62</v>
      </c>
      <c r="K80" s="38" t="s">
        <v>98</v>
      </c>
      <c r="L80" s="38" t="s">
        <v>34</v>
      </c>
      <c r="M80" s="38" t="s">
        <v>64</v>
      </c>
      <c r="N80" s="38" t="s">
        <v>256</v>
      </c>
      <c r="O80" s="48">
        <v>1122.68</v>
      </c>
      <c r="P80" s="49" t="str">
        <f t="shared" si="10"/>
        <v>High</v>
      </c>
      <c r="Q80" s="48">
        <v>1997.19</v>
      </c>
      <c r="R80" s="48">
        <v>0.186</v>
      </c>
      <c r="S80" s="48">
        <v>3</v>
      </c>
      <c r="T80" s="48">
        <f t="shared" si="7"/>
        <v>3404.8806</v>
      </c>
      <c r="U80" s="38">
        <f t="shared" si="8"/>
        <v>3368.04</v>
      </c>
      <c r="V80" s="48">
        <f t="shared" si="11"/>
        <v>36.840599999999995</v>
      </c>
      <c r="W80" s="50">
        <f t="shared" si="12"/>
        <v>1.081993888420052E-2</v>
      </c>
    </row>
    <row r="81" spans="1:23" x14ac:dyDescent="0.3">
      <c r="A81" s="39" t="s">
        <v>257</v>
      </c>
      <c r="B81" s="40">
        <v>44965</v>
      </c>
      <c r="C81" s="41">
        <v>44968</v>
      </c>
      <c r="D81" s="42">
        <f t="shared" si="13"/>
        <v>3</v>
      </c>
      <c r="E81" s="42" t="str">
        <f>TEXT(Data!B81,"MMM-YYYY")</f>
        <v>Feb-2023</v>
      </c>
      <c r="F81" s="42" t="str">
        <f t="shared" si="9"/>
        <v>Q1-2023</v>
      </c>
      <c r="G81" s="37" t="s">
        <v>16</v>
      </c>
      <c r="H81" s="37" t="s">
        <v>148</v>
      </c>
      <c r="I81" s="37" t="s">
        <v>258</v>
      </c>
      <c r="J81" s="37" t="s">
        <v>19</v>
      </c>
      <c r="K81" s="37" t="s">
        <v>98</v>
      </c>
      <c r="L81" s="37" t="s">
        <v>110</v>
      </c>
      <c r="M81" s="37" t="s">
        <v>35</v>
      </c>
      <c r="N81" s="37" t="s">
        <v>259</v>
      </c>
      <c r="O81" s="42">
        <v>1410.05</v>
      </c>
      <c r="P81" s="43" t="str">
        <f t="shared" si="10"/>
        <v>High</v>
      </c>
      <c r="Q81" s="42">
        <v>2763.95</v>
      </c>
      <c r="R81" s="42">
        <v>0.161</v>
      </c>
      <c r="S81" s="42">
        <v>26</v>
      </c>
      <c r="T81" s="42">
        <f t="shared" si="7"/>
        <v>336.15374000000003</v>
      </c>
      <c r="U81" s="37">
        <f t="shared" si="8"/>
        <v>36661.299999999996</v>
      </c>
      <c r="V81" s="42">
        <f t="shared" si="11"/>
        <v>-36325.146259999994</v>
      </c>
      <c r="W81" s="44">
        <f t="shared" si="12"/>
        <v>-108.06110995522462</v>
      </c>
    </row>
    <row r="82" spans="1:23" x14ac:dyDescent="0.3">
      <c r="A82" s="45" t="s">
        <v>260</v>
      </c>
      <c r="B82" s="46">
        <v>45157</v>
      </c>
      <c r="C82" s="47">
        <v>45181</v>
      </c>
      <c r="D82" s="48">
        <f t="shared" si="13"/>
        <v>24</v>
      </c>
      <c r="E82" s="48" t="str">
        <f>TEXT(Data!B82,"MMM-YYYY")</f>
        <v>Aug-2023</v>
      </c>
      <c r="F82" s="48" t="str">
        <f t="shared" si="9"/>
        <v>Q3-2023</v>
      </c>
      <c r="G82" s="38" t="s">
        <v>52</v>
      </c>
      <c r="H82" s="38" t="s">
        <v>53</v>
      </c>
      <c r="I82" s="38" t="s">
        <v>179</v>
      </c>
      <c r="J82" s="38" t="s">
        <v>105</v>
      </c>
      <c r="K82" s="38" t="s">
        <v>20</v>
      </c>
      <c r="L82" s="38" t="s">
        <v>34</v>
      </c>
      <c r="M82" s="38" t="s">
        <v>30</v>
      </c>
      <c r="N82" s="38" t="s">
        <v>261</v>
      </c>
      <c r="O82" s="48">
        <v>1183.95</v>
      </c>
      <c r="P82" s="49" t="str">
        <f t="shared" si="10"/>
        <v>High</v>
      </c>
      <c r="Q82" s="48">
        <v>1503.53</v>
      </c>
      <c r="R82" s="48">
        <v>0.24099999999999999</v>
      </c>
      <c r="S82" s="48">
        <v>16</v>
      </c>
      <c r="T82" s="48">
        <f t="shared" si="7"/>
        <v>27333.836640000001</v>
      </c>
      <c r="U82" s="38">
        <f t="shared" si="8"/>
        <v>18943.2</v>
      </c>
      <c r="V82" s="48">
        <f t="shared" si="11"/>
        <v>8390.6366400000006</v>
      </c>
      <c r="W82" s="50">
        <f t="shared" si="12"/>
        <v>0.30696885879976488</v>
      </c>
    </row>
    <row r="83" spans="1:23" x14ac:dyDescent="0.3">
      <c r="A83" s="39" t="s">
        <v>262</v>
      </c>
      <c r="B83" s="40">
        <v>45791</v>
      </c>
      <c r="C83" s="41">
        <v>45801</v>
      </c>
      <c r="D83" s="42">
        <f t="shared" si="13"/>
        <v>10</v>
      </c>
      <c r="E83" s="42" t="str">
        <f>TEXT(Data!B83,"MMM-YYYY")</f>
        <v>May-2025</v>
      </c>
      <c r="F83" s="42" t="str">
        <f t="shared" si="9"/>
        <v>Q2-2025</v>
      </c>
      <c r="G83" s="37" t="s">
        <v>78</v>
      </c>
      <c r="H83" s="37" t="s">
        <v>90</v>
      </c>
      <c r="I83" s="37" t="s">
        <v>217</v>
      </c>
      <c r="J83" s="37" t="s">
        <v>62</v>
      </c>
      <c r="K83" s="37" t="s">
        <v>40</v>
      </c>
      <c r="L83" s="37" t="s">
        <v>95</v>
      </c>
      <c r="M83" s="37" t="s">
        <v>22</v>
      </c>
      <c r="N83" s="37" t="s">
        <v>263</v>
      </c>
      <c r="O83" s="42">
        <v>170.39</v>
      </c>
      <c r="P83" s="43" t="str">
        <f t="shared" si="10"/>
        <v>High</v>
      </c>
      <c r="Q83" s="42">
        <v>388.04</v>
      </c>
      <c r="R83" s="42">
        <v>8.4000000000000005E-2</v>
      </c>
      <c r="S83" s="42">
        <v>15</v>
      </c>
      <c r="T83" s="42">
        <f t="shared" si="7"/>
        <v>2281.3896</v>
      </c>
      <c r="U83" s="37">
        <f t="shared" si="8"/>
        <v>2555.85</v>
      </c>
      <c r="V83" s="42">
        <f t="shared" si="11"/>
        <v>-274.46039999999994</v>
      </c>
      <c r="W83" s="44">
        <f t="shared" si="12"/>
        <v>-0.12030404627074653</v>
      </c>
    </row>
    <row r="84" spans="1:23" x14ac:dyDescent="0.3">
      <c r="A84" s="45" t="s">
        <v>264</v>
      </c>
      <c r="B84" s="46">
        <v>45770</v>
      </c>
      <c r="C84" s="47">
        <v>45769</v>
      </c>
      <c r="D84" s="48">
        <f>DATEDIF(C84,B84, "MD")</f>
        <v>1</v>
      </c>
      <c r="E84" s="48" t="str">
        <f>TEXT(Data!B84,"MMM-YYYY")</f>
        <v>Apr-2025</v>
      </c>
      <c r="F84" s="48" t="str">
        <f t="shared" si="9"/>
        <v>Q2-2025</v>
      </c>
      <c r="G84" s="38" t="s">
        <v>52</v>
      </c>
      <c r="H84" s="38" t="s">
        <v>122</v>
      </c>
      <c r="I84" s="38" t="s">
        <v>167</v>
      </c>
      <c r="J84" s="38" t="s">
        <v>39</v>
      </c>
      <c r="K84" s="38" t="s">
        <v>55</v>
      </c>
      <c r="L84" s="38" t="s">
        <v>145</v>
      </c>
      <c r="M84" s="38" t="s">
        <v>64</v>
      </c>
      <c r="N84" s="38" t="s">
        <v>265</v>
      </c>
      <c r="O84" s="48">
        <v>23.24</v>
      </c>
      <c r="P84" s="49" t="str">
        <f t="shared" si="10"/>
        <v>Low</v>
      </c>
      <c r="Q84" s="48">
        <v>44.57</v>
      </c>
      <c r="R84" s="48">
        <v>0.215</v>
      </c>
      <c r="S84" s="48">
        <v>15</v>
      </c>
      <c r="T84" s="48">
        <f t="shared" si="7"/>
        <v>4198.3762500000003</v>
      </c>
      <c r="U84" s="38">
        <f t="shared" si="8"/>
        <v>348.59999999999997</v>
      </c>
      <c r="V84" s="48">
        <f t="shared" si="11"/>
        <v>3849.7762500000003</v>
      </c>
      <c r="W84" s="50">
        <f t="shared" si="12"/>
        <v>0.91696789919674304</v>
      </c>
    </row>
    <row r="85" spans="1:23" x14ac:dyDescent="0.3">
      <c r="A85" s="39" t="s">
        <v>266</v>
      </c>
      <c r="B85" s="40">
        <v>45741</v>
      </c>
      <c r="C85" s="41">
        <v>45764</v>
      </c>
      <c r="D85" s="42">
        <f t="shared" si="13"/>
        <v>23</v>
      </c>
      <c r="E85" s="42" t="str">
        <f>TEXT(Data!B85,"MMM-YYYY")</f>
        <v>Mar-2025</v>
      </c>
      <c r="F85" s="42" t="str">
        <f t="shared" si="9"/>
        <v>Q1-2025</v>
      </c>
      <c r="G85" s="37" t="s">
        <v>78</v>
      </c>
      <c r="H85" s="37" t="s">
        <v>108</v>
      </c>
      <c r="I85" s="37" t="s">
        <v>152</v>
      </c>
      <c r="J85" s="37" t="s">
        <v>48</v>
      </c>
      <c r="K85" s="37" t="s">
        <v>20</v>
      </c>
      <c r="L85" s="37" t="s">
        <v>92</v>
      </c>
      <c r="M85" s="37" t="s">
        <v>35</v>
      </c>
      <c r="N85" s="37" t="s">
        <v>267</v>
      </c>
      <c r="O85" s="42">
        <v>1421.19</v>
      </c>
      <c r="P85" s="43" t="str">
        <f t="shared" si="10"/>
        <v>High</v>
      </c>
      <c r="Q85" s="42">
        <v>1808.26</v>
      </c>
      <c r="R85" s="42">
        <v>0.104</v>
      </c>
      <c r="S85" s="42">
        <v>13</v>
      </c>
      <c r="T85" s="42">
        <f t="shared" si="7"/>
        <v>11939.7824</v>
      </c>
      <c r="U85" s="37">
        <f t="shared" si="8"/>
        <v>18475.47</v>
      </c>
      <c r="V85" s="42">
        <f t="shared" si="11"/>
        <v>-6535.6876000000011</v>
      </c>
      <c r="W85" s="44">
        <f t="shared" si="12"/>
        <v>-0.54738749677716081</v>
      </c>
    </row>
    <row r="86" spans="1:23" x14ac:dyDescent="0.3">
      <c r="A86" s="45" t="s">
        <v>268</v>
      </c>
      <c r="B86" s="46">
        <v>45282</v>
      </c>
      <c r="C86" s="47">
        <v>45283</v>
      </c>
      <c r="D86" s="48">
        <f t="shared" si="13"/>
        <v>1</v>
      </c>
      <c r="E86" s="48" t="str">
        <f>TEXT(Data!B86,"MMM-YYYY")</f>
        <v>Dec-2023</v>
      </c>
      <c r="F86" s="48" t="str">
        <f t="shared" si="9"/>
        <v>Q4-2023</v>
      </c>
      <c r="G86" s="38" t="s">
        <v>16</v>
      </c>
      <c r="H86" s="38" t="s">
        <v>148</v>
      </c>
      <c r="I86" s="38" t="s">
        <v>258</v>
      </c>
      <c r="J86" s="38" t="s">
        <v>39</v>
      </c>
      <c r="K86" s="38" t="s">
        <v>40</v>
      </c>
      <c r="L86" s="38" t="s">
        <v>145</v>
      </c>
      <c r="M86" s="38" t="s">
        <v>22</v>
      </c>
      <c r="N86" s="38" t="s">
        <v>269</v>
      </c>
      <c r="O86" s="48">
        <v>1186.18</v>
      </c>
      <c r="P86" s="49" t="str">
        <f t="shared" si="10"/>
        <v>High</v>
      </c>
      <c r="Q86" s="48">
        <v>1285.0899999999999</v>
      </c>
      <c r="R86" s="48">
        <v>7.0000000000000007E-2</v>
      </c>
      <c r="S86" s="48">
        <v>11</v>
      </c>
      <c r="T86" s="48">
        <f t="shared" si="7"/>
        <v>18364.589100000001</v>
      </c>
      <c r="U86" s="38">
        <f t="shared" si="8"/>
        <v>13047.980000000001</v>
      </c>
      <c r="V86" s="48">
        <f t="shared" si="11"/>
        <v>5316.6090999999997</v>
      </c>
      <c r="W86" s="50">
        <f t="shared" si="12"/>
        <v>0.28950329740838032</v>
      </c>
    </row>
    <row r="87" spans="1:23" x14ac:dyDescent="0.3">
      <c r="A87" s="39" t="s">
        <v>270</v>
      </c>
      <c r="B87" s="40">
        <v>45388</v>
      </c>
      <c r="C87" s="41">
        <v>45407</v>
      </c>
      <c r="D87" s="42">
        <f t="shared" si="13"/>
        <v>19</v>
      </c>
      <c r="E87" s="42" t="str">
        <f>TEXT(Data!B87,"MMM-YYYY")</f>
        <v>Apr-2024</v>
      </c>
      <c r="F87" s="42" t="str">
        <f t="shared" si="9"/>
        <v>Q2-2024</v>
      </c>
      <c r="G87" s="37" t="s">
        <v>45</v>
      </c>
      <c r="H87" s="37" t="s">
        <v>116</v>
      </c>
      <c r="I87" s="37" t="s">
        <v>162</v>
      </c>
      <c r="J87" s="37" t="s">
        <v>19</v>
      </c>
      <c r="K87" s="37" t="s">
        <v>20</v>
      </c>
      <c r="L87" s="37" t="s">
        <v>95</v>
      </c>
      <c r="M87" s="37" t="s">
        <v>22</v>
      </c>
      <c r="N87" s="37" t="s">
        <v>271</v>
      </c>
      <c r="O87" s="42">
        <v>1366.48</v>
      </c>
      <c r="P87" s="43" t="str">
        <f t="shared" si="10"/>
        <v>High</v>
      </c>
      <c r="Q87" s="42">
        <v>1678.14</v>
      </c>
      <c r="R87" s="42">
        <v>0.154</v>
      </c>
      <c r="S87" s="42">
        <v>10</v>
      </c>
      <c r="T87" s="42">
        <f t="shared" si="7"/>
        <v>36.970199999999998</v>
      </c>
      <c r="U87" s="37">
        <f t="shared" si="8"/>
        <v>13664.8</v>
      </c>
      <c r="V87" s="42">
        <f t="shared" si="11"/>
        <v>-13627.8298</v>
      </c>
      <c r="W87" s="44">
        <f t="shared" si="12"/>
        <v>-368.61661013464897</v>
      </c>
    </row>
    <row r="88" spans="1:23" x14ac:dyDescent="0.3">
      <c r="A88" s="45" t="s">
        <v>272</v>
      </c>
      <c r="B88" s="46">
        <v>45876</v>
      </c>
      <c r="C88" s="47">
        <v>45888</v>
      </c>
      <c r="D88" s="48">
        <f t="shared" si="13"/>
        <v>12</v>
      </c>
      <c r="E88" s="48" t="str">
        <f>TEXT(Data!B88,"MMM-YYYY")</f>
        <v>Aug-2025</v>
      </c>
      <c r="F88" s="48" t="str">
        <f t="shared" si="9"/>
        <v>Q3-2025</v>
      </c>
      <c r="G88" s="38" t="s">
        <v>16</v>
      </c>
      <c r="H88" s="38" t="s">
        <v>17</v>
      </c>
      <c r="I88" s="38" t="s">
        <v>135</v>
      </c>
      <c r="J88" s="38" t="s">
        <v>19</v>
      </c>
      <c r="K88" s="38" t="s">
        <v>1364</v>
      </c>
      <c r="L88" s="38" t="s">
        <v>110</v>
      </c>
      <c r="M88" s="38" t="s">
        <v>22</v>
      </c>
      <c r="N88" s="38" t="s">
        <v>273</v>
      </c>
      <c r="O88" s="48">
        <v>601.51</v>
      </c>
      <c r="P88" s="49" t="str">
        <f t="shared" si="10"/>
        <v>High</v>
      </c>
      <c r="Q88" s="48">
        <v>679.35</v>
      </c>
      <c r="R88" s="48">
        <v>0.188</v>
      </c>
      <c r="S88" s="48">
        <v>3</v>
      </c>
      <c r="T88" s="48">
        <f t="shared" si="7"/>
        <v>532.26600000000008</v>
      </c>
      <c r="U88" s="38">
        <f t="shared" si="8"/>
        <v>1804.53</v>
      </c>
      <c r="V88" s="48">
        <f t="shared" si="11"/>
        <v>-1272.2639999999999</v>
      </c>
      <c r="W88" s="50">
        <f t="shared" si="12"/>
        <v>-2.3902785449380568</v>
      </c>
    </row>
    <row r="89" spans="1:23" x14ac:dyDescent="0.3">
      <c r="A89" s="39" t="s">
        <v>274</v>
      </c>
      <c r="B89" s="40">
        <v>45312</v>
      </c>
      <c r="C89" s="41">
        <v>45316</v>
      </c>
      <c r="D89" s="42">
        <f t="shared" si="13"/>
        <v>4</v>
      </c>
      <c r="E89" s="42" t="str">
        <f>TEXT(Data!B89,"MMM-YYYY")</f>
        <v>Jan-2024</v>
      </c>
      <c r="F89" s="42" t="str">
        <f t="shared" si="9"/>
        <v>Q1-2024</v>
      </c>
      <c r="G89" s="37" t="s">
        <v>45</v>
      </c>
      <c r="H89" s="37" t="s">
        <v>60</v>
      </c>
      <c r="I89" s="37" t="s">
        <v>141</v>
      </c>
      <c r="J89" s="37" t="s">
        <v>48</v>
      </c>
      <c r="K89" s="37" t="s">
        <v>98</v>
      </c>
      <c r="L89" s="37" t="s">
        <v>21</v>
      </c>
      <c r="M89" s="37" t="s">
        <v>64</v>
      </c>
      <c r="N89" s="37" t="s">
        <v>275</v>
      </c>
      <c r="O89" s="42">
        <v>523.70000000000005</v>
      </c>
      <c r="P89" s="43" t="str">
        <f t="shared" si="10"/>
        <v>High</v>
      </c>
      <c r="Q89" s="42">
        <v>1109.92</v>
      </c>
      <c r="R89" s="42">
        <v>0.03</v>
      </c>
      <c r="S89" s="42">
        <v>11</v>
      </c>
      <c r="T89" s="42">
        <f t="shared" si="7"/>
        <v>2666.1129000000001</v>
      </c>
      <c r="U89" s="37">
        <f t="shared" si="8"/>
        <v>5760.7000000000007</v>
      </c>
      <c r="V89" s="42">
        <f t="shared" si="11"/>
        <v>-3094.5871000000006</v>
      </c>
      <c r="W89" s="44">
        <f t="shared" si="12"/>
        <v>-1.160711198689298</v>
      </c>
    </row>
    <row r="90" spans="1:23" x14ac:dyDescent="0.3">
      <c r="A90" s="45" t="s">
        <v>276</v>
      </c>
      <c r="B90" s="46">
        <v>45106</v>
      </c>
      <c r="C90" s="47">
        <v>45109</v>
      </c>
      <c r="D90" s="48">
        <f t="shared" si="13"/>
        <v>3</v>
      </c>
      <c r="E90" s="48" t="str">
        <f>TEXT(Data!B90,"MMM-YYYY")</f>
        <v>Jun-2023</v>
      </c>
      <c r="F90" s="48" t="str">
        <f t="shared" si="9"/>
        <v>Q2-2023</v>
      </c>
      <c r="G90" s="38" t="s">
        <v>45</v>
      </c>
      <c r="H90" s="38" t="s">
        <v>46</v>
      </c>
      <c r="I90" s="38" t="s">
        <v>231</v>
      </c>
      <c r="J90" s="38" t="s">
        <v>27</v>
      </c>
      <c r="K90" s="38" t="s">
        <v>40</v>
      </c>
      <c r="L90" s="38" t="s">
        <v>84</v>
      </c>
      <c r="M90" s="38" t="s">
        <v>64</v>
      </c>
      <c r="N90" s="38" t="s">
        <v>277</v>
      </c>
      <c r="O90" s="48">
        <v>55.65</v>
      </c>
      <c r="P90" s="49" t="str">
        <f t="shared" si="10"/>
        <v>Medium</v>
      </c>
      <c r="Q90" s="48">
        <v>83.57</v>
      </c>
      <c r="R90" s="48">
        <v>6.6000000000000003E-2</v>
      </c>
      <c r="S90" s="48">
        <v>8</v>
      </c>
      <c r="T90" s="48">
        <f t="shared" si="7"/>
        <v>25677.677439999999</v>
      </c>
      <c r="U90" s="38">
        <f t="shared" si="8"/>
        <v>445.2</v>
      </c>
      <c r="V90" s="48">
        <f t="shared" si="11"/>
        <v>25232.477439999999</v>
      </c>
      <c r="W90" s="50">
        <f t="shared" si="12"/>
        <v>0.98266198331059018</v>
      </c>
    </row>
    <row r="91" spans="1:23" x14ac:dyDescent="0.3">
      <c r="A91" s="39" t="s">
        <v>278</v>
      </c>
      <c r="B91" s="40">
        <v>45775</v>
      </c>
      <c r="C91" s="41">
        <v>45792</v>
      </c>
      <c r="D91" s="42">
        <f t="shared" si="13"/>
        <v>17</v>
      </c>
      <c r="E91" s="42" t="str">
        <f>TEXT(Data!B91,"MMM-YYYY")</f>
        <v>Apr-2025</v>
      </c>
      <c r="F91" s="42" t="str">
        <f t="shared" si="9"/>
        <v>Q2-2025</v>
      </c>
      <c r="G91" s="37" t="s">
        <v>45</v>
      </c>
      <c r="H91" s="37" t="s">
        <v>46</v>
      </c>
      <c r="I91" s="37" t="s">
        <v>231</v>
      </c>
      <c r="J91" s="37" t="s">
        <v>27</v>
      </c>
      <c r="K91" s="37" t="s">
        <v>98</v>
      </c>
      <c r="L91" s="37" t="s">
        <v>126</v>
      </c>
      <c r="M91" s="37" t="s">
        <v>35</v>
      </c>
      <c r="N91" s="37" t="s">
        <v>279</v>
      </c>
      <c r="O91" s="42">
        <v>691.19</v>
      </c>
      <c r="P91" s="43" t="str">
        <f t="shared" si="10"/>
        <v>High</v>
      </c>
      <c r="Q91" s="42">
        <v>1284.3</v>
      </c>
      <c r="R91" s="42">
        <v>7.3999999999999996E-2</v>
      </c>
      <c r="S91" s="42">
        <v>7</v>
      </c>
      <c r="T91" s="42">
        <f t="shared" si="7"/>
        <v>346.46290000000005</v>
      </c>
      <c r="U91" s="37">
        <f t="shared" si="8"/>
        <v>4838.33</v>
      </c>
      <c r="V91" s="42">
        <f t="shared" si="11"/>
        <v>-4491.8670999999995</v>
      </c>
      <c r="W91" s="44">
        <f t="shared" si="12"/>
        <v>-12.964929578318483</v>
      </c>
    </row>
    <row r="92" spans="1:23" x14ac:dyDescent="0.3">
      <c r="A92" s="45" t="s">
        <v>280</v>
      </c>
      <c r="B92" s="46">
        <v>45817</v>
      </c>
      <c r="C92" s="47">
        <v>45833</v>
      </c>
      <c r="D92" s="48">
        <f t="shared" si="13"/>
        <v>16</v>
      </c>
      <c r="E92" s="48" t="str">
        <f>TEXT(Data!B92,"MMM-YYYY")</f>
        <v>Jun-2025</v>
      </c>
      <c r="F92" s="48" t="str">
        <f t="shared" si="9"/>
        <v>Q2-2025</v>
      </c>
      <c r="G92" s="38" t="s">
        <v>45</v>
      </c>
      <c r="H92" s="38" t="s">
        <v>60</v>
      </c>
      <c r="I92" s="38" t="s">
        <v>281</v>
      </c>
      <c r="J92" s="38" t="s">
        <v>105</v>
      </c>
      <c r="K92" s="38" t="s">
        <v>55</v>
      </c>
      <c r="L92" s="38" t="s">
        <v>110</v>
      </c>
      <c r="M92" s="38" t="s">
        <v>42</v>
      </c>
      <c r="N92" s="38" t="s">
        <v>282</v>
      </c>
      <c r="O92" s="48">
        <v>527.33000000000004</v>
      </c>
      <c r="P92" s="49" t="str">
        <f t="shared" si="10"/>
        <v>High</v>
      </c>
      <c r="Q92" s="48">
        <v>911.72</v>
      </c>
      <c r="R92" s="48">
        <v>0.14399999999999999</v>
      </c>
      <c r="S92" s="48">
        <v>25</v>
      </c>
      <c r="T92" s="48">
        <f t="shared" si="7"/>
        <v>74251.58</v>
      </c>
      <c r="U92" s="38">
        <f t="shared" si="8"/>
        <v>13183.250000000002</v>
      </c>
      <c r="V92" s="48">
        <f t="shared" si="11"/>
        <v>61068.33</v>
      </c>
      <c r="W92" s="50">
        <f t="shared" si="12"/>
        <v>0.82245158958233622</v>
      </c>
    </row>
    <row r="93" spans="1:23" x14ac:dyDescent="0.3">
      <c r="A93" s="39" t="s">
        <v>283</v>
      </c>
      <c r="B93" s="40">
        <v>45101</v>
      </c>
      <c r="C93" s="41">
        <v>45100</v>
      </c>
      <c r="D93" s="42">
        <f>DATEDIF(C93,B93, "MD")</f>
        <v>1</v>
      </c>
      <c r="E93" s="42" t="str">
        <f>TEXT(Data!B93,"MMM-YYYY")</f>
        <v>Jun-2023</v>
      </c>
      <c r="F93" s="42" t="str">
        <f t="shared" si="9"/>
        <v>Q2-2023</v>
      </c>
      <c r="G93" s="37" t="s">
        <v>52</v>
      </c>
      <c r="H93" s="37" t="s">
        <v>73</v>
      </c>
      <c r="I93" s="37" t="s">
        <v>225</v>
      </c>
      <c r="J93" s="37" t="s">
        <v>39</v>
      </c>
      <c r="K93" s="37" t="s">
        <v>20</v>
      </c>
      <c r="L93" s="37" t="s">
        <v>63</v>
      </c>
      <c r="M93" s="37" t="s">
        <v>30</v>
      </c>
      <c r="N93" s="37" t="s">
        <v>284</v>
      </c>
      <c r="O93" s="42">
        <v>804.01</v>
      </c>
      <c r="P93" s="43" t="str">
        <f t="shared" si="10"/>
        <v>High</v>
      </c>
      <c r="Q93" s="42">
        <v>1405.07</v>
      </c>
      <c r="R93" s="42">
        <v>9.6000000000000002E-2</v>
      </c>
      <c r="S93" s="42">
        <v>8</v>
      </c>
      <c r="T93" s="42">
        <f t="shared" si="7"/>
        <v>4491.2166399999996</v>
      </c>
      <c r="U93" s="37">
        <f t="shared" si="8"/>
        <v>6432.08</v>
      </c>
      <c r="V93" s="42">
        <f t="shared" si="11"/>
        <v>-1940.8633600000003</v>
      </c>
      <c r="W93" s="44">
        <f t="shared" si="12"/>
        <v>-0.43214645731273393</v>
      </c>
    </row>
    <row r="94" spans="1:23" x14ac:dyDescent="0.3">
      <c r="A94" s="45" t="s">
        <v>285</v>
      </c>
      <c r="B94" s="46">
        <v>45569</v>
      </c>
      <c r="C94" s="47">
        <v>45598</v>
      </c>
      <c r="D94" s="48">
        <f t="shared" si="13"/>
        <v>29</v>
      </c>
      <c r="E94" s="48" t="str">
        <f>TEXT(Data!B94,"MMM-YYYY")</f>
        <v>Oct-2024</v>
      </c>
      <c r="F94" s="48" t="str">
        <f t="shared" si="9"/>
        <v>Q4-2024</v>
      </c>
      <c r="G94" s="38" t="s">
        <v>16</v>
      </c>
      <c r="H94" s="38" t="s">
        <v>25</v>
      </c>
      <c r="I94" s="38" t="s">
        <v>67</v>
      </c>
      <c r="J94" s="38" t="s">
        <v>19</v>
      </c>
      <c r="K94" s="38" t="s">
        <v>55</v>
      </c>
      <c r="L94" s="38" t="s">
        <v>84</v>
      </c>
      <c r="M94" s="38" t="s">
        <v>81</v>
      </c>
      <c r="N94" s="38" t="s">
        <v>286</v>
      </c>
      <c r="O94" s="48">
        <v>412.09</v>
      </c>
      <c r="P94" s="49" t="str">
        <f t="shared" si="10"/>
        <v>High</v>
      </c>
      <c r="Q94" s="48">
        <v>968.94</v>
      </c>
      <c r="R94" s="48">
        <v>9.9000000000000005E-2</v>
      </c>
      <c r="S94" s="48">
        <v>23</v>
      </c>
      <c r="T94" s="48">
        <f t="shared" si="7"/>
        <v>1834.19273</v>
      </c>
      <c r="U94" s="38">
        <f t="shared" si="8"/>
        <v>9478.07</v>
      </c>
      <c r="V94" s="48">
        <f t="shared" si="11"/>
        <v>-7643.87727</v>
      </c>
      <c r="W94" s="50">
        <f t="shared" si="12"/>
        <v>-4.1674340678473847</v>
      </c>
    </row>
    <row r="95" spans="1:23" x14ac:dyDescent="0.3">
      <c r="A95" s="39" t="s">
        <v>287</v>
      </c>
      <c r="B95" s="40">
        <v>45910</v>
      </c>
      <c r="C95" s="41">
        <v>45930</v>
      </c>
      <c r="D95" s="42">
        <f t="shared" si="13"/>
        <v>20</v>
      </c>
      <c r="E95" s="42" t="str">
        <f>TEXT(Data!B95,"MMM-YYYY")</f>
        <v>Sept-2025</v>
      </c>
      <c r="F95" s="42" t="str">
        <f t="shared" si="9"/>
        <v>Q3-2025</v>
      </c>
      <c r="G95" s="37" t="s">
        <v>16</v>
      </c>
      <c r="H95" s="37" t="s">
        <v>17</v>
      </c>
      <c r="I95" s="37" t="s">
        <v>113</v>
      </c>
      <c r="J95" s="37" t="s">
        <v>19</v>
      </c>
      <c r="K95" s="37" t="s">
        <v>98</v>
      </c>
      <c r="L95" s="37" t="s">
        <v>49</v>
      </c>
      <c r="M95" s="37" t="s">
        <v>42</v>
      </c>
      <c r="N95" s="37" t="s">
        <v>288</v>
      </c>
      <c r="O95" s="42">
        <v>1009.48</v>
      </c>
      <c r="P95" s="43" t="str">
        <f t="shared" si="10"/>
        <v>High</v>
      </c>
      <c r="Q95" s="42">
        <v>1088.81</v>
      </c>
      <c r="R95" s="42">
        <v>0.16</v>
      </c>
      <c r="S95" s="42">
        <v>6</v>
      </c>
      <c r="T95" s="42">
        <f t="shared" si="7"/>
        <v>9873.8135999999995</v>
      </c>
      <c r="U95" s="37">
        <f t="shared" si="8"/>
        <v>6056.88</v>
      </c>
      <c r="V95" s="42">
        <f t="shared" si="11"/>
        <v>3816.9335999999994</v>
      </c>
      <c r="W95" s="44">
        <f t="shared" si="12"/>
        <v>0.38657136488782812</v>
      </c>
    </row>
    <row r="96" spans="1:23" x14ac:dyDescent="0.3">
      <c r="A96" s="45" t="s">
        <v>289</v>
      </c>
      <c r="B96" s="46">
        <v>45022</v>
      </c>
      <c r="C96" s="47">
        <v>45043</v>
      </c>
      <c r="D96" s="48">
        <f t="shared" si="13"/>
        <v>21</v>
      </c>
      <c r="E96" s="48" t="str">
        <f>TEXT(Data!B96,"MMM-YYYY")</f>
        <v>Apr-2023</v>
      </c>
      <c r="F96" s="48" t="str">
        <f t="shared" si="9"/>
        <v>Q2-2023</v>
      </c>
      <c r="G96" s="38" t="s">
        <v>78</v>
      </c>
      <c r="H96" s="38" t="s">
        <v>108</v>
      </c>
      <c r="I96" s="38" t="s">
        <v>228</v>
      </c>
      <c r="J96" s="38" t="s">
        <v>105</v>
      </c>
      <c r="K96" s="38" t="s">
        <v>55</v>
      </c>
      <c r="L96" s="38" t="s">
        <v>34</v>
      </c>
      <c r="M96" s="38" t="s">
        <v>30</v>
      </c>
      <c r="N96" s="38" t="s">
        <v>290</v>
      </c>
      <c r="O96" s="48">
        <v>1084.79</v>
      </c>
      <c r="P96" s="49" t="str">
        <f t="shared" si="10"/>
        <v>High</v>
      </c>
      <c r="Q96" s="48">
        <v>2484.9899999999998</v>
      </c>
      <c r="R96" s="48">
        <v>3.4000000000000002E-2</v>
      </c>
      <c r="S96" s="48">
        <v>18</v>
      </c>
      <c r="T96" s="48">
        <f t="shared" si="7"/>
        <v>47694.762360000001</v>
      </c>
      <c r="U96" s="38">
        <f t="shared" si="8"/>
        <v>19526.22</v>
      </c>
      <c r="V96" s="48">
        <f t="shared" si="11"/>
        <v>28168.542359999999</v>
      </c>
      <c r="W96" s="50">
        <f t="shared" si="12"/>
        <v>0.59060032939013052</v>
      </c>
    </row>
    <row r="97" spans="1:23" x14ac:dyDescent="0.3">
      <c r="A97" s="39" t="s">
        <v>291</v>
      </c>
      <c r="B97" s="40">
        <v>45870</v>
      </c>
      <c r="C97" s="41">
        <v>45885</v>
      </c>
      <c r="D97" s="42">
        <f t="shared" si="13"/>
        <v>15</v>
      </c>
      <c r="E97" s="42" t="str">
        <f>TEXT(Data!B97,"MMM-YYYY")</f>
        <v>Aug-2025</v>
      </c>
      <c r="F97" s="42" t="str">
        <f t="shared" si="9"/>
        <v>Q3-2025</v>
      </c>
      <c r="G97" s="37" t="s">
        <v>45</v>
      </c>
      <c r="H97" s="37" t="s">
        <v>60</v>
      </c>
      <c r="I97" s="37" t="s">
        <v>1364</v>
      </c>
      <c r="J97" s="37" t="s">
        <v>105</v>
      </c>
      <c r="K97" s="37" t="s">
        <v>98</v>
      </c>
      <c r="L97" s="37" t="s">
        <v>68</v>
      </c>
      <c r="M97" s="37" t="s">
        <v>64</v>
      </c>
      <c r="N97" s="37" t="s">
        <v>292</v>
      </c>
      <c r="O97" s="42">
        <v>24.44</v>
      </c>
      <c r="P97" s="43" t="str">
        <f t="shared" si="10"/>
        <v>Low</v>
      </c>
      <c r="Q97" s="42">
        <v>28.69</v>
      </c>
      <c r="R97" s="42">
        <v>0.14599999999999999</v>
      </c>
      <c r="S97" s="42">
        <v>6</v>
      </c>
      <c r="T97" s="42">
        <f t="shared" si="7"/>
        <v>8605.3480799999998</v>
      </c>
      <c r="U97" s="37">
        <f t="shared" si="8"/>
        <v>146.64000000000001</v>
      </c>
      <c r="V97" s="42">
        <f t="shared" si="11"/>
        <v>8458.7080800000003</v>
      </c>
      <c r="W97" s="44">
        <f t="shared" si="12"/>
        <v>0.98295943422197984</v>
      </c>
    </row>
    <row r="98" spans="1:23" x14ac:dyDescent="0.3">
      <c r="A98" s="45" t="s">
        <v>293</v>
      </c>
      <c r="B98" s="46">
        <v>45440</v>
      </c>
      <c r="C98" s="47">
        <v>45438</v>
      </c>
      <c r="D98" s="48">
        <f>DATEDIF(C98,B98, "MD")</f>
        <v>2</v>
      </c>
      <c r="E98" s="48" t="str">
        <f>TEXT(Data!B98,"MMM-YYYY")</f>
        <v>May-2024</v>
      </c>
      <c r="F98" s="48" t="str">
        <f t="shared" si="9"/>
        <v>Q2-2024</v>
      </c>
      <c r="G98" s="38" t="s">
        <v>16</v>
      </c>
      <c r="H98" s="38" t="s">
        <v>25</v>
      </c>
      <c r="I98" s="38" t="s">
        <v>67</v>
      </c>
      <c r="J98" s="38" t="s">
        <v>105</v>
      </c>
      <c r="K98" s="38" t="s">
        <v>28</v>
      </c>
      <c r="L98" s="38" t="s">
        <v>84</v>
      </c>
      <c r="M98" s="38" t="s">
        <v>81</v>
      </c>
      <c r="N98" s="38" t="s">
        <v>294</v>
      </c>
      <c r="O98" s="48">
        <v>1227.08</v>
      </c>
      <c r="P98" s="49" t="str">
        <f t="shared" si="10"/>
        <v>High</v>
      </c>
      <c r="Q98" s="48">
        <v>1896.62</v>
      </c>
      <c r="R98" s="48">
        <v>0</v>
      </c>
      <c r="S98" s="48">
        <v>18</v>
      </c>
      <c r="T98" s="48">
        <f t="shared" si="7"/>
        <v>25810.2</v>
      </c>
      <c r="U98" s="38">
        <f t="shared" si="8"/>
        <v>22087.439999999999</v>
      </c>
      <c r="V98" s="48">
        <f t="shared" si="11"/>
        <v>3722.760000000002</v>
      </c>
      <c r="W98" s="50">
        <f t="shared" si="12"/>
        <v>0.14423599972104059</v>
      </c>
    </row>
    <row r="99" spans="1:23" x14ac:dyDescent="0.3">
      <c r="A99" s="39" t="s">
        <v>295</v>
      </c>
      <c r="B99" s="40">
        <v>45860</v>
      </c>
      <c r="C99" s="41">
        <v>45887</v>
      </c>
      <c r="D99" s="42">
        <f t="shared" si="13"/>
        <v>27</v>
      </c>
      <c r="E99" s="42" t="str">
        <f>TEXT(Data!B99,"MMM-YYYY")</f>
        <v>Jul-2025</v>
      </c>
      <c r="F99" s="42" t="str">
        <f t="shared" si="9"/>
        <v>Q3-2025</v>
      </c>
      <c r="G99" s="37" t="s">
        <v>45</v>
      </c>
      <c r="H99" s="37" t="s">
        <v>116</v>
      </c>
      <c r="I99" s="37" t="s">
        <v>117</v>
      </c>
      <c r="J99" s="37" t="s">
        <v>39</v>
      </c>
      <c r="K99" s="37" t="s">
        <v>40</v>
      </c>
      <c r="L99" s="37" t="s">
        <v>110</v>
      </c>
      <c r="M99" s="37" t="s">
        <v>35</v>
      </c>
      <c r="N99" s="37" t="s">
        <v>296</v>
      </c>
      <c r="O99" s="42">
        <v>547.32000000000005</v>
      </c>
      <c r="P99" s="43" t="str">
        <f t="shared" si="10"/>
        <v>High</v>
      </c>
      <c r="Q99" s="42">
        <v>419.17</v>
      </c>
      <c r="R99" s="42">
        <v>9.1999999999999998E-2</v>
      </c>
      <c r="S99" s="42">
        <v>14</v>
      </c>
      <c r="T99" s="42">
        <f t="shared" si="7"/>
        <v>3615.67416</v>
      </c>
      <c r="U99" s="37">
        <f t="shared" si="8"/>
        <v>7662.4800000000005</v>
      </c>
      <c r="V99" s="42">
        <f t="shared" si="11"/>
        <v>-4046.8058400000004</v>
      </c>
      <c r="W99" s="44">
        <f t="shared" si="12"/>
        <v>-1.1192396385630061</v>
      </c>
    </row>
    <row r="100" spans="1:23" x14ac:dyDescent="0.3">
      <c r="A100" s="45" t="s">
        <v>297</v>
      </c>
      <c r="B100" s="46">
        <v>44985</v>
      </c>
      <c r="C100" s="47">
        <v>45005</v>
      </c>
      <c r="D100" s="48">
        <f t="shared" si="13"/>
        <v>20</v>
      </c>
      <c r="E100" s="48" t="str">
        <f>TEXT(Data!B100,"MMM-YYYY")</f>
        <v>Feb-2023</v>
      </c>
      <c r="F100" s="48" t="str">
        <f t="shared" si="9"/>
        <v>Q1-2023</v>
      </c>
      <c r="G100" s="38" t="s">
        <v>78</v>
      </c>
      <c r="H100" s="38" t="s">
        <v>79</v>
      </c>
      <c r="I100" s="38" t="s">
        <v>80</v>
      </c>
      <c r="J100" s="38" t="s">
        <v>62</v>
      </c>
      <c r="K100" s="38" t="s">
        <v>98</v>
      </c>
      <c r="L100" s="38" t="s">
        <v>92</v>
      </c>
      <c r="M100" s="38" t="s">
        <v>57</v>
      </c>
      <c r="N100" s="38" t="s">
        <v>298</v>
      </c>
      <c r="O100" s="48">
        <v>1200.78</v>
      </c>
      <c r="P100" s="49" t="str">
        <f t="shared" si="10"/>
        <v>High</v>
      </c>
      <c r="Q100" s="48">
        <v>2001.17</v>
      </c>
      <c r="R100" s="48">
        <v>0.29199999999999998</v>
      </c>
      <c r="S100" s="48">
        <v>18</v>
      </c>
      <c r="T100" s="48">
        <f t="shared" si="7"/>
        <v>8854.276319999999</v>
      </c>
      <c r="U100" s="38">
        <f t="shared" si="8"/>
        <v>21614.04</v>
      </c>
      <c r="V100" s="48">
        <f t="shared" si="11"/>
        <v>-12759.763680000002</v>
      </c>
      <c r="W100" s="50">
        <f t="shared" si="12"/>
        <v>-1.4410848745682701</v>
      </c>
    </row>
    <row r="101" spans="1:23" x14ac:dyDescent="0.3">
      <c r="A101" s="39" t="s">
        <v>299</v>
      </c>
      <c r="B101" s="40">
        <v>45684</v>
      </c>
      <c r="C101" s="41">
        <v>45703</v>
      </c>
      <c r="D101" s="42">
        <f t="shared" si="13"/>
        <v>19</v>
      </c>
      <c r="E101" s="42" t="str">
        <f>TEXT(Data!B101,"MMM-YYYY")</f>
        <v>Jan-2025</v>
      </c>
      <c r="F101" s="42" t="str">
        <f t="shared" si="9"/>
        <v>Q1-2025</v>
      </c>
      <c r="G101" s="37" t="s">
        <v>45</v>
      </c>
      <c r="H101" s="37" t="s">
        <v>116</v>
      </c>
      <c r="I101" s="37" t="s">
        <v>117</v>
      </c>
      <c r="J101" s="37" t="s">
        <v>39</v>
      </c>
      <c r="K101" s="37" t="s">
        <v>98</v>
      </c>
      <c r="L101" s="37" t="s">
        <v>49</v>
      </c>
      <c r="M101" s="37" t="s">
        <v>42</v>
      </c>
      <c r="N101" s="37" t="s">
        <v>300</v>
      </c>
      <c r="O101" s="42">
        <v>1253.22</v>
      </c>
      <c r="P101" s="43" t="str">
        <f t="shared" si="10"/>
        <v>High</v>
      </c>
      <c r="Q101" s="42">
        <v>3104.71</v>
      </c>
      <c r="R101" s="42">
        <v>0</v>
      </c>
      <c r="S101" s="42">
        <v>17</v>
      </c>
      <c r="T101" s="42">
        <f t="shared" si="7"/>
        <v>31422.63</v>
      </c>
      <c r="U101" s="37">
        <f t="shared" si="8"/>
        <v>21304.74</v>
      </c>
      <c r="V101" s="42">
        <f t="shared" si="11"/>
        <v>10117.89</v>
      </c>
      <c r="W101" s="44">
        <f t="shared" si="12"/>
        <v>0.3219937350883742</v>
      </c>
    </row>
    <row r="102" spans="1:23" x14ac:dyDescent="0.3">
      <c r="A102" s="45" t="s">
        <v>301</v>
      </c>
      <c r="B102" s="46">
        <v>45304</v>
      </c>
      <c r="C102" s="47">
        <v>45313</v>
      </c>
      <c r="D102" s="48">
        <f t="shared" si="13"/>
        <v>9</v>
      </c>
      <c r="E102" s="48" t="str">
        <f>TEXT(Data!B102,"MMM-YYYY")</f>
        <v>Jan-2024</v>
      </c>
      <c r="F102" s="48" t="str">
        <f t="shared" si="9"/>
        <v>Q1-2024</v>
      </c>
      <c r="G102" s="38" t="s">
        <v>45</v>
      </c>
      <c r="H102" s="38" t="s">
        <v>60</v>
      </c>
      <c r="I102" s="38" t="s">
        <v>220</v>
      </c>
      <c r="J102" s="38" t="s">
        <v>105</v>
      </c>
      <c r="K102" s="38" t="s">
        <v>40</v>
      </c>
      <c r="L102" s="38" t="s">
        <v>29</v>
      </c>
      <c r="M102" s="38" t="s">
        <v>22</v>
      </c>
      <c r="N102" s="38" t="s">
        <v>302</v>
      </c>
      <c r="O102" s="48">
        <v>313.60000000000002</v>
      </c>
      <c r="P102" s="49" t="str">
        <f t="shared" si="10"/>
        <v>High</v>
      </c>
      <c r="Q102" s="48">
        <v>334.28</v>
      </c>
      <c r="R102" s="48">
        <v>0.14000000000000001</v>
      </c>
      <c r="S102" s="48">
        <v>22</v>
      </c>
      <c r="T102" s="48">
        <f t="shared" si="7"/>
        <v>854.99479999999994</v>
      </c>
      <c r="U102" s="38">
        <f t="shared" si="8"/>
        <v>6899.2000000000007</v>
      </c>
      <c r="V102" s="48">
        <f t="shared" si="11"/>
        <v>-6044.2052000000003</v>
      </c>
      <c r="W102" s="50">
        <f t="shared" si="12"/>
        <v>-7.0692888424584579</v>
      </c>
    </row>
    <row r="103" spans="1:23" x14ac:dyDescent="0.3">
      <c r="A103" s="39" t="s">
        <v>303</v>
      </c>
      <c r="B103" s="40">
        <v>45747</v>
      </c>
      <c r="C103" s="41">
        <v>45751</v>
      </c>
      <c r="D103" s="42">
        <f t="shared" si="13"/>
        <v>4</v>
      </c>
      <c r="E103" s="42" t="str">
        <f>TEXT(Data!B103,"MMM-YYYY")</f>
        <v>Mar-2025</v>
      </c>
      <c r="F103" s="42" t="str">
        <f t="shared" si="9"/>
        <v>Q1-2025</v>
      </c>
      <c r="G103" s="37" t="s">
        <v>16</v>
      </c>
      <c r="H103" s="37" t="s">
        <v>17</v>
      </c>
      <c r="I103" s="37" t="s">
        <v>135</v>
      </c>
      <c r="J103" s="37" t="s">
        <v>19</v>
      </c>
      <c r="K103" s="37" t="s">
        <v>98</v>
      </c>
      <c r="L103" s="37" t="s">
        <v>21</v>
      </c>
      <c r="M103" s="37" t="s">
        <v>57</v>
      </c>
      <c r="N103" s="37" t="s">
        <v>304</v>
      </c>
      <c r="O103" s="42">
        <v>862.08</v>
      </c>
      <c r="P103" s="43" t="str">
        <f t="shared" si="10"/>
        <v>High</v>
      </c>
      <c r="Q103" s="42">
        <v>1952.83</v>
      </c>
      <c r="R103" s="42">
        <v>0</v>
      </c>
      <c r="S103" s="42">
        <v>7</v>
      </c>
      <c r="T103" s="42">
        <f t="shared" si="7"/>
        <v>2527.7000000000003</v>
      </c>
      <c r="U103" s="37">
        <f t="shared" si="8"/>
        <v>6034.56</v>
      </c>
      <c r="V103" s="42">
        <f t="shared" si="11"/>
        <v>-3506.86</v>
      </c>
      <c r="W103" s="44">
        <f t="shared" si="12"/>
        <v>-1.3873719191359732</v>
      </c>
    </row>
    <row r="104" spans="1:23" x14ac:dyDescent="0.3">
      <c r="A104" s="45" t="s">
        <v>305</v>
      </c>
      <c r="B104" s="46">
        <v>45631</v>
      </c>
      <c r="C104" s="47">
        <v>45654</v>
      </c>
      <c r="D104" s="48">
        <f t="shared" si="13"/>
        <v>23</v>
      </c>
      <c r="E104" s="48" t="str">
        <f>TEXT(Data!B104,"MMM-YYYY")</f>
        <v>Dec-2024</v>
      </c>
      <c r="F104" s="48" t="str">
        <f t="shared" si="9"/>
        <v>Q4-2024</v>
      </c>
      <c r="G104" s="38" t="s">
        <v>52</v>
      </c>
      <c r="H104" s="38" t="s">
        <v>53</v>
      </c>
      <c r="I104" s="38" t="s">
        <v>179</v>
      </c>
      <c r="J104" s="38" t="s">
        <v>19</v>
      </c>
      <c r="K104" s="38" t="s">
        <v>98</v>
      </c>
      <c r="L104" s="38" t="s">
        <v>84</v>
      </c>
      <c r="M104" s="38" t="s">
        <v>81</v>
      </c>
      <c r="N104" s="38" t="s">
        <v>306</v>
      </c>
      <c r="O104" s="48">
        <v>107.03</v>
      </c>
      <c r="P104" s="49" t="str">
        <f t="shared" si="10"/>
        <v>High</v>
      </c>
      <c r="Q104" s="48">
        <v>242.29</v>
      </c>
      <c r="R104" s="48">
        <v>0.18</v>
      </c>
      <c r="S104" s="48">
        <v>30</v>
      </c>
      <c r="T104" s="48">
        <f t="shared" si="7"/>
        <v>24706.764000000003</v>
      </c>
      <c r="U104" s="38">
        <f t="shared" si="8"/>
        <v>3210.9</v>
      </c>
      <c r="V104" s="48">
        <f t="shared" si="11"/>
        <v>21495.864000000001</v>
      </c>
      <c r="W104" s="50">
        <f t="shared" si="12"/>
        <v>0.87003963772835646</v>
      </c>
    </row>
    <row r="105" spans="1:23" x14ac:dyDescent="0.3">
      <c r="A105" s="39" t="s">
        <v>307</v>
      </c>
      <c r="B105" s="40">
        <v>45549</v>
      </c>
      <c r="C105" s="41">
        <v>45570</v>
      </c>
      <c r="D105" s="42">
        <f t="shared" si="13"/>
        <v>21</v>
      </c>
      <c r="E105" s="42" t="str">
        <f>TEXT(Data!B105,"MMM-YYYY")</f>
        <v>Sept-2024</v>
      </c>
      <c r="F105" s="42" t="str">
        <f t="shared" si="9"/>
        <v>Q3-2024</v>
      </c>
      <c r="G105" s="37" t="s">
        <v>45</v>
      </c>
      <c r="H105" s="37" t="s">
        <v>116</v>
      </c>
      <c r="I105" s="37" t="s">
        <v>162</v>
      </c>
      <c r="J105" s="37" t="s">
        <v>62</v>
      </c>
      <c r="K105" s="37" t="s">
        <v>28</v>
      </c>
      <c r="L105" s="37" t="s">
        <v>92</v>
      </c>
      <c r="M105" s="37" t="s">
        <v>57</v>
      </c>
      <c r="N105" s="37" t="s">
        <v>308</v>
      </c>
      <c r="O105" s="42">
        <v>1405.56</v>
      </c>
      <c r="P105" s="43" t="str">
        <f t="shared" si="10"/>
        <v>High</v>
      </c>
      <c r="Q105" s="42">
        <v>2968.87</v>
      </c>
      <c r="R105" s="42">
        <v>0.16900000000000001</v>
      </c>
      <c r="S105" s="42">
        <v>5</v>
      </c>
      <c r="T105" s="42">
        <f t="shared" si="7"/>
        <v>4270.2181499999997</v>
      </c>
      <c r="U105" s="37">
        <f t="shared" si="8"/>
        <v>7027.7999999999993</v>
      </c>
      <c r="V105" s="42">
        <f t="shared" si="11"/>
        <v>-2757.5818499999996</v>
      </c>
      <c r="W105" s="44">
        <f t="shared" si="12"/>
        <v>-0.64577072016800818</v>
      </c>
    </row>
    <row r="106" spans="1:23" x14ac:dyDescent="0.3">
      <c r="A106" s="45" t="s">
        <v>309</v>
      </c>
      <c r="B106" s="46">
        <v>45433</v>
      </c>
      <c r="C106" s="47">
        <v>45439</v>
      </c>
      <c r="D106" s="48">
        <f t="shared" si="13"/>
        <v>6</v>
      </c>
      <c r="E106" s="48" t="str">
        <f>TEXT(Data!B106,"MMM-YYYY")</f>
        <v>May-2024</v>
      </c>
      <c r="F106" s="48" t="str">
        <f t="shared" si="9"/>
        <v>Q2-2024</v>
      </c>
      <c r="G106" s="38" t="s">
        <v>16</v>
      </c>
      <c r="H106" s="38" t="s">
        <v>148</v>
      </c>
      <c r="I106" s="38" t="s">
        <v>149</v>
      </c>
      <c r="J106" s="38" t="s">
        <v>39</v>
      </c>
      <c r="K106" s="38" t="s">
        <v>28</v>
      </c>
      <c r="L106" s="38" t="s">
        <v>110</v>
      </c>
      <c r="M106" s="38" t="s">
        <v>22</v>
      </c>
      <c r="N106" s="38" t="s">
        <v>310</v>
      </c>
      <c r="O106" s="48">
        <v>1157.51</v>
      </c>
      <c r="P106" s="49" t="str">
        <f t="shared" si="10"/>
        <v>High</v>
      </c>
      <c r="Q106" s="48">
        <v>1394.3</v>
      </c>
      <c r="R106" s="48">
        <v>0.27800000000000002</v>
      </c>
      <c r="S106" s="48">
        <v>12</v>
      </c>
      <c r="T106" s="48">
        <f t="shared" si="7"/>
        <v>4055.5317599999998</v>
      </c>
      <c r="U106" s="38">
        <f t="shared" si="8"/>
        <v>13890.119999999999</v>
      </c>
      <c r="V106" s="48">
        <f t="shared" si="11"/>
        <v>-9834.5882399999991</v>
      </c>
      <c r="W106" s="50">
        <f t="shared" si="12"/>
        <v>-2.4249811916156712</v>
      </c>
    </row>
    <row r="107" spans="1:23" x14ac:dyDescent="0.3">
      <c r="A107" s="39" t="s">
        <v>311</v>
      </c>
      <c r="B107" s="40">
        <v>45057</v>
      </c>
      <c r="C107" s="41">
        <v>45084</v>
      </c>
      <c r="D107" s="42">
        <f t="shared" si="13"/>
        <v>27</v>
      </c>
      <c r="E107" s="42" t="str">
        <f>TEXT(Data!B107,"MMM-YYYY")</f>
        <v>May-2023</v>
      </c>
      <c r="F107" s="42" t="str">
        <f t="shared" si="9"/>
        <v>Q2-2023</v>
      </c>
      <c r="G107" s="37" t="s">
        <v>16</v>
      </c>
      <c r="H107" s="37" t="s">
        <v>17</v>
      </c>
      <c r="I107" s="37" t="s">
        <v>113</v>
      </c>
      <c r="J107" s="37" t="s">
        <v>19</v>
      </c>
      <c r="K107" s="37" t="s">
        <v>28</v>
      </c>
      <c r="L107" s="37" t="s">
        <v>29</v>
      </c>
      <c r="M107" s="37" t="s">
        <v>42</v>
      </c>
      <c r="N107" s="37" t="s">
        <v>312</v>
      </c>
      <c r="O107" s="42">
        <v>12.85</v>
      </c>
      <c r="P107" s="43" t="str">
        <f t="shared" si="10"/>
        <v>Low</v>
      </c>
      <c r="Q107" s="42">
        <v>15.41</v>
      </c>
      <c r="R107" s="42">
        <v>0.13700000000000001</v>
      </c>
      <c r="S107" s="42">
        <v>39</v>
      </c>
      <c r="T107" s="42">
        <f t="shared" si="7"/>
        <v>22483.549139999999</v>
      </c>
      <c r="U107" s="37">
        <f t="shared" si="8"/>
        <v>501.15</v>
      </c>
      <c r="V107" s="42">
        <f t="shared" si="11"/>
        <v>21982.399139999998</v>
      </c>
      <c r="W107" s="44">
        <f t="shared" si="12"/>
        <v>0.97771036961827273</v>
      </c>
    </row>
    <row r="108" spans="1:23" x14ac:dyDescent="0.3">
      <c r="A108" s="45" t="s">
        <v>313</v>
      </c>
      <c r="B108" s="46">
        <v>45518</v>
      </c>
      <c r="C108" s="47">
        <v>45539</v>
      </c>
      <c r="D108" s="48">
        <f t="shared" si="13"/>
        <v>21</v>
      </c>
      <c r="E108" s="48" t="str">
        <f>TEXT(Data!B108,"MMM-YYYY")</f>
        <v>Aug-2024</v>
      </c>
      <c r="F108" s="48" t="str">
        <f t="shared" si="9"/>
        <v>Q3-2024</v>
      </c>
      <c r="G108" s="38" t="s">
        <v>78</v>
      </c>
      <c r="H108" s="38" t="s">
        <v>108</v>
      </c>
      <c r="I108" s="38" t="s">
        <v>228</v>
      </c>
      <c r="J108" s="38" t="s">
        <v>39</v>
      </c>
      <c r="K108" s="38" t="s">
        <v>28</v>
      </c>
      <c r="L108" s="38" t="s">
        <v>29</v>
      </c>
      <c r="M108" s="38" t="s">
        <v>42</v>
      </c>
      <c r="N108" s="38" t="s">
        <v>314</v>
      </c>
      <c r="O108" s="48">
        <v>1138.8</v>
      </c>
      <c r="P108" s="49" t="str">
        <f t="shared" si="10"/>
        <v>High</v>
      </c>
      <c r="Q108" s="48">
        <v>2250.81</v>
      </c>
      <c r="R108" s="48">
        <v>0.123</v>
      </c>
      <c r="S108" s="48">
        <v>12</v>
      </c>
      <c r="T108" s="48">
        <f t="shared" si="7"/>
        <v>5654.22948</v>
      </c>
      <c r="U108" s="38">
        <f t="shared" si="8"/>
        <v>13665.599999999999</v>
      </c>
      <c r="V108" s="48">
        <f t="shared" si="11"/>
        <v>-8011.3705199999986</v>
      </c>
      <c r="W108" s="50">
        <f t="shared" si="12"/>
        <v>-1.4168810353979475</v>
      </c>
    </row>
    <row r="109" spans="1:23" x14ac:dyDescent="0.3">
      <c r="A109" s="39" t="s">
        <v>315</v>
      </c>
      <c r="B109" s="40">
        <v>45581</v>
      </c>
      <c r="C109" s="41">
        <v>45604</v>
      </c>
      <c r="D109" s="42">
        <f t="shared" si="13"/>
        <v>23</v>
      </c>
      <c r="E109" s="42" t="str">
        <f>TEXT(Data!B109,"MMM-YYYY")</f>
        <v>Oct-2024</v>
      </c>
      <c r="F109" s="42" t="str">
        <f t="shared" si="9"/>
        <v>Q4-2024</v>
      </c>
      <c r="G109" s="37" t="s">
        <v>45</v>
      </c>
      <c r="H109" s="37" t="s">
        <v>46</v>
      </c>
      <c r="I109" s="37" t="s">
        <v>47</v>
      </c>
      <c r="J109" s="37" t="s">
        <v>62</v>
      </c>
      <c r="K109" s="37" t="s">
        <v>20</v>
      </c>
      <c r="L109" s="37" t="s">
        <v>29</v>
      </c>
      <c r="M109" s="37" t="s">
        <v>35</v>
      </c>
      <c r="N109" s="37" t="s">
        <v>316</v>
      </c>
      <c r="O109" s="42">
        <v>82.14</v>
      </c>
      <c r="P109" s="43" t="str">
        <f t="shared" si="10"/>
        <v>Medium</v>
      </c>
      <c r="Q109" s="42">
        <v>166.04</v>
      </c>
      <c r="R109" s="42">
        <v>0</v>
      </c>
      <c r="S109" s="42">
        <v>10</v>
      </c>
      <c r="T109" s="42">
        <f t="shared" si="7"/>
        <v>5727.1</v>
      </c>
      <c r="U109" s="37">
        <f t="shared" si="8"/>
        <v>821.4</v>
      </c>
      <c r="V109" s="42">
        <f t="shared" si="11"/>
        <v>4905.7000000000007</v>
      </c>
      <c r="W109" s="44">
        <f t="shared" si="12"/>
        <v>0.85657662691414516</v>
      </c>
    </row>
    <row r="110" spans="1:23" x14ac:dyDescent="0.3">
      <c r="A110" s="45" t="s">
        <v>317</v>
      </c>
      <c r="B110" s="46">
        <v>45445</v>
      </c>
      <c r="C110" s="47">
        <v>45451</v>
      </c>
      <c r="D110" s="48">
        <f t="shared" si="13"/>
        <v>6</v>
      </c>
      <c r="E110" s="48" t="str">
        <f>TEXT(Data!B110,"MMM-YYYY")</f>
        <v>Jun-2024</v>
      </c>
      <c r="F110" s="48" t="str">
        <f t="shared" si="9"/>
        <v>Q2-2024</v>
      </c>
      <c r="G110" s="38" t="s">
        <v>16</v>
      </c>
      <c r="H110" s="38" t="s">
        <v>17</v>
      </c>
      <c r="I110" s="38" t="s">
        <v>18</v>
      </c>
      <c r="J110" s="38" t="s">
        <v>48</v>
      </c>
      <c r="K110" s="38" t="s">
        <v>40</v>
      </c>
      <c r="L110" s="38" t="s">
        <v>75</v>
      </c>
      <c r="M110" s="38" t="s">
        <v>81</v>
      </c>
      <c r="N110" s="38" t="s">
        <v>318</v>
      </c>
      <c r="O110" s="48">
        <v>292.94</v>
      </c>
      <c r="P110" s="49" t="str">
        <f t="shared" si="10"/>
        <v>High</v>
      </c>
      <c r="Q110" s="48">
        <v>356.55</v>
      </c>
      <c r="R110" s="48">
        <v>0.22900000000000001</v>
      </c>
      <c r="S110" s="48">
        <v>2</v>
      </c>
      <c r="T110" s="48">
        <f t="shared" si="7"/>
        <v>3583.4075399999997</v>
      </c>
      <c r="U110" s="38">
        <f t="shared" si="8"/>
        <v>585.88</v>
      </c>
      <c r="V110" s="48">
        <f t="shared" si="11"/>
        <v>2997.5275399999996</v>
      </c>
      <c r="W110" s="50">
        <f t="shared" si="12"/>
        <v>0.83650199050482543</v>
      </c>
    </row>
    <row r="111" spans="1:23" x14ac:dyDescent="0.3">
      <c r="A111" s="39" t="s">
        <v>319</v>
      </c>
      <c r="B111" s="40">
        <v>45452</v>
      </c>
      <c r="C111" s="41">
        <v>45480</v>
      </c>
      <c r="D111" s="42">
        <f t="shared" si="13"/>
        <v>28</v>
      </c>
      <c r="E111" s="42" t="str">
        <f>TEXT(Data!B111,"MMM-YYYY")</f>
        <v>Jun-2024</v>
      </c>
      <c r="F111" s="42" t="str">
        <f t="shared" si="9"/>
        <v>Q2-2024</v>
      </c>
      <c r="G111" s="37" t="s">
        <v>45</v>
      </c>
      <c r="H111" s="37" t="s">
        <v>116</v>
      </c>
      <c r="I111" s="37" t="s">
        <v>117</v>
      </c>
      <c r="J111" s="37" t="s">
        <v>19</v>
      </c>
      <c r="K111" s="37" t="s">
        <v>28</v>
      </c>
      <c r="L111" s="37" t="s">
        <v>29</v>
      </c>
      <c r="M111" s="37" t="s">
        <v>22</v>
      </c>
      <c r="N111" s="37" t="s">
        <v>320</v>
      </c>
      <c r="O111" s="42">
        <v>550.22</v>
      </c>
      <c r="P111" s="43" t="str">
        <f t="shared" si="10"/>
        <v>High</v>
      </c>
      <c r="Q111" s="42">
        <v>1025.05</v>
      </c>
      <c r="R111" s="42">
        <v>0</v>
      </c>
      <c r="S111" s="42">
        <v>27</v>
      </c>
      <c r="T111" s="42">
        <f t="shared" si="7"/>
        <v>44038.080000000002</v>
      </c>
      <c r="U111" s="37">
        <f t="shared" si="8"/>
        <v>14855.94</v>
      </c>
      <c r="V111" s="42">
        <f t="shared" si="11"/>
        <v>29182.14</v>
      </c>
      <c r="W111" s="44">
        <f t="shared" si="12"/>
        <v>0.66265695507161071</v>
      </c>
    </row>
    <row r="112" spans="1:23" x14ac:dyDescent="0.3">
      <c r="A112" s="45" t="s">
        <v>321</v>
      </c>
      <c r="B112" s="46">
        <v>45453</v>
      </c>
      <c r="C112" s="47">
        <v>45454</v>
      </c>
      <c r="D112" s="48">
        <f t="shared" si="13"/>
        <v>1</v>
      </c>
      <c r="E112" s="48" t="str">
        <f>TEXT(Data!B112,"MMM-YYYY")</f>
        <v>Jun-2024</v>
      </c>
      <c r="F112" s="48" t="str">
        <f t="shared" si="9"/>
        <v>Q2-2024</v>
      </c>
      <c r="G112" s="38" t="s">
        <v>78</v>
      </c>
      <c r="H112" s="38" t="s">
        <v>108</v>
      </c>
      <c r="I112" s="38" t="s">
        <v>109</v>
      </c>
      <c r="J112" s="38" t="s">
        <v>62</v>
      </c>
      <c r="K112" s="38" t="s">
        <v>40</v>
      </c>
      <c r="L112" s="38" t="s">
        <v>110</v>
      </c>
      <c r="M112" s="38" t="s">
        <v>57</v>
      </c>
      <c r="N112" s="38" t="s">
        <v>322</v>
      </c>
      <c r="O112" s="48">
        <v>1187.1300000000001</v>
      </c>
      <c r="P112" s="49" t="str">
        <f t="shared" si="10"/>
        <v>High</v>
      </c>
      <c r="Q112" s="48">
        <v>1795.17</v>
      </c>
      <c r="R112" s="48">
        <v>1.2E-2</v>
      </c>
      <c r="S112" s="48">
        <v>17</v>
      </c>
      <c r="T112" s="48">
        <f t="shared" si="7"/>
        <v>6606.0347600000005</v>
      </c>
      <c r="U112" s="38">
        <f t="shared" si="8"/>
        <v>20181.210000000003</v>
      </c>
      <c r="V112" s="48">
        <f t="shared" si="11"/>
        <v>-13575.175240000002</v>
      </c>
      <c r="W112" s="50">
        <f t="shared" si="12"/>
        <v>-2.0549657598229172</v>
      </c>
    </row>
    <row r="113" spans="1:23" x14ac:dyDescent="0.3">
      <c r="A113" s="39" t="s">
        <v>323</v>
      </c>
      <c r="B113" s="40">
        <v>45472</v>
      </c>
      <c r="C113" s="41">
        <v>45499</v>
      </c>
      <c r="D113" s="42">
        <f t="shared" si="13"/>
        <v>27</v>
      </c>
      <c r="E113" s="42" t="str">
        <f>TEXT(Data!B113,"MMM-YYYY")</f>
        <v>Jun-2024</v>
      </c>
      <c r="F113" s="42" t="str">
        <f t="shared" si="9"/>
        <v>Q2-2024</v>
      </c>
      <c r="G113" s="37" t="s">
        <v>16</v>
      </c>
      <c r="H113" s="37" t="s">
        <v>148</v>
      </c>
      <c r="I113" s="37" t="s">
        <v>172</v>
      </c>
      <c r="J113" s="37" t="s">
        <v>105</v>
      </c>
      <c r="K113" s="37" t="s">
        <v>55</v>
      </c>
      <c r="L113" s="37" t="s">
        <v>56</v>
      </c>
      <c r="M113" s="37" t="s">
        <v>35</v>
      </c>
      <c r="N113" s="37" t="s">
        <v>324</v>
      </c>
      <c r="O113" s="42">
        <v>5.36</v>
      </c>
      <c r="P113" s="43" t="str">
        <f t="shared" si="10"/>
        <v>Low</v>
      </c>
      <c r="Q113" s="42">
        <v>4.37</v>
      </c>
      <c r="R113" s="42">
        <v>0.11799999999999999</v>
      </c>
      <c r="S113" s="42">
        <v>9</v>
      </c>
      <c r="T113" s="42">
        <f t="shared" si="7"/>
        <v>14734.198080000002</v>
      </c>
      <c r="U113" s="37">
        <f t="shared" si="8"/>
        <v>48.24</v>
      </c>
      <c r="V113" s="42">
        <f t="shared" si="11"/>
        <v>14685.958080000002</v>
      </c>
      <c r="W113" s="44">
        <f t="shared" si="12"/>
        <v>0.99672598401771995</v>
      </c>
    </row>
    <row r="114" spans="1:23" x14ac:dyDescent="0.3">
      <c r="A114" s="45" t="s">
        <v>325</v>
      </c>
      <c r="B114" s="46">
        <v>45674</v>
      </c>
      <c r="C114" s="47">
        <v>45681</v>
      </c>
      <c r="D114" s="48">
        <f t="shared" si="13"/>
        <v>7</v>
      </c>
      <c r="E114" s="48" t="str">
        <f>TEXT(Data!B114,"MMM-YYYY")</f>
        <v>Jan-2025</v>
      </c>
      <c r="F114" s="48" t="str">
        <f t="shared" si="9"/>
        <v>Q1-2025</v>
      </c>
      <c r="G114" s="38" t="s">
        <v>52</v>
      </c>
      <c r="H114" s="38" t="s">
        <v>122</v>
      </c>
      <c r="I114" s="38" t="s">
        <v>326</v>
      </c>
      <c r="J114" s="38" t="s">
        <v>105</v>
      </c>
      <c r="K114" s="38" t="s">
        <v>28</v>
      </c>
      <c r="L114" s="38" t="s">
        <v>41</v>
      </c>
      <c r="M114" s="38" t="s">
        <v>81</v>
      </c>
      <c r="N114" s="38" t="s">
        <v>327</v>
      </c>
      <c r="O114" s="48">
        <v>142.09</v>
      </c>
      <c r="P114" s="49" t="str">
        <f t="shared" si="10"/>
        <v>High</v>
      </c>
      <c r="Q114" s="48">
        <v>218.5</v>
      </c>
      <c r="R114" s="48">
        <v>0.11899999999999999</v>
      </c>
      <c r="S114" s="48">
        <v>11</v>
      </c>
      <c r="T114" s="48">
        <f t="shared" si="7"/>
        <v>822.7659000000001</v>
      </c>
      <c r="U114" s="38">
        <f t="shared" si="8"/>
        <v>1562.99</v>
      </c>
      <c r="V114" s="48">
        <f t="shared" si="11"/>
        <v>-740.22409999999991</v>
      </c>
      <c r="W114" s="50">
        <f t="shared" si="12"/>
        <v>-0.89967766043779862</v>
      </c>
    </row>
    <row r="115" spans="1:23" x14ac:dyDescent="0.3">
      <c r="A115" s="39" t="s">
        <v>328</v>
      </c>
      <c r="B115" s="40">
        <v>45250</v>
      </c>
      <c r="C115" s="41">
        <v>45265</v>
      </c>
      <c r="D115" s="42">
        <f t="shared" si="13"/>
        <v>15</v>
      </c>
      <c r="E115" s="42" t="str">
        <f>TEXT(Data!B115,"MMM-YYYY")</f>
        <v>Nov-2023</v>
      </c>
      <c r="F115" s="42" t="str">
        <f t="shared" si="9"/>
        <v>Q4-2023</v>
      </c>
      <c r="G115" s="37" t="s">
        <v>45</v>
      </c>
      <c r="H115" s="37" t="s">
        <v>46</v>
      </c>
      <c r="I115" s="37" t="s">
        <v>214</v>
      </c>
      <c r="J115" s="37" t="s">
        <v>105</v>
      </c>
      <c r="K115" s="37" t="s">
        <v>20</v>
      </c>
      <c r="L115" s="37" t="s">
        <v>49</v>
      </c>
      <c r="M115" s="37" t="s">
        <v>35</v>
      </c>
      <c r="N115" s="37" t="s">
        <v>329</v>
      </c>
      <c r="O115" s="42">
        <v>354.24</v>
      </c>
      <c r="P115" s="43" t="str">
        <f t="shared" si="10"/>
        <v>High</v>
      </c>
      <c r="Q115" s="42">
        <v>249.87</v>
      </c>
      <c r="R115" s="42">
        <v>0</v>
      </c>
      <c r="S115" s="42">
        <v>6</v>
      </c>
      <c r="T115" s="42">
        <f t="shared" si="7"/>
        <v>13513.439999999999</v>
      </c>
      <c r="U115" s="37">
        <f t="shared" si="8"/>
        <v>2125.44</v>
      </c>
      <c r="V115" s="42">
        <f t="shared" si="11"/>
        <v>11387.999999999998</v>
      </c>
      <c r="W115" s="44">
        <f t="shared" si="12"/>
        <v>0.84271658437821895</v>
      </c>
    </row>
    <row r="116" spans="1:23" x14ac:dyDescent="0.3">
      <c r="A116" s="45" t="s">
        <v>330</v>
      </c>
      <c r="B116" s="46">
        <v>44987</v>
      </c>
      <c r="C116" s="47">
        <v>44990</v>
      </c>
      <c r="D116" s="48">
        <f t="shared" si="13"/>
        <v>3</v>
      </c>
      <c r="E116" s="48" t="str">
        <f>TEXT(Data!B116,"MMM-YYYY")</f>
        <v>Mar-2023</v>
      </c>
      <c r="F116" s="48" t="str">
        <f t="shared" si="9"/>
        <v>Q1-2023</v>
      </c>
      <c r="G116" s="38" t="s">
        <v>52</v>
      </c>
      <c r="H116" s="38" t="s">
        <v>73</v>
      </c>
      <c r="I116" s="38" t="s">
        <v>87</v>
      </c>
      <c r="J116" s="38" t="s">
        <v>105</v>
      </c>
      <c r="K116" s="38" t="s">
        <v>98</v>
      </c>
      <c r="L116" s="38" t="s">
        <v>41</v>
      </c>
      <c r="M116" s="38" t="s">
        <v>64</v>
      </c>
      <c r="N116" s="38" t="s">
        <v>331</v>
      </c>
      <c r="O116" s="48">
        <v>1473.58</v>
      </c>
      <c r="P116" s="49" t="str">
        <f t="shared" si="10"/>
        <v>High</v>
      </c>
      <c r="Q116" s="48">
        <v>3436.52</v>
      </c>
      <c r="R116" s="48">
        <v>0.108</v>
      </c>
      <c r="S116" s="48">
        <v>8</v>
      </c>
      <c r="T116" s="48">
        <f t="shared" si="7"/>
        <v>6576.6803200000004</v>
      </c>
      <c r="U116" s="38">
        <f t="shared" si="8"/>
        <v>11788.64</v>
      </c>
      <c r="V116" s="48">
        <f t="shared" si="11"/>
        <v>-5211.959679999999</v>
      </c>
      <c r="W116" s="50">
        <f t="shared" si="12"/>
        <v>-0.79249095689662452</v>
      </c>
    </row>
    <row r="117" spans="1:23" x14ac:dyDescent="0.3">
      <c r="A117" s="39" t="s">
        <v>332</v>
      </c>
      <c r="B117" s="40">
        <v>45811</v>
      </c>
      <c r="C117" s="41">
        <v>45818</v>
      </c>
      <c r="D117" s="42">
        <f t="shared" si="13"/>
        <v>7</v>
      </c>
      <c r="E117" s="42" t="str">
        <f>TEXT(Data!B117,"MMM-YYYY")</f>
        <v>Jun-2025</v>
      </c>
      <c r="F117" s="42" t="str">
        <f t="shared" si="9"/>
        <v>Q2-2025</v>
      </c>
      <c r="G117" s="37" t="s">
        <v>52</v>
      </c>
      <c r="H117" s="37" t="s">
        <v>53</v>
      </c>
      <c r="I117" s="37" t="s">
        <v>54</v>
      </c>
      <c r="J117" s="37" t="s">
        <v>48</v>
      </c>
      <c r="K117" s="37" t="s">
        <v>55</v>
      </c>
      <c r="L117" s="37" t="s">
        <v>68</v>
      </c>
      <c r="M117" s="37" t="s">
        <v>30</v>
      </c>
      <c r="N117" s="37" t="s">
        <v>333</v>
      </c>
      <c r="O117" s="42">
        <v>75.180000000000007</v>
      </c>
      <c r="P117" s="43" t="str">
        <f t="shared" si="10"/>
        <v>Medium</v>
      </c>
      <c r="Q117" s="42">
        <v>53.45</v>
      </c>
      <c r="R117" s="42">
        <v>0.157</v>
      </c>
      <c r="S117" s="42">
        <v>17</v>
      </c>
      <c r="T117" s="42">
        <f t="shared" si="7"/>
        <v>23548.41258</v>
      </c>
      <c r="U117" s="37">
        <f t="shared" si="8"/>
        <v>1278.0600000000002</v>
      </c>
      <c r="V117" s="42">
        <f t="shared" si="11"/>
        <v>22270.352579999999</v>
      </c>
      <c r="W117" s="44">
        <f t="shared" si="12"/>
        <v>0.94572627791117114</v>
      </c>
    </row>
    <row r="118" spans="1:23" x14ac:dyDescent="0.3">
      <c r="A118" s="45" t="s">
        <v>334</v>
      </c>
      <c r="B118" s="46">
        <v>45653</v>
      </c>
      <c r="C118" s="47">
        <v>45659</v>
      </c>
      <c r="D118" s="48">
        <f t="shared" si="13"/>
        <v>6</v>
      </c>
      <c r="E118" s="48" t="str">
        <f>TEXT(Data!B118,"MMM-YYYY")</f>
        <v>Dec-2024</v>
      </c>
      <c r="F118" s="48" t="str">
        <f t="shared" si="9"/>
        <v>Q4-2024</v>
      </c>
      <c r="G118" s="38" t="s">
        <v>78</v>
      </c>
      <c r="H118" s="38" t="s">
        <v>79</v>
      </c>
      <c r="I118" s="38" t="s">
        <v>335</v>
      </c>
      <c r="J118" s="38" t="s">
        <v>27</v>
      </c>
      <c r="K118" s="38" t="s">
        <v>98</v>
      </c>
      <c r="L118" s="38" t="s">
        <v>84</v>
      </c>
      <c r="M118" s="38" t="s">
        <v>57</v>
      </c>
      <c r="N118" s="38" t="s">
        <v>336</v>
      </c>
      <c r="O118" s="48">
        <v>1391.99</v>
      </c>
      <c r="P118" s="49" t="str">
        <f t="shared" si="10"/>
        <v>High</v>
      </c>
      <c r="Q118" s="48">
        <v>3469.7</v>
      </c>
      <c r="R118" s="48">
        <v>0.184</v>
      </c>
      <c r="S118" s="48">
        <v>23</v>
      </c>
      <c r="T118" s="48">
        <f t="shared" si="7"/>
        <v>27535.846560000005</v>
      </c>
      <c r="U118" s="38">
        <f t="shared" si="8"/>
        <v>32015.77</v>
      </c>
      <c r="V118" s="48">
        <f t="shared" si="11"/>
        <v>-4479.923439999995</v>
      </c>
      <c r="W118" s="50">
        <f t="shared" si="12"/>
        <v>-0.16269423314218215</v>
      </c>
    </row>
    <row r="119" spans="1:23" x14ac:dyDescent="0.3">
      <c r="A119" s="39" t="s">
        <v>337</v>
      </c>
      <c r="B119" s="40">
        <v>45086</v>
      </c>
      <c r="C119" s="41">
        <v>45096</v>
      </c>
      <c r="D119" s="42">
        <f t="shared" si="13"/>
        <v>10</v>
      </c>
      <c r="E119" s="42" t="str">
        <f>TEXT(Data!B119,"MMM-YYYY")</f>
        <v>Jun-2023</v>
      </c>
      <c r="F119" s="42" t="str">
        <f t="shared" si="9"/>
        <v>Q2-2023</v>
      </c>
      <c r="G119" s="37" t="s">
        <v>45</v>
      </c>
      <c r="H119" s="37" t="s">
        <v>116</v>
      </c>
      <c r="I119" s="37" t="s">
        <v>338</v>
      </c>
      <c r="J119" s="37" t="s">
        <v>105</v>
      </c>
      <c r="K119" s="37" t="s">
        <v>20</v>
      </c>
      <c r="L119" s="37" t="s">
        <v>84</v>
      </c>
      <c r="M119" s="37" t="s">
        <v>64</v>
      </c>
      <c r="N119" s="37" t="s">
        <v>339</v>
      </c>
      <c r="O119" s="42">
        <v>339.61</v>
      </c>
      <c r="P119" s="43" t="str">
        <f t="shared" si="10"/>
        <v>High</v>
      </c>
      <c r="Q119" s="42">
        <v>621.02</v>
      </c>
      <c r="R119" s="42">
        <v>7.0999999999999994E-2</v>
      </c>
      <c r="S119" s="42">
        <v>10</v>
      </c>
      <c r="T119" s="42">
        <f t="shared" si="7"/>
        <v>9278.4804000000004</v>
      </c>
      <c r="U119" s="37">
        <f t="shared" si="8"/>
        <v>3396.1000000000004</v>
      </c>
      <c r="V119" s="42">
        <f t="shared" si="11"/>
        <v>5882.3804</v>
      </c>
      <c r="W119" s="44">
        <f t="shared" si="12"/>
        <v>0.63398101266668616</v>
      </c>
    </row>
    <row r="120" spans="1:23" x14ac:dyDescent="0.3">
      <c r="A120" s="45" t="s">
        <v>340</v>
      </c>
      <c r="B120" s="46">
        <v>45847</v>
      </c>
      <c r="C120" s="47">
        <v>45856</v>
      </c>
      <c r="D120" s="48">
        <f t="shared" si="13"/>
        <v>9</v>
      </c>
      <c r="E120" s="48" t="str">
        <f>TEXT(Data!B120,"MMM-YYYY")</f>
        <v>Jul-2025</v>
      </c>
      <c r="F120" s="48" t="str">
        <f t="shared" si="9"/>
        <v>Q3-2025</v>
      </c>
      <c r="G120" s="38" t="s">
        <v>52</v>
      </c>
      <c r="H120" s="38" t="s">
        <v>53</v>
      </c>
      <c r="I120" s="38" t="s">
        <v>179</v>
      </c>
      <c r="J120" s="38" t="s">
        <v>27</v>
      </c>
      <c r="K120" s="38" t="s">
        <v>55</v>
      </c>
      <c r="L120" s="38" t="s">
        <v>34</v>
      </c>
      <c r="M120" s="38" t="s">
        <v>57</v>
      </c>
      <c r="N120" s="38" t="s">
        <v>341</v>
      </c>
      <c r="O120" s="48">
        <v>57.96</v>
      </c>
      <c r="P120" s="49" t="str">
        <f t="shared" si="10"/>
        <v>Medium</v>
      </c>
      <c r="Q120" s="48">
        <v>88.51</v>
      </c>
      <c r="R120" s="48">
        <v>4.2999999999999997E-2</v>
      </c>
      <c r="S120" s="48">
        <v>7</v>
      </c>
      <c r="T120" s="48">
        <f t="shared" si="7"/>
        <v>4225.1932799999995</v>
      </c>
      <c r="U120" s="38">
        <f t="shared" si="8"/>
        <v>405.72</v>
      </c>
      <c r="V120" s="48">
        <f t="shared" si="11"/>
        <v>3819.4732799999992</v>
      </c>
      <c r="W120" s="50">
        <f t="shared" si="12"/>
        <v>0.90397599041907017</v>
      </c>
    </row>
    <row r="121" spans="1:23" x14ac:dyDescent="0.3">
      <c r="A121" s="39" t="s">
        <v>342</v>
      </c>
      <c r="B121" s="40">
        <v>45827</v>
      </c>
      <c r="C121" s="41">
        <v>45850</v>
      </c>
      <c r="D121" s="42">
        <f t="shared" si="13"/>
        <v>23</v>
      </c>
      <c r="E121" s="42" t="str">
        <f>TEXT(Data!B121,"MMM-YYYY")</f>
        <v>Jun-2025</v>
      </c>
      <c r="F121" s="42" t="str">
        <f t="shared" si="9"/>
        <v>Q2-2025</v>
      </c>
      <c r="G121" s="37" t="s">
        <v>78</v>
      </c>
      <c r="H121" s="37" t="s">
        <v>108</v>
      </c>
      <c r="I121" s="37" t="s">
        <v>1364</v>
      </c>
      <c r="J121" s="37" t="s">
        <v>39</v>
      </c>
      <c r="K121" s="37" t="s">
        <v>98</v>
      </c>
      <c r="L121" s="37" t="s">
        <v>1364</v>
      </c>
      <c r="M121" s="37" t="s">
        <v>35</v>
      </c>
      <c r="N121" s="37" t="s">
        <v>343</v>
      </c>
      <c r="O121" s="42">
        <v>801.24</v>
      </c>
      <c r="P121" s="43" t="str">
        <f t="shared" si="10"/>
        <v>High</v>
      </c>
      <c r="Q121" s="42">
        <v>1959.09</v>
      </c>
      <c r="R121" s="42">
        <v>0.123</v>
      </c>
      <c r="S121" s="42">
        <v>23</v>
      </c>
      <c r="T121" s="42">
        <f t="shared" si="7"/>
        <v>14696.792309999999</v>
      </c>
      <c r="U121" s="37">
        <f t="shared" si="8"/>
        <v>18428.52</v>
      </c>
      <c r="V121" s="42">
        <f t="shared" si="11"/>
        <v>-3731.7276900000015</v>
      </c>
      <c r="W121" s="44">
        <f t="shared" si="12"/>
        <v>-0.25391443325091134</v>
      </c>
    </row>
    <row r="122" spans="1:23" x14ac:dyDescent="0.3">
      <c r="A122" s="45" t="s">
        <v>344</v>
      </c>
      <c r="B122" s="46">
        <v>45249</v>
      </c>
      <c r="C122" s="47">
        <v>45273</v>
      </c>
      <c r="D122" s="48">
        <f t="shared" si="13"/>
        <v>24</v>
      </c>
      <c r="E122" s="48" t="str">
        <f>TEXT(Data!B122,"MMM-YYYY")</f>
        <v>Nov-2023</v>
      </c>
      <c r="F122" s="48" t="str">
        <f t="shared" si="9"/>
        <v>Q4-2023</v>
      </c>
      <c r="G122" s="38" t="s">
        <v>78</v>
      </c>
      <c r="H122" s="38" t="s">
        <v>90</v>
      </c>
      <c r="I122" s="38" t="s">
        <v>138</v>
      </c>
      <c r="J122" s="38" t="s">
        <v>39</v>
      </c>
      <c r="K122" s="38" t="s">
        <v>98</v>
      </c>
      <c r="L122" s="38" t="s">
        <v>92</v>
      </c>
      <c r="M122" s="38" t="s">
        <v>64</v>
      </c>
      <c r="N122" s="38" t="s">
        <v>345</v>
      </c>
      <c r="O122" s="48">
        <v>1297.42</v>
      </c>
      <c r="P122" s="49" t="str">
        <f t="shared" si="10"/>
        <v>High</v>
      </c>
      <c r="Q122" s="48">
        <v>2742.97</v>
      </c>
      <c r="R122" s="48">
        <v>6.9000000000000006E-2</v>
      </c>
      <c r="S122" s="48">
        <v>9</v>
      </c>
      <c r="T122" s="48">
        <f t="shared" si="7"/>
        <v>7972.7022900000002</v>
      </c>
      <c r="U122" s="38">
        <f t="shared" si="8"/>
        <v>11676.78</v>
      </c>
      <c r="V122" s="48">
        <f t="shared" si="11"/>
        <v>-3704.0777100000005</v>
      </c>
      <c r="W122" s="50">
        <f t="shared" si="12"/>
        <v>-0.46459501123551927</v>
      </c>
    </row>
    <row r="123" spans="1:23" x14ac:dyDescent="0.3">
      <c r="A123" s="39" t="s">
        <v>346</v>
      </c>
      <c r="B123" s="40">
        <v>45289</v>
      </c>
      <c r="C123" s="41">
        <v>45311</v>
      </c>
      <c r="D123" s="42">
        <f t="shared" si="13"/>
        <v>22</v>
      </c>
      <c r="E123" s="42" t="str">
        <f>TEXT(Data!B123,"MMM-YYYY")</f>
        <v>Dec-2023</v>
      </c>
      <c r="F123" s="42" t="str">
        <f t="shared" si="9"/>
        <v>Q4-2023</v>
      </c>
      <c r="G123" s="37" t="s">
        <v>16</v>
      </c>
      <c r="H123" s="37" t="s">
        <v>17</v>
      </c>
      <c r="I123" s="37" t="s">
        <v>18</v>
      </c>
      <c r="J123" s="37" t="s">
        <v>19</v>
      </c>
      <c r="K123" s="37" t="s">
        <v>98</v>
      </c>
      <c r="L123" s="37" t="s">
        <v>49</v>
      </c>
      <c r="M123" s="37" t="s">
        <v>42</v>
      </c>
      <c r="N123" s="37" t="s">
        <v>347</v>
      </c>
      <c r="O123" s="42">
        <v>1395.49</v>
      </c>
      <c r="P123" s="43" t="str">
        <f t="shared" si="10"/>
        <v>High</v>
      </c>
      <c r="Q123" s="42">
        <v>1679.42</v>
      </c>
      <c r="R123" s="42">
        <v>0.20300000000000001</v>
      </c>
      <c r="S123" s="42">
        <v>12</v>
      </c>
      <c r="T123" s="42">
        <f t="shared" si="7"/>
        <v>7009.2643199999993</v>
      </c>
      <c r="U123" s="37">
        <f t="shared" si="8"/>
        <v>16745.88</v>
      </c>
      <c r="V123" s="42">
        <f t="shared" si="11"/>
        <v>-9736.6156800000026</v>
      </c>
      <c r="W123" s="44">
        <f t="shared" si="12"/>
        <v>-1.3891066502111884</v>
      </c>
    </row>
    <row r="124" spans="1:23" x14ac:dyDescent="0.3">
      <c r="A124" s="45" t="s">
        <v>348</v>
      </c>
      <c r="B124" s="46">
        <v>45598</v>
      </c>
      <c r="C124" s="47">
        <v>45625</v>
      </c>
      <c r="D124" s="48">
        <f t="shared" si="13"/>
        <v>27</v>
      </c>
      <c r="E124" s="48" t="str">
        <f>TEXT(Data!B124,"MMM-YYYY")</f>
        <v>Nov-2024</v>
      </c>
      <c r="F124" s="48" t="str">
        <f t="shared" si="9"/>
        <v>Q4-2024</v>
      </c>
      <c r="G124" s="38" t="s">
        <v>52</v>
      </c>
      <c r="H124" s="38" t="s">
        <v>73</v>
      </c>
      <c r="I124" s="38" t="s">
        <v>87</v>
      </c>
      <c r="J124" s="38" t="s">
        <v>62</v>
      </c>
      <c r="K124" s="38" t="s">
        <v>98</v>
      </c>
      <c r="L124" s="38" t="s">
        <v>34</v>
      </c>
      <c r="M124" s="38" t="s">
        <v>35</v>
      </c>
      <c r="N124" s="38" t="s">
        <v>349</v>
      </c>
      <c r="O124" s="48">
        <v>1363.51</v>
      </c>
      <c r="P124" s="49" t="str">
        <f t="shared" si="10"/>
        <v>High</v>
      </c>
      <c r="Q124" s="48">
        <v>1433.9</v>
      </c>
      <c r="R124" s="48">
        <v>5.7000000000000002E-2</v>
      </c>
      <c r="S124" s="48">
        <v>8</v>
      </c>
      <c r="T124" s="48">
        <f t="shared" si="7"/>
        <v>18192.506879999997</v>
      </c>
      <c r="U124" s="38">
        <f t="shared" si="8"/>
        <v>10908.08</v>
      </c>
      <c r="V124" s="48">
        <f t="shared" si="11"/>
        <v>7284.4268799999973</v>
      </c>
      <c r="W124" s="50">
        <f t="shared" si="12"/>
        <v>0.4004080871343883</v>
      </c>
    </row>
    <row r="125" spans="1:23" x14ac:dyDescent="0.3">
      <c r="A125" s="39" t="s">
        <v>350</v>
      </c>
      <c r="B125" s="40">
        <v>45159</v>
      </c>
      <c r="C125" s="41">
        <v>45173</v>
      </c>
      <c r="D125" s="42">
        <f t="shared" si="13"/>
        <v>14</v>
      </c>
      <c r="E125" s="42" t="str">
        <f>TEXT(Data!B125,"MMM-YYYY")</f>
        <v>Aug-2023</v>
      </c>
      <c r="F125" s="42" t="str">
        <f t="shared" si="9"/>
        <v>Q3-2023</v>
      </c>
      <c r="G125" s="37" t="s">
        <v>52</v>
      </c>
      <c r="H125" s="37" t="s">
        <v>53</v>
      </c>
      <c r="I125" s="37" t="s">
        <v>144</v>
      </c>
      <c r="J125" s="37" t="s">
        <v>27</v>
      </c>
      <c r="K125" s="37" t="s">
        <v>55</v>
      </c>
      <c r="L125" s="37" t="s">
        <v>84</v>
      </c>
      <c r="M125" s="37" t="s">
        <v>22</v>
      </c>
      <c r="N125" s="37" t="s">
        <v>351</v>
      </c>
      <c r="O125" s="42">
        <v>178.19</v>
      </c>
      <c r="P125" s="43" t="str">
        <f t="shared" si="10"/>
        <v>High</v>
      </c>
      <c r="Q125" s="42">
        <v>284.43</v>
      </c>
      <c r="R125" s="42">
        <v>8.8999999999999996E-2</v>
      </c>
      <c r="S125" s="42">
        <v>8</v>
      </c>
      <c r="T125" s="42">
        <f t="shared" si="7"/>
        <v>4141.6975199999997</v>
      </c>
      <c r="U125" s="37">
        <f t="shared" si="8"/>
        <v>1425.52</v>
      </c>
      <c r="V125" s="42">
        <f t="shared" si="11"/>
        <v>2716.1775199999997</v>
      </c>
      <c r="W125" s="44">
        <f t="shared" si="12"/>
        <v>0.65581262438498888</v>
      </c>
    </row>
    <row r="126" spans="1:23" x14ac:dyDescent="0.3">
      <c r="A126" s="45" t="s">
        <v>352</v>
      </c>
      <c r="B126" s="46">
        <v>45150</v>
      </c>
      <c r="C126" s="47">
        <v>45175</v>
      </c>
      <c r="D126" s="48">
        <f t="shared" si="13"/>
        <v>25</v>
      </c>
      <c r="E126" s="48" t="str">
        <f>TEXT(Data!B126,"MMM-YYYY")</f>
        <v>Aug-2023</v>
      </c>
      <c r="F126" s="48" t="str">
        <f t="shared" si="9"/>
        <v>Q3-2023</v>
      </c>
      <c r="G126" s="38" t="s">
        <v>45</v>
      </c>
      <c r="H126" s="38" t="s">
        <v>116</v>
      </c>
      <c r="I126" s="38" t="s">
        <v>162</v>
      </c>
      <c r="J126" s="38" t="s">
        <v>62</v>
      </c>
      <c r="K126" s="38" t="s">
        <v>20</v>
      </c>
      <c r="L126" s="38" t="s">
        <v>56</v>
      </c>
      <c r="M126" s="38" t="s">
        <v>22</v>
      </c>
      <c r="N126" s="38" t="s">
        <v>353</v>
      </c>
      <c r="O126" s="48">
        <v>950.77</v>
      </c>
      <c r="P126" s="49" t="str">
        <f t="shared" si="10"/>
        <v>High</v>
      </c>
      <c r="Q126" s="48">
        <v>694.78</v>
      </c>
      <c r="R126" s="48">
        <v>8.4000000000000005E-2</v>
      </c>
      <c r="S126" s="48">
        <v>14</v>
      </c>
      <c r="T126" s="48">
        <f t="shared" si="7"/>
        <v>16093.478800000001</v>
      </c>
      <c r="U126" s="38">
        <f t="shared" si="8"/>
        <v>13310.779999999999</v>
      </c>
      <c r="V126" s="48">
        <f t="shared" si="11"/>
        <v>2782.6988000000019</v>
      </c>
      <c r="W126" s="50">
        <f t="shared" si="12"/>
        <v>0.17290847023081185</v>
      </c>
    </row>
    <row r="127" spans="1:23" x14ac:dyDescent="0.3">
      <c r="A127" s="39" t="s">
        <v>354</v>
      </c>
      <c r="B127" s="40">
        <v>45450</v>
      </c>
      <c r="C127" s="41">
        <v>45469</v>
      </c>
      <c r="D127" s="42">
        <f t="shared" si="13"/>
        <v>19</v>
      </c>
      <c r="E127" s="42" t="str">
        <f>TEXT(Data!B127,"MMM-YYYY")</f>
        <v>Jun-2024</v>
      </c>
      <c r="F127" s="42" t="str">
        <f t="shared" si="9"/>
        <v>Q2-2024</v>
      </c>
      <c r="G127" s="37" t="s">
        <v>78</v>
      </c>
      <c r="H127" s="37" t="s">
        <v>79</v>
      </c>
      <c r="I127" s="37" t="s">
        <v>80</v>
      </c>
      <c r="J127" s="37" t="s">
        <v>39</v>
      </c>
      <c r="K127" s="37" t="s">
        <v>40</v>
      </c>
      <c r="L127" s="37" t="s">
        <v>110</v>
      </c>
      <c r="M127" s="37" t="s">
        <v>22</v>
      </c>
      <c r="N127" s="37" t="s">
        <v>355</v>
      </c>
      <c r="O127" s="42">
        <v>1064.32</v>
      </c>
      <c r="P127" s="43" t="str">
        <f t="shared" si="10"/>
        <v>High</v>
      </c>
      <c r="Q127" s="42">
        <v>1848.39</v>
      </c>
      <c r="R127" s="42">
        <v>7.2999999999999995E-2</v>
      </c>
      <c r="S127" s="42">
        <v>38</v>
      </c>
      <c r="T127" s="42">
        <f t="shared" si="7"/>
        <v>29785.344300000001</v>
      </c>
      <c r="U127" s="37">
        <f t="shared" si="8"/>
        <v>40444.159999999996</v>
      </c>
      <c r="V127" s="42">
        <f t="shared" si="11"/>
        <v>-10658.815699999996</v>
      </c>
      <c r="W127" s="44">
        <f t="shared" si="12"/>
        <v>-0.35785437269563458</v>
      </c>
    </row>
    <row r="128" spans="1:23" x14ac:dyDescent="0.3">
      <c r="A128" s="45" t="s">
        <v>356</v>
      </c>
      <c r="B128" s="46">
        <v>45874</v>
      </c>
      <c r="C128" s="47">
        <v>45883</v>
      </c>
      <c r="D128" s="48">
        <f t="shared" si="13"/>
        <v>9</v>
      </c>
      <c r="E128" s="48" t="str">
        <f>TEXT(Data!B128,"MMM-YYYY")</f>
        <v>Aug-2025</v>
      </c>
      <c r="F128" s="48" t="str">
        <f t="shared" si="9"/>
        <v>Q3-2025</v>
      </c>
      <c r="G128" s="38" t="s">
        <v>78</v>
      </c>
      <c r="H128" s="38" t="s">
        <v>108</v>
      </c>
      <c r="I128" s="38" t="s">
        <v>152</v>
      </c>
      <c r="J128" s="38" t="s">
        <v>39</v>
      </c>
      <c r="K128" s="38" t="s">
        <v>98</v>
      </c>
      <c r="L128" s="38" t="s">
        <v>63</v>
      </c>
      <c r="M128" s="38" t="s">
        <v>22</v>
      </c>
      <c r="N128" s="38" t="s">
        <v>357</v>
      </c>
      <c r="O128" s="48">
        <v>41.76</v>
      </c>
      <c r="P128" s="49" t="str">
        <f t="shared" si="10"/>
        <v>Low</v>
      </c>
      <c r="Q128" s="48">
        <v>45.19</v>
      </c>
      <c r="R128" s="48">
        <v>0.17899999999999999</v>
      </c>
      <c r="S128" s="48">
        <v>23</v>
      </c>
      <c r="T128" s="48">
        <f t="shared" si="7"/>
        <v>40507.245110000003</v>
      </c>
      <c r="U128" s="38">
        <f t="shared" si="8"/>
        <v>960.4799999999999</v>
      </c>
      <c r="V128" s="48">
        <f t="shared" si="11"/>
        <v>39546.76511</v>
      </c>
      <c r="W128" s="50">
        <f t="shared" si="12"/>
        <v>0.97628868619942533</v>
      </c>
    </row>
    <row r="129" spans="1:23" x14ac:dyDescent="0.3">
      <c r="A129" s="39" t="s">
        <v>358</v>
      </c>
      <c r="B129" s="40">
        <v>45442</v>
      </c>
      <c r="C129" s="41">
        <v>45456</v>
      </c>
      <c r="D129" s="42">
        <f t="shared" si="13"/>
        <v>14</v>
      </c>
      <c r="E129" s="42" t="str">
        <f>TEXT(Data!B129,"MMM-YYYY")</f>
        <v>May-2024</v>
      </c>
      <c r="F129" s="42" t="str">
        <f t="shared" si="9"/>
        <v>Q2-2024</v>
      </c>
      <c r="G129" s="37" t="s">
        <v>52</v>
      </c>
      <c r="H129" s="37" t="s">
        <v>122</v>
      </c>
      <c r="I129" s="37" t="s">
        <v>167</v>
      </c>
      <c r="J129" s="37" t="s">
        <v>62</v>
      </c>
      <c r="K129" s="37" t="s">
        <v>20</v>
      </c>
      <c r="L129" s="37" t="s">
        <v>84</v>
      </c>
      <c r="M129" s="37" t="s">
        <v>42</v>
      </c>
      <c r="N129" s="37" t="s">
        <v>359</v>
      </c>
      <c r="O129" s="42">
        <v>157.78</v>
      </c>
      <c r="P129" s="43" t="str">
        <f t="shared" si="10"/>
        <v>High</v>
      </c>
      <c r="Q129" s="42">
        <v>361.1</v>
      </c>
      <c r="R129" s="42">
        <v>0.187</v>
      </c>
      <c r="S129" s="42">
        <v>9</v>
      </c>
      <c r="T129" s="42">
        <f t="shared" ref="T129:T192" si="14">(Q155*S129)*(1-R129)</f>
        <v>9877.5109800000009</v>
      </c>
      <c r="U129" s="37">
        <f t="shared" ref="U129:U192" si="15">(O129*S129)</f>
        <v>1420.02</v>
      </c>
      <c r="V129" s="42">
        <f t="shared" si="11"/>
        <v>8457.4909800000005</v>
      </c>
      <c r="W129" s="44">
        <f t="shared" si="12"/>
        <v>0.85623706185948478</v>
      </c>
    </row>
    <row r="130" spans="1:23" x14ac:dyDescent="0.3">
      <c r="A130" s="45" t="s">
        <v>360</v>
      </c>
      <c r="B130" s="46">
        <v>44948</v>
      </c>
      <c r="C130" s="47">
        <v>44956</v>
      </c>
      <c r="D130" s="48">
        <f t="shared" si="13"/>
        <v>8</v>
      </c>
      <c r="E130" s="48" t="str">
        <f>TEXT(Data!B130,"MMM-YYYY")</f>
        <v>Jan-2023</v>
      </c>
      <c r="F130" s="48" t="str">
        <f t="shared" ref="F130:F193" si="16">"Q"&amp;ROUNDUP(MONTH(B130)/3,0)&amp;"-"&amp;YEAR(B130)</f>
        <v>Q1-2023</v>
      </c>
      <c r="G130" s="38" t="s">
        <v>52</v>
      </c>
      <c r="H130" s="38" t="s">
        <v>122</v>
      </c>
      <c r="I130" s="38" t="s">
        <v>167</v>
      </c>
      <c r="J130" s="38" t="s">
        <v>62</v>
      </c>
      <c r="K130" s="38" t="s">
        <v>28</v>
      </c>
      <c r="L130" s="38" t="s">
        <v>75</v>
      </c>
      <c r="M130" s="38" t="s">
        <v>35</v>
      </c>
      <c r="N130" s="38" t="s">
        <v>361</v>
      </c>
      <c r="O130" s="48">
        <v>413.52</v>
      </c>
      <c r="P130" s="49" t="str">
        <f t="shared" ref="P130:P193" si="17">IF(Q130&lt;50, "Low", IF(Q130&lt;200, "Medium", "High"))</f>
        <v>High</v>
      </c>
      <c r="Q130" s="48">
        <v>1004.34</v>
      </c>
      <c r="R130" s="48">
        <v>0.111</v>
      </c>
      <c r="S130" s="48">
        <v>18</v>
      </c>
      <c r="T130" s="48">
        <f t="shared" si="14"/>
        <v>8440.7349599999998</v>
      </c>
      <c r="U130" s="38">
        <f t="shared" si="15"/>
        <v>7443.36</v>
      </c>
      <c r="V130" s="48">
        <f t="shared" ref="V130:V193" si="18">(T130-U130)</f>
        <v>997.3749600000001</v>
      </c>
      <c r="W130" s="50">
        <f t="shared" ref="W130:W193" si="19">IF(T130=0, 0, V130/T130)</f>
        <v>0.11816209900281008</v>
      </c>
    </row>
    <row r="131" spans="1:23" x14ac:dyDescent="0.3">
      <c r="A131" s="39" t="s">
        <v>362</v>
      </c>
      <c r="B131" s="40">
        <v>45700</v>
      </c>
      <c r="C131" s="41">
        <v>45716</v>
      </c>
      <c r="D131" s="42">
        <f t="shared" ref="D131:D194" si="20">DATEDIF(B131,C131, "MD")</f>
        <v>16</v>
      </c>
      <c r="E131" s="42" t="str">
        <f>TEXT(Data!B131,"MMM-YYYY")</f>
        <v>Feb-2025</v>
      </c>
      <c r="F131" s="42" t="str">
        <f t="shared" si="16"/>
        <v>Q1-2025</v>
      </c>
      <c r="G131" s="37" t="s">
        <v>52</v>
      </c>
      <c r="H131" s="37" t="s">
        <v>73</v>
      </c>
      <c r="I131" s="37" t="s">
        <v>74</v>
      </c>
      <c r="J131" s="37" t="s">
        <v>39</v>
      </c>
      <c r="K131" s="37" t="s">
        <v>98</v>
      </c>
      <c r="L131" s="37" t="s">
        <v>56</v>
      </c>
      <c r="M131" s="37" t="s">
        <v>64</v>
      </c>
      <c r="N131" s="37" t="s">
        <v>363</v>
      </c>
      <c r="O131" s="42">
        <v>414.95</v>
      </c>
      <c r="P131" s="43" t="str">
        <f t="shared" si="17"/>
        <v>High</v>
      </c>
      <c r="Q131" s="42">
        <v>1027.73</v>
      </c>
      <c r="R131" s="42">
        <v>6.3E-2</v>
      </c>
      <c r="S131" s="42">
        <v>8</v>
      </c>
      <c r="T131" s="42">
        <f t="shared" si="14"/>
        <v>10997.906320000002</v>
      </c>
      <c r="U131" s="37">
        <f t="shared" si="15"/>
        <v>3319.6</v>
      </c>
      <c r="V131" s="42">
        <f t="shared" si="18"/>
        <v>7678.3063200000015</v>
      </c>
      <c r="W131" s="44">
        <f t="shared" si="19"/>
        <v>0.69816073137818835</v>
      </c>
    </row>
    <row r="132" spans="1:23" x14ac:dyDescent="0.3">
      <c r="A132" s="45" t="s">
        <v>364</v>
      </c>
      <c r="B132" s="46">
        <v>45719</v>
      </c>
      <c r="C132" s="47">
        <v>45740</v>
      </c>
      <c r="D132" s="48">
        <f t="shared" si="20"/>
        <v>21</v>
      </c>
      <c r="E132" s="48" t="str">
        <f>TEXT(Data!B132,"MMM-YYYY")</f>
        <v>Mar-2025</v>
      </c>
      <c r="F132" s="48" t="str">
        <f t="shared" si="16"/>
        <v>Q1-2025</v>
      </c>
      <c r="G132" s="38" t="s">
        <v>16</v>
      </c>
      <c r="H132" s="38" t="s">
        <v>25</v>
      </c>
      <c r="I132" s="38" t="s">
        <v>67</v>
      </c>
      <c r="J132" s="38" t="s">
        <v>105</v>
      </c>
      <c r="K132" s="38" t="s">
        <v>98</v>
      </c>
      <c r="L132" s="38" t="s">
        <v>92</v>
      </c>
      <c r="M132" s="38" t="s">
        <v>81</v>
      </c>
      <c r="N132" s="38" t="s">
        <v>365</v>
      </c>
      <c r="O132" s="48">
        <v>555.95000000000005</v>
      </c>
      <c r="P132" s="49" t="str">
        <f t="shared" si="17"/>
        <v>High</v>
      </c>
      <c r="Q132" s="48">
        <v>468.09</v>
      </c>
      <c r="R132" s="48">
        <v>0.14199999999999999</v>
      </c>
      <c r="S132" s="48">
        <v>11</v>
      </c>
      <c r="T132" s="48">
        <f t="shared" si="14"/>
        <v>15583.45932</v>
      </c>
      <c r="U132" s="38">
        <f t="shared" si="15"/>
        <v>6115.4500000000007</v>
      </c>
      <c r="V132" s="48">
        <f t="shared" si="18"/>
        <v>9468.0093199999992</v>
      </c>
      <c r="W132" s="50">
        <f t="shared" si="19"/>
        <v>0.60756787858063332</v>
      </c>
    </row>
    <row r="133" spans="1:23" x14ac:dyDescent="0.3">
      <c r="A133" s="39" t="s">
        <v>366</v>
      </c>
      <c r="B133" s="40">
        <v>44953</v>
      </c>
      <c r="C133" s="41">
        <v>44957</v>
      </c>
      <c r="D133" s="42">
        <f t="shared" si="20"/>
        <v>4</v>
      </c>
      <c r="E133" s="42" t="str">
        <f>TEXT(Data!B133,"MMM-YYYY")</f>
        <v>Jan-2023</v>
      </c>
      <c r="F133" s="42" t="str">
        <f t="shared" si="16"/>
        <v>Q1-2023</v>
      </c>
      <c r="G133" s="37" t="s">
        <v>78</v>
      </c>
      <c r="H133" s="37" t="s">
        <v>108</v>
      </c>
      <c r="I133" s="37" t="s">
        <v>228</v>
      </c>
      <c r="J133" s="37" t="s">
        <v>105</v>
      </c>
      <c r="K133" s="37" t="s">
        <v>28</v>
      </c>
      <c r="L133" s="37" t="s">
        <v>126</v>
      </c>
      <c r="M133" s="37" t="s">
        <v>57</v>
      </c>
      <c r="N133" s="37" t="s">
        <v>367</v>
      </c>
      <c r="O133" s="42">
        <v>941.2</v>
      </c>
      <c r="P133" s="43" t="str">
        <f t="shared" si="17"/>
        <v>High</v>
      </c>
      <c r="Q133" s="42">
        <v>668.02</v>
      </c>
      <c r="R133" s="42">
        <v>0.22</v>
      </c>
      <c r="S133" s="42">
        <v>16</v>
      </c>
      <c r="T133" s="42">
        <f t="shared" si="14"/>
        <v>24737.606400000001</v>
      </c>
      <c r="U133" s="37">
        <f t="shared" si="15"/>
        <v>15059.2</v>
      </c>
      <c r="V133" s="42">
        <f t="shared" si="18"/>
        <v>9678.4063999999998</v>
      </c>
      <c r="W133" s="44">
        <f t="shared" si="19"/>
        <v>0.3912426385763822</v>
      </c>
    </row>
    <row r="134" spans="1:23" x14ac:dyDescent="0.3">
      <c r="A134" s="45" t="s">
        <v>368</v>
      </c>
      <c r="B134" s="46">
        <v>45666</v>
      </c>
      <c r="C134" s="47">
        <v>45672</v>
      </c>
      <c r="D134" s="48">
        <f t="shared" si="20"/>
        <v>6</v>
      </c>
      <c r="E134" s="48" t="str">
        <f>TEXT(Data!B134,"MMM-YYYY")</f>
        <v>Jan-2025</v>
      </c>
      <c r="F134" s="48" t="str">
        <f t="shared" si="16"/>
        <v>Q1-2025</v>
      </c>
      <c r="G134" s="38" t="s">
        <v>45</v>
      </c>
      <c r="H134" s="38" t="s">
        <v>116</v>
      </c>
      <c r="I134" s="38" t="s">
        <v>338</v>
      </c>
      <c r="J134" s="38" t="s">
        <v>27</v>
      </c>
      <c r="K134" s="38" t="s">
        <v>28</v>
      </c>
      <c r="L134" s="38" t="s">
        <v>21</v>
      </c>
      <c r="M134" s="38" t="s">
        <v>42</v>
      </c>
      <c r="N134" s="38" t="s">
        <v>369</v>
      </c>
      <c r="O134" s="48">
        <v>304.77999999999997</v>
      </c>
      <c r="P134" s="49" t="str">
        <f t="shared" si="17"/>
        <v>High</v>
      </c>
      <c r="Q134" s="48">
        <v>537.27</v>
      </c>
      <c r="R134" s="48">
        <v>0.187</v>
      </c>
      <c r="S134" s="48">
        <v>8</v>
      </c>
      <c r="T134" s="48">
        <f t="shared" si="14"/>
        <v>16599.638879999999</v>
      </c>
      <c r="U134" s="38">
        <f t="shared" si="15"/>
        <v>2438.2399999999998</v>
      </c>
      <c r="V134" s="48">
        <f t="shared" si="18"/>
        <v>14161.398879999999</v>
      </c>
      <c r="W134" s="50">
        <f t="shared" si="19"/>
        <v>0.85311487691833454</v>
      </c>
    </row>
    <row r="135" spans="1:23" x14ac:dyDescent="0.3">
      <c r="A135" s="39" t="s">
        <v>370</v>
      </c>
      <c r="B135" s="40">
        <v>45647</v>
      </c>
      <c r="C135" s="41">
        <v>45652</v>
      </c>
      <c r="D135" s="42">
        <f t="shared" si="20"/>
        <v>5</v>
      </c>
      <c r="E135" s="42" t="str">
        <f>TEXT(Data!B135,"MMM-YYYY")</f>
        <v>Dec-2024</v>
      </c>
      <c r="F135" s="42" t="str">
        <f t="shared" si="16"/>
        <v>Q4-2024</v>
      </c>
      <c r="G135" s="37" t="s">
        <v>52</v>
      </c>
      <c r="H135" s="37" t="s">
        <v>122</v>
      </c>
      <c r="I135" s="37" t="s">
        <v>167</v>
      </c>
      <c r="J135" s="37" t="s">
        <v>48</v>
      </c>
      <c r="K135" s="37" t="s">
        <v>40</v>
      </c>
      <c r="L135" s="37" t="s">
        <v>110</v>
      </c>
      <c r="M135" s="37" t="s">
        <v>30</v>
      </c>
      <c r="N135" s="37" t="s">
        <v>371</v>
      </c>
      <c r="O135" s="42">
        <v>699.57</v>
      </c>
      <c r="P135" s="43" t="str">
        <f t="shared" si="17"/>
        <v>High</v>
      </c>
      <c r="Q135" s="42">
        <v>572.71</v>
      </c>
      <c r="R135" s="42">
        <v>0.192</v>
      </c>
      <c r="S135" s="42">
        <v>26</v>
      </c>
      <c r="T135" s="42">
        <f t="shared" si="14"/>
        <v>10987.39408</v>
      </c>
      <c r="U135" s="37">
        <f t="shared" si="15"/>
        <v>18188.82</v>
      </c>
      <c r="V135" s="42">
        <f t="shared" si="18"/>
        <v>-7201.4259199999997</v>
      </c>
      <c r="W135" s="44">
        <f t="shared" si="19"/>
        <v>-0.65542619729172391</v>
      </c>
    </row>
    <row r="136" spans="1:23" x14ac:dyDescent="0.3">
      <c r="A136" s="45" t="s">
        <v>372</v>
      </c>
      <c r="B136" s="46">
        <v>45028</v>
      </c>
      <c r="C136" s="47">
        <v>45033</v>
      </c>
      <c r="D136" s="48">
        <f t="shared" si="20"/>
        <v>5</v>
      </c>
      <c r="E136" s="48" t="str">
        <f>TEXT(Data!B136,"MMM-YYYY")</f>
        <v>Apr-2023</v>
      </c>
      <c r="F136" s="48" t="str">
        <f t="shared" si="16"/>
        <v>Q2-2023</v>
      </c>
      <c r="G136" s="38" t="s">
        <v>78</v>
      </c>
      <c r="H136" s="38" t="s">
        <v>90</v>
      </c>
      <c r="I136" s="38" t="s">
        <v>138</v>
      </c>
      <c r="J136" s="38" t="s">
        <v>105</v>
      </c>
      <c r="K136" s="38" t="s">
        <v>98</v>
      </c>
      <c r="L136" s="38" t="s">
        <v>63</v>
      </c>
      <c r="M136" s="38" t="s">
        <v>64</v>
      </c>
      <c r="N136" s="38" t="s">
        <v>373</v>
      </c>
      <c r="O136" s="48">
        <v>1087.81</v>
      </c>
      <c r="P136" s="49" t="str">
        <f t="shared" si="17"/>
        <v>High</v>
      </c>
      <c r="Q136" s="48">
        <v>2323.87</v>
      </c>
      <c r="R136" s="48">
        <v>9.4E-2</v>
      </c>
      <c r="S136" s="48">
        <v>13</v>
      </c>
      <c r="T136" s="48">
        <f t="shared" si="14"/>
        <v>14342.18838</v>
      </c>
      <c r="U136" s="38">
        <f t="shared" si="15"/>
        <v>14141.529999999999</v>
      </c>
      <c r="V136" s="48">
        <f t="shared" si="18"/>
        <v>200.65838000000076</v>
      </c>
      <c r="W136" s="50">
        <f t="shared" si="19"/>
        <v>1.399077844213902E-2</v>
      </c>
    </row>
    <row r="137" spans="1:23" x14ac:dyDescent="0.3">
      <c r="A137" s="39" t="s">
        <v>374</v>
      </c>
      <c r="B137" s="40">
        <v>45640</v>
      </c>
      <c r="C137" s="41">
        <v>45669</v>
      </c>
      <c r="D137" s="42">
        <f t="shared" si="20"/>
        <v>29</v>
      </c>
      <c r="E137" s="42" t="str">
        <f>TEXT(Data!B137,"MMM-YYYY")</f>
        <v>Dec-2024</v>
      </c>
      <c r="F137" s="42" t="str">
        <f t="shared" si="16"/>
        <v>Q4-2024</v>
      </c>
      <c r="G137" s="37" t="s">
        <v>45</v>
      </c>
      <c r="H137" s="37" t="s">
        <v>116</v>
      </c>
      <c r="I137" s="37" t="s">
        <v>117</v>
      </c>
      <c r="J137" s="37" t="s">
        <v>27</v>
      </c>
      <c r="K137" s="37" t="s">
        <v>28</v>
      </c>
      <c r="L137" s="37" t="s">
        <v>29</v>
      </c>
      <c r="M137" s="37" t="s">
        <v>22</v>
      </c>
      <c r="N137" s="37" t="s">
        <v>375</v>
      </c>
      <c r="O137" s="42">
        <v>1412.15</v>
      </c>
      <c r="P137" s="43" t="str">
        <f t="shared" si="17"/>
        <v>High</v>
      </c>
      <c r="Q137" s="42">
        <v>1631.04</v>
      </c>
      <c r="R137" s="42">
        <v>8.9999999999999993E-3</v>
      </c>
      <c r="S137" s="42">
        <v>6</v>
      </c>
      <c r="T137" s="42">
        <f t="shared" si="14"/>
        <v>7989.2834400000002</v>
      </c>
      <c r="U137" s="37">
        <f t="shared" si="15"/>
        <v>8472.9000000000015</v>
      </c>
      <c r="V137" s="42">
        <f t="shared" si="18"/>
        <v>-483.6165600000013</v>
      </c>
      <c r="W137" s="44">
        <f t="shared" si="19"/>
        <v>-6.0533158403002073E-2</v>
      </c>
    </row>
    <row r="138" spans="1:23" x14ac:dyDescent="0.3">
      <c r="A138" s="45" t="s">
        <v>376</v>
      </c>
      <c r="B138" s="46">
        <v>45016</v>
      </c>
      <c r="C138" s="47">
        <v>45028</v>
      </c>
      <c r="D138" s="48">
        <f t="shared" si="20"/>
        <v>12</v>
      </c>
      <c r="E138" s="48" t="str">
        <f>TEXT(Data!B138,"MMM-YYYY")</f>
        <v>Mar-2023</v>
      </c>
      <c r="F138" s="48" t="str">
        <f t="shared" si="16"/>
        <v>Q1-2023</v>
      </c>
      <c r="G138" s="38" t="s">
        <v>16</v>
      </c>
      <c r="H138" s="38" t="s">
        <v>17</v>
      </c>
      <c r="I138" s="38" t="s">
        <v>113</v>
      </c>
      <c r="J138" s="38" t="s">
        <v>62</v>
      </c>
      <c r="K138" s="38" t="s">
        <v>28</v>
      </c>
      <c r="L138" s="38" t="s">
        <v>21</v>
      </c>
      <c r="M138" s="38" t="s">
        <v>42</v>
      </c>
      <c r="N138" s="38" t="s">
        <v>377</v>
      </c>
      <c r="O138" s="48">
        <v>304.22000000000003</v>
      </c>
      <c r="P138" s="49" t="str">
        <f t="shared" si="17"/>
        <v>High</v>
      </c>
      <c r="Q138" s="48">
        <v>393.31</v>
      </c>
      <c r="R138" s="48">
        <v>0.26500000000000001</v>
      </c>
      <c r="S138" s="48">
        <v>15</v>
      </c>
      <c r="T138" s="48">
        <f t="shared" si="14"/>
        <v>3326.2424999999998</v>
      </c>
      <c r="U138" s="38">
        <f t="shared" si="15"/>
        <v>4563.3</v>
      </c>
      <c r="V138" s="48">
        <f t="shared" si="18"/>
        <v>-1237.0575000000003</v>
      </c>
      <c r="W138" s="50">
        <f t="shared" si="19"/>
        <v>-0.3719083921271526</v>
      </c>
    </row>
    <row r="139" spans="1:23" x14ac:dyDescent="0.3">
      <c r="A139" s="39" t="s">
        <v>378</v>
      </c>
      <c r="B139" s="40">
        <v>45616</v>
      </c>
      <c r="C139" s="41">
        <v>45641</v>
      </c>
      <c r="D139" s="42">
        <f t="shared" si="20"/>
        <v>25</v>
      </c>
      <c r="E139" s="42" t="str">
        <f>TEXT(Data!B139,"MMM-YYYY")</f>
        <v>Nov-2024</v>
      </c>
      <c r="F139" s="42" t="str">
        <f t="shared" si="16"/>
        <v>Q4-2024</v>
      </c>
      <c r="G139" s="37" t="s">
        <v>78</v>
      </c>
      <c r="H139" s="37" t="s">
        <v>90</v>
      </c>
      <c r="I139" s="37" t="s">
        <v>217</v>
      </c>
      <c r="J139" s="37" t="s">
        <v>19</v>
      </c>
      <c r="K139" s="37" t="s">
        <v>28</v>
      </c>
      <c r="L139" s="37" t="s">
        <v>41</v>
      </c>
      <c r="M139" s="37" t="s">
        <v>30</v>
      </c>
      <c r="N139" s="37" t="s">
        <v>379</v>
      </c>
      <c r="O139" s="42">
        <v>1203.58</v>
      </c>
      <c r="P139" s="43" t="str">
        <f t="shared" si="17"/>
        <v>High</v>
      </c>
      <c r="Q139" s="42">
        <v>1856.16</v>
      </c>
      <c r="R139" s="42">
        <v>0.129</v>
      </c>
      <c r="S139" s="42">
        <v>22</v>
      </c>
      <c r="T139" s="42">
        <f t="shared" si="14"/>
        <v>28967.387020000002</v>
      </c>
      <c r="U139" s="37">
        <f t="shared" si="15"/>
        <v>26478.76</v>
      </c>
      <c r="V139" s="42">
        <f t="shared" si="18"/>
        <v>2488.6270200000035</v>
      </c>
      <c r="W139" s="44">
        <f t="shared" si="19"/>
        <v>8.591133947572753E-2</v>
      </c>
    </row>
    <row r="140" spans="1:23" x14ac:dyDescent="0.3">
      <c r="A140" s="45" t="s">
        <v>380</v>
      </c>
      <c r="B140" s="46">
        <v>45336</v>
      </c>
      <c r="C140" s="47">
        <v>45336</v>
      </c>
      <c r="D140" s="48">
        <f t="shared" si="20"/>
        <v>0</v>
      </c>
      <c r="E140" s="48" t="str">
        <f>TEXT(Data!B140,"MMM-YYYY")</f>
        <v>Feb-2024</v>
      </c>
      <c r="F140" s="48" t="str">
        <f t="shared" si="16"/>
        <v>Q1-2024</v>
      </c>
      <c r="G140" s="38" t="s">
        <v>45</v>
      </c>
      <c r="H140" s="38" t="s">
        <v>116</v>
      </c>
      <c r="I140" s="38" t="s">
        <v>338</v>
      </c>
      <c r="J140" s="38" t="s">
        <v>19</v>
      </c>
      <c r="K140" s="38" t="s">
        <v>55</v>
      </c>
      <c r="L140" s="38" t="s">
        <v>49</v>
      </c>
      <c r="M140" s="38" t="s">
        <v>81</v>
      </c>
      <c r="N140" s="38" t="s">
        <v>381</v>
      </c>
      <c r="O140" s="48">
        <v>65.930000000000007</v>
      </c>
      <c r="P140" s="49" t="str">
        <f t="shared" si="17"/>
        <v>Medium</v>
      </c>
      <c r="Q140" s="48">
        <v>84.9</v>
      </c>
      <c r="R140" s="48">
        <v>0.25900000000000001</v>
      </c>
      <c r="S140" s="48">
        <v>23</v>
      </c>
      <c r="T140" s="48">
        <f t="shared" si="14"/>
        <v>35027.455319999994</v>
      </c>
      <c r="U140" s="38">
        <f t="shared" si="15"/>
        <v>1516.39</v>
      </c>
      <c r="V140" s="48">
        <f t="shared" si="18"/>
        <v>33511.065319999994</v>
      </c>
      <c r="W140" s="50">
        <f t="shared" si="19"/>
        <v>0.95670853088964847</v>
      </c>
    </row>
    <row r="141" spans="1:23" x14ac:dyDescent="0.3">
      <c r="A141" s="39" t="s">
        <v>382</v>
      </c>
      <c r="B141" s="40">
        <v>45048</v>
      </c>
      <c r="C141" s="41">
        <v>45064</v>
      </c>
      <c r="D141" s="42">
        <f t="shared" si="20"/>
        <v>16</v>
      </c>
      <c r="E141" s="42" t="str">
        <f>TEXT(Data!B141,"MMM-YYYY")</f>
        <v>May-2023</v>
      </c>
      <c r="F141" s="42" t="str">
        <f t="shared" si="16"/>
        <v>Q2-2023</v>
      </c>
      <c r="G141" s="37" t="s">
        <v>45</v>
      </c>
      <c r="H141" s="37" t="s">
        <v>60</v>
      </c>
      <c r="I141" s="37" t="s">
        <v>141</v>
      </c>
      <c r="J141" s="37" t="s">
        <v>62</v>
      </c>
      <c r="K141" s="37" t="s">
        <v>40</v>
      </c>
      <c r="L141" s="37" t="s">
        <v>95</v>
      </c>
      <c r="M141" s="37" t="s">
        <v>64</v>
      </c>
      <c r="N141" s="37" t="s">
        <v>383</v>
      </c>
      <c r="O141" s="42">
        <v>1463.92</v>
      </c>
      <c r="P141" s="43" t="str">
        <f t="shared" si="17"/>
        <v>High</v>
      </c>
      <c r="Q141" s="42">
        <v>2252.2399999999998</v>
      </c>
      <c r="R141" s="42">
        <v>0.11799999999999999</v>
      </c>
      <c r="S141" s="42">
        <v>44</v>
      </c>
      <c r="T141" s="42">
        <f t="shared" si="14"/>
        <v>15179.749199999998</v>
      </c>
      <c r="U141" s="37">
        <f t="shared" si="15"/>
        <v>64412.480000000003</v>
      </c>
      <c r="V141" s="42">
        <f t="shared" si="18"/>
        <v>-49232.730800000005</v>
      </c>
      <c r="W141" s="44">
        <f t="shared" si="19"/>
        <v>-3.2433164837795876</v>
      </c>
    </row>
    <row r="142" spans="1:23" x14ac:dyDescent="0.3">
      <c r="A142" s="45" t="s">
        <v>384</v>
      </c>
      <c r="B142" s="46">
        <v>45649</v>
      </c>
      <c r="C142" s="47">
        <v>45668</v>
      </c>
      <c r="D142" s="48">
        <f t="shared" si="20"/>
        <v>19</v>
      </c>
      <c r="E142" s="48" t="str">
        <f>TEXT(Data!B142,"MMM-YYYY")</f>
        <v>Dec-2024</v>
      </c>
      <c r="F142" s="48" t="str">
        <f t="shared" si="16"/>
        <v>Q4-2024</v>
      </c>
      <c r="G142" s="38" t="s">
        <v>78</v>
      </c>
      <c r="H142" s="38" t="s">
        <v>79</v>
      </c>
      <c r="I142" s="38" t="s">
        <v>80</v>
      </c>
      <c r="J142" s="38" t="s">
        <v>27</v>
      </c>
      <c r="K142" s="38" t="s">
        <v>20</v>
      </c>
      <c r="L142" s="38" t="s">
        <v>95</v>
      </c>
      <c r="M142" s="38" t="s">
        <v>42</v>
      </c>
      <c r="N142" s="38" t="s">
        <v>385</v>
      </c>
      <c r="O142" s="48">
        <v>501.81</v>
      </c>
      <c r="P142" s="49" t="str">
        <f t="shared" si="17"/>
        <v>High</v>
      </c>
      <c r="Q142" s="48">
        <v>921.62</v>
      </c>
      <c r="R142" s="48">
        <v>0.01</v>
      </c>
      <c r="S142" s="48">
        <v>9</v>
      </c>
      <c r="T142" s="48">
        <f t="shared" si="14"/>
        <v>16474.322700000001</v>
      </c>
      <c r="U142" s="38">
        <f t="shared" si="15"/>
        <v>4516.29</v>
      </c>
      <c r="V142" s="48">
        <f t="shared" si="18"/>
        <v>11958.0327</v>
      </c>
      <c r="W142" s="50">
        <f t="shared" si="19"/>
        <v>0.72585883606614066</v>
      </c>
    </row>
    <row r="143" spans="1:23" x14ac:dyDescent="0.3">
      <c r="A143" s="39" t="s">
        <v>386</v>
      </c>
      <c r="B143" s="40">
        <v>45133</v>
      </c>
      <c r="C143" s="41">
        <v>45163</v>
      </c>
      <c r="D143" s="42">
        <f t="shared" si="20"/>
        <v>30</v>
      </c>
      <c r="E143" s="42" t="str">
        <f>TEXT(Data!B143,"MMM-YYYY")</f>
        <v>Jul-2023</v>
      </c>
      <c r="F143" s="42" t="str">
        <f t="shared" si="16"/>
        <v>Q3-2023</v>
      </c>
      <c r="G143" s="37" t="s">
        <v>52</v>
      </c>
      <c r="H143" s="37" t="s">
        <v>122</v>
      </c>
      <c r="I143" s="37" t="s">
        <v>387</v>
      </c>
      <c r="J143" s="37" t="s">
        <v>48</v>
      </c>
      <c r="K143" s="37" t="s">
        <v>20</v>
      </c>
      <c r="L143" s="37" t="s">
        <v>110</v>
      </c>
      <c r="M143" s="37" t="s">
        <v>81</v>
      </c>
      <c r="N143" s="37" t="s">
        <v>388</v>
      </c>
      <c r="O143" s="42">
        <v>1261.48</v>
      </c>
      <c r="P143" s="43" t="str">
        <f t="shared" si="17"/>
        <v>High</v>
      </c>
      <c r="Q143" s="42">
        <v>1643.18</v>
      </c>
      <c r="R143" s="42">
        <v>0.151</v>
      </c>
      <c r="S143" s="42">
        <v>23</v>
      </c>
      <c r="T143" s="42">
        <f t="shared" si="14"/>
        <v>27251.100119999996</v>
      </c>
      <c r="U143" s="37">
        <f t="shared" si="15"/>
        <v>29014.04</v>
      </c>
      <c r="V143" s="42">
        <f t="shared" si="18"/>
        <v>-1762.9398800000054</v>
      </c>
      <c r="W143" s="44">
        <f t="shared" si="19"/>
        <v>-6.4692429745475011E-2</v>
      </c>
    </row>
    <row r="144" spans="1:23" x14ac:dyDescent="0.3">
      <c r="A144" s="45" t="s">
        <v>389</v>
      </c>
      <c r="B144" s="46">
        <v>45458</v>
      </c>
      <c r="C144" s="47">
        <v>45479</v>
      </c>
      <c r="D144" s="48">
        <f t="shared" si="20"/>
        <v>21</v>
      </c>
      <c r="E144" s="48" t="str">
        <f>TEXT(Data!B144,"MMM-YYYY")</f>
        <v>Jun-2024</v>
      </c>
      <c r="F144" s="48" t="str">
        <f t="shared" si="16"/>
        <v>Q2-2024</v>
      </c>
      <c r="G144" s="38" t="s">
        <v>52</v>
      </c>
      <c r="H144" s="38" t="s">
        <v>53</v>
      </c>
      <c r="I144" s="38" t="s">
        <v>54</v>
      </c>
      <c r="J144" s="38" t="s">
        <v>105</v>
      </c>
      <c r="K144" s="38" t="s">
        <v>55</v>
      </c>
      <c r="L144" s="38" t="s">
        <v>49</v>
      </c>
      <c r="M144" s="38" t="s">
        <v>30</v>
      </c>
      <c r="N144" s="38" t="s">
        <v>390</v>
      </c>
      <c r="O144" s="48">
        <v>817.23</v>
      </c>
      <c r="P144" s="49" t="str">
        <f t="shared" si="17"/>
        <v>High</v>
      </c>
      <c r="Q144" s="48">
        <v>1467.17</v>
      </c>
      <c r="R144" s="48">
        <v>0.245</v>
      </c>
      <c r="S144" s="48">
        <v>9</v>
      </c>
      <c r="T144" s="48">
        <f t="shared" si="14"/>
        <v>3655.9817999999996</v>
      </c>
      <c r="U144" s="38">
        <f t="shared" si="15"/>
        <v>7355.07</v>
      </c>
      <c r="V144" s="48">
        <f t="shared" si="18"/>
        <v>-3699.0882000000001</v>
      </c>
      <c r="W144" s="50">
        <f t="shared" si="19"/>
        <v>-1.0117906495048745</v>
      </c>
    </row>
    <row r="145" spans="1:23" x14ac:dyDescent="0.3">
      <c r="A145" s="39" t="s">
        <v>391</v>
      </c>
      <c r="B145" s="40">
        <v>45112</v>
      </c>
      <c r="C145" s="41">
        <v>45121</v>
      </c>
      <c r="D145" s="42">
        <f t="shared" si="20"/>
        <v>9</v>
      </c>
      <c r="E145" s="42" t="str">
        <f>TEXT(Data!B145,"MMM-YYYY")</f>
        <v>Jul-2023</v>
      </c>
      <c r="F145" s="42" t="str">
        <f t="shared" si="16"/>
        <v>Q3-2023</v>
      </c>
      <c r="G145" s="37" t="s">
        <v>52</v>
      </c>
      <c r="H145" s="37" t="s">
        <v>73</v>
      </c>
      <c r="I145" s="37" t="s">
        <v>87</v>
      </c>
      <c r="J145" s="37" t="s">
        <v>105</v>
      </c>
      <c r="K145" s="37" t="s">
        <v>98</v>
      </c>
      <c r="L145" s="37" t="s">
        <v>56</v>
      </c>
      <c r="M145" s="37" t="s">
        <v>35</v>
      </c>
      <c r="N145" s="37" t="s">
        <v>392</v>
      </c>
      <c r="O145" s="42">
        <v>578.85</v>
      </c>
      <c r="P145" s="43" t="str">
        <f t="shared" si="17"/>
        <v>High</v>
      </c>
      <c r="Q145" s="42">
        <v>998.76</v>
      </c>
      <c r="R145" s="42">
        <v>8.2000000000000003E-2</v>
      </c>
      <c r="S145" s="42">
        <v>28</v>
      </c>
      <c r="T145" s="42">
        <f t="shared" si="14"/>
        <v>31331.119680000003</v>
      </c>
      <c r="U145" s="37">
        <f t="shared" si="15"/>
        <v>16207.800000000001</v>
      </c>
      <c r="V145" s="42">
        <f t="shared" si="18"/>
        <v>15123.319680000002</v>
      </c>
      <c r="W145" s="44">
        <f t="shared" si="19"/>
        <v>0.4826932402819254</v>
      </c>
    </row>
    <row r="146" spans="1:23" x14ac:dyDescent="0.3">
      <c r="A146" s="45" t="s">
        <v>393</v>
      </c>
      <c r="B146" s="46">
        <v>45260</v>
      </c>
      <c r="C146" s="47">
        <v>45259</v>
      </c>
      <c r="D146" s="48">
        <f>DATEDIF(C146,B146, "MD")</f>
        <v>1</v>
      </c>
      <c r="E146" s="48" t="str">
        <f>TEXT(Data!B146,"MMM-YYYY")</f>
        <v>Nov-2023</v>
      </c>
      <c r="F146" s="48" t="str">
        <f t="shared" si="16"/>
        <v>Q4-2023</v>
      </c>
      <c r="G146" s="38" t="s">
        <v>16</v>
      </c>
      <c r="H146" s="38" t="s">
        <v>148</v>
      </c>
      <c r="I146" s="38" t="s">
        <v>172</v>
      </c>
      <c r="J146" s="38" t="s">
        <v>62</v>
      </c>
      <c r="K146" s="38" t="s">
        <v>40</v>
      </c>
      <c r="L146" s="38" t="s">
        <v>63</v>
      </c>
      <c r="M146" s="38" t="s">
        <v>57</v>
      </c>
      <c r="N146" s="38" t="s">
        <v>394</v>
      </c>
      <c r="O146" s="48">
        <v>275.56</v>
      </c>
      <c r="P146" s="49" t="str">
        <f t="shared" si="17"/>
        <v>High</v>
      </c>
      <c r="Q146" s="48">
        <v>630.72</v>
      </c>
      <c r="R146" s="48">
        <v>0.107</v>
      </c>
      <c r="S146" s="48">
        <v>23</v>
      </c>
      <c r="T146" s="48">
        <f t="shared" si="14"/>
        <v>42353.882679999995</v>
      </c>
      <c r="U146" s="38">
        <f t="shared" si="15"/>
        <v>6337.88</v>
      </c>
      <c r="V146" s="48">
        <f t="shared" si="18"/>
        <v>36016.002679999998</v>
      </c>
      <c r="W146" s="50">
        <f t="shared" si="19"/>
        <v>0.85035893762361436</v>
      </c>
    </row>
    <row r="147" spans="1:23" x14ac:dyDescent="0.3">
      <c r="A147" s="39" t="s">
        <v>395</v>
      </c>
      <c r="B147" s="40">
        <v>45911</v>
      </c>
      <c r="C147" s="41">
        <v>45928</v>
      </c>
      <c r="D147" s="42">
        <f t="shared" si="20"/>
        <v>17</v>
      </c>
      <c r="E147" s="42" t="str">
        <f>TEXT(Data!B147,"MMM-YYYY")</f>
        <v>Sept-2025</v>
      </c>
      <c r="F147" s="42" t="str">
        <f t="shared" si="16"/>
        <v>Q3-2025</v>
      </c>
      <c r="G147" s="37" t="s">
        <v>16</v>
      </c>
      <c r="H147" s="37" t="s">
        <v>17</v>
      </c>
      <c r="I147" s="37" t="s">
        <v>33</v>
      </c>
      <c r="J147" s="37" t="s">
        <v>39</v>
      </c>
      <c r="K147" s="37" t="s">
        <v>55</v>
      </c>
      <c r="L147" s="37" t="s">
        <v>29</v>
      </c>
      <c r="M147" s="37" t="s">
        <v>57</v>
      </c>
      <c r="N147" s="37" t="s">
        <v>396</v>
      </c>
      <c r="O147" s="42">
        <v>891.46</v>
      </c>
      <c r="P147" s="43" t="str">
        <f t="shared" si="17"/>
        <v>High</v>
      </c>
      <c r="Q147" s="42">
        <v>728.61</v>
      </c>
      <c r="R147" s="42">
        <v>0.185</v>
      </c>
      <c r="S147" s="42">
        <v>6</v>
      </c>
      <c r="T147" s="42">
        <f t="shared" si="14"/>
        <v>49.780199999999994</v>
      </c>
      <c r="U147" s="37">
        <f t="shared" si="15"/>
        <v>5348.76</v>
      </c>
      <c r="V147" s="42">
        <f t="shared" si="18"/>
        <v>-5298.9798000000001</v>
      </c>
      <c r="W147" s="44">
        <f t="shared" si="19"/>
        <v>-106.44753938312824</v>
      </c>
    </row>
    <row r="148" spans="1:23" x14ac:dyDescent="0.3">
      <c r="A148" s="45" t="s">
        <v>397</v>
      </c>
      <c r="B148" s="46">
        <v>45386</v>
      </c>
      <c r="C148" s="47">
        <v>45406</v>
      </c>
      <c r="D148" s="48">
        <f t="shared" si="20"/>
        <v>20</v>
      </c>
      <c r="E148" s="48" t="str">
        <f>TEXT(Data!B148,"MMM-YYYY")</f>
        <v>Apr-2024</v>
      </c>
      <c r="F148" s="48" t="str">
        <f t="shared" si="16"/>
        <v>Q2-2024</v>
      </c>
      <c r="G148" s="38" t="s">
        <v>78</v>
      </c>
      <c r="H148" s="38" t="s">
        <v>79</v>
      </c>
      <c r="I148" s="38" t="s">
        <v>335</v>
      </c>
      <c r="J148" s="38" t="s">
        <v>39</v>
      </c>
      <c r="K148" s="38" t="s">
        <v>98</v>
      </c>
      <c r="L148" s="38" t="s">
        <v>68</v>
      </c>
      <c r="M148" s="38" t="s">
        <v>81</v>
      </c>
      <c r="N148" s="38" t="s">
        <v>398</v>
      </c>
      <c r="O148" s="48">
        <v>683.42</v>
      </c>
      <c r="P148" s="49" t="str">
        <f t="shared" si="17"/>
        <v>High</v>
      </c>
      <c r="Q148" s="48">
        <v>951.51</v>
      </c>
      <c r="R148" s="48">
        <v>0</v>
      </c>
      <c r="S148" s="48">
        <v>14</v>
      </c>
      <c r="T148" s="48">
        <f t="shared" si="14"/>
        <v>31944.079999999998</v>
      </c>
      <c r="U148" s="38">
        <f t="shared" si="15"/>
        <v>9567.8799999999992</v>
      </c>
      <c r="V148" s="48">
        <f t="shared" si="18"/>
        <v>22376.199999999997</v>
      </c>
      <c r="W148" s="50">
        <f t="shared" si="19"/>
        <v>0.7004803393930894</v>
      </c>
    </row>
    <row r="149" spans="1:23" x14ac:dyDescent="0.3">
      <c r="A149" s="39" t="s">
        <v>399</v>
      </c>
      <c r="B149" s="40">
        <v>45183</v>
      </c>
      <c r="C149" s="41">
        <v>45185</v>
      </c>
      <c r="D149" s="42">
        <f t="shared" si="20"/>
        <v>2</v>
      </c>
      <c r="E149" s="42" t="str">
        <f>TEXT(Data!B149,"MMM-YYYY")</f>
        <v>Sept-2023</v>
      </c>
      <c r="F149" s="42" t="str">
        <f t="shared" si="16"/>
        <v>Q3-2023</v>
      </c>
      <c r="G149" s="37" t="s">
        <v>78</v>
      </c>
      <c r="H149" s="37" t="s">
        <v>90</v>
      </c>
      <c r="I149" s="37" t="s">
        <v>138</v>
      </c>
      <c r="J149" s="37" t="s">
        <v>39</v>
      </c>
      <c r="K149" s="37" t="s">
        <v>98</v>
      </c>
      <c r="L149" s="37" t="s">
        <v>56</v>
      </c>
      <c r="M149" s="37" t="s">
        <v>30</v>
      </c>
      <c r="N149" s="37" t="s">
        <v>400</v>
      </c>
      <c r="O149" s="42">
        <v>376.83</v>
      </c>
      <c r="P149" s="43" t="str">
        <f t="shared" si="17"/>
        <v>High</v>
      </c>
      <c r="Q149" s="42">
        <v>732.88</v>
      </c>
      <c r="R149" s="42">
        <v>0.188</v>
      </c>
      <c r="S149" s="42">
        <v>25</v>
      </c>
      <c r="T149" s="42">
        <f t="shared" si="14"/>
        <v>5066.2710000000006</v>
      </c>
      <c r="U149" s="37">
        <f t="shared" si="15"/>
        <v>9420.75</v>
      </c>
      <c r="V149" s="42">
        <f t="shared" si="18"/>
        <v>-4354.4789999999994</v>
      </c>
      <c r="W149" s="44">
        <f t="shared" si="19"/>
        <v>-0.85950376519534755</v>
      </c>
    </row>
    <row r="150" spans="1:23" x14ac:dyDescent="0.3">
      <c r="A150" s="45" t="s">
        <v>401</v>
      </c>
      <c r="B150" s="46">
        <v>45558</v>
      </c>
      <c r="C150" s="47">
        <v>45583</v>
      </c>
      <c r="D150" s="48">
        <f t="shared" si="20"/>
        <v>25</v>
      </c>
      <c r="E150" s="48" t="str">
        <f>TEXT(Data!B150,"MMM-YYYY")</f>
        <v>Sept-2024</v>
      </c>
      <c r="F150" s="48" t="str">
        <f t="shared" si="16"/>
        <v>Q3-2024</v>
      </c>
      <c r="G150" s="38" t="s">
        <v>52</v>
      </c>
      <c r="H150" s="38" t="s">
        <v>53</v>
      </c>
      <c r="I150" s="38" t="s">
        <v>179</v>
      </c>
      <c r="J150" s="38" t="s">
        <v>62</v>
      </c>
      <c r="K150" s="38" t="s">
        <v>28</v>
      </c>
      <c r="L150" s="38" t="s">
        <v>126</v>
      </c>
      <c r="M150" s="38" t="s">
        <v>42</v>
      </c>
      <c r="N150" s="38" t="s">
        <v>402</v>
      </c>
      <c r="O150" s="48">
        <v>1297</v>
      </c>
      <c r="P150" s="49" t="str">
        <f t="shared" si="17"/>
        <v>High</v>
      </c>
      <c r="Q150" s="48">
        <v>2411.52</v>
      </c>
      <c r="R150" s="48">
        <v>2.1000000000000001E-2</v>
      </c>
      <c r="S150" s="48">
        <v>18</v>
      </c>
      <c r="T150" s="48">
        <f t="shared" si="14"/>
        <v>57712.049999999996</v>
      </c>
      <c r="U150" s="38">
        <f t="shared" si="15"/>
        <v>23346</v>
      </c>
      <c r="V150" s="48">
        <f t="shared" si="18"/>
        <v>34366.049999999996</v>
      </c>
      <c r="W150" s="50">
        <f t="shared" si="19"/>
        <v>0.59547442865051581</v>
      </c>
    </row>
    <row r="151" spans="1:23" x14ac:dyDescent="0.3">
      <c r="A151" s="39" t="s">
        <v>403</v>
      </c>
      <c r="B151" s="40">
        <v>45763</v>
      </c>
      <c r="C151" s="41">
        <v>45793</v>
      </c>
      <c r="D151" s="42">
        <f t="shared" si="20"/>
        <v>0</v>
      </c>
      <c r="E151" s="42" t="str">
        <f>TEXT(Data!B151,"MMM-YYYY")</f>
        <v>Apr-2025</v>
      </c>
      <c r="F151" s="42" t="str">
        <f t="shared" si="16"/>
        <v>Q2-2025</v>
      </c>
      <c r="G151" s="37" t="s">
        <v>52</v>
      </c>
      <c r="H151" s="37" t="s">
        <v>53</v>
      </c>
      <c r="I151" s="37" t="s">
        <v>144</v>
      </c>
      <c r="J151" s="37" t="s">
        <v>105</v>
      </c>
      <c r="K151" s="37" t="s">
        <v>55</v>
      </c>
      <c r="L151" s="37" t="s">
        <v>95</v>
      </c>
      <c r="M151" s="37" t="s">
        <v>30</v>
      </c>
      <c r="N151" s="37" t="s">
        <v>404</v>
      </c>
      <c r="O151" s="42">
        <v>763.32</v>
      </c>
      <c r="P151" s="43" t="str">
        <f t="shared" si="17"/>
        <v>High</v>
      </c>
      <c r="Q151" s="42">
        <v>568.29</v>
      </c>
      <c r="R151" s="42">
        <v>0.13100000000000001</v>
      </c>
      <c r="S151" s="42">
        <v>16</v>
      </c>
      <c r="T151" s="42">
        <f t="shared" si="14"/>
        <v>26608.919040000001</v>
      </c>
      <c r="U151" s="37">
        <f t="shared" si="15"/>
        <v>12213.12</v>
      </c>
      <c r="V151" s="42">
        <f t="shared" si="18"/>
        <v>14395.79904</v>
      </c>
      <c r="W151" s="44">
        <f t="shared" si="19"/>
        <v>0.54101404940048248</v>
      </c>
    </row>
    <row r="152" spans="1:23" x14ac:dyDescent="0.3">
      <c r="A152" s="45" t="s">
        <v>405</v>
      </c>
      <c r="B152" s="46">
        <v>45110</v>
      </c>
      <c r="C152" s="47">
        <v>45130</v>
      </c>
      <c r="D152" s="48">
        <f t="shared" si="20"/>
        <v>20</v>
      </c>
      <c r="E152" s="48" t="str">
        <f>TEXT(Data!B152,"MMM-YYYY")</f>
        <v>Jul-2023</v>
      </c>
      <c r="F152" s="48" t="str">
        <f t="shared" si="16"/>
        <v>Q3-2023</v>
      </c>
      <c r="G152" s="38" t="s">
        <v>16</v>
      </c>
      <c r="H152" s="38" t="s">
        <v>148</v>
      </c>
      <c r="I152" s="38" t="s">
        <v>149</v>
      </c>
      <c r="J152" s="38" t="s">
        <v>62</v>
      </c>
      <c r="K152" s="38" t="s">
        <v>55</v>
      </c>
      <c r="L152" s="38" t="s">
        <v>84</v>
      </c>
      <c r="M152" s="38" t="s">
        <v>57</v>
      </c>
      <c r="N152" s="38" t="s">
        <v>406</v>
      </c>
      <c r="O152" s="48">
        <v>1001.96</v>
      </c>
      <c r="P152" s="49" t="str">
        <f t="shared" si="17"/>
        <v>High</v>
      </c>
      <c r="Q152" s="48">
        <v>1254.95</v>
      </c>
      <c r="R152" s="48">
        <v>4.4999999999999998E-2</v>
      </c>
      <c r="S152" s="48">
        <v>18</v>
      </c>
      <c r="T152" s="48">
        <f t="shared" si="14"/>
        <v>517.24709999999993</v>
      </c>
      <c r="U152" s="38">
        <f t="shared" si="15"/>
        <v>18035.28</v>
      </c>
      <c r="V152" s="48">
        <f t="shared" si="18"/>
        <v>-17518.032899999998</v>
      </c>
      <c r="W152" s="50">
        <f t="shared" si="19"/>
        <v>-33.867822361884677</v>
      </c>
    </row>
    <row r="153" spans="1:23" x14ac:dyDescent="0.3">
      <c r="A153" s="39" t="s">
        <v>407</v>
      </c>
      <c r="B153" s="40">
        <v>45267</v>
      </c>
      <c r="C153" s="41">
        <v>45265</v>
      </c>
      <c r="D153" s="42">
        <f>DATEDIF(C153,B153, "MD")</f>
        <v>2</v>
      </c>
      <c r="E153" s="42" t="str">
        <f>TEXT(Data!B153,"MMM-YYYY")</f>
        <v>Dec-2023</v>
      </c>
      <c r="F153" s="42" t="str">
        <f t="shared" si="16"/>
        <v>Q4-2023</v>
      </c>
      <c r="G153" s="37" t="s">
        <v>45</v>
      </c>
      <c r="H153" s="37" t="s">
        <v>46</v>
      </c>
      <c r="I153" s="37" t="s">
        <v>214</v>
      </c>
      <c r="J153" s="37" t="s">
        <v>39</v>
      </c>
      <c r="K153" s="37" t="s">
        <v>40</v>
      </c>
      <c r="L153" s="37" t="s">
        <v>92</v>
      </c>
      <c r="M153" s="37" t="s">
        <v>30</v>
      </c>
      <c r="N153" s="37" t="s">
        <v>408</v>
      </c>
      <c r="O153" s="42">
        <v>1097.5899999999999</v>
      </c>
      <c r="P153" s="43" t="str">
        <f t="shared" si="17"/>
        <v>High</v>
      </c>
      <c r="Q153" s="42">
        <v>845.55</v>
      </c>
      <c r="R153" s="42">
        <v>0.184</v>
      </c>
      <c r="S153" s="42">
        <v>6</v>
      </c>
      <c r="T153" s="42">
        <f t="shared" si="14"/>
        <v>2454.4137600000004</v>
      </c>
      <c r="U153" s="37">
        <f t="shared" si="15"/>
        <v>6585.5399999999991</v>
      </c>
      <c r="V153" s="42">
        <f t="shared" si="18"/>
        <v>-4131.1262399999987</v>
      </c>
      <c r="W153" s="44">
        <f t="shared" si="19"/>
        <v>-1.6831417372757875</v>
      </c>
    </row>
    <row r="154" spans="1:23" x14ac:dyDescent="0.3">
      <c r="A154" s="45" t="s">
        <v>409</v>
      </c>
      <c r="B154" s="46">
        <v>45340</v>
      </c>
      <c r="C154" s="47">
        <v>45355</v>
      </c>
      <c r="D154" s="48">
        <f t="shared" si="20"/>
        <v>15</v>
      </c>
      <c r="E154" s="48" t="str">
        <f>TEXT(Data!B154,"MMM-YYYY")</f>
        <v>Feb-2024</v>
      </c>
      <c r="F154" s="48" t="str">
        <f t="shared" si="16"/>
        <v>Q1-2024</v>
      </c>
      <c r="G154" s="38" t="s">
        <v>16</v>
      </c>
      <c r="H154" s="38" t="s">
        <v>17</v>
      </c>
      <c r="I154" s="38" t="s">
        <v>18</v>
      </c>
      <c r="J154" s="38" t="s">
        <v>27</v>
      </c>
      <c r="K154" s="38" t="s">
        <v>98</v>
      </c>
      <c r="L154" s="38" t="s">
        <v>95</v>
      </c>
      <c r="M154" s="38" t="s">
        <v>30</v>
      </c>
      <c r="N154" s="38" t="s">
        <v>410</v>
      </c>
      <c r="O154" s="48">
        <v>928.68</v>
      </c>
      <c r="P154" s="49" t="str">
        <f t="shared" si="17"/>
        <v>High</v>
      </c>
      <c r="Q154" s="48">
        <v>2145.17</v>
      </c>
      <c r="R154" s="48">
        <v>0.13600000000000001</v>
      </c>
      <c r="S154" s="48">
        <v>16</v>
      </c>
      <c r="T154" s="48">
        <f t="shared" si="14"/>
        <v>5684.1523200000001</v>
      </c>
      <c r="U154" s="38">
        <f t="shared" si="15"/>
        <v>14858.88</v>
      </c>
      <c r="V154" s="48">
        <f t="shared" si="18"/>
        <v>-9174.72768</v>
      </c>
      <c r="W154" s="50">
        <f t="shared" si="19"/>
        <v>-1.6140889904934848</v>
      </c>
    </row>
    <row r="155" spans="1:23" x14ac:dyDescent="0.3">
      <c r="A155" s="39" t="s">
        <v>411</v>
      </c>
      <c r="B155" s="40">
        <v>45230</v>
      </c>
      <c r="C155" s="41">
        <v>45232</v>
      </c>
      <c r="D155" s="42">
        <f t="shared" si="20"/>
        <v>2</v>
      </c>
      <c r="E155" s="42" t="str">
        <f>TEXT(Data!B155,"MMM-YYYY")</f>
        <v>Oct-2023</v>
      </c>
      <c r="F155" s="42" t="str">
        <f t="shared" si="16"/>
        <v>Q4-2023</v>
      </c>
      <c r="G155" s="37" t="s">
        <v>16</v>
      </c>
      <c r="H155" s="37" t="s">
        <v>17</v>
      </c>
      <c r="I155" s="37" t="s">
        <v>18</v>
      </c>
      <c r="J155" s="37" t="s">
        <v>27</v>
      </c>
      <c r="K155" s="37" t="s">
        <v>20</v>
      </c>
      <c r="L155" s="37" t="s">
        <v>68</v>
      </c>
      <c r="M155" s="37" t="s">
        <v>81</v>
      </c>
      <c r="N155" s="37" t="s">
        <v>412</v>
      </c>
      <c r="O155" s="42">
        <v>867.89</v>
      </c>
      <c r="P155" s="43" t="str">
        <f t="shared" si="17"/>
        <v>High</v>
      </c>
      <c r="Q155" s="42">
        <v>1349.94</v>
      </c>
      <c r="R155" s="42">
        <v>0.184</v>
      </c>
      <c r="S155" s="42">
        <v>10</v>
      </c>
      <c r="T155" s="42">
        <f t="shared" si="14"/>
        <v>48.307200000000009</v>
      </c>
      <c r="U155" s="37">
        <f t="shared" si="15"/>
        <v>8678.9</v>
      </c>
      <c r="V155" s="42">
        <f t="shared" si="18"/>
        <v>-8630.5928000000004</v>
      </c>
      <c r="W155" s="44">
        <f t="shared" si="19"/>
        <v>-178.66058889772123</v>
      </c>
    </row>
    <row r="156" spans="1:23" x14ac:dyDescent="0.3">
      <c r="A156" s="45" t="s">
        <v>413</v>
      </c>
      <c r="B156" s="46">
        <v>45511</v>
      </c>
      <c r="C156" s="47">
        <v>45521</v>
      </c>
      <c r="D156" s="48">
        <f t="shared" si="20"/>
        <v>10</v>
      </c>
      <c r="E156" s="48" t="str">
        <f>TEXT(Data!B156,"MMM-YYYY")</f>
        <v>Aug-2024</v>
      </c>
      <c r="F156" s="48" t="str">
        <f t="shared" si="16"/>
        <v>Q3-2024</v>
      </c>
      <c r="G156" s="38" t="s">
        <v>45</v>
      </c>
      <c r="H156" s="38" t="s">
        <v>46</v>
      </c>
      <c r="I156" s="38" t="s">
        <v>47</v>
      </c>
      <c r="J156" s="38" t="s">
        <v>48</v>
      </c>
      <c r="K156" s="38" t="s">
        <v>28</v>
      </c>
      <c r="L156" s="38" t="s">
        <v>95</v>
      </c>
      <c r="M156" s="38" t="s">
        <v>35</v>
      </c>
      <c r="N156" s="38" t="s">
        <v>414</v>
      </c>
      <c r="O156" s="48">
        <v>436.58</v>
      </c>
      <c r="P156" s="49" t="str">
        <f t="shared" si="17"/>
        <v>High</v>
      </c>
      <c r="Q156" s="48">
        <v>527.48</v>
      </c>
      <c r="R156" s="48">
        <v>0.111</v>
      </c>
      <c r="S156" s="48">
        <v>19</v>
      </c>
      <c r="T156" s="48">
        <f t="shared" si="14"/>
        <v>37272.187330000001</v>
      </c>
      <c r="U156" s="38">
        <f t="shared" si="15"/>
        <v>8295.02</v>
      </c>
      <c r="V156" s="48">
        <f t="shared" si="18"/>
        <v>28977.16733</v>
      </c>
      <c r="W156" s="50">
        <f t="shared" si="19"/>
        <v>0.77744745897101064</v>
      </c>
    </row>
    <row r="157" spans="1:23" x14ac:dyDescent="0.3">
      <c r="A157" s="39" t="s">
        <v>415</v>
      </c>
      <c r="B157" s="40">
        <v>45323</v>
      </c>
      <c r="C157" s="41">
        <v>45343</v>
      </c>
      <c r="D157" s="42">
        <f t="shared" si="20"/>
        <v>20</v>
      </c>
      <c r="E157" s="42" t="str">
        <f>TEXT(Data!B157,"MMM-YYYY")</f>
        <v>Feb-2024</v>
      </c>
      <c r="F157" s="42" t="str">
        <f t="shared" si="16"/>
        <v>Q1-2024</v>
      </c>
      <c r="G157" s="37" t="s">
        <v>78</v>
      </c>
      <c r="H157" s="37" t="s">
        <v>90</v>
      </c>
      <c r="I157" s="37" t="s">
        <v>217</v>
      </c>
      <c r="J157" s="37" t="s">
        <v>62</v>
      </c>
      <c r="K157" s="37" t="s">
        <v>40</v>
      </c>
      <c r="L157" s="37" t="s">
        <v>75</v>
      </c>
      <c r="M157" s="37" t="s">
        <v>35</v>
      </c>
      <c r="N157" s="37" t="s">
        <v>416</v>
      </c>
      <c r="O157" s="42">
        <v>656.2</v>
      </c>
      <c r="P157" s="43" t="str">
        <f t="shared" si="17"/>
        <v>High</v>
      </c>
      <c r="Q157" s="42">
        <v>1467.17</v>
      </c>
      <c r="R157" s="42">
        <v>1.7999999999999999E-2</v>
      </c>
      <c r="S157" s="42">
        <v>5</v>
      </c>
      <c r="T157" s="42">
        <f t="shared" si="14"/>
        <v>9391.848</v>
      </c>
      <c r="U157" s="37">
        <f t="shared" si="15"/>
        <v>3281</v>
      </c>
      <c r="V157" s="42">
        <f t="shared" si="18"/>
        <v>6110.848</v>
      </c>
      <c r="W157" s="44">
        <f t="shared" si="19"/>
        <v>0.65065448248310664</v>
      </c>
    </row>
    <row r="158" spans="1:23" x14ac:dyDescent="0.3">
      <c r="A158" s="45" t="s">
        <v>417</v>
      </c>
      <c r="B158" s="46">
        <v>45531</v>
      </c>
      <c r="C158" s="47">
        <v>45553</v>
      </c>
      <c r="D158" s="48">
        <f t="shared" si="20"/>
        <v>22</v>
      </c>
      <c r="E158" s="48" t="str">
        <f>TEXT(Data!B158,"MMM-YYYY")</f>
        <v>Aug-2024</v>
      </c>
      <c r="F158" s="48" t="str">
        <f t="shared" si="16"/>
        <v>Q3-2024</v>
      </c>
      <c r="G158" s="38" t="s">
        <v>45</v>
      </c>
      <c r="H158" s="38" t="s">
        <v>60</v>
      </c>
      <c r="I158" s="38" t="s">
        <v>141</v>
      </c>
      <c r="J158" s="38" t="s">
        <v>48</v>
      </c>
      <c r="K158" s="38" t="s">
        <v>98</v>
      </c>
      <c r="L158" s="38" t="s">
        <v>56</v>
      </c>
      <c r="M158" s="38" t="s">
        <v>22</v>
      </c>
      <c r="N158" s="38" t="s">
        <v>418</v>
      </c>
      <c r="O158" s="48">
        <v>896.75</v>
      </c>
      <c r="P158" s="49" t="str">
        <f t="shared" si="17"/>
        <v>High</v>
      </c>
      <c r="Q158" s="48">
        <v>1651.14</v>
      </c>
      <c r="R158" s="48">
        <v>2.5000000000000001E-2</v>
      </c>
      <c r="S158" s="48">
        <v>15</v>
      </c>
      <c r="T158" s="48">
        <f t="shared" si="14"/>
        <v>20216.283749999999</v>
      </c>
      <c r="U158" s="38">
        <f t="shared" si="15"/>
        <v>13451.25</v>
      </c>
      <c r="V158" s="48">
        <f t="shared" si="18"/>
        <v>6765.0337499999987</v>
      </c>
      <c r="W158" s="50">
        <f t="shared" si="19"/>
        <v>0.3346329045267778</v>
      </c>
    </row>
    <row r="159" spans="1:23" x14ac:dyDescent="0.3">
      <c r="A159" s="39" t="s">
        <v>419</v>
      </c>
      <c r="B159" s="40">
        <v>45703</v>
      </c>
      <c r="C159" s="41">
        <v>45703</v>
      </c>
      <c r="D159" s="42">
        <f t="shared" si="20"/>
        <v>0</v>
      </c>
      <c r="E159" s="42" t="str">
        <f>TEXT(Data!B159,"MMM-YYYY")</f>
        <v>Feb-2025</v>
      </c>
      <c r="F159" s="42" t="str">
        <f t="shared" si="16"/>
        <v>Q1-2025</v>
      </c>
      <c r="G159" s="37" t="s">
        <v>78</v>
      </c>
      <c r="H159" s="37" t="s">
        <v>79</v>
      </c>
      <c r="I159" s="37" t="s">
        <v>335</v>
      </c>
      <c r="J159" s="37" t="s">
        <v>62</v>
      </c>
      <c r="K159" s="37" t="s">
        <v>40</v>
      </c>
      <c r="L159" s="37" t="s">
        <v>49</v>
      </c>
      <c r="M159" s="37" t="s">
        <v>81</v>
      </c>
      <c r="N159" s="37" t="s">
        <v>420</v>
      </c>
      <c r="O159" s="42">
        <v>815.83</v>
      </c>
      <c r="P159" s="43" t="str">
        <f t="shared" si="17"/>
        <v>High</v>
      </c>
      <c r="Q159" s="42">
        <v>1982.18</v>
      </c>
      <c r="R159" s="42">
        <v>0.127</v>
      </c>
      <c r="S159" s="42">
        <v>6</v>
      </c>
      <c r="T159" s="42">
        <f t="shared" si="14"/>
        <v>7100.6851799999995</v>
      </c>
      <c r="U159" s="37">
        <f t="shared" si="15"/>
        <v>4894.9800000000005</v>
      </c>
      <c r="V159" s="42">
        <f t="shared" si="18"/>
        <v>2205.705179999999</v>
      </c>
      <c r="W159" s="44">
        <f t="shared" si="19"/>
        <v>0.31063272403804826</v>
      </c>
    </row>
    <row r="160" spans="1:23" x14ac:dyDescent="0.3">
      <c r="A160" s="45" t="s">
        <v>421</v>
      </c>
      <c r="B160" s="46">
        <v>45870</v>
      </c>
      <c r="C160" s="47">
        <v>45890</v>
      </c>
      <c r="D160" s="48">
        <f t="shared" si="20"/>
        <v>20</v>
      </c>
      <c r="E160" s="48" t="str">
        <f>TEXT(Data!B160,"MMM-YYYY")</f>
        <v>Aug-2025</v>
      </c>
      <c r="F160" s="48" t="str">
        <f t="shared" si="16"/>
        <v>Q3-2025</v>
      </c>
      <c r="G160" s="38" t="s">
        <v>45</v>
      </c>
      <c r="H160" s="38" t="s">
        <v>116</v>
      </c>
      <c r="I160" s="38" t="s">
        <v>162</v>
      </c>
      <c r="J160" s="38" t="s">
        <v>19</v>
      </c>
      <c r="K160" s="38" t="s">
        <v>98</v>
      </c>
      <c r="L160" s="38" t="s">
        <v>34</v>
      </c>
      <c r="M160" s="38" t="s">
        <v>42</v>
      </c>
      <c r="N160" s="38" t="s">
        <v>422</v>
      </c>
      <c r="O160" s="48">
        <v>1220.4100000000001</v>
      </c>
      <c r="P160" s="49" t="str">
        <f t="shared" si="17"/>
        <v>High</v>
      </c>
      <c r="Q160" s="48">
        <v>2552.2199999999998</v>
      </c>
      <c r="R160" s="48">
        <v>0.18099999999999999</v>
      </c>
      <c r="S160" s="48">
        <v>14</v>
      </c>
      <c r="T160" s="48">
        <f t="shared" si="14"/>
        <v>10180.661399999999</v>
      </c>
      <c r="U160" s="38">
        <f t="shared" si="15"/>
        <v>17085.740000000002</v>
      </c>
      <c r="V160" s="48">
        <f t="shared" si="18"/>
        <v>-6905.0786000000026</v>
      </c>
      <c r="W160" s="50">
        <f t="shared" si="19"/>
        <v>-0.6782544206803699</v>
      </c>
    </row>
    <row r="161" spans="1:23" x14ac:dyDescent="0.3">
      <c r="A161" s="39" t="s">
        <v>423</v>
      </c>
      <c r="B161" s="40">
        <v>44977</v>
      </c>
      <c r="C161" s="41">
        <v>44989</v>
      </c>
      <c r="D161" s="42">
        <f t="shared" si="20"/>
        <v>12</v>
      </c>
      <c r="E161" s="42" t="str">
        <f>TEXT(Data!B161,"MMM-YYYY")</f>
        <v>Feb-2023</v>
      </c>
      <c r="F161" s="42" t="str">
        <f t="shared" si="16"/>
        <v>Q1-2023</v>
      </c>
      <c r="G161" s="37" t="s">
        <v>45</v>
      </c>
      <c r="H161" s="37" t="s">
        <v>60</v>
      </c>
      <c r="I161" s="37" t="s">
        <v>141</v>
      </c>
      <c r="J161" s="37" t="s">
        <v>48</v>
      </c>
      <c r="K161" s="37" t="s">
        <v>55</v>
      </c>
      <c r="L161" s="37" t="s">
        <v>110</v>
      </c>
      <c r="M161" s="37" t="s">
        <v>64</v>
      </c>
      <c r="N161" s="37" t="s">
        <v>424</v>
      </c>
      <c r="O161" s="42">
        <v>299.75</v>
      </c>
      <c r="P161" s="43" t="str">
        <f t="shared" si="17"/>
        <v>High</v>
      </c>
      <c r="Q161" s="42">
        <v>523.01</v>
      </c>
      <c r="R161" s="42">
        <v>0.157</v>
      </c>
      <c r="S161" s="42">
        <v>50</v>
      </c>
      <c r="T161" s="42">
        <f t="shared" si="14"/>
        <v>43022.083500000001</v>
      </c>
      <c r="U161" s="37">
        <f t="shared" si="15"/>
        <v>14987.5</v>
      </c>
      <c r="V161" s="42">
        <f t="shared" si="18"/>
        <v>28034.583500000001</v>
      </c>
      <c r="W161" s="44">
        <f t="shared" si="19"/>
        <v>0.65163239943969709</v>
      </c>
    </row>
    <row r="162" spans="1:23" x14ac:dyDescent="0.3">
      <c r="A162" s="45" t="s">
        <v>425</v>
      </c>
      <c r="B162" s="46">
        <v>45595</v>
      </c>
      <c r="C162" s="47">
        <v>45620</v>
      </c>
      <c r="D162" s="48">
        <f t="shared" si="20"/>
        <v>25</v>
      </c>
      <c r="E162" s="48" t="str">
        <f>TEXT(Data!B162,"MMM-YYYY")</f>
        <v>Oct-2024</v>
      </c>
      <c r="F162" s="48" t="str">
        <f t="shared" si="16"/>
        <v>Q4-2024</v>
      </c>
      <c r="G162" s="38" t="s">
        <v>45</v>
      </c>
      <c r="H162" s="38" t="s">
        <v>116</v>
      </c>
      <c r="I162" s="38" t="s">
        <v>117</v>
      </c>
      <c r="J162" s="38" t="s">
        <v>62</v>
      </c>
      <c r="K162" s="38" t="s">
        <v>28</v>
      </c>
      <c r="L162" s="38" t="s">
        <v>63</v>
      </c>
      <c r="M162" s="38" t="s">
        <v>22</v>
      </c>
      <c r="N162" s="38" t="s">
        <v>426</v>
      </c>
      <c r="O162" s="48">
        <v>811.05</v>
      </c>
      <c r="P162" s="49" t="str">
        <f t="shared" si="17"/>
        <v>High</v>
      </c>
      <c r="Q162" s="48">
        <v>1217.71</v>
      </c>
      <c r="R162" s="48">
        <v>7.1999999999999995E-2</v>
      </c>
      <c r="S162" s="48">
        <v>5</v>
      </c>
      <c r="T162" s="48">
        <f t="shared" si="14"/>
        <v>6475.2592000000004</v>
      </c>
      <c r="U162" s="38">
        <f t="shared" si="15"/>
        <v>4055.25</v>
      </c>
      <c r="V162" s="48">
        <f t="shared" si="18"/>
        <v>2420.0092000000004</v>
      </c>
      <c r="W162" s="50">
        <f t="shared" si="19"/>
        <v>0.37373163378540897</v>
      </c>
    </row>
    <row r="163" spans="1:23" x14ac:dyDescent="0.3">
      <c r="A163" s="39" t="s">
        <v>427</v>
      </c>
      <c r="B163" s="40">
        <v>45385</v>
      </c>
      <c r="C163" s="41">
        <v>45389</v>
      </c>
      <c r="D163" s="42">
        <f t="shared" si="20"/>
        <v>4</v>
      </c>
      <c r="E163" s="42" t="str">
        <f>TEXT(Data!B163,"MMM-YYYY")</f>
        <v>Apr-2024</v>
      </c>
      <c r="F163" s="42" t="str">
        <f t="shared" si="16"/>
        <v>Q2-2024</v>
      </c>
      <c r="G163" s="37" t="s">
        <v>52</v>
      </c>
      <c r="H163" s="37" t="s">
        <v>73</v>
      </c>
      <c r="I163" s="37" t="s">
        <v>87</v>
      </c>
      <c r="J163" s="37" t="s">
        <v>39</v>
      </c>
      <c r="K163" s="37" t="s">
        <v>98</v>
      </c>
      <c r="L163" s="37" t="s">
        <v>126</v>
      </c>
      <c r="M163" s="37" t="s">
        <v>42</v>
      </c>
      <c r="N163" s="37" t="s">
        <v>428</v>
      </c>
      <c r="O163" s="42">
        <v>1023.27</v>
      </c>
      <c r="P163" s="43" t="str">
        <f t="shared" si="17"/>
        <v>High</v>
      </c>
      <c r="Q163" s="42">
        <v>1343.64</v>
      </c>
      <c r="R163" s="42">
        <v>0.13300000000000001</v>
      </c>
      <c r="S163" s="42">
        <v>7</v>
      </c>
      <c r="T163" s="42">
        <f t="shared" si="14"/>
        <v>13797.385980000001</v>
      </c>
      <c r="U163" s="37">
        <f t="shared" si="15"/>
        <v>7162.8899999999994</v>
      </c>
      <c r="V163" s="42">
        <f t="shared" si="18"/>
        <v>6634.4959800000015</v>
      </c>
      <c r="W163" s="44">
        <f t="shared" si="19"/>
        <v>0.48085166201895302</v>
      </c>
    </row>
    <row r="164" spans="1:23" x14ac:dyDescent="0.3">
      <c r="A164" s="45" t="s">
        <v>429</v>
      </c>
      <c r="B164" s="46">
        <v>45010</v>
      </c>
      <c r="C164" s="47">
        <v>45011</v>
      </c>
      <c r="D164" s="48">
        <f t="shared" si="20"/>
        <v>1</v>
      </c>
      <c r="E164" s="48" t="str">
        <f>TEXT(Data!B164,"MMM-YYYY")</f>
        <v>Mar-2023</v>
      </c>
      <c r="F164" s="48" t="str">
        <f t="shared" si="16"/>
        <v>Q1-2023</v>
      </c>
      <c r="G164" s="38" t="s">
        <v>45</v>
      </c>
      <c r="H164" s="38" t="s">
        <v>46</v>
      </c>
      <c r="I164" s="38" t="s">
        <v>47</v>
      </c>
      <c r="J164" s="38" t="s">
        <v>62</v>
      </c>
      <c r="K164" s="38" t="s">
        <v>55</v>
      </c>
      <c r="L164" s="38" t="s">
        <v>34</v>
      </c>
      <c r="M164" s="38" t="s">
        <v>64</v>
      </c>
      <c r="N164" s="38" t="s">
        <v>430</v>
      </c>
      <c r="O164" s="48">
        <v>135.12</v>
      </c>
      <c r="P164" s="49" t="str">
        <f t="shared" si="17"/>
        <v>High</v>
      </c>
      <c r="Q164" s="48">
        <v>301.7</v>
      </c>
      <c r="R164" s="48">
        <v>0.14000000000000001</v>
      </c>
      <c r="S164" s="48">
        <v>47</v>
      </c>
      <c r="T164" s="48">
        <f t="shared" si="14"/>
        <v>50207.703000000001</v>
      </c>
      <c r="U164" s="38">
        <f t="shared" si="15"/>
        <v>6350.64</v>
      </c>
      <c r="V164" s="48">
        <f t="shared" si="18"/>
        <v>43857.063000000002</v>
      </c>
      <c r="W164" s="50">
        <f t="shared" si="19"/>
        <v>0.87351263609888707</v>
      </c>
    </row>
    <row r="165" spans="1:23" x14ac:dyDescent="0.3">
      <c r="A165" s="39" t="s">
        <v>431</v>
      </c>
      <c r="B165" s="40">
        <v>45447</v>
      </c>
      <c r="C165" s="41">
        <v>45459</v>
      </c>
      <c r="D165" s="42">
        <f t="shared" si="20"/>
        <v>12</v>
      </c>
      <c r="E165" s="42" t="str">
        <f>TEXT(Data!B165,"MMM-YYYY")</f>
        <v>Jun-2024</v>
      </c>
      <c r="F165" s="42" t="str">
        <f t="shared" si="16"/>
        <v>Q2-2024</v>
      </c>
      <c r="G165" s="37" t="s">
        <v>45</v>
      </c>
      <c r="H165" s="37" t="s">
        <v>116</v>
      </c>
      <c r="I165" s="37" t="s">
        <v>162</v>
      </c>
      <c r="J165" s="37" t="s">
        <v>19</v>
      </c>
      <c r="K165" s="37" t="s">
        <v>20</v>
      </c>
      <c r="L165" s="37" t="s">
        <v>29</v>
      </c>
      <c r="M165" s="37" t="s">
        <v>30</v>
      </c>
      <c r="N165" s="37" t="s">
        <v>432</v>
      </c>
      <c r="O165" s="42">
        <v>918.42</v>
      </c>
      <c r="P165" s="43" t="str">
        <f t="shared" si="17"/>
        <v>High</v>
      </c>
      <c r="Q165" s="42">
        <v>1511.71</v>
      </c>
      <c r="R165" s="42">
        <v>0.02</v>
      </c>
      <c r="S165" s="42">
        <v>8</v>
      </c>
      <c r="T165" s="42">
        <f t="shared" si="14"/>
        <v>10272.6736</v>
      </c>
      <c r="U165" s="37">
        <f t="shared" si="15"/>
        <v>7347.36</v>
      </c>
      <c r="V165" s="42">
        <f t="shared" si="18"/>
        <v>2925.3136000000004</v>
      </c>
      <c r="W165" s="44">
        <f t="shared" si="19"/>
        <v>0.28476652855007489</v>
      </c>
    </row>
    <row r="166" spans="1:23" x14ac:dyDescent="0.3">
      <c r="A166" s="45" t="s">
        <v>433</v>
      </c>
      <c r="B166" s="46">
        <v>44976</v>
      </c>
      <c r="C166" s="47">
        <v>44997</v>
      </c>
      <c r="D166" s="48">
        <f t="shared" si="20"/>
        <v>21</v>
      </c>
      <c r="E166" s="48" t="str">
        <f>TEXT(Data!B166,"MMM-YYYY")</f>
        <v>Feb-2023</v>
      </c>
      <c r="F166" s="48" t="str">
        <f t="shared" si="16"/>
        <v>Q1-2023</v>
      </c>
      <c r="G166" s="38" t="s">
        <v>78</v>
      </c>
      <c r="H166" s="38" t="s">
        <v>79</v>
      </c>
      <c r="I166" s="38" t="s">
        <v>80</v>
      </c>
      <c r="J166" s="38" t="s">
        <v>62</v>
      </c>
      <c r="K166" s="38" t="s">
        <v>98</v>
      </c>
      <c r="L166" s="38" t="s">
        <v>49</v>
      </c>
      <c r="M166" s="38" t="s">
        <v>64</v>
      </c>
      <c r="N166" s="38" t="s">
        <v>434</v>
      </c>
      <c r="O166" s="48">
        <v>1234.81</v>
      </c>
      <c r="P166" s="49" t="str">
        <f t="shared" si="17"/>
        <v>High</v>
      </c>
      <c r="Q166" s="48">
        <v>2055.2399999999998</v>
      </c>
      <c r="R166" s="48">
        <v>5.2999999999999999E-2</v>
      </c>
      <c r="S166" s="48">
        <v>44</v>
      </c>
      <c r="T166" s="48">
        <f t="shared" si="14"/>
        <v>40303.373</v>
      </c>
      <c r="U166" s="38">
        <f t="shared" si="15"/>
        <v>54331.64</v>
      </c>
      <c r="V166" s="48">
        <f t="shared" si="18"/>
        <v>-14028.267</v>
      </c>
      <c r="W166" s="50">
        <f t="shared" si="19"/>
        <v>-0.34806682309195314</v>
      </c>
    </row>
    <row r="167" spans="1:23" x14ac:dyDescent="0.3">
      <c r="A167" s="39" t="s">
        <v>435</v>
      </c>
      <c r="B167" s="40">
        <v>45034</v>
      </c>
      <c r="C167" s="41">
        <v>45064</v>
      </c>
      <c r="D167" s="42">
        <f t="shared" si="20"/>
        <v>0</v>
      </c>
      <c r="E167" s="42" t="str">
        <f>TEXT(Data!B167,"MMM-YYYY")</f>
        <v>Apr-2023</v>
      </c>
      <c r="F167" s="42" t="str">
        <f t="shared" si="16"/>
        <v>Q2-2023</v>
      </c>
      <c r="G167" s="37" t="s">
        <v>45</v>
      </c>
      <c r="H167" s="37" t="s">
        <v>116</v>
      </c>
      <c r="I167" s="37" t="s">
        <v>117</v>
      </c>
      <c r="J167" s="37" t="s">
        <v>39</v>
      </c>
      <c r="K167" s="37" t="s">
        <v>20</v>
      </c>
      <c r="L167" s="37" t="s">
        <v>92</v>
      </c>
      <c r="M167" s="37" t="s">
        <v>57</v>
      </c>
      <c r="N167" s="37" t="s">
        <v>436</v>
      </c>
      <c r="O167" s="42">
        <v>329.03</v>
      </c>
      <c r="P167" s="43" t="str">
        <f t="shared" si="17"/>
        <v>High</v>
      </c>
      <c r="Q167" s="42">
        <v>391.15</v>
      </c>
      <c r="R167" s="42">
        <v>0.19700000000000001</v>
      </c>
      <c r="S167" s="42">
        <v>46</v>
      </c>
      <c r="T167" s="42">
        <f t="shared" si="14"/>
        <v>32735.194359999998</v>
      </c>
      <c r="U167" s="37">
        <f t="shared" si="15"/>
        <v>15135.38</v>
      </c>
      <c r="V167" s="42">
        <f t="shared" si="18"/>
        <v>17599.814359999997</v>
      </c>
      <c r="W167" s="44">
        <f t="shared" si="19"/>
        <v>0.53764196926552166</v>
      </c>
    </row>
    <row r="168" spans="1:23" x14ac:dyDescent="0.3">
      <c r="A168" s="45" t="s">
        <v>437</v>
      </c>
      <c r="B168" s="46">
        <v>45435</v>
      </c>
      <c r="C168" s="47">
        <v>45457</v>
      </c>
      <c r="D168" s="48">
        <f t="shared" si="20"/>
        <v>22</v>
      </c>
      <c r="E168" s="48" t="str">
        <f>TEXT(Data!B168,"MMM-YYYY")</f>
        <v>May-2024</v>
      </c>
      <c r="F168" s="48" t="str">
        <f t="shared" si="16"/>
        <v>Q2-2024</v>
      </c>
      <c r="G168" s="38" t="s">
        <v>78</v>
      </c>
      <c r="H168" s="38" t="s">
        <v>90</v>
      </c>
      <c r="I168" s="38" t="s">
        <v>91</v>
      </c>
      <c r="J168" s="38" t="s">
        <v>62</v>
      </c>
      <c r="K168" s="38" t="s">
        <v>28</v>
      </c>
      <c r="L168" s="38" t="s">
        <v>126</v>
      </c>
      <c r="M168" s="38" t="s">
        <v>64</v>
      </c>
      <c r="N168" s="38" t="s">
        <v>438</v>
      </c>
      <c r="O168" s="48">
        <v>1481.74</v>
      </c>
      <c r="P168" s="49" t="str">
        <f t="shared" si="17"/>
        <v>High</v>
      </c>
      <c r="Q168" s="48">
        <v>1848.97</v>
      </c>
      <c r="R168" s="48">
        <v>0.254</v>
      </c>
      <c r="S168" s="48">
        <v>9</v>
      </c>
      <c r="T168" s="48">
        <f t="shared" si="14"/>
        <v>5308.1555399999997</v>
      </c>
      <c r="U168" s="38">
        <f t="shared" si="15"/>
        <v>13335.66</v>
      </c>
      <c r="V168" s="48">
        <f t="shared" si="18"/>
        <v>-8027.5044600000001</v>
      </c>
      <c r="W168" s="50">
        <f t="shared" si="19"/>
        <v>-1.5122963898680333</v>
      </c>
    </row>
    <row r="169" spans="1:23" x14ac:dyDescent="0.3">
      <c r="A169" s="39" t="s">
        <v>439</v>
      </c>
      <c r="B169" s="40">
        <v>45206</v>
      </c>
      <c r="C169" s="41">
        <v>45222</v>
      </c>
      <c r="D169" s="42">
        <f t="shared" si="20"/>
        <v>16</v>
      </c>
      <c r="E169" s="42" t="str">
        <f>TEXT(Data!B169,"MMM-YYYY")</f>
        <v>Oct-2023</v>
      </c>
      <c r="F169" s="42" t="str">
        <f t="shared" si="16"/>
        <v>Q4-2023</v>
      </c>
      <c r="G169" s="37" t="s">
        <v>45</v>
      </c>
      <c r="H169" s="37" t="s">
        <v>60</v>
      </c>
      <c r="I169" s="37" t="s">
        <v>281</v>
      </c>
      <c r="J169" s="37" t="s">
        <v>48</v>
      </c>
      <c r="K169" s="37" t="s">
        <v>20</v>
      </c>
      <c r="L169" s="37" t="s">
        <v>41</v>
      </c>
      <c r="M169" s="37" t="s">
        <v>64</v>
      </c>
      <c r="N169" s="37" t="s">
        <v>440</v>
      </c>
      <c r="O169" s="42">
        <v>906.81</v>
      </c>
      <c r="P169" s="43" t="str">
        <f t="shared" si="17"/>
        <v>High</v>
      </c>
      <c r="Q169" s="42">
        <v>1395.56</v>
      </c>
      <c r="R169" s="42">
        <v>0.185</v>
      </c>
      <c r="S169" s="42">
        <v>6</v>
      </c>
      <c r="T169" s="42">
        <f t="shared" si="14"/>
        <v>1766.9036999999998</v>
      </c>
      <c r="U169" s="37">
        <f t="shared" si="15"/>
        <v>5440.86</v>
      </c>
      <c r="V169" s="42">
        <f t="shared" si="18"/>
        <v>-3673.9562999999998</v>
      </c>
      <c r="W169" s="44">
        <f t="shared" si="19"/>
        <v>-2.079318923832691</v>
      </c>
    </row>
    <row r="170" spans="1:23" x14ac:dyDescent="0.3">
      <c r="A170" s="45" t="s">
        <v>441</v>
      </c>
      <c r="B170" s="46">
        <v>45574</v>
      </c>
      <c r="C170" s="47">
        <v>45604</v>
      </c>
      <c r="D170" s="48">
        <f t="shared" si="20"/>
        <v>30</v>
      </c>
      <c r="E170" s="48" t="str">
        <f>TEXT(Data!B170,"MMM-YYYY")</f>
        <v>Oct-2024</v>
      </c>
      <c r="F170" s="48" t="str">
        <f t="shared" si="16"/>
        <v>Q4-2024</v>
      </c>
      <c r="G170" s="38" t="s">
        <v>78</v>
      </c>
      <c r="H170" s="38" t="s">
        <v>108</v>
      </c>
      <c r="I170" s="38" t="s">
        <v>228</v>
      </c>
      <c r="J170" s="38" t="s">
        <v>62</v>
      </c>
      <c r="K170" s="38" t="s">
        <v>55</v>
      </c>
      <c r="L170" s="38" t="s">
        <v>29</v>
      </c>
      <c r="M170" s="38" t="s">
        <v>22</v>
      </c>
      <c r="N170" s="38" t="s">
        <v>442</v>
      </c>
      <c r="O170" s="48">
        <v>343.85</v>
      </c>
      <c r="P170" s="49" t="str">
        <f t="shared" si="17"/>
        <v>High</v>
      </c>
      <c r="Q170" s="48">
        <v>538.04</v>
      </c>
      <c r="R170" s="48">
        <v>0.13900000000000001</v>
      </c>
      <c r="S170" s="48">
        <v>5</v>
      </c>
      <c r="T170" s="48">
        <f t="shared" si="14"/>
        <v>8403.5321999999996</v>
      </c>
      <c r="U170" s="38">
        <f t="shared" si="15"/>
        <v>1719.25</v>
      </c>
      <c r="V170" s="48">
        <f t="shared" si="18"/>
        <v>6684.2821999999996</v>
      </c>
      <c r="W170" s="50">
        <f t="shared" si="19"/>
        <v>0.79541340961363838</v>
      </c>
    </row>
    <row r="171" spans="1:23" x14ac:dyDescent="0.3">
      <c r="A171" s="39" t="s">
        <v>443</v>
      </c>
      <c r="B171" s="40">
        <v>45488</v>
      </c>
      <c r="C171" s="41">
        <v>45488</v>
      </c>
      <c r="D171" s="42">
        <f t="shared" si="20"/>
        <v>0</v>
      </c>
      <c r="E171" s="42" t="str">
        <f>TEXT(Data!B171,"MMM-YYYY")</f>
        <v>Jul-2024</v>
      </c>
      <c r="F171" s="42" t="str">
        <f t="shared" si="16"/>
        <v>Q3-2024</v>
      </c>
      <c r="G171" s="37" t="s">
        <v>45</v>
      </c>
      <c r="H171" s="37" t="s">
        <v>46</v>
      </c>
      <c r="I171" s="37" t="s">
        <v>214</v>
      </c>
      <c r="J171" s="37" t="s">
        <v>62</v>
      </c>
      <c r="K171" s="37" t="s">
        <v>40</v>
      </c>
      <c r="L171" s="37" t="s">
        <v>41</v>
      </c>
      <c r="M171" s="37" t="s">
        <v>81</v>
      </c>
      <c r="N171" s="37" t="s">
        <v>444</v>
      </c>
      <c r="O171" s="42">
        <v>801.77</v>
      </c>
      <c r="P171" s="43" t="str">
        <f t="shared" si="17"/>
        <v>High</v>
      </c>
      <c r="Q171" s="42">
        <v>1218.92</v>
      </c>
      <c r="R171" s="42">
        <v>0.254</v>
      </c>
      <c r="S171" s="42">
        <v>16</v>
      </c>
      <c r="T171" s="42">
        <f t="shared" si="14"/>
        <v>18676.97536</v>
      </c>
      <c r="U171" s="37">
        <f t="shared" si="15"/>
        <v>12828.32</v>
      </c>
      <c r="V171" s="42">
        <f t="shared" si="18"/>
        <v>5848.6553600000007</v>
      </c>
      <c r="W171" s="44">
        <f t="shared" si="19"/>
        <v>0.31314788648947495</v>
      </c>
    </row>
    <row r="172" spans="1:23" x14ac:dyDescent="0.3">
      <c r="A172" s="45" t="s">
        <v>445</v>
      </c>
      <c r="B172" s="46">
        <v>45190</v>
      </c>
      <c r="C172" s="47">
        <v>45209</v>
      </c>
      <c r="D172" s="48">
        <f t="shared" si="20"/>
        <v>19</v>
      </c>
      <c r="E172" s="48" t="str">
        <f>TEXT(Data!B172,"MMM-YYYY")</f>
        <v>Sept-2023</v>
      </c>
      <c r="F172" s="48" t="str">
        <f t="shared" si="16"/>
        <v>Q3-2023</v>
      </c>
      <c r="G172" s="38" t="s">
        <v>45</v>
      </c>
      <c r="H172" s="38" t="s">
        <v>46</v>
      </c>
      <c r="I172" s="38" t="s">
        <v>214</v>
      </c>
      <c r="J172" s="38" t="s">
        <v>27</v>
      </c>
      <c r="K172" s="38" t="s">
        <v>28</v>
      </c>
      <c r="L172" s="38" t="s">
        <v>145</v>
      </c>
      <c r="M172" s="38" t="s">
        <v>22</v>
      </c>
      <c r="N172" s="38" t="s">
        <v>446</v>
      </c>
      <c r="O172" s="48">
        <v>845.63</v>
      </c>
      <c r="P172" s="49" t="str">
        <f t="shared" si="17"/>
        <v>High</v>
      </c>
      <c r="Q172" s="48">
        <v>2062.12</v>
      </c>
      <c r="R172" s="48">
        <v>0.13400000000000001</v>
      </c>
      <c r="S172" s="48">
        <v>5</v>
      </c>
      <c r="T172" s="48">
        <f t="shared" si="14"/>
        <v>3691.4982</v>
      </c>
      <c r="U172" s="38">
        <f t="shared" si="15"/>
        <v>4228.1499999999996</v>
      </c>
      <c r="V172" s="48">
        <f t="shared" si="18"/>
        <v>-536.65179999999964</v>
      </c>
      <c r="W172" s="50">
        <f t="shared" si="19"/>
        <v>-0.1453750674996942</v>
      </c>
    </row>
    <row r="173" spans="1:23" x14ac:dyDescent="0.3">
      <c r="A173" s="39" t="s">
        <v>447</v>
      </c>
      <c r="B173" s="40">
        <v>44981</v>
      </c>
      <c r="C173" s="41">
        <v>44994</v>
      </c>
      <c r="D173" s="42">
        <f t="shared" si="20"/>
        <v>13</v>
      </c>
      <c r="E173" s="42" t="str">
        <f>TEXT(Data!B173,"MMM-YYYY")</f>
        <v>Feb-2023</v>
      </c>
      <c r="F173" s="42" t="str">
        <f t="shared" si="16"/>
        <v>Q1-2023</v>
      </c>
      <c r="G173" s="37" t="s">
        <v>52</v>
      </c>
      <c r="H173" s="37" t="s">
        <v>122</v>
      </c>
      <c r="I173" s="37" t="s">
        <v>387</v>
      </c>
      <c r="J173" s="37" t="s">
        <v>105</v>
      </c>
      <c r="K173" s="37" t="s">
        <v>28</v>
      </c>
      <c r="L173" s="37" t="s">
        <v>110</v>
      </c>
      <c r="M173" s="37" t="s">
        <v>22</v>
      </c>
      <c r="N173" s="37" t="s">
        <v>448</v>
      </c>
      <c r="O173" s="42">
        <v>6.85</v>
      </c>
      <c r="P173" s="43" t="str">
        <f t="shared" si="17"/>
        <v>Low</v>
      </c>
      <c r="Q173" s="42">
        <v>10.18</v>
      </c>
      <c r="R173" s="42">
        <v>4.7E-2</v>
      </c>
      <c r="S173" s="42">
        <v>10</v>
      </c>
      <c r="T173" s="42">
        <f t="shared" si="14"/>
        <v>13964.213699999998</v>
      </c>
      <c r="U173" s="37">
        <f t="shared" si="15"/>
        <v>68.5</v>
      </c>
      <c r="V173" s="42">
        <f t="shared" si="18"/>
        <v>13895.713699999998</v>
      </c>
      <c r="W173" s="44">
        <f t="shared" si="19"/>
        <v>0.99509460385871928</v>
      </c>
    </row>
    <row r="174" spans="1:23" x14ac:dyDescent="0.3">
      <c r="A174" s="45" t="s">
        <v>449</v>
      </c>
      <c r="B174" s="46">
        <v>45798</v>
      </c>
      <c r="C174" s="47">
        <v>45796</v>
      </c>
      <c r="D174" s="48">
        <f>DATEDIF(C174,B174, "MD")</f>
        <v>2</v>
      </c>
      <c r="E174" s="48" t="str">
        <f>TEXT(Data!B174,"MMM-YYYY")</f>
        <v>May-2025</v>
      </c>
      <c r="F174" s="48" t="str">
        <f t="shared" si="16"/>
        <v>Q2-2025</v>
      </c>
      <c r="G174" s="38" t="s">
        <v>16</v>
      </c>
      <c r="H174" s="38" t="s">
        <v>148</v>
      </c>
      <c r="I174" s="38" t="s">
        <v>149</v>
      </c>
      <c r="J174" s="38" t="s">
        <v>39</v>
      </c>
      <c r="K174" s="38" t="s">
        <v>55</v>
      </c>
      <c r="L174" s="38" t="s">
        <v>68</v>
      </c>
      <c r="M174" s="38" t="s">
        <v>57</v>
      </c>
      <c r="N174" s="38" t="s">
        <v>450</v>
      </c>
      <c r="O174" s="48">
        <v>1263.8399999999999</v>
      </c>
      <c r="P174" s="49" t="str">
        <f t="shared" si="17"/>
        <v>High</v>
      </c>
      <c r="Q174" s="48">
        <v>2281.7199999999998</v>
      </c>
      <c r="R174" s="48">
        <v>7.8E-2</v>
      </c>
      <c r="S174" s="48">
        <v>15</v>
      </c>
      <c r="T174" s="48">
        <f t="shared" si="14"/>
        <v>36583.530899999998</v>
      </c>
      <c r="U174" s="38">
        <f t="shared" si="15"/>
        <v>18957.599999999999</v>
      </c>
      <c r="V174" s="48">
        <f t="shared" si="18"/>
        <v>17625.930899999999</v>
      </c>
      <c r="W174" s="50">
        <f t="shared" si="19"/>
        <v>0.48179960945213191</v>
      </c>
    </row>
    <row r="175" spans="1:23" x14ac:dyDescent="0.3">
      <c r="A175" s="39" t="s">
        <v>451</v>
      </c>
      <c r="B175" s="40">
        <v>45435</v>
      </c>
      <c r="C175" s="41">
        <v>45446</v>
      </c>
      <c r="D175" s="42">
        <f t="shared" si="20"/>
        <v>11</v>
      </c>
      <c r="E175" s="42" t="str">
        <f>TEXT(Data!B175,"MMM-YYYY")</f>
        <v>May-2024</v>
      </c>
      <c r="F175" s="42" t="str">
        <f t="shared" si="16"/>
        <v>Q2-2024</v>
      </c>
      <c r="G175" s="37" t="s">
        <v>16</v>
      </c>
      <c r="H175" s="37" t="s">
        <v>148</v>
      </c>
      <c r="I175" s="37" t="s">
        <v>149</v>
      </c>
      <c r="J175" s="37" t="s">
        <v>62</v>
      </c>
      <c r="K175" s="37" t="s">
        <v>55</v>
      </c>
      <c r="L175" s="37" t="s">
        <v>84</v>
      </c>
      <c r="M175" s="37" t="s">
        <v>30</v>
      </c>
      <c r="N175" s="37" t="s">
        <v>452</v>
      </c>
      <c r="O175" s="42">
        <v>180.89</v>
      </c>
      <c r="P175" s="43" t="str">
        <f t="shared" si="17"/>
        <v>High</v>
      </c>
      <c r="Q175" s="42">
        <v>249.57</v>
      </c>
      <c r="R175" s="42">
        <v>2.1999999999999999E-2</v>
      </c>
      <c r="S175" s="42">
        <v>8</v>
      </c>
      <c r="T175" s="42">
        <f t="shared" si="14"/>
        <v>6897.4036800000003</v>
      </c>
      <c r="U175" s="37">
        <f t="shared" si="15"/>
        <v>1447.12</v>
      </c>
      <c r="V175" s="42">
        <f t="shared" si="18"/>
        <v>5450.2836800000005</v>
      </c>
      <c r="W175" s="44">
        <f t="shared" si="19"/>
        <v>0.79019351815000627</v>
      </c>
    </row>
    <row r="176" spans="1:23" x14ac:dyDescent="0.3">
      <c r="A176" s="45" t="s">
        <v>453</v>
      </c>
      <c r="B176" s="46">
        <v>45761</v>
      </c>
      <c r="C176" s="47">
        <v>45781</v>
      </c>
      <c r="D176" s="48">
        <f t="shared" si="20"/>
        <v>20</v>
      </c>
      <c r="E176" s="48" t="str">
        <f>TEXT(Data!B176,"MMM-YYYY")</f>
        <v>Apr-2025</v>
      </c>
      <c r="F176" s="48" t="str">
        <f t="shared" si="16"/>
        <v>Q2-2025</v>
      </c>
      <c r="G176" s="38" t="s">
        <v>78</v>
      </c>
      <c r="H176" s="38" t="s">
        <v>108</v>
      </c>
      <c r="I176" s="38" t="s">
        <v>109</v>
      </c>
      <c r="J176" s="38" t="s">
        <v>105</v>
      </c>
      <c r="K176" s="38" t="s">
        <v>40</v>
      </c>
      <c r="L176" s="38" t="s">
        <v>95</v>
      </c>
      <c r="M176" s="38" t="s">
        <v>64</v>
      </c>
      <c r="N176" s="38" t="s">
        <v>454</v>
      </c>
      <c r="O176" s="48">
        <v>1413.87</v>
      </c>
      <c r="P176" s="49" t="str">
        <f t="shared" si="17"/>
        <v>High</v>
      </c>
      <c r="Q176" s="48">
        <v>3275</v>
      </c>
      <c r="R176" s="48">
        <v>0.255</v>
      </c>
      <c r="S176" s="48">
        <v>38</v>
      </c>
      <c r="T176" s="48">
        <f t="shared" si="14"/>
        <v>17694.882399999999</v>
      </c>
      <c r="U176" s="38">
        <f t="shared" si="15"/>
        <v>53727.06</v>
      </c>
      <c r="V176" s="48">
        <f t="shared" si="18"/>
        <v>-36032.177599999995</v>
      </c>
      <c r="W176" s="50">
        <f t="shared" si="19"/>
        <v>-2.0363050053387188</v>
      </c>
    </row>
    <row r="177" spans="1:23" x14ac:dyDescent="0.3">
      <c r="A177" s="39" t="s">
        <v>455</v>
      </c>
      <c r="B177" s="40">
        <v>45165</v>
      </c>
      <c r="C177" s="41">
        <v>45180</v>
      </c>
      <c r="D177" s="42">
        <f t="shared" si="20"/>
        <v>15</v>
      </c>
      <c r="E177" s="42" t="str">
        <f>TEXT(Data!B177,"MMM-YYYY")</f>
        <v>Aug-2023</v>
      </c>
      <c r="F177" s="42" t="str">
        <f t="shared" si="16"/>
        <v>Q3-2023</v>
      </c>
      <c r="G177" s="37" t="s">
        <v>78</v>
      </c>
      <c r="H177" s="37" t="s">
        <v>108</v>
      </c>
      <c r="I177" s="37" t="s">
        <v>152</v>
      </c>
      <c r="J177" s="37" t="s">
        <v>48</v>
      </c>
      <c r="K177" s="37" t="s">
        <v>40</v>
      </c>
      <c r="L177" s="37" t="s">
        <v>126</v>
      </c>
      <c r="M177" s="37" t="s">
        <v>30</v>
      </c>
      <c r="N177" s="37" t="s">
        <v>456</v>
      </c>
      <c r="O177" s="42">
        <v>943.79</v>
      </c>
      <c r="P177" s="43" t="str">
        <f t="shared" si="17"/>
        <v>High</v>
      </c>
      <c r="Q177" s="42">
        <v>1913.76</v>
      </c>
      <c r="R177" s="42">
        <v>9.0999999999999998E-2</v>
      </c>
      <c r="S177" s="42">
        <v>9</v>
      </c>
      <c r="T177" s="42">
        <f t="shared" si="14"/>
        <v>7960.4402400000008</v>
      </c>
      <c r="U177" s="37">
        <f t="shared" si="15"/>
        <v>8494.11</v>
      </c>
      <c r="V177" s="42">
        <f t="shared" si="18"/>
        <v>-533.66975999999977</v>
      </c>
      <c r="W177" s="44">
        <f t="shared" si="19"/>
        <v>-6.7040231935715122E-2</v>
      </c>
    </row>
    <row r="178" spans="1:23" x14ac:dyDescent="0.3">
      <c r="A178" s="45" t="s">
        <v>457</v>
      </c>
      <c r="B178" s="46">
        <v>45325</v>
      </c>
      <c r="C178" s="47">
        <v>45343</v>
      </c>
      <c r="D178" s="48">
        <f t="shared" si="20"/>
        <v>18</v>
      </c>
      <c r="E178" s="48" t="str">
        <f>TEXT(Data!B178,"MMM-YYYY")</f>
        <v>Feb-2024</v>
      </c>
      <c r="F178" s="48" t="str">
        <f t="shared" si="16"/>
        <v>Q1-2024</v>
      </c>
      <c r="G178" s="38" t="s">
        <v>78</v>
      </c>
      <c r="H178" s="38" t="s">
        <v>79</v>
      </c>
      <c r="I178" s="38" t="s">
        <v>335</v>
      </c>
      <c r="J178" s="38" t="s">
        <v>19</v>
      </c>
      <c r="K178" s="38" t="s">
        <v>20</v>
      </c>
      <c r="L178" s="38" t="s">
        <v>92</v>
      </c>
      <c r="M178" s="38" t="s">
        <v>22</v>
      </c>
      <c r="N178" s="38" t="s">
        <v>458</v>
      </c>
      <c r="O178" s="48">
        <v>39.229999999999997</v>
      </c>
      <c r="P178" s="49" t="str">
        <f t="shared" si="17"/>
        <v>Low</v>
      </c>
      <c r="Q178" s="48">
        <v>30.09</v>
      </c>
      <c r="R178" s="48">
        <v>0.17699999999999999</v>
      </c>
      <c r="S178" s="48">
        <v>13</v>
      </c>
      <c r="T178" s="48">
        <f t="shared" si="14"/>
        <v>16533.592659999998</v>
      </c>
      <c r="U178" s="38">
        <f t="shared" si="15"/>
        <v>509.98999999999995</v>
      </c>
      <c r="V178" s="48">
        <f t="shared" si="18"/>
        <v>16023.602659999999</v>
      </c>
      <c r="W178" s="50">
        <f t="shared" si="19"/>
        <v>0.96915431446222655</v>
      </c>
    </row>
    <row r="179" spans="1:23" x14ac:dyDescent="0.3">
      <c r="A179" s="39" t="s">
        <v>459</v>
      </c>
      <c r="B179" s="40">
        <v>45021</v>
      </c>
      <c r="C179" s="41">
        <v>45032</v>
      </c>
      <c r="D179" s="42">
        <f t="shared" si="20"/>
        <v>11</v>
      </c>
      <c r="E179" s="42" t="str">
        <f>TEXT(Data!B179,"MMM-YYYY")</f>
        <v>Apr-2023</v>
      </c>
      <c r="F179" s="42" t="str">
        <f t="shared" si="16"/>
        <v>Q2-2023</v>
      </c>
      <c r="G179" s="37" t="s">
        <v>52</v>
      </c>
      <c r="H179" s="37" t="s">
        <v>53</v>
      </c>
      <c r="I179" s="37" t="s">
        <v>179</v>
      </c>
      <c r="J179" s="37" t="s">
        <v>39</v>
      </c>
      <c r="K179" s="37" t="s">
        <v>28</v>
      </c>
      <c r="L179" s="37" t="s">
        <v>68</v>
      </c>
      <c r="M179" s="37" t="s">
        <v>64</v>
      </c>
      <c r="N179" s="37" t="s">
        <v>460</v>
      </c>
      <c r="O179" s="42">
        <v>213.1</v>
      </c>
      <c r="P179" s="43" t="str">
        <f t="shared" si="17"/>
        <v>High</v>
      </c>
      <c r="Q179" s="42">
        <v>501.31</v>
      </c>
      <c r="R179" s="42">
        <v>5.6000000000000001E-2</v>
      </c>
      <c r="S179" s="42">
        <v>15</v>
      </c>
      <c r="T179" s="42">
        <f t="shared" si="14"/>
        <v>31908.427200000002</v>
      </c>
      <c r="U179" s="37">
        <f t="shared" si="15"/>
        <v>3196.5</v>
      </c>
      <c r="V179" s="42">
        <f t="shared" si="18"/>
        <v>28711.927200000002</v>
      </c>
      <c r="W179" s="44">
        <f t="shared" si="19"/>
        <v>0.89982270263700115</v>
      </c>
    </row>
    <row r="180" spans="1:23" x14ac:dyDescent="0.3">
      <c r="A180" s="45" t="s">
        <v>461</v>
      </c>
      <c r="B180" s="46">
        <v>45890</v>
      </c>
      <c r="C180" s="47">
        <v>45912</v>
      </c>
      <c r="D180" s="48">
        <f t="shared" si="20"/>
        <v>22</v>
      </c>
      <c r="E180" s="48" t="str">
        <f>TEXT(Data!B180,"MMM-YYYY")</f>
        <v>Aug-2025</v>
      </c>
      <c r="F180" s="48" t="str">
        <f t="shared" si="16"/>
        <v>Q3-2025</v>
      </c>
      <c r="G180" s="38" t="s">
        <v>45</v>
      </c>
      <c r="H180" s="38" t="s">
        <v>116</v>
      </c>
      <c r="I180" s="38" t="s">
        <v>117</v>
      </c>
      <c r="J180" s="38" t="s">
        <v>27</v>
      </c>
      <c r="K180" s="38" t="s">
        <v>20</v>
      </c>
      <c r="L180" s="38" t="s">
        <v>56</v>
      </c>
      <c r="M180" s="38" t="s">
        <v>30</v>
      </c>
      <c r="N180" s="38" t="s">
        <v>462</v>
      </c>
      <c r="O180" s="48">
        <v>352.66</v>
      </c>
      <c r="P180" s="49" t="str">
        <f t="shared" si="17"/>
        <v>High</v>
      </c>
      <c r="Q180" s="48">
        <v>411.18</v>
      </c>
      <c r="R180" s="48">
        <v>0.17299999999999999</v>
      </c>
      <c r="S180" s="48">
        <v>13</v>
      </c>
      <c r="T180" s="48">
        <f t="shared" si="14"/>
        <v>26302.966559999997</v>
      </c>
      <c r="U180" s="38">
        <f t="shared" si="15"/>
        <v>4584.58</v>
      </c>
      <c r="V180" s="48">
        <f t="shared" si="18"/>
        <v>21718.386559999999</v>
      </c>
      <c r="W180" s="50">
        <f t="shared" si="19"/>
        <v>0.82570102921501043</v>
      </c>
    </row>
    <row r="181" spans="1:23" x14ac:dyDescent="0.3">
      <c r="A181" s="39" t="s">
        <v>463</v>
      </c>
      <c r="B181" s="40">
        <v>45915</v>
      </c>
      <c r="C181" s="41">
        <v>45918</v>
      </c>
      <c r="D181" s="42">
        <f t="shared" si="20"/>
        <v>3</v>
      </c>
      <c r="E181" s="42" t="str">
        <f>TEXT(Data!B181,"MMM-YYYY")</f>
        <v>Sept-2025</v>
      </c>
      <c r="F181" s="42" t="str">
        <f t="shared" si="16"/>
        <v>Q3-2025</v>
      </c>
      <c r="G181" s="37" t="s">
        <v>52</v>
      </c>
      <c r="H181" s="37" t="s">
        <v>73</v>
      </c>
      <c r="I181" s="37" t="s">
        <v>225</v>
      </c>
      <c r="J181" s="37" t="s">
        <v>39</v>
      </c>
      <c r="K181" s="37" t="s">
        <v>98</v>
      </c>
      <c r="L181" s="37" t="s">
        <v>49</v>
      </c>
      <c r="M181" s="37" t="s">
        <v>81</v>
      </c>
      <c r="N181" s="37" t="s">
        <v>464</v>
      </c>
      <c r="O181" s="42">
        <v>5.5</v>
      </c>
      <c r="P181" s="43" t="str">
        <f t="shared" si="17"/>
        <v>Low</v>
      </c>
      <c r="Q181" s="42">
        <v>5.92</v>
      </c>
      <c r="R181" s="42">
        <v>0.21199999999999999</v>
      </c>
      <c r="S181" s="42">
        <v>4</v>
      </c>
      <c r="T181" s="42">
        <f t="shared" si="14"/>
        <v>593.52160000000003</v>
      </c>
      <c r="U181" s="37">
        <f t="shared" si="15"/>
        <v>22</v>
      </c>
      <c r="V181" s="42">
        <f t="shared" si="18"/>
        <v>571.52160000000003</v>
      </c>
      <c r="W181" s="44">
        <f t="shared" si="19"/>
        <v>0.96293310976382329</v>
      </c>
    </row>
    <row r="182" spans="1:23" x14ac:dyDescent="0.3">
      <c r="A182" s="45" t="s">
        <v>465</v>
      </c>
      <c r="B182" s="46">
        <v>45568</v>
      </c>
      <c r="C182" s="47">
        <v>45576</v>
      </c>
      <c r="D182" s="48">
        <f t="shared" si="20"/>
        <v>8</v>
      </c>
      <c r="E182" s="48" t="str">
        <f>TEXT(Data!B182,"MMM-YYYY")</f>
        <v>Oct-2024</v>
      </c>
      <c r="F182" s="48" t="str">
        <f t="shared" si="16"/>
        <v>Q4-2024</v>
      </c>
      <c r="G182" s="38" t="s">
        <v>45</v>
      </c>
      <c r="H182" s="38" t="s">
        <v>116</v>
      </c>
      <c r="I182" s="38" t="s">
        <v>338</v>
      </c>
      <c r="J182" s="38" t="s">
        <v>105</v>
      </c>
      <c r="K182" s="38" t="s">
        <v>98</v>
      </c>
      <c r="L182" s="38" t="s">
        <v>56</v>
      </c>
      <c r="M182" s="38" t="s">
        <v>42</v>
      </c>
      <c r="N182" s="38" t="s">
        <v>466</v>
      </c>
      <c r="O182" s="48">
        <v>1132.6099999999999</v>
      </c>
      <c r="P182" s="49" t="str">
        <f t="shared" si="17"/>
        <v>High</v>
      </c>
      <c r="Q182" s="48">
        <v>2206.63</v>
      </c>
      <c r="R182" s="48">
        <v>6.3E-2</v>
      </c>
      <c r="S182" s="48">
        <v>20</v>
      </c>
      <c r="T182" s="48">
        <f t="shared" si="14"/>
        <v>48027.621600000006</v>
      </c>
      <c r="U182" s="38">
        <f t="shared" si="15"/>
        <v>22652.199999999997</v>
      </c>
      <c r="V182" s="48">
        <f t="shared" si="18"/>
        <v>25375.421600000009</v>
      </c>
      <c r="W182" s="50">
        <f t="shared" si="19"/>
        <v>0.52835057732694402</v>
      </c>
    </row>
    <row r="183" spans="1:23" x14ac:dyDescent="0.3">
      <c r="A183" s="39" t="s">
        <v>467</v>
      </c>
      <c r="B183" s="40">
        <v>45690</v>
      </c>
      <c r="C183" s="41">
        <v>45720</v>
      </c>
      <c r="D183" s="42">
        <f t="shared" si="20"/>
        <v>2</v>
      </c>
      <c r="E183" s="42" t="str">
        <f>TEXT(Data!B183,"MMM-YYYY")</f>
        <v>Feb-2025</v>
      </c>
      <c r="F183" s="42" t="str">
        <f t="shared" si="16"/>
        <v>Q1-2025</v>
      </c>
      <c r="G183" s="37" t="s">
        <v>45</v>
      </c>
      <c r="H183" s="37" t="s">
        <v>46</v>
      </c>
      <c r="I183" s="37" t="s">
        <v>47</v>
      </c>
      <c r="J183" s="37" t="s">
        <v>27</v>
      </c>
      <c r="K183" s="37" t="s">
        <v>55</v>
      </c>
      <c r="L183" s="37" t="s">
        <v>49</v>
      </c>
      <c r="M183" s="37" t="s">
        <v>81</v>
      </c>
      <c r="N183" s="37" t="s">
        <v>468</v>
      </c>
      <c r="O183" s="42">
        <v>766.59</v>
      </c>
      <c r="P183" s="43" t="str">
        <f t="shared" si="17"/>
        <v>High</v>
      </c>
      <c r="Q183" s="42">
        <v>1912.8</v>
      </c>
      <c r="R183" s="42">
        <v>0.19600000000000001</v>
      </c>
      <c r="S183" s="42">
        <v>5</v>
      </c>
      <c r="T183" s="42">
        <f t="shared" si="14"/>
        <v>7256.5421999999999</v>
      </c>
      <c r="U183" s="37">
        <f t="shared" si="15"/>
        <v>3832.9500000000003</v>
      </c>
      <c r="V183" s="42">
        <f t="shared" si="18"/>
        <v>3423.5921999999996</v>
      </c>
      <c r="W183" s="44">
        <f t="shared" si="19"/>
        <v>0.47179388001078526</v>
      </c>
    </row>
    <row r="184" spans="1:23" x14ac:dyDescent="0.3">
      <c r="A184" s="45" t="s">
        <v>469</v>
      </c>
      <c r="B184" s="46">
        <v>45157</v>
      </c>
      <c r="C184" s="47">
        <v>45161</v>
      </c>
      <c r="D184" s="48">
        <f t="shared" si="20"/>
        <v>4</v>
      </c>
      <c r="E184" s="48" t="str">
        <f>TEXT(Data!B184,"MMM-YYYY")</f>
        <v>Aug-2023</v>
      </c>
      <c r="F184" s="48" t="str">
        <f t="shared" si="16"/>
        <v>Q3-2023</v>
      </c>
      <c r="G184" s="38" t="s">
        <v>16</v>
      </c>
      <c r="H184" s="38" t="s">
        <v>25</v>
      </c>
      <c r="I184" s="38" t="s">
        <v>67</v>
      </c>
      <c r="J184" s="38" t="s">
        <v>62</v>
      </c>
      <c r="K184" s="38" t="s">
        <v>28</v>
      </c>
      <c r="L184" s="38" t="s">
        <v>29</v>
      </c>
      <c r="M184" s="38" t="s">
        <v>64</v>
      </c>
      <c r="N184" s="38" t="s">
        <v>470</v>
      </c>
      <c r="O184" s="48">
        <v>790.63</v>
      </c>
      <c r="P184" s="49" t="str">
        <f t="shared" si="17"/>
        <v>High</v>
      </c>
      <c r="Q184" s="48">
        <v>1382.31</v>
      </c>
      <c r="R184" s="48">
        <v>0.10100000000000001</v>
      </c>
      <c r="S184" s="48">
        <v>7</v>
      </c>
      <c r="T184" s="48">
        <f t="shared" si="14"/>
        <v>12999.63889</v>
      </c>
      <c r="U184" s="38">
        <f t="shared" si="15"/>
        <v>5534.41</v>
      </c>
      <c r="V184" s="48">
        <f t="shared" si="18"/>
        <v>7465.2288900000003</v>
      </c>
      <c r="W184" s="50">
        <f t="shared" si="19"/>
        <v>0.57426432789164961</v>
      </c>
    </row>
    <row r="185" spans="1:23" x14ac:dyDescent="0.3">
      <c r="A185" s="39" t="s">
        <v>471</v>
      </c>
      <c r="B185" s="40">
        <v>45587</v>
      </c>
      <c r="C185" s="41">
        <v>45594</v>
      </c>
      <c r="D185" s="42">
        <f t="shared" si="20"/>
        <v>7</v>
      </c>
      <c r="E185" s="42" t="str">
        <f>TEXT(Data!B185,"MMM-YYYY")</f>
        <v>Oct-2024</v>
      </c>
      <c r="F185" s="42" t="str">
        <f t="shared" si="16"/>
        <v>Q4-2024</v>
      </c>
      <c r="G185" s="37" t="s">
        <v>16</v>
      </c>
      <c r="H185" s="37" t="s">
        <v>25</v>
      </c>
      <c r="I185" s="37" t="s">
        <v>26</v>
      </c>
      <c r="J185" s="37" t="s">
        <v>105</v>
      </c>
      <c r="K185" s="37" t="s">
        <v>55</v>
      </c>
      <c r="L185" s="37" t="s">
        <v>110</v>
      </c>
      <c r="M185" s="37" t="s">
        <v>64</v>
      </c>
      <c r="N185" s="37" t="s">
        <v>472</v>
      </c>
      <c r="O185" s="42">
        <v>1023.06</v>
      </c>
      <c r="P185" s="43" t="str">
        <f t="shared" si="17"/>
        <v>High</v>
      </c>
      <c r="Q185" s="42">
        <v>1355.61</v>
      </c>
      <c r="R185" s="42">
        <v>0.153</v>
      </c>
      <c r="S185" s="42">
        <v>23</v>
      </c>
      <c r="T185" s="42">
        <f t="shared" si="14"/>
        <v>46101.981310000003</v>
      </c>
      <c r="U185" s="37">
        <f t="shared" si="15"/>
        <v>23530.379999999997</v>
      </c>
      <c r="V185" s="42">
        <f t="shared" si="18"/>
        <v>22571.601310000005</v>
      </c>
      <c r="W185" s="44">
        <f t="shared" si="19"/>
        <v>0.4896015457171683</v>
      </c>
    </row>
    <row r="186" spans="1:23" x14ac:dyDescent="0.3">
      <c r="A186" s="45" t="s">
        <v>473</v>
      </c>
      <c r="B186" s="46">
        <v>45099</v>
      </c>
      <c r="C186" s="47">
        <v>45128</v>
      </c>
      <c r="D186" s="48">
        <f t="shared" si="20"/>
        <v>29</v>
      </c>
      <c r="E186" s="48" t="str">
        <f>TEXT(Data!B186,"MMM-YYYY")</f>
        <v>Jun-2023</v>
      </c>
      <c r="F186" s="48" t="str">
        <f t="shared" si="16"/>
        <v>Q2-2023</v>
      </c>
      <c r="G186" s="38" t="s">
        <v>78</v>
      </c>
      <c r="H186" s="38" t="s">
        <v>90</v>
      </c>
      <c r="I186" s="38" t="s">
        <v>138</v>
      </c>
      <c r="J186" s="38" t="s">
        <v>19</v>
      </c>
      <c r="K186" s="38" t="s">
        <v>20</v>
      </c>
      <c r="L186" s="38" t="s">
        <v>29</v>
      </c>
      <c r="M186" s="38" t="s">
        <v>81</v>
      </c>
      <c r="N186" s="38" t="s">
        <v>474</v>
      </c>
      <c r="O186" s="48">
        <v>734.34</v>
      </c>
      <c r="P186" s="49" t="str">
        <f t="shared" si="17"/>
        <v>High</v>
      </c>
      <c r="Q186" s="48">
        <v>887.9</v>
      </c>
      <c r="R186" s="48">
        <v>2.5000000000000001E-2</v>
      </c>
      <c r="S186" s="48">
        <v>12</v>
      </c>
      <c r="T186" s="48">
        <f t="shared" si="14"/>
        <v>1541.5919999999999</v>
      </c>
      <c r="U186" s="38">
        <f t="shared" si="15"/>
        <v>8812.08</v>
      </c>
      <c r="V186" s="48">
        <f t="shared" si="18"/>
        <v>-7270.4880000000003</v>
      </c>
      <c r="W186" s="50">
        <f t="shared" si="19"/>
        <v>-4.7162206342534221</v>
      </c>
    </row>
    <row r="187" spans="1:23" x14ac:dyDescent="0.3">
      <c r="A187" s="39" t="s">
        <v>475</v>
      </c>
      <c r="B187" s="40">
        <v>45670</v>
      </c>
      <c r="C187" s="41">
        <v>45696</v>
      </c>
      <c r="D187" s="42">
        <f t="shared" si="20"/>
        <v>26</v>
      </c>
      <c r="E187" s="42" t="str">
        <f>TEXT(Data!B187,"MMM-YYYY")</f>
        <v>Jan-2025</v>
      </c>
      <c r="F187" s="42" t="str">
        <f t="shared" si="16"/>
        <v>Q1-2025</v>
      </c>
      <c r="G187" s="37" t="s">
        <v>78</v>
      </c>
      <c r="H187" s="37" t="s">
        <v>90</v>
      </c>
      <c r="I187" s="37" t="s">
        <v>217</v>
      </c>
      <c r="J187" s="37" t="s">
        <v>39</v>
      </c>
      <c r="K187" s="37" t="s">
        <v>1364</v>
      </c>
      <c r="L187" s="37" t="s">
        <v>63</v>
      </c>
      <c r="M187" s="37" t="s">
        <v>64</v>
      </c>
      <c r="N187" s="37" t="s">
        <v>476</v>
      </c>
      <c r="O187" s="42">
        <v>594.74</v>
      </c>
      <c r="P187" s="43" t="str">
        <f t="shared" si="17"/>
        <v>High</v>
      </c>
      <c r="Q187" s="42">
        <v>1020.69</v>
      </c>
      <c r="R187" s="42">
        <v>0.21099999999999999</v>
      </c>
      <c r="S187" s="42">
        <v>6</v>
      </c>
      <c r="T187" s="42">
        <f t="shared" si="14"/>
        <v>6319.9846800000005</v>
      </c>
      <c r="U187" s="37">
        <f t="shared" si="15"/>
        <v>3568.44</v>
      </c>
      <c r="V187" s="42">
        <f t="shared" si="18"/>
        <v>2751.5446800000004</v>
      </c>
      <c r="W187" s="44">
        <f t="shared" si="19"/>
        <v>0.43537204903477711</v>
      </c>
    </row>
    <row r="188" spans="1:23" x14ac:dyDescent="0.3">
      <c r="A188" s="45" t="s">
        <v>360</v>
      </c>
      <c r="B188" s="46">
        <v>44955</v>
      </c>
      <c r="C188" s="47">
        <v>44985</v>
      </c>
      <c r="D188" s="48">
        <f t="shared" si="20"/>
        <v>30</v>
      </c>
      <c r="E188" s="48" t="str">
        <f>TEXT(Data!B188,"MMM-YYYY")</f>
        <v>Jan-2023</v>
      </c>
      <c r="F188" s="48" t="str">
        <f t="shared" si="16"/>
        <v>Q1-2023</v>
      </c>
      <c r="G188" s="38" t="s">
        <v>45</v>
      </c>
      <c r="H188" s="38" t="s">
        <v>60</v>
      </c>
      <c r="I188" s="38" t="s">
        <v>61</v>
      </c>
      <c r="J188" s="38" t="s">
        <v>39</v>
      </c>
      <c r="K188" s="38" t="s">
        <v>20</v>
      </c>
      <c r="L188" s="38" t="s">
        <v>56</v>
      </c>
      <c r="M188" s="38" t="s">
        <v>81</v>
      </c>
      <c r="N188" s="38" t="s">
        <v>477</v>
      </c>
      <c r="O188" s="48">
        <v>1262.0999999999999</v>
      </c>
      <c r="P188" s="49" t="str">
        <f t="shared" si="17"/>
        <v>High</v>
      </c>
      <c r="Q188" s="48">
        <v>1395.53</v>
      </c>
      <c r="R188" s="48">
        <v>0.23300000000000001</v>
      </c>
      <c r="S188" s="48">
        <v>25</v>
      </c>
      <c r="T188" s="48">
        <f t="shared" si="14"/>
        <v>51608.553749999999</v>
      </c>
      <c r="U188" s="38">
        <f t="shared" si="15"/>
        <v>31552.499999999996</v>
      </c>
      <c r="V188" s="48">
        <f t="shared" si="18"/>
        <v>20056.053750000003</v>
      </c>
      <c r="W188" s="50">
        <f t="shared" si="19"/>
        <v>0.38861879073679723</v>
      </c>
    </row>
    <row r="189" spans="1:23" x14ac:dyDescent="0.3">
      <c r="A189" s="39" t="s">
        <v>478</v>
      </c>
      <c r="B189" s="40">
        <v>45126</v>
      </c>
      <c r="C189" s="41">
        <v>45138</v>
      </c>
      <c r="D189" s="42">
        <f t="shared" si="20"/>
        <v>12</v>
      </c>
      <c r="E189" s="42" t="str">
        <f>TEXT(Data!B189,"MMM-YYYY")</f>
        <v>Jul-2023</v>
      </c>
      <c r="F189" s="42" t="str">
        <f t="shared" si="16"/>
        <v>Q3-2023</v>
      </c>
      <c r="G189" s="37" t="s">
        <v>52</v>
      </c>
      <c r="H189" s="37" t="s">
        <v>73</v>
      </c>
      <c r="I189" s="37" t="s">
        <v>225</v>
      </c>
      <c r="J189" s="37" t="s">
        <v>19</v>
      </c>
      <c r="K189" s="37" t="s">
        <v>20</v>
      </c>
      <c r="L189" s="37" t="s">
        <v>21</v>
      </c>
      <c r="M189" s="37" t="s">
        <v>64</v>
      </c>
      <c r="N189" s="37" t="s">
        <v>479</v>
      </c>
      <c r="O189" s="42">
        <v>1334.64</v>
      </c>
      <c r="P189" s="43" t="str">
        <f t="shared" si="17"/>
        <v>High</v>
      </c>
      <c r="Q189" s="42">
        <v>2273.42</v>
      </c>
      <c r="R189" s="42">
        <v>0.11799999999999999</v>
      </c>
      <c r="S189" s="42">
        <v>14</v>
      </c>
      <c r="T189" s="42">
        <f t="shared" si="14"/>
        <v>9587.7280800000008</v>
      </c>
      <c r="U189" s="37">
        <f t="shared" si="15"/>
        <v>18684.960000000003</v>
      </c>
      <c r="V189" s="42">
        <f t="shared" si="18"/>
        <v>-9097.231920000002</v>
      </c>
      <c r="W189" s="44">
        <f t="shared" si="19"/>
        <v>-0.94884125249409468</v>
      </c>
    </row>
    <row r="190" spans="1:23" x14ac:dyDescent="0.3">
      <c r="A190" s="45" t="s">
        <v>480</v>
      </c>
      <c r="B190" s="46">
        <v>45431</v>
      </c>
      <c r="C190" s="47">
        <v>45451</v>
      </c>
      <c r="D190" s="48">
        <f t="shared" si="20"/>
        <v>20</v>
      </c>
      <c r="E190" s="48" t="str">
        <f>TEXT(Data!B190,"MMM-YYYY")</f>
        <v>May-2024</v>
      </c>
      <c r="F190" s="48" t="str">
        <f t="shared" si="16"/>
        <v>Q2-2024</v>
      </c>
      <c r="G190" s="38" t="s">
        <v>52</v>
      </c>
      <c r="H190" s="38" t="s">
        <v>73</v>
      </c>
      <c r="I190" s="38" t="s">
        <v>87</v>
      </c>
      <c r="J190" s="38" t="s">
        <v>62</v>
      </c>
      <c r="K190" s="38" t="s">
        <v>20</v>
      </c>
      <c r="L190" s="38" t="s">
        <v>63</v>
      </c>
      <c r="M190" s="38" t="s">
        <v>64</v>
      </c>
      <c r="N190" s="38" t="s">
        <v>481</v>
      </c>
      <c r="O190" s="48">
        <v>1075.9000000000001</v>
      </c>
      <c r="P190" s="49" t="str">
        <f t="shared" si="17"/>
        <v>High</v>
      </c>
      <c r="Q190" s="48">
        <v>1242.1500000000001</v>
      </c>
      <c r="R190" s="48">
        <v>1.2E-2</v>
      </c>
      <c r="S190" s="48">
        <v>7</v>
      </c>
      <c r="T190" s="48">
        <f t="shared" si="14"/>
        <v>2200.4637200000002</v>
      </c>
      <c r="U190" s="38">
        <f t="shared" si="15"/>
        <v>7531.3000000000011</v>
      </c>
      <c r="V190" s="48">
        <f t="shared" si="18"/>
        <v>-5330.8362800000014</v>
      </c>
      <c r="W190" s="50">
        <f t="shared" si="19"/>
        <v>-2.4225967606500691</v>
      </c>
    </row>
    <row r="191" spans="1:23" x14ac:dyDescent="0.3">
      <c r="A191" s="39" t="s">
        <v>482</v>
      </c>
      <c r="B191" s="40">
        <v>45325</v>
      </c>
      <c r="C191" s="41">
        <v>45341</v>
      </c>
      <c r="D191" s="42">
        <f t="shared" si="20"/>
        <v>16</v>
      </c>
      <c r="E191" s="42" t="str">
        <f>TEXT(Data!B191,"MMM-YYYY")</f>
        <v>Feb-2024</v>
      </c>
      <c r="F191" s="42" t="str">
        <f t="shared" si="16"/>
        <v>Q1-2024</v>
      </c>
      <c r="G191" s="37" t="s">
        <v>45</v>
      </c>
      <c r="H191" s="37" t="s">
        <v>116</v>
      </c>
      <c r="I191" s="37" t="s">
        <v>117</v>
      </c>
      <c r="J191" s="37" t="s">
        <v>62</v>
      </c>
      <c r="K191" s="37" t="s">
        <v>28</v>
      </c>
      <c r="L191" s="37" t="s">
        <v>92</v>
      </c>
      <c r="M191" s="37" t="s">
        <v>57</v>
      </c>
      <c r="N191" s="37" t="s">
        <v>483</v>
      </c>
      <c r="O191" s="42">
        <v>993.75</v>
      </c>
      <c r="P191" s="43" t="str">
        <f t="shared" si="17"/>
        <v>High</v>
      </c>
      <c r="Q191" s="42">
        <v>1310.29</v>
      </c>
      <c r="R191" s="42">
        <v>0.215</v>
      </c>
      <c r="S191" s="42">
        <v>19</v>
      </c>
      <c r="T191" s="42">
        <f t="shared" si="14"/>
        <v>18590.205150000002</v>
      </c>
      <c r="U191" s="37">
        <f t="shared" si="15"/>
        <v>18881.25</v>
      </c>
      <c r="V191" s="42">
        <f t="shared" si="18"/>
        <v>-291.04484999999841</v>
      </c>
      <c r="W191" s="44">
        <f t="shared" si="19"/>
        <v>-1.5655817009636301E-2</v>
      </c>
    </row>
    <row r="192" spans="1:23" x14ac:dyDescent="0.3">
      <c r="A192" s="45" t="s">
        <v>484</v>
      </c>
      <c r="B192" s="46">
        <v>45146</v>
      </c>
      <c r="C192" s="47">
        <v>45160</v>
      </c>
      <c r="D192" s="48">
        <f t="shared" si="20"/>
        <v>14</v>
      </c>
      <c r="E192" s="48" t="str">
        <f>TEXT(Data!B192,"MMM-YYYY")</f>
        <v>Aug-2023</v>
      </c>
      <c r="F192" s="48" t="str">
        <f t="shared" si="16"/>
        <v>Q3-2023</v>
      </c>
      <c r="G192" s="38" t="s">
        <v>78</v>
      </c>
      <c r="H192" s="38" t="s">
        <v>108</v>
      </c>
      <c r="I192" s="38" t="s">
        <v>109</v>
      </c>
      <c r="J192" s="38" t="s">
        <v>39</v>
      </c>
      <c r="K192" s="38" t="s">
        <v>98</v>
      </c>
      <c r="L192" s="38" t="s">
        <v>126</v>
      </c>
      <c r="M192" s="38" t="s">
        <v>64</v>
      </c>
      <c r="N192" s="38" t="s">
        <v>485</v>
      </c>
      <c r="O192" s="48">
        <v>446.69</v>
      </c>
      <c r="P192" s="49" t="str">
        <f t="shared" si="17"/>
        <v>High</v>
      </c>
      <c r="Q192" s="48">
        <v>967.25</v>
      </c>
      <c r="R192" s="48">
        <v>9.4E-2</v>
      </c>
      <c r="S192" s="48">
        <v>10</v>
      </c>
      <c r="T192" s="48">
        <f t="shared" si="14"/>
        <v>3143.4576000000002</v>
      </c>
      <c r="U192" s="38">
        <f t="shared" si="15"/>
        <v>4466.8999999999996</v>
      </c>
      <c r="V192" s="48">
        <f t="shared" si="18"/>
        <v>-1323.4423999999995</v>
      </c>
      <c r="W192" s="50">
        <f t="shared" si="19"/>
        <v>-0.42101487228585471</v>
      </c>
    </row>
    <row r="193" spans="1:23" x14ac:dyDescent="0.3">
      <c r="A193" s="39" t="s">
        <v>486</v>
      </c>
      <c r="B193" s="40">
        <v>45516</v>
      </c>
      <c r="C193" s="41">
        <v>45538</v>
      </c>
      <c r="D193" s="42">
        <f t="shared" si="20"/>
        <v>22</v>
      </c>
      <c r="E193" s="42" t="str">
        <f>TEXT(Data!B193,"MMM-YYYY")</f>
        <v>Aug-2024</v>
      </c>
      <c r="F193" s="42" t="str">
        <f t="shared" si="16"/>
        <v>Q3-2024</v>
      </c>
      <c r="G193" s="37" t="s">
        <v>52</v>
      </c>
      <c r="H193" s="37" t="s">
        <v>122</v>
      </c>
      <c r="I193" s="37" t="s">
        <v>326</v>
      </c>
      <c r="J193" s="37" t="s">
        <v>48</v>
      </c>
      <c r="K193" s="37" t="s">
        <v>55</v>
      </c>
      <c r="L193" s="37" t="s">
        <v>34</v>
      </c>
      <c r="M193" s="37" t="s">
        <v>57</v>
      </c>
      <c r="N193" s="37" t="s">
        <v>487</v>
      </c>
      <c r="O193" s="42">
        <v>797.8</v>
      </c>
      <c r="P193" s="43" t="str">
        <f t="shared" si="17"/>
        <v>High</v>
      </c>
      <c r="Q193" s="42">
        <v>886.22</v>
      </c>
      <c r="R193" s="42">
        <v>0.23599999999999999</v>
      </c>
      <c r="S193" s="42">
        <v>36</v>
      </c>
      <c r="T193" s="42">
        <f t="shared" ref="T193:T256" si="21">(Q219*S193)*(1-R193)</f>
        <v>13882.919040000001</v>
      </c>
      <c r="U193" s="37">
        <f t="shared" ref="U193:U256" si="22">(O193*S193)</f>
        <v>28720.799999999999</v>
      </c>
      <c r="V193" s="42">
        <f t="shared" si="18"/>
        <v>-14837.880959999999</v>
      </c>
      <c r="W193" s="44">
        <f t="shared" si="19"/>
        <v>-1.06878682482038</v>
      </c>
    </row>
    <row r="194" spans="1:23" x14ac:dyDescent="0.3">
      <c r="A194" s="45" t="s">
        <v>488</v>
      </c>
      <c r="B194" s="46">
        <v>45214</v>
      </c>
      <c r="C194" s="47">
        <v>45243</v>
      </c>
      <c r="D194" s="48">
        <f t="shared" si="20"/>
        <v>29</v>
      </c>
      <c r="E194" s="48" t="str">
        <f>TEXT(Data!B194,"MMM-YYYY")</f>
        <v>Oct-2023</v>
      </c>
      <c r="F194" s="48" t="str">
        <f t="shared" ref="F194:F257" si="23">"Q"&amp;ROUNDUP(MONTH(B194)/3,0)&amp;"-"&amp;YEAR(B194)</f>
        <v>Q4-2023</v>
      </c>
      <c r="G194" s="38" t="s">
        <v>45</v>
      </c>
      <c r="H194" s="38" t="s">
        <v>116</v>
      </c>
      <c r="I194" s="38" t="s">
        <v>117</v>
      </c>
      <c r="J194" s="38" t="s">
        <v>39</v>
      </c>
      <c r="K194" s="38" t="s">
        <v>55</v>
      </c>
      <c r="L194" s="38" t="s">
        <v>29</v>
      </c>
      <c r="M194" s="38" t="s">
        <v>30</v>
      </c>
      <c r="N194" s="38" t="s">
        <v>489</v>
      </c>
      <c r="O194" s="48">
        <v>986.44</v>
      </c>
      <c r="P194" s="49" t="str">
        <f t="shared" ref="P194:P257" si="24">IF(Q194&lt;50, "Low", IF(Q194&lt;200, "Medium", "High"))</f>
        <v>High</v>
      </c>
      <c r="Q194" s="48">
        <v>790.61</v>
      </c>
      <c r="R194" s="48">
        <v>7.1999999999999995E-2</v>
      </c>
      <c r="S194" s="48">
        <v>6</v>
      </c>
      <c r="T194" s="48">
        <f t="shared" si="21"/>
        <v>5219.7772800000002</v>
      </c>
      <c r="U194" s="38">
        <f t="shared" si="22"/>
        <v>5918.64</v>
      </c>
      <c r="V194" s="48">
        <f t="shared" ref="V194:V257" si="25">(T194-U194)</f>
        <v>-698.86272000000008</v>
      </c>
      <c r="W194" s="50">
        <f t="shared" ref="W194:W257" si="26">IF(T194=0, 0, V194/T194)</f>
        <v>-0.13388745965804888</v>
      </c>
    </row>
    <row r="195" spans="1:23" x14ac:dyDescent="0.3">
      <c r="A195" s="39" t="s">
        <v>490</v>
      </c>
      <c r="B195" s="40">
        <v>45050</v>
      </c>
      <c r="C195" s="41">
        <v>45072</v>
      </c>
      <c r="D195" s="42">
        <f t="shared" ref="D195:D258" si="27">DATEDIF(B195,C195, "MD")</f>
        <v>22</v>
      </c>
      <c r="E195" s="42" t="str">
        <f>TEXT(Data!B195,"MMM-YYYY")</f>
        <v>May-2023</v>
      </c>
      <c r="F195" s="42" t="str">
        <f t="shared" si="23"/>
        <v>Q2-2023</v>
      </c>
      <c r="G195" s="37" t="s">
        <v>52</v>
      </c>
      <c r="H195" s="37" t="s">
        <v>122</v>
      </c>
      <c r="I195" s="37" t="s">
        <v>167</v>
      </c>
      <c r="J195" s="37" t="s">
        <v>105</v>
      </c>
      <c r="K195" s="37" t="s">
        <v>28</v>
      </c>
      <c r="L195" s="37" t="s">
        <v>29</v>
      </c>
      <c r="M195" s="37" t="s">
        <v>35</v>
      </c>
      <c r="N195" s="37" t="s">
        <v>491</v>
      </c>
      <c r="O195" s="42">
        <v>249.71</v>
      </c>
      <c r="P195" s="43" t="str">
        <f t="shared" si="24"/>
        <v>High</v>
      </c>
      <c r="Q195" s="42">
        <v>361.33</v>
      </c>
      <c r="R195" s="42">
        <v>9.4E-2</v>
      </c>
      <c r="S195" s="42">
        <v>12</v>
      </c>
      <c r="T195" s="42">
        <f t="shared" si="21"/>
        <v>14139.90576</v>
      </c>
      <c r="U195" s="37">
        <f t="shared" si="22"/>
        <v>2996.52</v>
      </c>
      <c r="V195" s="42">
        <f t="shared" si="25"/>
        <v>11143.385759999999</v>
      </c>
      <c r="W195" s="44">
        <f t="shared" si="26"/>
        <v>0.7880806243789279</v>
      </c>
    </row>
    <row r="196" spans="1:23" x14ac:dyDescent="0.3">
      <c r="A196" s="45" t="s">
        <v>492</v>
      </c>
      <c r="B196" s="46">
        <v>45557</v>
      </c>
      <c r="C196" s="47">
        <v>45566</v>
      </c>
      <c r="D196" s="48">
        <f t="shared" si="27"/>
        <v>9</v>
      </c>
      <c r="E196" s="48" t="str">
        <f>TEXT(Data!B196,"MMM-YYYY")</f>
        <v>Sept-2024</v>
      </c>
      <c r="F196" s="48" t="str">
        <f t="shared" si="23"/>
        <v>Q3-2024</v>
      </c>
      <c r="G196" s="38" t="s">
        <v>52</v>
      </c>
      <c r="H196" s="38" t="s">
        <v>73</v>
      </c>
      <c r="I196" s="38" t="s">
        <v>74</v>
      </c>
      <c r="J196" s="38" t="s">
        <v>39</v>
      </c>
      <c r="K196" s="38" t="s">
        <v>28</v>
      </c>
      <c r="L196" s="38" t="s">
        <v>95</v>
      </c>
      <c r="M196" s="38" t="s">
        <v>64</v>
      </c>
      <c r="N196" s="38" t="s">
        <v>493</v>
      </c>
      <c r="O196" s="48">
        <v>1378.8</v>
      </c>
      <c r="P196" s="49" t="str">
        <f t="shared" si="24"/>
        <v>High</v>
      </c>
      <c r="Q196" s="48">
        <v>1952.04</v>
      </c>
      <c r="R196" s="48">
        <v>0.159</v>
      </c>
      <c r="S196" s="48">
        <v>19</v>
      </c>
      <c r="T196" s="48">
        <f t="shared" si="21"/>
        <v>3645.6088500000001</v>
      </c>
      <c r="U196" s="38">
        <f t="shared" si="22"/>
        <v>26197.200000000001</v>
      </c>
      <c r="V196" s="48">
        <f t="shared" si="25"/>
        <v>-22551.59115</v>
      </c>
      <c r="W196" s="50">
        <f t="shared" si="26"/>
        <v>-6.1859601723317077</v>
      </c>
    </row>
    <row r="197" spans="1:23" x14ac:dyDescent="0.3">
      <c r="A197" s="39" t="s">
        <v>494</v>
      </c>
      <c r="B197" s="40">
        <v>45588</v>
      </c>
      <c r="C197" s="41">
        <v>45610</v>
      </c>
      <c r="D197" s="42">
        <f t="shared" si="27"/>
        <v>22</v>
      </c>
      <c r="E197" s="42" t="str">
        <f>TEXT(Data!B197,"MMM-YYYY")</f>
        <v>Oct-2024</v>
      </c>
      <c r="F197" s="42" t="str">
        <f t="shared" si="23"/>
        <v>Q4-2024</v>
      </c>
      <c r="G197" s="37" t="s">
        <v>45</v>
      </c>
      <c r="H197" s="37" t="s">
        <v>46</v>
      </c>
      <c r="I197" s="37" t="s">
        <v>47</v>
      </c>
      <c r="J197" s="37" t="s">
        <v>39</v>
      </c>
      <c r="K197" s="37" t="s">
        <v>98</v>
      </c>
      <c r="L197" s="37" t="s">
        <v>56</v>
      </c>
      <c r="M197" s="37" t="s">
        <v>42</v>
      </c>
      <c r="N197" s="37" t="s">
        <v>495</v>
      </c>
      <c r="O197" s="42">
        <v>1406.4</v>
      </c>
      <c r="P197" s="43" t="str">
        <f t="shared" si="24"/>
        <v>High</v>
      </c>
      <c r="Q197" s="42">
        <v>1564.76</v>
      </c>
      <c r="R197" s="42">
        <v>0.185</v>
      </c>
      <c r="S197" s="42">
        <v>17</v>
      </c>
      <c r="T197" s="42">
        <f t="shared" si="21"/>
        <v>6879.2846</v>
      </c>
      <c r="U197" s="37">
        <f t="shared" si="22"/>
        <v>23908.800000000003</v>
      </c>
      <c r="V197" s="42">
        <f t="shared" si="25"/>
        <v>-17029.515400000004</v>
      </c>
      <c r="W197" s="44">
        <f t="shared" si="26"/>
        <v>-2.4754776681284567</v>
      </c>
    </row>
    <row r="198" spans="1:23" x14ac:dyDescent="0.3">
      <c r="A198" s="45" t="s">
        <v>496</v>
      </c>
      <c r="B198" s="46">
        <v>45333</v>
      </c>
      <c r="C198" s="47">
        <v>45354</v>
      </c>
      <c r="D198" s="48">
        <f t="shared" si="27"/>
        <v>21</v>
      </c>
      <c r="E198" s="48" t="str">
        <f>TEXT(Data!B198,"MMM-YYYY")</f>
        <v>Feb-2024</v>
      </c>
      <c r="F198" s="48" t="str">
        <f t="shared" si="23"/>
        <v>Q1-2024</v>
      </c>
      <c r="G198" s="38" t="s">
        <v>16</v>
      </c>
      <c r="H198" s="38" t="s">
        <v>17</v>
      </c>
      <c r="I198" s="38" t="s">
        <v>18</v>
      </c>
      <c r="J198" s="38" t="s">
        <v>105</v>
      </c>
      <c r="K198" s="38" t="s">
        <v>28</v>
      </c>
      <c r="L198" s="38" t="s">
        <v>56</v>
      </c>
      <c r="M198" s="38" t="s">
        <v>42</v>
      </c>
      <c r="N198" s="38" t="s">
        <v>497</v>
      </c>
      <c r="O198" s="48">
        <v>516.86</v>
      </c>
      <c r="P198" s="49" t="str">
        <f t="shared" si="24"/>
        <v>High</v>
      </c>
      <c r="Q198" s="48">
        <v>852.54</v>
      </c>
      <c r="R198" s="48">
        <v>5.0999999999999997E-2</v>
      </c>
      <c r="S198" s="48">
        <v>14</v>
      </c>
      <c r="T198" s="48">
        <f t="shared" si="21"/>
        <v>39076.783199999991</v>
      </c>
      <c r="U198" s="38">
        <f t="shared" si="22"/>
        <v>7236.04</v>
      </c>
      <c r="V198" s="48">
        <f t="shared" si="25"/>
        <v>31840.74319999999</v>
      </c>
      <c r="W198" s="50">
        <f t="shared" si="26"/>
        <v>0.81482508519278518</v>
      </c>
    </row>
    <row r="199" spans="1:23" x14ac:dyDescent="0.3">
      <c r="A199" s="39" t="s">
        <v>498</v>
      </c>
      <c r="B199" s="40">
        <v>44956</v>
      </c>
      <c r="C199" s="41">
        <v>44978</v>
      </c>
      <c r="D199" s="42">
        <f t="shared" si="27"/>
        <v>22</v>
      </c>
      <c r="E199" s="42" t="str">
        <f>TEXT(Data!B199,"MMM-YYYY")</f>
        <v>Jan-2023</v>
      </c>
      <c r="F199" s="42" t="str">
        <f t="shared" si="23"/>
        <v>Q1-2023</v>
      </c>
      <c r="G199" s="37" t="s">
        <v>78</v>
      </c>
      <c r="H199" s="37" t="s">
        <v>79</v>
      </c>
      <c r="I199" s="37" t="s">
        <v>159</v>
      </c>
      <c r="J199" s="37" t="s">
        <v>62</v>
      </c>
      <c r="K199" s="37" t="s">
        <v>40</v>
      </c>
      <c r="L199" s="37" t="s">
        <v>41</v>
      </c>
      <c r="M199" s="37" t="s">
        <v>35</v>
      </c>
      <c r="N199" s="37" t="s">
        <v>499</v>
      </c>
      <c r="O199" s="42">
        <v>1142.8800000000001</v>
      </c>
      <c r="P199" s="43" t="str">
        <f t="shared" si="24"/>
        <v>High</v>
      </c>
      <c r="Q199" s="42">
        <v>1465.29</v>
      </c>
      <c r="R199" s="42">
        <v>0.186</v>
      </c>
      <c r="S199" s="42">
        <v>7</v>
      </c>
      <c r="T199" s="42">
        <f t="shared" si="21"/>
        <v>6200.5636000000013</v>
      </c>
      <c r="U199" s="37">
        <f t="shared" si="22"/>
        <v>8000.1600000000008</v>
      </c>
      <c r="V199" s="42">
        <f t="shared" si="25"/>
        <v>-1799.5963999999994</v>
      </c>
      <c r="W199" s="44">
        <f t="shared" si="26"/>
        <v>-0.29023110092766391</v>
      </c>
    </row>
    <row r="200" spans="1:23" x14ac:dyDescent="0.3">
      <c r="A200" s="45" t="s">
        <v>500</v>
      </c>
      <c r="B200" s="46">
        <v>45030</v>
      </c>
      <c r="C200" s="47">
        <v>45059</v>
      </c>
      <c r="D200" s="48">
        <f t="shared" si="27"/>
        <v>29</v>
      </c>
      <c r="E200" s="48" t="str">
        <f>TEXT(Data!B200,"MMM-YYYY")</f>
        <v>Apr-2023</v>
      </c>
      <c r="F200" s="48" t="str">
        <f t="shared" si="23"/>
        <v>Q2-2023</v>
      </c>
      <c r="G200" s="38" t="s">
        <v>78</v>
      </c>
      <c r="H200" s="38" t="s">
        <v>79</v>
      </c>
      <c r="I200" s="38" t="s">
        <v>335</v>
      </c>
      <c r="J200" s="38" t="s">
        <v>48</v>
      </c>
      <c r="K200" s="38" t="s">
        <v>98</v>
      </c>
      <c r="L200" s="38" t="s">
        <v>29</v>
      </c>
      <c r="M200" s="38" t="s">
        <v>30</v>
      </c>
      <c r="N200" s="38" t="s">
        <v>501</v>
      </c>
      <c r="O200" s="48">
        <v>1320.33</v>
      </c>
      <c r="P200" s="49" t="str">
        <f t="shared" si="24"/>
        <v>High</v>
      </c>
      <c r="Q200" s="48">
        <v>2645.23</v>
      </c>
      <c r="R200" s="48">
        <v>0.155</v>
      </c>
      <c r="S200" s="48">
        <v>25</v>
      </c>
      <c r="T200" s="48">
        <f t="shared" si="21"/>
        <v>53428.293749999997</v>
      </c>
      <c r="U200" s="38">
        <f t="shared" si="22"/>
        <v>33008.25</v>
      </c>
      <c r="V200" s="48">
        <f t="shared" si="25"/>
        <v>20420.043749999997</v>
      </c>
      <c r="W200" s="50">
        <f t="shared" si="26"/>
        <v>0.38219531856189959</v>
      </c>
    </row>
    <row r="201" spans="1:23" x14ac:dyDescent="0.3">
      <c r="A201" s="39" t="s">
        <v>502</v>
      </c>
      <c r="B201" s="40">
        <v>44939</v>
      </c>
      <c r="C201" s="41">
        <v>44945</v>
      </c>
      <c r="D201" s="42">
        <f t="shared" si="27"/>
        <v>6</v>
      </c>
      <c r="E201" s="42" t="str">
        <f>TEXT(Data!B201,"MMM-YYYY")</f>
        <v>Jan-2023</v>
      </c>
      <c r="F201" s="42" t="str">
        <f t="shared" si="23"/>
        <v>Q1-2023</v>
      </c>
      <c r="G201" s="37" t="s">
        <v>52</v>
      </c>
      <c r="H201" s="37" t="s">
        <v>122</v>
      </c>
      <c r="I201" s="37" t="s">
        <v>123</v>
      </c>
      <c r="J201" s="37" t="s">
        <v>19</v>
      </c>
      <c r="K201" s="37" t="s">
        <v>98</v>
      </c>
      <c r="L201" s="37" t="s">
        <v>92</v>
      </c>
      <c r="M201" s="37" t="s">
        <v>42</v>
      </c>
      <c r="N201" s="37" t="s">
        <v>503</v>
      </c>
      <c r="O201" s="42">
        <v>833.57</v>
      </c>
      <c r="P201" s="43" t="str">
        <f t="shared" si="24"/>
        <v>High</v>
      </c>
      <c r="Q201" s="42">
        <v>881.57</v>
      </c>
      <c r="R201" s="42">
        <v>5.7000000000000002E-2</v>
      </c>
      <c r="S201" s="42">
        <v>18</v>
      </c>
      <c r="T201" s="42">
        <f t="shared" si="21"/>
        <v>45796.021740000004</v>
      </c>
      <c r="U201" s="37">
        <f t="shared" si="22"/>
        <v>15004.26</v>
      </c>
      <c r="V201" s="42">
        <f t="shared" si="25"/>
        <v>30791.761740000002</v>
      </c>
      <c r="W201" s="44">
        <f t="shared" si="26"/>
        <v>0.67236761120464961</v>
      </c>
    </row>
    <row r="202" spans="1:23" x14ac:dyDescent="0.3">
      <c r="A202" s="45" t="s">
        <v>504</v>
      </c>
      <c r="B202" s="46">
        <v>45303</v>
      </c>
      <c r="C202" s="47">
        <v>45320</v>
      </c>
      <c r="D202" s="48">
        <f t="shared" si="27"/>
        <v>17</v>
      </c>
      <c r="E202" s="48" t="str">
        <f>TEXT(Data!B202,"MMM-YYYY")</f>
        <v>Jan-2024</v>
      </c>
      <c r="F202" s="48" t="str">
        <f t="shared" si="23"/>
        <v>Q1-2024</v>
      </c>
      <c r="G202" s="38" t="s">
        <v>52</v>
      </c>
      <c r="H202" s="38" t="s">
        <v>122</v>
      </c>
      <c r="I202" s="38" t="s">
        <v>123</v>
      </c>
      <c r="J202" s="38" t="s">
        <v>27</v>
      </c>
      <c r="K202" s="38" t="s">
        <v>55</v>
      </c>
      <c r="L202" s="38" t="s">
        <v>75</v>
      </c>
      <c r="M202" s="38" t="s">
        <v>30</v>
      </c>
      <c r="N202" s="38" t="s">
        <v>505</v>
      </c>
      <c r="O202" s="48">
        <v>493.76</v>
      </c>
      <c r="P202" s="49" t="str">
        <f t="shared" si="24"/>
        <v>High</v>
      </c>
      <c r="Q202" s="48">
        <v>625.04</v>
      </c>
      <c r="R202" s="48">
        <v>0.25800000000000001</v>
      </c>
      <c r="S202" s="48">
        <v>10</v>
      </c>
      <c r="T202" s="48">
        <f t="shared" si="21"/>
        <v>11002.004999999999</v>
      </c>
      <c r="U202" s="38">
        <f t="shared" si="22"/>
        <v>4937.6000000000004</v>
      </c>
      <c r="V202" s="48">
        <f t="shared" si="25"/>
        <v>6064.4049999999988</v>
      </c>
      <c r="W202" s="50">
        <f t="shared" si="26"/>
        <v>0.55120907507313432</v>
      </c>
    </row>
    <row r="203" spans="1:23" x14ac:dyDescent="0.3">
      <c r="A203" s="39" t="s">
        <v>506</v>
      </c>
      <c r="B203" s="40">
        <v>45153</v>
      </c>
      <c r="C203" s="41">
        <v>45176</v>
      </c>
      <c r="D203" s="42">
        <f t="shared" si="27"/>
        <v>23</v>
      </c>
      <c r="E203" s="42" t="str">
        <f>TEXT(Data!B203,"MMM-YYYY")</f>
        <v>Aug-2023</v>
      </c>
      <c r="F203" s="42" t="str">
        <f t="shared" si="23"/>
        <v>Q3-2023</v>
      </c>
      <c r="G203" s="37" t="s">
        <v>52</v>
      </c>
      <c r="H203" s="37" t="s">
        <v>122</v>
      </c>
      <c r="I203" s="37" t="s">
        <v>387</v>
      </c>
      <c r="J203" s="37" t="s">
        <v>105</v>
      </c>
      <c r="K203" s="37" t="s">
        <v>28</v>
      </c>
      <c r="L203" s="37" t="s">
        <v>95</v>
      </c>
      <c r="M203" s="37" t="s">
        <v>42</v>
      </c>
      <c r="N203" s="37" t="s">
        <v>507</v>
      </c>
      <c r="O203" s="42">
        <v>590.33000000000004</v>
      </c>
      <c r="P203" s="43" t="str">
        <f t="shared" si="24"/>
        <v>High</v>
      </c>
      <c r="Q203" s="42">
        <v>973.04</v>
      </c>
      <c r="R203" s="42">
        <v>0</v>
      </c>
      <c r="S203" s="42">
        <v>26</v>
      </c>
      <c r="T203" s="42">
        <f t="shared" si="21"/>
        <v>37877.06</v>
      </c>
      <c r="U203" s="37">
        <f t="shared" si="22"/>
        <v>15348.580000000002</v>
      </c>
      <c r="V203" s="42">
        <f t="shared" si="25"/>
        <v>22528.479999999996</v>
      </c>
      <c r="W203" s="44">
        <f t="shared" si="26"/>
        <v>0.59477900343902079</v>
      </c>
    </row>
    <row r="204" spans="1:23" x14ac:dyDescent="0.3">
      <c r="A204" s="45" t="s">
        <v>508</v>
      </c>
      <c r="B204" s="46">
        <v>44946</v>
      </c>
      <c r="C204" s="47">
        <v>44960</v>
      </c>
      <c r="D204" s="48">
        <f t="shared" si="27"/>
        <v>14</v>
      </c>
      <c r="E204" s="48" t="str">
        <f>TEXT(Data!B204,"MMM-YYYY")</f>
        <v>Jan-2023</v>
      </c>
      <c r="F204" s="48" t="str">
        <f t="shared" si="23"/>
        <v>Q1-2023</v>
      </c>
      <c r="G204" s="38" t="s">
        <v>16</v>
      </c>
      <c r="H204" s="38" t="s">
        <v>17</v>
      </c>
      <c r="I204" s="38" t="s">
        <v>18</v>
      </c>
      <c r="J204" s="38" t="s">
        <v>19</v>
      </c>
      <c r="K204" s="38" t="s">
        <v>20</v>
      </c>
      <c r="L204" s="38" t="s">
        <v>110</v>
      </c>
      <c r="M204" s="38" t="s">
        <v>35</v>
      </c>
      <c r="N204" s="38" t="s">
        <v>509</v>
      </c>
      <c r="O204" s="48">
        <v>884.36</v>
      </c>
      <c r="P204" s="49" t="str">
        <f t="shared" si="24"/>
        <v>High</v>
      </c>
      <c r="Q204" s="48">
        <v>1545.34</v>
      </c>
      <c r="R204" s="48">
        <v>0.24299999999999999</v>
      </c>
      <c r="S204" s="48">
        <v>41</v>
      </c>
      <c r="T204" s="48">
        <f t="shared" si="21"/>
        <v>28497.86303</v>
      </c>
      <c r="U204" s="38">
        <f t="shared" si="22"/>
        <v>36258.76</v>
      </c>
      <c r="V204" s="48">
        <f t="shared" si="25"/>
        <v>-7760.8969700000016</v>
      </c>
      <c r="W204" s="50">
        <f t="shared" si="26"/>
        <v>-0.27233259426610423</v>
      </c>
    </row>
    <row r="205" spans="1:23" x14ac:dyDescent="0.3">
      <c r="A205" s="39" t="s">
        <v>510</v>
      </c>
      <c r="B205" s="40">
        <v>45692</v>
      </c>
      <c r="C205" s="41">
        <v>45713</v>
      </c>
      <c r="D205" s="42">
        <f t="shared" si="27"/>
        <v>21</v>
      </c>
      <c r="E205" s="42" t="str">
        <f>TEXT(Data!B205,"MMM-YYYY")</f>
        <v>Feb-2025</v>
      </c>
      <c r="F205" s="42" t="str">
        <f t="shared" si="23"/>
        <v>Q1-2025</v>
      </c>
      <c r="G205" s="37" t="s">
        <v>78</v>
      </c>
      <c r="H205" s="37" t="s">
        <v>108</v>
      </c>
      <c r="I205" s="37" t="s">
        <v>109</v>
      </c>
      <c r="J205" s="37" t="s">
        <v>19</v>
      </c>
      <c r="K205" s="37" t="s">
        <v>40</v>
      </c>
      <c r="L205" s="37" t="s">
        <v>145</v>
      </c>
      <c r="M205" s="37" t="s">
        <v>64</v>
      </c>
      <c r="N205" s="37" t="s">
        <v>511</v>
      </c>
      <c r="O205" s="42">
        <v>1016.32</v>
      </c>
      <c r="P205" s="43" t="str">
        <f t="shared" si="24"/>
        <v>High</v>
      </c>
      <c r="Q205" s="42">
        <v>2253.42</v>
      </c>
      <c r="R205" s="42">
        <v>5.5E-2</v>
      </c>
      <c r="S205" s="42">
        <v>12</v>
      </c>
      <c r="T205" s="42">
        <f t="shared" si="21"/>
        <v>554.97959999999989</v>
      </c>
      <c r="U205" s="37">
        <f t="shared" si="22"/>
        <v>12195.84</v>
      </c>
      <c r="V205" s="42">
        <f t="shared" si="25"/>
        <v>-11640.8604</v>
      </c>
      <c r="W205" s="44">
        <f t="shared" si="26"/>
        <v>-20.97529422703105</v>
      </c>
    </row>
    <row r="206" spans="1:23" x14ac:dyDescent="0.3">
      <c r="A206" s="45" t="s">
        <v>512</v>
      </c>
      <c r="B206" s="46">
        <v>45035</v>
      </c>
      <c r="C206" s="47">
        <v>45044</v>
      </c>
      <c r="D206" s="48">
        <f t="shared" si="27"/>
        <v>9</v>
      </c>
      <c r="E206" s="48" t="str">
        <f>TEXT(Data!B206,"MMM-YYYY")</f>
        <v>Apr-2023</v>
      </c>
      <c r="F206" s="48" t="str">
        <f t="shared" si="23"/>
        <v>Q2-2023</v>
      </c>
      <c r="G206" s="38" t="s">
        <v>78</v>
      </c>
      <c r="H206" s="38" t="s">
        <v>79</v>
      </c>
      <c r="I206" s="38" t="s">
        <v>80</v>
      </c>
      <c r="J206" s="38" t="s">
        <v>27</v>
      </c>
      <c r="K206" s="38" t="s">
        <v>28</v>
      </c>
      <c r="L206" s="38" t="s">
        <v>63</v>
      </c>
      <c r="M206" s="38" t="s">
        <v>64</v>
      </c>
      <c r="N206" s="38" t="s">
        <v>513</v>
      </c>
      <c r="O206" s="48">
        <v>1178.42</v>
      </c>
      <c r="P206" s="49" t="str">
        <f t="shared" si="24"/>
        <v>High</v>
      </c>
      <c r="Q206" s="48">
        <v>2446.56</v>
      </c>
      <c r="R206" s="48">
        <v>2.9000000000000001E-2</v>
      </c>
      <c r="S206" s="48">
        <v>11</v>
      </c>
      <c r="T206" s="48">
        <f t="shared" si="21"/>
        <v>9957.7894899999992</v>
      </c>
      <c r="U206" s="38">
        <f t="shared" si="22"/>
        <v>12962.62</v>
      </c>
      <c r="V206" s="48">
        <f t="shared" si="25"/>
        <v>-3004.8305100000016</v>
      </c>
      <c r="W206" s="50">
        <f t="shared" si="26"/>
        <v>-0.30175678176542792</v>
      </c>
    </row>
    <row r="207" spans="1:23" x14ac:dyDescent="0.3">
      <c r="A207" s="39" t="s">
        <v>514</v>
      </c>
      <c r="B207" s="40">
        <v>45109</v>
      </c>
      <c r="C207" s="41">
        <v>45139</v>
      </c>
      <c r="D207" s="42">
        <f t="shared" si="27"/>
        <v>30</v>
      </c>
      <c r="E207" s="42" t="str">
        <f>TEXT(Data!B207,"MMM-YYYY")</f>
        <v>Jul-2023</v>
      </c>
      <c r="F207" s="42" t="str">
        <f t="shared" si="23"/>
        <v>Q3-2023</v>
      </c>
      <c r="G207" s="37" t="s">
        <v>78</v>
      </c>
      <c r="H207" s="37" t="s">
        <v>108</v>
      </c>
      <c r="I207" s="37" t="s">
        <v>109</v>
      </c>
      <c r="J207" s="37" t="s">
        <v>62</v>
      </c>
      <c r="K207" s="37" t="s">
        <v>20</v>
      </c>
      <c r="L207" s="37" t="s">
        <v>56</v>
      </c>
      <c r="M207" s="37" t="s">
        <v>22</v>
      </c>
      <c r="N207" s="37" t="s">
        <v>515</v>
      </c>
      <c r="O207" s="42">
        <v>137.46</v>
      </c>
      <c r="P207" s="43" t="str">
        <f t="shared" si="24"/>
        <v>Medium</v>
      </c>
      <c r="Q207" s="42">
        <v>188.3</v>
      </c>
      <c r="R207" s="42">
        <v>3.7999999999999999E-2</v>
      </c>
      <c r="S207" s="42">
        <v>37</v>
      </c>
      <c r="T207" s="42">
        <f t="shared" si="21"/>
        <v>11596.169260000001</v>
      </c>
      <c r="U207" s="37">
        <f t="shared" si="22"/>
        <v>5086.0200000000004</v>
      </c>
      <c r="V207" s="42">
        <f t="shared" si="25"/>
        <v>6510.1492600000001</v>
      </c>
      <c r="W207" s="44">
        <f t="shared" si="26"/>
        <v>0.56140516010370822</v>
      </c>
    </row>
    <row r="208" spans="1:23" x14ac:dyDescent="0.3">
      <c r="A208" s="45" t="s">
        <v>516</v>
      </c>
      <c r="B208" s="46">
        <v>45678</v>
      </c>
      <c r="C208" s="47">
        <v>45702</v>
      </c>
      <c r="D208" s="48">
        <f t="shared" si="27"/>
        <v>24</v>
      </c>
      <c r="E208" s="48" t="str">
        <f>TEXT(Data!B208,"MMM-YYYY")</f>
        <v>Jan-2025</v>
      </c>
      <c r="F208" s="48" t="str">
        <f t="shared" si="23"/>
        <v>Q1-2025</v>
      </c>
      <c r="G208" s="38" t="s">
        <v>16</v>
      </c>
      <c r="H208" s="38" t="s">
        <v>17</v>
      </c>
      <c r="I208" s="38" t="s">
        <v>33</v>
      </c>
      <c r="J208" s="38" t="s">
        <v>62</v>
      </c>
      <c r="K208" s="38" t="s">
        <v>20</v>
      </c>
      <c r="L208" s="38" t="s">
        <v>29</v>
      </c>
      <c r="M208" s="38" t="s">
        <v>81</v>
      </c>
      <c r="N208" s="38" t="s">
        <v>517</v>
      </c>
      <c r="O208" s="48">
        <v>1030.44</v>
      </c>
      <c r="P208" s="49" t="str">
        <f t="shared" si="24"/>
        <v>High</v>
      </c>
      <c r="Q208" s="48">
        <v>2562.84</v>
      </c>
      <c r="R208" s="48">
        <v>0.14799999999999999</v>
      </c>
      <c r="S208" s="48">
        <v>13</v>
      </c>
      <c r="T208" s="48">
        <f t="shared" si="21"/>
        <v>4496.5237200000001</v>
      </c>
      <c r="U208" s="38">
        <f t="shared" si="22"/>
        <v>13395.720000000001</v>
      </c>
      <c r="V208" s="48">
        <f t="shared" si="25"/>
        <v>-8899.1962800000001</v>
      </c>
      <c r="W208" s="50">
        <f t="shared" si="26"/>
        <v>-1.9791280629561541</v>
      </c>
    </row>
    <row r="209" spans="1:23" x14ac:dyDescent="0.3">
      <c r="A209" s="39" t="s">
        <v>518</v>
      </c>
      <c r="B209" s="40">
        <v>45545</v>
      </c>
      <c r="C209" s="41">
        <v>45572</v>
      </c>
      <c r="D209" s="42">
        <f t="shared" si="27"/>
        <v>27</v>
      </c>
      <c r="E209" s="42" t="str">
        <f>TEXT(Data!B209,"MMM-YYYY")</f>
        <v>Sept-2024</v>
      </c>
      <c r="F209" s="42" t="str">
        <f t="shared" si="23"/>
        <v>Q3-2024</v>
      </c>
      <c r="G209" s="37" t="s">
        <v>16</v>
      </c>
      <c r="H209" s="37" t="s">
        <v>17</v>
      </c>
      <c r="I209" s="37" t="s">
        <v>18</v>
      </c>
      <c r="J209" s="37" t="s">
        <v>48</v>
      </c>
      <c r="K209" s="37" t="s">
        <v>20</v>
      </c>
      <c r="L209" s="37" t="s">
        <v>49</v>
      </c>
      <c r="M209" s="37" t="s">
        <v>30</v>
      </c>
      <c r="N209" s="37" t="s">
        <v>519</v>
      </c>
      <c r="O209" s="42">
        <v>1248.3900000000001</v>
      </c>
      <c r="P209" s="43" t="str">
        <f t="shared" si="24"/>
        <v>High</v>
      </c>
      <c r="Q209" s="42">
        <v>1805.11</v>
      </c>
      <c r="R209" s="42">
        <v>0.20300000000000001</v>
      </c>
      <c r="S209" s="42">
        <v>11</v>
      </c>
      <c r="T209" s="42">
        <f t="shared" si="21"/>
        <v>13931.376689999999</v>
      </c>
      <c r="U209" s="37">
        <f t="shared" si="22"/>
        <v>13732.29</v>
      </c>
      <c r="V209" s="42">
        <f t="shared" si="25"/>
        <v>199.08668999999827</v>
      </c>
      <c r="W209" s="44">
        <f t="shared" si="26"/>
        <v>1.4290525224467122E-2</v>
      </c>
    </row>
    <row r="210" spans="1:23" x14ac:dyDescent="0.3">
      <c r="A210" s="45" t="s">
        <v>520</v>
      </c>
      <c r="B210" s="46">
        <v>45859</v>
      </c>
      <c r="C210" s="47">
        <v>45876</v>
      </c>
      <c r="D210" s="48">
        <f t="shared" si="27"/>
        <v>17</v>
      </c>
      <c r="E210" s="48" t="str">
        <f>TEXT(Data!B210,"MMM-YYYY")</f>
        <v>Jul-2025</v>
      </c>
      <c r="F210" s="48" t="str">
        <f t="shared" si="23"/>
        <v>Q3-2025</v>
      </c>
      <c r="G210" s="38" t="s">
        <v>16</v>
      </c>
      <c r="H210" s="38" t="s">
        <v>25</v>
      </c>
      <c r="I210" s="38" t="s">
        <v>38</v>
      </c>
      <c r="J210" s="38" t="s">
        <v>105</v>
      </c>
      <c r="K210" s="38" t="s">
        <v>98</v>
      </c>
      <c r="L210" s="38" t="s">
        <v>110</v>
      </c>
      <c r="M210" s="38" t="s">
        <v>81</v>
      </c>
      <c r="N210" s="38" t="s">
        <v>521</v>
      </c>
      <c r="O210" s="48">
        <v>1204.95</v>
      </c>
      <c r="P210" s="49" t="str">
        <f t="shared" si="24"/>
        <v>High</v>
      </c>
      <c r="Q210" s="48">
        <v>2065.73</v>
      </c>
      <c r="R210" s="48">
        <v>0.13600000000000001</v>
      </c>
      <c r="S210" s="48">
        <v>10</v>
      </c>
      <c r="T210" s="48">
        <f t="shared" si="21"/>
        <v>12379.392</v>
      </c>
      <c r="U210" s="38">
        <f t="shared" si="22"/>
        <v>12049.5</v>
      </c>
      <c r="V210" s="48">
        <f t="shared" si="25"/>
        <v>329.89199999999983</v>
      </c>
      <c r="W210" s="50">
        <f t="shared" si="26"/>
        <v>2.6648481605558643E-2</v>
      </c>
    </row>
    <row r="211" spans="1:23" x14ac:dyDescent="0.3">
      <c r="A211" s="39" t="s">
        <v>522</v>
      </c>
      <c r="B211" s="40">
        <v>45567</v>
      </c>
      <c r="C211" s="41">
        <v>45588</v>
      </c>
      <c r="D211" s="42">
        <f t="shared" si="27"/>
        <v>21</v>
      </c>
      <c r="E211" s="42" t="str">
        <f>TEXT(Data!B211,"MMM-YYYY")</f>
        <v>Oct-2024</v>
      </c>
      <c r="F211" s="42" t="str">
        <f t="shared" si="23"/>
        <v>Q4-2024</v>
      </c>
      <c r="G211" s="37" t="s">
        <v>16</v>
      </c>
      <c r="H211" s="37" t="s">
        <v>148</v>
      </c>
      <c r="I211" s="37" t="s">
        <v>172</v>
      </c>
      <c r="J211" s="37" t="s">
        <v>19</v>
      </c>
      <c r="K211" s="37" t="s">
        <v>40</v>
      </c>
      <c r="L211" s="37" t="s">
        <v>75</v>
      </c>
      <c r="M211" s="37" t="s">
        <v>22</v>
      </c>
      <c r="N211" s="37" t="s">
        <v>523</v>
      </c>
      <c r="O211" s="42">
        <v>1095.6099999999999</v>
      </c>
      <c r="P211" s="43" t="str">
        <f t="shared" si="24"/>
        <v>High</v>
      </c>
      <c r="Q211" s="42">
        <v>2366.5100000000002</v>
      </c>
      <c r="R211" s="42">
        <v>0.152</v>
      </c>
      <c r="S211" s="42">
        <v>9</v>
      </c>
      <c r="T211" s="42">
        <f t="shared" si="21"/>
        <v>13476.28032</v>
      </c>
      <c r="U211" s="37">
        <f t="shared" si="22"/>
        <v>9860.49</v>
      </c>
      <c r="V211" s="42">
        <f t="shared" si="25"/>
        <v>3615.7903200000001</v>
      </c>
      <c r="W211" s="44">
        <f t="shared" si="26"/>
        <v>0.26830774027710341</v>
      </c>
    </row>
    <row r="212" spans="1:23" x14ac:dyDescent="0.3">
      <c r="A212" s="45" t="s">
        <v>524</v>
      </c>
      <c r="B212" s="46">
        <v>45852</v>
      </c>
      <c r="C212" s="47">
        <v>45873</v>
      </c>
      <c r="D212" s="48">
        <f t="shared" si="27"/>
        <v>21</v>
      </c>
      <c r="E212" s="48" t="str">
        <f>TEXT(Data!B212,"MMM-YYYY")</f>
        <v>Jul-2025</v>
      </c>
      <c r="F212" s="48" t="str">
        <f t="shared" si="23"/>
        <v>Q3-2025</v>
      </c>
      <c r="G212" s="38" t="s">
        <v>52</v>
      </c>
      <c r="H212" s="38" t="s">
        <v>53</v>
      </c>
      <c r="I212" s="38" t="s">
        <v>144</v>
      </c>
      <c r="J212" s="38" t="s">
        <v>48</v>
      </c>
      <c r="K212" s="38" t="s">
        <v>28</v>
      </c>
      <c r="L212" s="38" t="s">
        <v>92</v>
      </c>
      <c r="M212" s="38" t="s">
        <v>64</v>
      </c>
      <c r="N212" s="38" t="s">
        <v>525</v>
      </c>
      <c r="O212" s="48">
        <v>90.3</v>
      </c>
      <c r="P212" s="49" t="str">
        <f t="shared" si="24"/>
        <v>Medium</v>
      </c>
      <c r="Q212" s="48">
        <v>131.76</v>
      </c>
      <c r="R212" s="48">
        <v>0.10199999999999999</v>
      </c>
      <c r="S212" s="48">
        <v>15</v>
      </c>
      <c r="T212" s="48">
        <f t="shared" si="21"/>
        <v>37144.063799999996</v>
      </c>
      <c r="U212" s="38">
        <f t="shared" si="22"/>
        <v>1354.5</v>
      </c>
      <c r="V212" s="48">
        <f t="shared" si="25"/>
        <v>35789.563799999996</v>
      </c>
      <c r="W212" s="50">
        <f t="shared" si="26"/>
        <v>0.96353387697982573</v>
      </c>
    </row>
    <row r="213" spans="1:23" x14ac:dyDescent="0.3">
      <c r="A213" s="39" t="s">
        <v>526</v>
      </c>
      <c r="B213" s="40">
        <v>45544</v>
      </c>
      <c r="C213" s="41">
        <v>45566</v>
      </c>
      <c r="D213" s="42">
        <f t="shared" si="27"/>
        <v>22</v>
      </c>
      <c r="E213" s="42" t="str">
        <f>TEXT(Data!B213,"MMM-YYYY")</f>
        <v>Sept-2024</v>
      </c>
      <c r="F213" s="42" t="str">
        <f t="shared" si="23"/>
        <v>Q3-2024</v>
      </c>
      <c r="G213" s="37" t="s">
        <v>45</v>
      </c>
      <c r="H213" s="37" t="s">
        <v>116</v>
      </c>
      <c r="I213" s="37" t="s">
        <v>117</v>
      </c>
      <c r="J213" s="37" t="s">
        <v>48</v>
      </c>
      <c r="K213" s="37" t="s">
        <v>98</v>
      </c>
      <c r="L213" s="37" t="s">
        <v>49</v>
      </c>
      <c r="M213" s="37" t="s">
        <v>30</v>
      </c>
      <c r="N213" s="37" t="s">
        <v>527</v>
      </c>
      <c r="O213" s="42">
        <v>1166.18</v>
      </c>
      <c r="P213" s="43" t="str">
        <f t="shared" si="24"/>
        <v>High</v>
      </c>
      <c r="Q213" s="42">
        <v>1335.02</v>
      </c>
      <c r="R213" s="42">
        <v>0.128</v>
      </c>
      <c r="S213" s="42">
        <v>6</v>
      </c>
      <c r="T213" s="42">
        <f t="shared" si="21"/>
        <v>4571.46</v>
      </c>
      <c r="U213" s="37">
        <f t="shared" si="22"/>
        <v>6997.08</v>
      </c>
      <c r="V213" s="42">
        <f t="shared" si="25"/>
        <v>-2425.62</v>
      </c>
      <c r="W213" s="44">
        <f t="shared" si="26"/>
        <v>-0.53060072712000106</v>
      </c>
    </row>
    <row r="214" spans="1:23" x14ac:dyDescent="0.3">
      <c r="A214" s="45" t="s">
        <v>528</v>
      </c>
      <c r="B214" s="46">
        <v>45686</v>
      </c>
      <c r="C214" s="47">
        <v>45694</v>
      </c>
      <c r="D214" s="48">
        <f t="shared" si="27"/>
        <v>8</v>
      </c>
      <c r="E214" s="48" t="str">
        <f>TEXT(Data!B214,"MMM-YYYY")</f>
        <v>Jan-2025</v>
      </c>
      <c r="F214" s="48" t="str">
        <f t="shared" si="23"/>
        <v>Q1-2025</v>
      </c>
      <c r="G214" s="38" t="s">
        <v>16</v>
      </c>
      <c r="H214" s="38" t="s">
        <v>17</v>
      </c>
      <c r="I214" s="38" t="s">
        <v>18</v>
      </c>
      <c r="J214" s="38" t="s">
        <v>27</v>
      </c>
      <c r="K214" s="38" t="s">
        <v>20</v>
      </c>
      <c r="L214" s="38" t="s">
        <v>56</v>
      </c>
      <c r="M214" s="38" t="s">
        <v>42</v>
      </c>
      <c r="N214" s="38" t="s">
        <v>529</v>
      </c>
      <c r="O214" s="48">
        <v>1445.27</v>
      </c>
      <c r="P214" s="49" t="str">
        <f t="shared" si="24"/>
        <v>High</v>
      </c>
      <c r="Q214" s="48">
        <v>2691.45</v>
      </c>
      <c r="R214" s="48">
        <v>0</v>
      </c>
      <c r="S214" s="48">
        <v>9</v>
      </c>
      <c r="T214" s="48">
        <f t="shared" si="21"/>
        <v>2326.6799999999998</v>
      </c>
      <c r="U214" s="38">
        <f t="shared" si="22"/>
        <v>13007.43</v>
      </c>
      <c r="V214" s="48">
        <f t="shared" si="25"/>
        <v>-10680.75</v>
      </c>
      <c r="W214" s="50">
        <f t="shared" si="26"/>
        <v>-4.5905539223270928</v>
      </c>
    </row>
    <row r="215" spans="1:23" x14ac:dyDescent="0.3">
      <c r="A215" s="39" t="s">
        <v>530</v>
      </c>
      <c r="B215" s="40">
        <v>45240</v>
      </c>
      <c r="C215" s="41">
        <v>45258</v>
      </c>
      <c r="D215" s="42">
        <f t="shared" si="27"/>
        <v>18</v>
      </c>
      <c r="E215" s="42" t="str">
        <f>TEXT(Data!B215,"MMM-YYYY")</f>
        <v>Nov-2023</v>
      </c>
      <c r="F215" s="42" t="str">
        <f t="shared" si="23"/>
        <v>Q4-2023</v>
      </c>
      <c r="G215" s="37" t="s">
        <v>52</v>
      </c>
      <c r="H215" s="37" t="s">
        <v>73</v>
      </c>
      <c r="I215" s="37" t="s">
        <v>87</v>
      </c>
      <c r="J215" s="37" t="s">
        <v>27</v>
      </c>
      <c r="K215" s="37" t="s">
        <v>40</v>
      </c>
      <c r="L215" s="37" t="s">
        <v>49</v>
      </c>
      <c r="M215" s="37" t="s">
        <v>81</v>
      </c>
      <c r="N215" s="37" t="s">
        <v>531</v>
      </c>
      <c r="O215" s="42">
        <v>388.51</v>
      </c>
      <c r="P215" s="43" t="str">
        <f t="shared" si="24"/>
        <v>High</v>
      </c>
      <c r="Q215" s="42">
        <v>776.46</v>
      </c>
      <c r="R215" s="42">
        <v>0.157</v>
      </c>
      <c r="S215" s="42">
        <v>12</v>
      </c>
      <c r="T215" s="42">
        <f t="shared" si="21"/>
        <v>6137.98416</v>
      </c>
      <c r="U215" s="37">
        <f t="shared" si="22"/>
        <v>4662.12</v>
      </c>
      <c r="V215" s="42">
        <f t="shared" si="25"/>
        <v>1475.8641600000001</v>
      </c>
      <c r="W215" s="44">
        <f t="shared" si="26"/>
        <v>0.24044769773403912</v>
      </c>
    </row>
    <row r="216" spans="1:23" x14ac:dyDescent="0.3">
      <c r="A216" s="45" t="s">
        <v>532</v>
      </c>
      <c r="B216" s="46">
        <v>45351</v>
      </c>
      <c r="C216" s="47">
        <v>45381</v>
      </c>
      <c r="D216" s="48">
        <f t="shared" si="27"/>
        <v>1</v>
      </c>
      <c r="E216" s="48" t="str">
        <f>TEXT(Data!B216,"MMM-YYYY")</f>
        <v>Feb-2024</v>
      </c>
      <c r="F216" s="48" t="str">
        <f t="shared" si="23"/>
        <v>Q1-2024</v>
      </c>
      <c r="G216" s="38" t="s">
        <v>45</v>
      </c>
      <c r="H216" s="38" t="s">
        <v>46</v>
      </c>
      <c r="I216" s="38" t="s">
        <v>231</v>
      </c>
      <c r="J216" s="38" t="s">
        <v>62</v>
      </c>
      <c r="K216" s="38" t="s">
        <v>98</v>
      </c>
      <c r="L216" s="38" t="s">
        <v>34</v>
      </c>
      <c r="M216" s="38" t="s">
        <v>35</v>
      </c>
      <c r="N216" s="38" t="s">
        <v>533</v>
      </c>
      <c r="O216" s="48">
        <v>231.11</v>
      </c>
      <c r="P216" s="49" t="str">
        <f t="shared" si="24"/>
        <v>High</v>
      </c>
      <c r="Q216" s="48">
        <v>318.17</v>
      </c>
      <c r="R216" s="48">
        <v>0.20100000000000001</v>
      </c>
      <c r="S216" s="48">
        <v>60</v>
      </c>
      <c r="T216" s="48">
        <f t="shared" si="21"/>
        <v>64128.8586</v>
      </c>
      <c r="U216" s="38">
        <f t="shared" si="22"/>
        <v>13866.6</v>
      </c>
      <c r="V216" s="48">
        <f t="shared" si="25"/>
        <v>50262.258600000001</v>
      </c>
      <c r="W216" s="50">
        <f t="shared" si="26"/>
        <v>0.7837697363913475</v>
      </c>
    </row>
    <row r="217" spans="1:23" x14ac:dyDescent="0.3">
      <c r="A217" s="39" t="s">
        <v>534</v>
      </c>
      <c r="B217" s="40">
        <v>45280</v>
      </c>
      <c r="C217" s="41">
        <v>45305</v>
      </c>
      <c r="D217" s="42">
        <f t="shared" si="27"/>
        <v>25</v>
      </c>
      <c r="E217" s="42" t="str">
        <f>TEXT(Data!B217,"MMM-YYYY")</f>
        <v>Dec-2023</v>
      </c>
      <c r="F217" s="42" t="str">
        <f t="shared" si="23"/>
        <v>Q4-2023</v>
      </c>
      <c r="G217" s="37" t="s">
        <v>45</v>
      </c>
      <c r="H217" s="37" t="s">
        <v>60</v>
      </c>
      <c r="I217" s="37" t="s">
        <v>220</v>
      </c>
      <c r="J217" s="37" t="s">
        <v>39</v>
      </c>
      <c r="K217" s="37" t="s">
        <v>40</v>
      </c>
      <c r="L217" s="37" t="s">
        <v>49</v>
      </c>
      <c r="M217" s="37" t="s">
        <v>64</v>
      </c>
      <c r="N217" s="37" t="s">
        <v>535</v>
      </c>
      <c r="O217" s="42">
        <v>1085.6099999999999</v>
      </c>
      <c r="P217" s="43" t="str">
        <f t="shared" si="24"/>
        <v>High</v>
      </c>
      <c r="Q217" s="42">
        <v>1246.4100000000001</v>
      </c>
      <c r="R217" s="42">
        <v>0.113</v>
      </c>
      <c r="S217" s="42">
        <v>7</v>
      </c>
      <c r="T217" s="42">
        <f t="shared" si="21"/>
        <v>11133.23372</v>
      </c>
      <c r="U217" s="37">
        <f t="shared" si="22"/>
        <v>7599.2699999999995</v>
      </c>
      <c r="V217" s="42">
        <f t="shared" si="25"/>
        <v>3533.9637200000006</v>
      </c>
      <c r="W217" s="44">
        <f t="shared" si="26"/>
        <v>0.31742473111397151</v>
      </c>
    </row>
    <row r="218" spans="1:23" x14ac:dyDescent="0.3">
      <c r="A218" s="45" t="s">
        <v>536</v>
      </c>
      <c r="B218" s="46">
        <v>44948</v>
      </c>
      <c r="C218" s="47">
        <v>44947</v>
      </c>
      <c r="D218" s="48">
        <f>DATEDIF(C218,B218, "MD")</f>
        <v>1</v>
      </c>
      <c r="E218" s="48" t="str">
        <f>TEXT(Data!B218,"MMM-YYYY")</f>
        <v>Jan-2023</v>
      </c>
      <c r="F218" s="48" t="str">
        <f t="shared" si="23"/>
        <v>Q1-2023</v>
      </c>
      <c r="G218" s="38" t="s">
        <v>78</v>
      </c>
      <c r="H218" s="38" t="s">
        <v>79</v>
      </c>
      <c r="I218" s="38" t="s">
        <v>159</v>
      </c>
      <c r="J218" s="38" t="s">
        <v>19</v>
      </c>
      <c r="K218" s="38" t="s">
        <v>98</v>
      </c>
      <c r="L218" s="38" t="s">
        <v>84</v>
      </c>
      <c r="M218" s="38" t="s">
        <v>64</v>
      </c>
      <c r="N218" s="38" t="s">
        <v>537</v>
      </c>
      <c r="O218" s="48">
        <v>150.86000000000001</v>
      </c>
      <c r="P218" s="49" t="str">
        <f t="shared" si="24"/>
        <v>High</v>
      </c>
      <c r="Q218" s="48">
        <v>346.96</v>
      </c>
      <c r="R218" s="48">
        <v>0.19600000000000001</v>
      </c>
      <c r="S218" s="48">
        <v>8</v>
      </c>
      <c r="T218" s="48">
        <f t="shared" si="21"/>
        <v>789.46368000000007</v>
      </c>
      <c r="U218" s="38">
        <f t="shared" si="22"/>
        <v>1206.8800000000001</v>
      </c>
      <c r="V218" s="48">
        <f t="shared" si="25"/>
        <v>-417.41632000000004</v>
      </c>
      <c r="W218" s="50">
        <f t="shared" si="26"/>
        <v>-0.52873403878440617</v>
      </c>
    </row>
    <row r="219" spans="1:23" x14ac:dyDescent="0.3">
      <c r="A219" s="39" t="s">
        <v>538</v>
      </c>
      <c r="B219" s="40">
        <v>45576</v>
      </c>
      <c r="C219" s="41">
        <v>45605</v>
      </c>
      <c r="D219" s="42">
        <f t="shared" si="27"/>
        <v>29</v>
      </c>
      <c r="E219" s="42" t="str">
        <f>TEXT(Data!B219,"MMM-YYYY")</f>
        <v>Oct-2024</v>
      </c>
      <c r="F219" s="42" t="str">
        <f t="shared" si="23"/>
        <v>Q4-2024</v>
      </c>
      <c r="G219" s="37" t="s">
        <v>45</v>
      </c>
      <c r="H219" s="37" t="s">
        <v>116</v>
      </c>
      <c r="I219" s="37" t="s">
        <v>162</v>
      </c>
      <c r="J219" s="37" t="s">
        <v>39</v>
      </c>
      <c r="K219" s="37" t="s">
        <v>28</v>
      </c>
      <c r="L219" s="37" t="s">
        <v>84</v>
      </c>
      <c r="M219" s="37" t="s">
        <v>30</v>
      </c>
      <c r="N219" s="37" t="s">
        <v>539</v>
      </c>
      <c r="O219" s="42">
        <v>391.64</v>
      </c>
      <c r="P219" s="43" t="str">
        <f t="shared" si="24"/>
        <v>High</v>
      </c>
      <c r="Q219" s="42">
        <v>504.76</v>
      </c>
      <c r="R219" s="42">
        <v>4.0000000000000001E-3</v>
      </c>
      <c r="S219" s="42">
        <v>13</v>
      </c>
      <c r="T219" s="42">
        <f t="shared" si="21"/>
        <v>12014.83764</v>
      </c>
      <c r="U219" s="37">
        <f t="shared" si="22"/>
        <v>5091.32</v>
      </c>
      <c r="V219" s="42">
        <f t="shared" si="25"/>
        <v>6923.51764</v>
      </c>
      <c r="W219" s="44">
        <f t="shared" si="26"/>
        <v>0.57624729084562143</v>
      </c>
    </row>
    <row r="220" spans="1:23" x14ac:dyDescent="0.3">
      <c r="A220" s="45" t="s">
        <v>540</v>
      </c>
      <c r="B220" s="46">
        <v>45554</v>
      </c>
      <c r="C220" s="47">
        <v>45579</v>
      </c>
      <c r="D220" s="48">
        <f t="shared" si="27"/>
        <v>25</v>
      </c>
      <c r="E220" s="48" t="str">
        <f>TEXT(Data!B220,"MMM-YYYY")</f>
        <v>Sept-2024</v>
      </c>
      <c r="F220" s="48" t="str">
        <f t="shared" si="23"/>
        <v>Q3-2024</v>
      </c>
      <c r="G220" s="38" t="s">
        <v>52</v>
      </c>
      <c r="H220" s="38" t="s">
        <v>73</v>
      </c>
      <c r="I220" s="38" t="s">
        <v>225</v>
      </c>
      <c r="J220" s="38" t="s">
        <v>62</v>
      </c>
      <c r="K220" s="38" t="s">
        <v>20</v>
      </c>
      <c r="L220" s="38" t="s">
        <v>95</v>
      </c>
      <c r="M220" s="38" t="s">
        <v>30</v>
      </c>
      <c r="N220" s="38" t="s">
        <v>541</v>
      </c>
      <c r="O220" s="48">
        <v>386.96</v>
      </c>
      <c r="P220" s="49" t="str">
        <f t="shared" si="24"/>
        <v>High</v>
      </c>
      <c r="Q220" s="48">
        <v>937.46</v>
      </c>
      <c r="R220" s="48">
        <v>0.26600000000000001</v>
      </c>
      <c r="S220" s="48">
        <v>41</v>
      </c>
      <c r="T220" s="48">
        <f t="shared" si="21"/>
        <v>4570.6767199999995</v>
      </c>
      <c r="U220" s="38">
        <f t="shared" si="22"/>
        <v>15865.359999999999</v>
      </c>
      <c r="V220" s="48">
        <f t="shared" si="25"/>
        <v>-11294.683279999999</v>
      </c>
      <c r="W220" s="50">
        <f t="shared" si="26"/>
        <v>-2.4711183861631763</v>
      </c>
    </row>
    <row r="221" spans="1:23" x14ac:dyDescent="0.3">
      <c r="A221" s="39" t="s">
        <v>542</v>
      </c>
      <c r="B221" s="40">
        <v>45894</v>
      </c>
      <c r="C221" s="41">
        <v>45924</v>
      </c>
      <c r="D221" s="42">
        <f t="shared" si="27"/>
        <v>30</v>
      </c>
      <c r="E221" s="42" t="str">
        <f>TEXT(Data!B221,"MMM-YYYY")</f>
        <v>Aug-2025</v>
      </c>
      <c r="F221" s="42" t="str">
        <f t="shared" si="23"/>
        <v>Q3-2025</v>
      </c>
      <c r="G221" s="37" t="s">
        <v>16</v>
      </c>
      <c r="H221" s="37" t="s">
        <v>17</v>
      </c>
      <c r="I221" s="37" t="s">
        <v>33</v>
      </c>
      <c r="J221" s="37" t="s">
        <v>48</v>
      </c>
      <c r="K221" s="37" t="s">
        <v>98</v>
      </c>
      <c r="L221" s="37" t="s">
        <v>56</v>
      </c>
      <c r="M221" s="37" t="s">
        <v>22</v>
      </c>
      <c r="N221" s="37" t="s">
        <v>543</v>
      </c>
      <c r="O221" s="42">
        <v>589.14</v>
      </c>
      <c r="P221" s="43" t="str">
        <f t="shared" si="24"/>
        <v>High</v>
      </c>
      <c r="Q221" s="42">
        <v>1300.58</v>
      </c>
      <c r="R221" s="42">
        <v>5.5E-2</v>
      </c>
      <c r="S221" s="42">
        <v>11</v>
      </c>
      <c r="T221" s="42">
        <f t="shared" si="21"/>
        <v>22977.108</v>
      </c>
      <c r="U221" s="37">
        <f t="shared" si="22"/>
        <v>6480.54</v>
      </c>
      <c r="V221" s="42">
        <f t="shared" si="25"/>
        <v>16496.567999999999</v>
      </c>
      <c r="W221" s="44">
        <f t="shared" si="26"/>
        <v>0.71795667235406646</v>
      </c>
    </row>
    <row r="222" spans="1:23" x14ac:dyDescent="0.3">
      <c r="A222" s="45" t="s">
        <v>544</v>
      </c>
      <c r="B222" s="46">
        <v>45194</v>
      </c>
      <c r="C222" s="47">
        <v>45201</v>
      </c>
      <c r="D222" s="48">
        <f t="shared" si="27"/>
        <v>7</v>
      </c>
      <c r="E222" s="48" t="str">
        <f>TEXT(Data!B222,"MMM-YYYY")</f>
        <v>Sept-2023</v>
      </c>
      <c r="F222" s="48" t="str">
        <f t="shared" si="23"/>
        <v>Q3-2023</v>
      </c>
      <c r="G222" s="38" t="s">
        <v>52</v>
      </c>
      <c r="H222" s="38" t="s">
        <v>122</v>
      </c>
      <c r="I222" s="38" t="s">
        <v>387</v>
      </c>
      <c r="J222" s="38" t="s">
        <v>27</v>
      </c>
      <c r="K222" s="38" t="s">
        <v>40</v>
      </c>
      <c r="L222" s="38" t="s">
        <v>34</v>
      </c>
      <c r="M222" s="38" t="s">
        <v>81</v>
      </c>
      <c r="N222" s="38" t="s">
        <v>545</v>
      </c>
      <c r="O222" s="48">
        <v>145.58000000000001</v>
      </c>
      <c r="P222" s="49" t="str">
        <f t="shared" si="24"/>
        <v>High</v>
      </c>
      <c r="Q222" s="48">
        <v>228.15</v>
      </c>
      <c r="R222" s="48">
        <v>0.20399999999999999</v>
      </c>
      <c r="S222" s="48">
        <v>5</v>
      </c>
      <c r="T222" s="48">
        <f t="shared" si="21"/>
        <v>158.16520000000003</v>
      </c>
      <c r="U222" s="38">
        <f t="shared" si="22"/>
        <v>727.90000000000009</v>
      </c>
      <c r="V222" s="48">
        <f t="shared" si="25"/>
        <v>-569.73480000000006</v>
      </c>
      <c r="W222" s="50">
        <f t="shared" si="26"/>
        <v>-3.602150156924532</v>
      </c>
    </row>
    <row r="223" spans="1:23" x14ac:dyDescent="0.3">
      <c r="A223" s="39" t="s">
        <v>546</v>
      </c>
      <c r="B223" s="40">
        <v>45164</v>
      </c>
      <c r="C223" s="41">
        <v>45179</v>
      </c>
      <c r="D223" s="42">
        <f t="shared" si="27"/>
        <v>15</v>
      </c>
      <c r="E223" s="42" t="str">
        <f>TEXT(Data!B223,"MMM-YYYY")</f>
        <v>Aug-2023</v>
      </c>
      <c r="F223" s="42" t="str">
        <f t="shared" si="23"/>
        <v>Q3-2023</v>
      </c>
      <c r="G223" s="37" t="s">
        <v>16</v>
      </c>
      <c r="H223" s="37" t="s">
        <v>148</v>
      </c>
      <c r="I223" s="37" t="s">
        <v>258</v>
      </c>
      <c r="J223" s="37" t="s">
        <v>39</v>
      </c>
      <c r="K223" s="37" t="s">
        <v>98</v>
      </c>
      <c r="L223" s="37" t="s">
        <v>126</v>
      </c>
      <c r="M223" s="37" t="s">
        <v>22</v>
      </c>
      <c r="N223" s="37" t="s">
        <v>547</v>
      </c>
      <c r="O223" s="42">
        <v>241.14</v>
      </c>
      <c r="P223" s="43" t="str">
        <f t="shared" si="24"/>
        <v>High</v>
      </c>
      <c r="Q223" s="42">
        <v>496.52</v>
      </c>
      <c r="R223" s="42">
        <v>9.2999999999999999E-2</v>
      </c>
      <c r="S223" s="42">
        <v>10</v>
      </c>
      <c r="T223" s="42">
        <f t="shared" si="21"/>
        <v>9151.630000000001</v>
      </c>
      <c r="U223" s="37">
        <f t="shared" si="22"/>
        <v>2411.3999999999996</v>
      </c>
      <c r="V223" s="42">
        <f t="shared" si="25"/>
        <v>6740.2300000000014</v>
      </c>
      <c r="W223" s="44">
        <f t="shared" si="26"/>
        <v>0.73650595576962796</v>
      </c>
    </row>
    <row r="224" spans="1:23" x14ac:dyDescent="0.3">
      <c r="A224" s="45" t="s">
        <v>548</v>
      </c>
      <c r="B224" s="46">
        <v>45854</v>
      </c>
      <c r="C224" s="47">
        <v>45855</v>
      </c>
      <c r="D224" s="48">
        <f t="shared" si="27"/>
        <v>1</v>
      </c>
      <c r="E224" s="48" t="str">
        <f>TEXT(Data!B224,"MMM-YYYY")</f>
        <v>Jul-2025</v>
      </c>
      <c r="F224" s="48" t="str">
        <f t="shared" si="23"/>
        <v>Q3-2025</v>
      </c>
      <c r="G224" s="38" t="s">
        <v>16</v>
      </c>
      <c r="H224" s="38" t="s">
        <v>148</v>
      </c>
      <c r="I224" s="38" t="s">
        <v>172</v>
      </c>
      <c r="J224" s="38" t="s">
        <v>62</v>
      </c>
      <c r="K224" s="38" t="s">
        <v>55</v>
      </c>
      <c r="L224" s="38" t="s">
        <v>56</v>
      </c>
      <c r="M224" s="38" t="s">
        <v>35</v>
      </c>
      <c r="N224" s="38" t="s">
        <v>549</v>
      </c>
      <c r="O224" s="48">
        <v>1198.9000000000001</v>
      </c>
      <c r="P224" s="49" t="str">
        <f t="shared" si="24"/>
        <v>High</v>
      </c>
      <c r="Q224" s="48">
        <v>2941.2</v>
      </c>
      <c r="R224" s="48">
        <v>5.0999999999999997E-2</v>
      </c>
      <c r="S224" s="48">
        <v>24</v>
      </c>
      <c r="T224" s="48">
        <f t="shared" si="21"/>
        <v>37663.304640000002</v>
      </c>
      <c r="U224" s="38">
        <f t="shared" si="22"/>
        <v>28773.600000000002</v>
      </c>
      <c r="V224" s="48">
        <f t="shared" si="25"/>
        <v>8889.7046399999999</v>
      </c>
      <c r="W224" s="50">
        <f t="shared" si="26"/>
        <v>0.23603092519286697</v>
      </c>
    </row>
    <row r="225" spans="1:23" x14ac:dyDescent="0.3">
      <c r="A225" s="39" t="s">
        <v>550</v>
      </c>
      <c r="B225" s="40">
        <v>45035</v>
      </c>
      <c r="C225" s="41">
        <v>45053</v>
      </c>
      <c r="D225" s="42">
        <f t="shared" si="27"/>
        <v>18</v>
      </c>
      <c r="E225" s="42" t="str">
        <f>TEXT(Data!B225,"MMM-YYYY")</f>
        <v>Apr-2023</v>
      </c>
      <c r="F225" s="42" t="str">
        <f t="shared" si="23"/>
        <v>Q2-2023</v>
      </c>
      <c r="G225" s="37" t="s">
        <v>78</v>
      </c>
      <c r="H225" s="37" t="s">
        <v>108</v>
      </c>
      <c r="I225" s="37" t="s">
        <v>109</v>
      </c>
      <c r="J225" s="37" t="s">
        <v>105</v>
      </c>
      <c r="K225" s="37" t="s">
        <v>20</v>
      </c>
      <c r="L225" s="37" t="s">
        <v>126</v>
      </c>
      <c r="M225" s="37" t="s">
        <v>57</v>
      </c>
      <c r="N225" s="37" t="s">
        <v>551</v>
      </c>
      <c r="O225" s="42">
        <v>1089.1500000000001</v>
      </c>
      <c r="P225" s="43" t="str">
        <f t="shared" si="24"/>
        <v>High</v>
      </c>
      <c r="Q225" s="42">
        <v>1088.2</v>
      </c>
      <c r="R225" s="42">
        <v>5.0999999999999997E-2</v>
      </c>
      <c r="S225" s="42">
        <v>15</v>
      </c>
      <c r="T225" s="42">
        <f t="shared" si="21"/>
        <v>14458.4895</v>
      </c>
      <c r="U225" s="37">
        <f t="shared" si="22"/>
        <v>16337.250000000002</v>
      </c>
      <c r="V225" s="42">
        <f t="shared" si="25"/>
        <v>-1878.7605000000021</v>
      </c>
      <c r="W225" s="44">
        <f t="shared" si="26"/>
        <v>-0.12994168581718044</v>
      </c>
    </row>
    <row r="226" spans="1:23" x14ac:dyDescent="0.3">
      <c r="A226" s="45" t="s">
        <v>552</v>
      </c>
      <c r="B226" s="46">
        <v>45279</v>
      </c>
      <c r="C226" s="47">
        <v>45280</v>
      </c>
      <c r="D226" s="48">
        <f t="shared" si="27"/>
        <v>1</v>
      </c>
      <c r="E226" s="48" t="str">
        <f>TEXT(Data!B226,"MMM-YYYY")</f>
        <v>Dec-2023</v>
      </c>
      <c r="F226" s="48" t="str">
        <f t="shared" si="23"/>
        <v>Q4-2023</v>
      </c>
      <c r="G226" s="38" t="s">
        <v>52</v>
      </c>
      <c r="H226" s="38" t="s">
        <v>73</v>
      </c>
      <c r="I226" s="38" t="s">
        <v>225</v>
      </c>
      <c r="J226" s="38" t="s">
        <v>48</v>
      </c>
      <c r="K226" s="38" t="s">
        <v>55</v>
      </c>
      <c r="L226" s="38" t="s">
        <v>29</v>
      </c>
      <c r="M226" s="38" t="s">
        <v>42</v>
      </c>
      <c r="N226" s="38" t="s">
        <v>553</v>
      </c>
      <c r="O226" s="48">
        <v>1080.43</v>
      </c>
      <c r="P226" s="49" t="str">
        <f t="shared" si="24"/>
        <v>High</v>
      </c>
      <c r="Q226" s="48">
        <v>2529.15</v>
      </c>
      <c r="R226" s="48">
        <v>0.14699999999999999</v>
      </c>
      <c r="S226" s="48">
        <v>10</v>
      </c>
      <c r="T226" s="48">
        <f t="shared" si="21"/>
        <v>7783.1984999999995</v>
      </c>
      <c r="U226" s="38">
        <f t="shared" si="22"/>
        <v>10804.300000000001</v>
      </c>
      <c r="V226" s="48">
        <f t="shared" si="25"/>
        <v>-3021.1015000000016</v>
      </c>
      <c r="W226" s="50">
        <f t="shared" si="26"/>
        <v>-0.38815680982567796</v>
      </c>
    </row>
    <row r="227" spans="1:23" x14ac:dyDescent="0.3">
      <c r="A227" s="39" t="s">
        <v>554</v>
      </c>
      <c r="B227" s="40">
        <v>45137</v>
      </c>
      <c r="C227" s="41">
        <v>45145</v>
      </c>
      <c r="D227" s="42">
        <f t="shared" si="27"/>
        <v>8</v>
      </c>
      <c r="E227" s="42" t="str">
        <f>TEXT(Data!B227,"MMM-YYYY")</f>
        <v>Jul-2023</v>
      </c>
      <c r="F227" s="42" t="str">
        <f t="shared" si="23"/>
        <v>Q3-2023</v>
      </c>
      <c r="G227" s="37" t="s">
        <v>45</v>
      </c>
      <c r="H227" s="37" t="s">
        <v>46</v>
      </c>
      <c r="I227" s="37" t="s">
        <v>231</v>
      </c>
      <c r="J227" s="37" t="s">
        <v>27</v>
      </c>
      <c r="K227" s="37" t="s">
        <v>40</v>
      </c>
      <c r="L227" s="37" t="s">
        <v>75</v>
      </c>
      <c r="M227" s="37" t="s">
        <v>35</v>
      </c>
      <c r="N227" s="37" t="s">
        <v>555</v>
      </c>
      <c r="O227" s="42">
        <v>1352.44</v>
      </c>
      <c r="P227" s="43" t="str">
        <f t="shared" si="24"/>
        <v>High</v>
      </c>
      <c r="Q227" s="42">
        <v>2698.01</v>
      </c>
      <c r="R227" s="42">
        <v>0.13100000000000001</v>
      </c>
      <c r="S227" s="42">
        <v>13</v>
      </c>
      <c r="T227" s="42">
        <f t="shared" si="21"/>
        <v>9209.201430000001</v>
      </c>
      <c r="U227" s="37">
        <f t="shared" si="22"/>
        <v>17581.72</v>
      </c>
      <c r="V227" s="42">
        <f t="shared" si="25"/>
        <v>-8372.5185700000002</v>
      </c>
      <c r="W227" s="44">
        <f t="shared" si="26"/>
        <v>-0.90914707791335603</v>
      </c>
    </row>
    <row r="228" spans="1:23" x14ac:dyDescent="0.3">
      <c r="A228" s="45" t="s">
        <v>556</v>
      </c>
      <c r="B228" s="46">
        <v>45203</v>
      </c>
      <c r="C228" s="47">
        <v>45228</v>
      </c>
      <c r="D228" s="48">
        <f t="shared" si="27"/>
        <v>25</v>
      </c>
      <c r="E228" s="48" t="str">
        <f>TEXT(Data!B228,"MMM-YYYY")</f>
        <v>Oct-2023</v>
      </c>
      <c r="F228" s="48" t="str">
        <f t="shared" si="23"/>
        <v>Q4-2023</v>
      </c>
      <c r="G228" s="38" t="s">
        <v>52</v>
      </c>
      <c r="H228" s="38" t="s">
        <v>122</v>
      </c>
      <c r="I228" s="38" t="s">
        <v>167</v>
      </c>
      <c r="J228" s="38" t="s">
        <v>62</v>
      </c>
      <c r="K228" s="38" t="s">
        <v>55</v>
      </c>
      <c r="L228" s="38" t="s">
        <v>68</v>
      </c>
      <c r="M228" s="38" t="s">
        <v>81</v>
      </c>
      <c r="N228" s="38" t="s">
        <v>557</v>
      </c>
      <c r="O228" s="48">
        <v>1239.8399999999999</v>
      </c>
      <c r="P228" s="49" t="str">
        <f t="shared" si="24"/>
        <v>High</v>
      </c>
      <c r="Q228" s="48">
        <v>1482.75</v>
      </c>
      <c r="R228" s="48">
        <v>6.7000000000000004E-2</v>
      </c>
      <c r="S228" s="48">
        <v>4</v>
      </c>
      <c r="T228" s="48">
        <f t="shared" si="21"/>
        <v>6770.0719200000003</v>
      </c>
      <c r="U228" s="38">
        <f t="shared" si="22"/>
        <v>4959.3599999999997</v>
      </c>
      <c r="V228" s="48">
        <f t="shared" si="25"/>
        <v>1810.7119200000006</v>
      </c>
      <c r="W228" s="50">
        <f t="shared" si="26"/>
        <v>0.26745829902498297</v>
      </c>
    </row>
    <row r="229" spans="1:23" x14ac:dyDescent="0.3">
      <c r="A229" s="39" t="s">
        <v>558</v>
      </c>
      <c r="B229" s="40">
        <v>45879</v>
      </c>
      <c r="C229" s="41">
        <v>45899</v>
      </c>
      <c r="D229" s="42">
        <f t="shared" si="27"/>
        <v>20</v>
      </c>
      <c r="E229" s="42" t="str">
        <f>TEXT(Data!B229,"MMM-YYYY")</f>
        <v>Aug-2025</v>
      </c>
      <c r="F229" s="42" t="str">
        <f t="shared" si="23"/>
        <v>Q3-2025</v>
      </c>
      <c r="G229" s="37" t="s">
        <v>52</v>
      </c>
      <c r="H229" s="37" t="s">
        <v>122</v>
      </c>
      <c r="I229" s="37" t="s">
        <v>167</v>
      </c>
      <c r="J229" s="37" t="s">
        <v>19</v>
      </c>
      <c r="K229" s="37" t="s">
        <v>40</v>
      </c>
      <c r="L229" s="37" t="s">
        <v>95</v>
      </c>
      <c r="M229" s="37" t="s">
        <v>30</v>
      </c>
      <c r="N229" s="37" t="s">
        <v>559</v>
      </c>
      <c r="O229" s="42">
        <v>933.29</v>
      </c>
      <c r="P229" s="43" t="str">
        <f t="shared" si="24"/>
        <v>High</v>
      </c>
      <c r="Q229" s="42">
        <v>1456.81</v>
      </c>
      <c r="R229" s="42">
        <v>0.123</v>
      </c>
      <c r="S229" s="42">
        <v>13</v>
      </c>
      <c r="T229" s="42">
        <f t="shared" si="21"/>
        <v>8652.4469199999985</v>
      </c>
      <c r="U229" s="37">
        <f t="shared" si="22"/>
        <v>12132.77</v>
      </c>
      <c r="V229" s="42">
        <f t="shared" si="25"/>
        <v>-3480.3230800000019</v>
      </c>
      <c r="W229" s="44">
        <f t="shared" si="26"/>
        <v>-0.4022357042093247</v>
      </c>
    </row>
    <row r="230" spans="1:23" x14ac:dyDescent="0.3">
      <c r="A230" s="45" t="s">
        <v>560</v>
      </c>
      <c r="B230" s="46">
        <v>44992</v>
      </c>
      <c r="C230" s="47">
        <v>45017</v>
      </c>
      <c r="D230" s="48">
        <f t="shared" si="27"/>
        <v>25</v>
      </c>
      <c r="E230" s="48" t="str">
        <f>TEXT(Data!B230,"MMM-YYYY")</f>
        <v>Mar-2023</v>
      </c>
      <c r="F230" s="48" t="str">
        <f t="shared" si="23"/>
        <v>Q1-2023</v>
      </c>
      <c r="G230" s="38" t="s">
        <v>16</v>
      </c>
      <c r="H230" s="38" t="s">
        <v>17</v>
      </c>
      <c r="I230" s="38" t="s">
        <v>33</v>
      </c>
      <c r="J230" s="38" t="s">
        <v>48</v>
      </c>
      <c r="K230" s="38" t="s">
        <v>40</v>
      </c>
      <c r="L230" s="38" t="s">
        <v>145</v>
      </c>
      <c r="M230" s="38" t="s">
        <v>30</v>
      </c>
      <c r="N230" s="38" t="s">
        <v>561</v>
      </c>
      <c r="O230" s="48">
        <v>1024.0999999999999</v>
      </c>
      <c r="P230" s="49" t="str">
        <f t="shared" si="24"/>
        <v>High</v>
      </c>
      <c r="Q230" s="48">
        <v>918.19</v>
      </c>
      <c r="R230" s="48">
        <v>0.189</v>
      </c>
      <c r="S230" s="48">
        <v>10</v>
      </c>
      <c r="T230" s="48">
        <f t="shared" si="21"/>
        <v>13522.938400000001</v>
      </c>
      <c r="U230" s="38">
        <f t="shared" si="22"/>
        <v>10241</v>
      </c>
      <c r="V230" s="48">
        <f t="shared" si="25"/>
        <v>3281.9384000000009</v>
      </c>
      <c r="W230" s="50">
        <f t="shared" si="26"/>
        <v>0.24269417658517181</v>
      </c>
    </row>
    <row r="231" spans="1:23" x14ac:dyDescent="0.3">
      <c r="A231" s="39" t="s">
        <v>562</v>
      </c>
      <c r="B231" s="40">
        <v>45069</v>
      </c>
      <c r="C231" s="41">
        <v>45087</v>
      </c>
      <c r="D231" s="42">
        <f t="shared" si="27"/>
        <v>18</v>
      </c>
      <c r="E231" s="42" t="str">
        <f>TEXT(Data!B231,"MMM-YYYY")</f>
        <v>May-2023</v>
      </c>
      <c r="F231" s="42" t="str">
        <f t="shared" si="23"/>
        <v>Q2-2023</v>
      </c>
      <c r="G231" s="37" t="s">
        <v>45</v>
      </c>
      <c r="H231" s="37" t="s">
        <v>116</v>
      </c>
      <c r="I231" s="37" t="s">
        <v>162</v>
      </c>
      <c r="J231" s="37" t="s">
        <v>19</v>
      </c>
      <c r="K231" s="37" t="s">
        <v>55</v>
      </c>
      <c r="L231" s="37" t="s">
        <v>63</v>
      </c>
      <c r="M231" s="37" t="s">
        <v>22</v>
      </c>
      <c r="N231" s="37" t="s">
        <v>563</v>
      </c>
      <c r="O231" s="42">
        <v>54.62</v>
      </c>
      <c r="P231" s="43" t="str">
        <f t="shared" si="24"/>
        <v>Low</v>
      </c>
      <c r="Q231" s="42">
        <v>48.94</v>
      </c>
      <c r="R231" s="42">
        <v>0.14799999999999999</v>
      </c>
      <c r="S231" s="42">
        <v>16</v>
      </c>
      <c r="T231" s="42">
        <f t="shared" si="21"/>
        <v>34932.681600000004</v>
      </c>
      <c r="U231" s="37">
        <f t="shared" si="22"/>
        <v>873.92</v>
      </c>
      <c r="V231" s="42">
        <f t="shared" si="25"/>
        <v>34058.761600000005</v>
      </c>
      <c r="W231" s="44">
        <f t="shared" si="26"/>
        <v>0.9749827393726338</v>
      </c>
    </row>
    <row r="232" spans="1:23" x14ac:dyDescent="0.3">
      <c r="A232" s="45" t="s">
        <v>564</v>
      </c>
      <c r="B232" s="46">
        <v>45771</v>
      </c>
      <c r="C232" s="47">
        <v>45783</v>
      </c>
      <c r="D232" s="48">
        <f t="shared" si="27"/>
        <v>12</v>
      </c>
      <c r="E232" s="48" t="str">
        <f>TEXT(Data!B232,"MMM-YYYY")</f>
        <v>Apr-2025</v>
      </c>
      <c r="F232" s="48" t="str">
        <f t="shared" si="23"/>
        <v>Q2-2025</v>
      </c>
      <c r="G232" s="38" t="s">
        <v>52</v>
      </c>
      <c r="H232" s="38" t="s">
        <v>73</v>
      </c>
      <c r="I232" s="38" t="s">
        <v>87</v>
      </c>
      <c r="J232" s="38" t="s">
        <v>48</v>
      </c>
      <c r="K232" s="38" t="s">
        <v>28</v>
      </c>
      <c r="L232" s="38" t="s">
        <v>21</v>
      </c>
      <c r="M232" s="38" t="s">
        <v>42</v>
      </c>
      <c r="N232" s="38" t="s">
        <v>565</v>
      </c>
      <c r="O232" s="48">
        <v>394.13</v>
      </c>
      <c r="P232" s="49" t="str">
        <f t="shared" si="24"/>
        <v>High</v>
      </c>
      <c r="Q232" s="48">
        <v>932.29</v>
      </c>
      <c r="R232" s="48">
        <v>0.109</v>
      </c>
      <c r="S232" s="48">
        <v>7</v>
      </c>
      <c r="T232" s="48">
        <f t="shared" si="21"/>
        <v>4648.9350599999998</v>
      </c>
      <c r="U232" s="38">
        <f t="shared" si="22"/>
        <v>2758.91</v>
      </c>
      <c r="V232" s="48">
        <f t="shared" si="25"/>
        <v>1890.0250599999999</v>
      </c>
      <c r="W232" s="50">
        <f t="shared" si="26"/>
        <v>0.40655010999443819</v>
      </c>
    </row>
    <row r="233" spans="1:23" x14ac:dyDescent="0.3">
      <c r="A233" s="39" t="s">
        <v>566</v>
      </c>
      <c r="B233" s="40">
        <v>45538</v>
      </c>
      <c r="C233" s="41">
        <v>45543</v>
      </c>
      <c r="D233" s="42">
        <f t="shared" si="27"/>
        <v>5</v>
      </c>
      <c r="E233" s="42" t="str">
        <f>TEXT(Data!B233,"MMM-YYYY")</f>
        <v>Sept-2024</v>
      </c>
      <c r="F233" s="42" t="str">
        <f t="shared" si="23"/>
        <v>Q3-2024</v>
      </c>
      <c r="G233" s="37" t="s">
        <v>16</v>
      </c>
      <c r="H233" s="37" t="s">
        <v>25</v>
      </c>
      <c r="I233" s="37" t="s">
        <v>38</v>
      </c>
      <c r="J233" s="37" t="s">
        <v>62</v>
      </c>
      <c r="K233" s="37" t="s">
        <v>98</v>
      </c>
      <c r="L233" s="37" t="s">
        <v>95</v>
      </c>
      <c r="M233" s="37" t="s">
        <v>30</v>
      </c>
      <c r="N233" s="37" t="s">
        <v>567</v>
      </c>
      <c r="O233" s="42">
        <v>197.63</v>
      </c>
      <c r="P233" s="43" t="str">
        <f t="shared" si="24"/>
        <v>High</v>
      </c>
      <c r="Q233" s="42">
        <v>325.79000000000002</v>
      </c>
      <c r="R233" s="42">
        <v>0.11600000000000001</v>
      </c>
      <c r="S233" s="42">
        <v>10</v>
      </c>
      <c r="T233" s="42">
        <f t="shared" si="21"/>
        <v>6081.4780000000001</v>
      </c>
      <c r="U233" s="37">
        <f t="shared" si="22"/>
        <v>1976.3</v>
      </c>
      <c r="V233" s="42">
        <f t="shared" si="25"/>
        <v>4105.1779999999999</v>
      </c>
      <c r="W233" s="44">
        <f t="shared" si="26"/>
        <v>0.67502965561990025</v>
      </c>
    </row>
    <row r="234" spans="1:23" x14ac:dyDescent="0.3">
      <c r="A234" s="45" t="s">
        <v>568</v>
      </c>
      <c r="B234" s="46">
        <v>45540</v>
      </c>
      <c r="C234" s="47">
        <v>45560</v>
      </c>
      <c r="D234" s="48">
        <f t="shared" si="27"/>
        <v>20</v>
      </c>
      <c r="E234" s="48" t="str">
        <f>TEXT(Data!B234,"MMM-YYYY")</f>
        <v>Sept-2024</v>
      </c>
      <c r="F234" s="48" t="str">
        <f t="shared" si="23"/>
        <v>Q3-2024</v>
      </c>
      <c r="G234" s="38" t="s">
        <v>45</v>
      </c>
      <c r="H234" s="38" t="s">
        <v>46</v>
      </c>
      <c r="I234" s="38" t="s">
        <v>47</v>
      </c>
      <c r="J234" s="38" t="s">
        <v>105</v>
      </c>
      <c r="K234" s="38" t="s">
        <v>55</v>
      </c>
      <c r="L234" s="38" t="s">
        <v>145</v>
      </c>
      <c r="M234" s="38" t="s">
        <v>64</v>
      </c>
      <c r="N234" s="38" t="s">
        <v>569</v>
      </c>
      <c r="O234" s="48">
        <v>195.54</v>
      </c>
      <c r="P234" s="49" t="str">
        <f t="shared" si="24"/>
        <v>High</v>
      </c>
      <c r="Q234" s="48">
        <v>405.97</v>
      </c>
      <c r="R234" s="48">
        <v>0.187</v>
      </c>
      <c r="S234" s="48">
        <v>16</v>
      </c>
      <c r="T234" s="48">
        <f t="shared" si="21"/>
        <v>7155.3105599999999</v>
      </c>
      <c r="U234" s="38">
        <f t="shared" si="22"/>
        <v>3128.64</v>
      </c>
      <c r="V234" s="48">
        <f t="shared" si="25"/>
        <v>4026.67056</v>
      </c>
      <c r="W234" s="50">
        <f t="shared" si="26"/>
        <v>0.56275273116866642</v>
      </c>
    </row>
    <row r="235" spans="1:23" x14ac:dyDescent="0.3">
      <c r="A235" s="39" t="s">
        <v>570</v>
      </c>
      <c r="B235" s="40">
        <v>44999</v>
      </c>
      <c r="C235" s="41">
        <v>45015</v>
      </c>
      <c r="D235" s="42">
        <f t="shared" si="27"/>
        <v>16</v>
      </c>
      <c r="E235" s="42" t="str">
        <f>TEXT(Data!B235,"MMM-YYYY")</f>
        <v>Mar-2023</v>
      </c>
      <c r="F235" s="42" t="str">
        <f t="shared" si="23"/>
        <v>Q1-2023</v>
      </c>
      <c r="G235" s="37" t="s">
        <v>16</v>
      </c>
      <c r="H235" s="37" t="s">
        <v>148</v>
      </c>
      <c r="I235" s="37" t="s">
        <v>258</v>
      </c>
      <c r="J235" s="37" t="s">
        <v>48</v>
      </c>
      <c r="K235" s="37" t="s">
        <v>55</v>
      </c>
      <c r="L235" s="37" t="s">
        <v>95</v>
      </c>
      <c r="M235" s="37" t="s">
        <v>22</v>
      </c>
      <c r="N235" s="37" t="s">
        <v>571</v>
      </c>
      <c r="O235" s="42">
        <v>1309.77</v>
      </c>
      <c r="P235" s="43" t="str">
        <f t="shared" si="24"/>
        <v>High</v>
      </c>
      <c r="Q235" s="42">
        <v>1589.07</v>
      </c>
      <c r="R235" s="42">
        <v>0.10199999999999999</v>
      </c>
      <c r="S235" s="42">
        <v>10</v>
      </c>
      <c r="T235" s="42">
        <f t="shared" si="21"/>
        <v>18572.525799999999</v>
      </c>
      <c r="U235" s="37">
        <f t="shared" si="22"/>
        <v>13097.7</v>
      </c>
      <c r="V235" s="42">
        <f t="shared" si="25"/>
        <v>5474.8257999999987</v>
      </c>
      <c r="W235" s="44">
        <f t="shared" si="26"/>
        <v>0.29478089619883574</v>
      </c>
    </row>
    <row r="236" spans="1:23" x14ac:dyDescent="0.3">
      <c r="A236" s="45" t="s">
        <v>572</v>
      </c>
      <c r="B236" s="46">
        <v>45302</v>
      </c>
      <c r="C236" s="47">
        <v>45324</v>
      </c>
      <c r="D236" s="48">
        <f t="shared" si="27"/>
        <v>22</v>
      </c>
      <c r="E236" s="48" t="str">
        <f>TEXT(Data!B236,"MMM-YYYY")</f>
        <v>Jan-2024</v>
      </c>
      <c r="F236" s="48" t="str">
        <f t="shared" si="23"/>
        <v>Q1-2024</v>
      </c>
      <c r="G236" s="38" t="s">
        <v>45</v>
      </c>
      <c r="H236" s="38" t="s">
        <v>46</v>
      </c>
      <c r="I236" s="38" t="s">
        <v>231</v>
      </c>
      <c r="J236" s="38" t="s">
        <v>62</v>
      </c>
      <c r="K236" s="38" t="s">
        <v>28</v>
      </c>
      <c r="L236" s="38" t="s">
        <v>1364</v>
      </c>
      <c r="M236" s="38" t="s">
        <v>30</v>
      </c>
      <c r="N236" s="38" t="s">
        <v>573</v>
      </c>
      <c r="O236" s="48">
        <v>1237.68</v>
      </c>
      <c r="P236" s="49" t="str">
        <f t="shared" si="24"/>
        <v>High</v>
      </c>
      <c r="Q236" s="48">
        <v>1432.8</v>
      </c>
      <c r="R236" s="48">
        <v>6.8000000000000005E-2</v>
      </c>
      <c r="S236" s="48">
        <v>13</v>
      </c>
      <c r="T236" s="48">
        <f t="shared" si="21"/>
        <v>31218.691400000003</v>
      </c>
      <c r="U236" s="38">
        <f t="shared" si="22"/>
        <v>16089.84</v>
      </c>
      <c r="V236" s="48">
        <f t="shared" si="25"/>
        <v>15128.851400000003</v>
      </c>
      <c r="W236" s="50">
        <f t="shared" si="26"/>
        <v>0.48460876230065175</v>
      </c>
    </row>
    <row r="237" spans="1:23" x14ac:dyDescent="0.3">
      <c r="A237" s="39" t="s">
        <v>574</v>
      </c>
      <c r="B237" s="40">
        <v>45548</v>
      </c>
      <c r="C237" s="41">
        <v>45567</v>
      </c>
      <c r="D237" s="42">
        <f t="shared" si="27"/>
        <v>19</v>
      </c>
      <c r="E237" s="42" t="str">
        <f>TEXT(Data!B237,"MMM-YYYY")</f>
        <v>Sept-2024</v>
      </c>
      <c r="F237" s="42" t="str">
        <f t="shared" si="23"/>
        <v>Q3-2024</v>
      </c>
      <c r="G237" s="37" t="s">
        <v>16</v>
      </c>
      <c r="H237" s="37" t="s">
        <v>17</v>
      </c>
      <c r="I237" s="37" t="s">
        <v>113</v>
      </c>
      <c r="J237" s="37" t="s">
        <v>62</v>
      </c>
      <c r="K237" s="37" t="s">
        <v>20</v>
      </c>
      <c r="L237" s="37" t="s">
        <v>110</v>
      </c>
      <c r="M237" s="37" t="s">
        <v>42</v>
      </c>
      <c r="N237" s="37" t="s">
        <v>575</v>
      </c>
      <c r="O237" s="42">
        <v>1338.99</v>
      </c>
      <c r="P237" s="43" t="str">
        <f t="shared" si="24"/>
        <v>High</v>
      </c>
      <c r="Q237" s="42">
        <v>1765.76</v>
      </c>
      <c r="R237" s="42">
        <v>0.126</v>
      </c>
      <c r="S237" s="42">
        <v>24</v>
      </c>
      <c r="T237" s="42">
        <f t="shared" si="21"/>
        <v>21901.880639999999</v>
      </c>
      <c r="U237" s="37">
        <f t="shared" si="22"/>
        <v>32135.760000000002</v>
      </c>
      <c r="V237" s="42">
        <f t="shared" si="25"/>
        <v>-10233.879360000003</v>
      </c>
      <c r="W237" s="44">
        <f t="shared" si="26"/>
        <v>-0.46726030189889678</v>
      </c>
    </row>
    <row r="238" spans="1:23" x14ac:dyDescent="0.3">
      <c r="A238" s="45" t="s">
        <v>576</v>
      </c>
      <c r="B238" s="46">
        <v>45855</v>
      </c>
      <c r="C238" s="47">
        <v>45861</v>
      </c>
      <c r="D238" s="48">
        <f t="shared" si="27"/>
        <v>6</v>
      </c>
      <c r="E238" s="48" t="str">
        <f>TEXT(Data!B238,"MMM-YYYY")</f>
        <v>Jul-2025</v>
      </c>
      <c r="F238" s="48" t="str">
        <f t="shared" si="23"/>
        <v>Q3-2025</v>
      </c>
      <c r="G238" s="38" t="s">
        <v>52</v>
      </c>
      <c r="H238" s="38" t="s">
        <v>53</v>
      </c>
      <c r="I238" s="38" t="s">
        <v>179</v>
      </c>
      <c r="J238" s="38" t="s">
        <v>48</v>
      </c>
      <c r="K238" s="38" t="s">
        <v>28</v>
      </c>
      <c r="L238" s="38" t="s">
        <v>92</v>
      </c>
      <c r="M238" s="38" t="s">
        <v>22</v>
      </c>
      <c r="N238" s="38" t="s">
        <v>577</v>
      </c>
      <c r="O238" s="48">
        <v>1364.89</v>
      </c>
      <c r="P238" s="49" t="str">
        <f t="shared" si="24"/>
        <v>High</v>
      </c>
      <c r="Q238" s="48">
        <v>2757.54</v>
      </c>
      <c r="R238" s="48">
        <v>0.17199999999999999</v>
      </c>
      <c r="S238" s="48">
        <v>61</v>
      </c>
      <c r="T238" s="48">
        <f t="shared" si="21"/>
        <v>5002.3123200000009</v>
      </c>
      <c r="U238" s="38">
        <f t="shared" si="22"/>
        <v>83258.290000000008</v>
      </c>
      <c r="V238" s="48">
        <f t="shared" si="25"/>
        <v>-78255.977680000011</v>
      </c>
      <c r="W238" s="50">
        <f t="shared" si="26"/>
        <v>-15.643960767327698</v>
      </c>
    </row>
    <row r="239" spans="1:23" x14ac:dyDescent="0.3">
      <c r="A239" s="39" t="s">
        <v>578</v>
      </c>
      <c r="B239" s="40">
        <v>45258</v>
      </c>
      <c r="C239" s="41">
        <v>45267</v>
      </c>
      <c r="D239" s="42">
        <f t="shared" si="27"/>
        <v>9</v>
      </c>
      <c r="E239" s="42" t="str">
        <f>TEXT(Data!B239,"MMM-YYYY")</f>
        <v>Nov-2023</v>
      </c>
      <c r="F239" s="42" t="str">
        <f t="shared" si="23"/>
        <v>Q4-2023</v>
      </c>
      <c r="G239" s="37" t="s">
        <v>45</v>
      </c>
      <c r="H239" s="37" t="s">
        <v>60</v>
      </c>
      <c r="I239" s="37" t="s">
        <v>141</v>
      </c>
      <c r="J239" s="37" t="s">
        <v>105</v>
      </c>
      <c r="K239" s="37" t="s">
        <v>40</v>
      </c>
      <c r="L239" s="37" t="s">
        <v>49</v>
      </c>
      <c r="M239" s="37" t="s">
        <v>42</v>
      </c>
      <c r="N239" s="37" t="s">
        <v>579</v>
      </c>
      <c r="O239" s="42">
        <v>699.33</v>
      </c>
      <c r="P239" s="43" t="str">
        <f t="shared" si="24"/>
        <v>High</v>
      </c>
      <c r="Q239" s="42">
        <v>873.75</v>
      </c>
      <c r="R239" s="42">
        <v>0.23499999999999999</v>
      </c>
      <c r="S239" s="42">
        <v>10</v>
      </c>
      <c r="T239" s="42">
        <f t="shared" si="21"/>
        <v>15275.5965</v>
      </c>
      <c r="U239" s="37">
        <f t="shared" si="22"/>
        <v>6993.3</v>
      </c>
      <c r="V239" s="42">
        <f t="shared" si="25"/>
        <v>8282.2965000000004</v>
      </c>
      <c r="W239" s="44">
        <f t="shared" si="26"/>
        <v>0.5421913638527962</v>
      </c>
    </row>
    <row r="240" spans="1:23" x14ac:dyDescent="0.3">
      <c r="A240" s="45" t="s">
        <v>580</v>
      </c>
      <c r="B240" s="46">
        <v>45381</v>
      </c>
      <c r="C240" s="47">
        <v>45406</v>
      </c>
      <c r="D240" s="48">
        <f t="shared" si="27"/>
        <v>25</v>
      </c>
      <c r="E240" s="48" t="str">
        <f>TEXT(Data!B240,"MMM-YYYY")</f>
        <v>Mar-2024</v>
      </c>
      <c r="F240" s="48" t="str">
        <f t="shared" si="23"/>
        <v>Q1-2024</v>
      </c>
      <c r="G240" s="38" t="s">
        <v>52</v>
      </c>
      <c r="H240" s="38" t="s">
        <v>122</v>
      </c>
      <c r="I240" s="38" t="s">
        <v>326</v>
      </c>
      <c r="J240" s="38" t="s">
        <v>39</v>
      </c>
      <c r="K240" s="38" t="s">
        <v>28</v>
      </c>
      <c r="L240" s="38" t="s">
        <v>41</v>
      </c>
      <c r="M240" s="38" t="s">
        <v>57</v>
      </c>
      <c r="N240" s="38" t="s">
        <v>581</v>
      </c>
      <c r="O240" s="48">
        <v>160.82</v>
      </c>
      <c r="P240" s="49" t="str">
        <f t="shared" si="24"/>
        <v>High</v>
      </c>
      <c r="Q240" s="48">
        <v>258.52</v>
      </c>
      <c r="R240" s="48">
        <v>0.13</v>
      </c>
      <c r="S240" s="48">
        <v>17</v>
      </c>
      <c r="T240" s="48">
        <f t="shared" si="21"/>
        <v>13631.647199999999</v>
      </c>
      <c r="U240" s="38">
        <f t="shared" si="22"/>
        <v>2733.94</v>
      </c>
      <c r="V240" s="48">
        <f t="shared" si="25"/>
        <v>10897.707199999999</v>
      </c>
      <c r="W240" s="50">
        <f t="shared" si="26"/>
        <v>0.79944169916604058</v>
      </c>
    </row>
    <row r="241" spans="1:23" x14ac:dyDescent="0.3">
      <c r="A241" s="39" t="s">
        <v>582</v>
      </c>
      <c r="B241" s="40">
        <v>45188</v>
      </c>
      <c r="C241" s="41">
        <v>45207</v>
      </c>
      <c r="D241" s="42">
        <f t="shared" si="27"/>
        <v>19</v>
      </c>
      <c r="E241" s="42" t="str">
        <f>TEXT(Data!B241,"MMM-YYYY")</f>
        <v>Sept-2023</v>
      </c>
      <c r="F241" s="42" t="str">
        <f t="shared" si="23"/>
        <v>Q3-2023</v>
      </c>
      <c r="G241" s="37" t="s">
        <v>45</v>
      </c>
      <c r="H241" s="37" t="s">
        <v>60</v>
      </c>
      <c r="I241" s="37" t="s">
        <v>61</v>
      </c>
      <c r="J241" s="37" t="s">
        <v>27</v>
      </c>
      <c r="K241" s="37" t="s">
        <v>98</v>
      </c>
      <c r="L241" s="37" t="s">
        <v>29</v>
      </c>
      <c r="M241" s="37" t="s">
        <v>30</v>
      </c>
      <c r="N241" s="37" t="s">
        <v>583</v>
      </c>
      <c r="O241" s="42">
        <v>385.32</v>
      </c>
      <c r="P241" s="43" t="str">
        <f t="shared" si="24"/>
        <v>High</v>
      </c>
      <c r="Q241" s="42">
        <v>606.76</v>
      </c>
      <c r="R241" s="42">
        <v>8.5999999999999993E-2</v>
      </c>
      <c r="S241" s="42">
        <v>8</v>
      </c>
      <c r="T241" s="42">
        <f t="shared" si="21"/>
        <v>18307.712480000002</v>
      </c>
      <c r="U241" s="37">
        <f t="shared" si="22"/>
        <v>3082.56</v>
      </c>
      <c r="V241" s="42">
        <f t="shared" si="25"/>
        <v>15225.152480000002</v>
      </c>
      <c r="W241" s="44">
        <f t="shared" si="26"/>
        <v>0.8316250594732959</v>
      </c>
    </row>
    <row r="242" spans="1:23" x14ac:dyDescent="0.3">
      <c r="A242" s="45" t="s">
        <v>584</v>
      </c>
      <c r="B242" s="46">
        <v>45793</v>
      </c>
      <c r="C242" s="47">
        <v>45804</v>
      </c>
      <c r="D242" s="48">
        <f t="shared" si="27"/>
        <v>11</v>
      </c>
      <c r="E242" s="48" t="str">
        <f>TEXT(Data!B242,"MMM-YYYY")</f>
        <v>May-2025</v>
      </c>
      <c r="F242" s="48" t="str">
        <f t="shared" si="23"/>
        <v>Q2-2025</v>
      </c>
      <c r="G242" s="38" t="s">
        <v>45</v>
      </c>
      <c r="H242" s="38" t="s">
        <v>116</v>
      </c>
      <c r="I242" s="38" t="s">
        <v>338</v>
      </c>
      <c r="J242" s="38" t="s">
        <v>105</v>
      </c>
      <c r="K242" s="38" t="s">
        <v>28</v>
      </c>
      <c r="L242" s="38" t="s">
        <v>84</v>
      </c>
      <c r="M242" s="38" t="s">
        <v>42</v>
      </c>
      <c r="N242" s="38" t="s">
        <v>585</v>
      </c>
      <c r="O242" s="48">
        <v>918.12</v>
      </c>
      <c r="P242" s="49" t="str">
        <f t="shared" si="24"/>
        <v>High</v>
      </c>
      <c r="Q242" s="48">
        <v>1337.69</v>
      </c>
      <c r="R242" s="48">
        <v>9.5000000000000001E-2</v>
      </c>
      <c r="S242" s="48">
        <v>8</v>
      </c>
      <c r="T242" s="48">
        <f t="shared" si="21"/>
        <v>17830.4548</v>
      </c>
      <c r="U242" s="38">
        <f t="shared" si="22"/>
        <v>7344.96</v>
      </c>
      <c r="V242" s="48">
        <f t="shared" si="25"/>
        <v>10485.4948</v>
      </c>
      <c r="W242" s="50">
        <f t="shared" si="26"/>
        <v>0.58806659267042372</v>
      </c>
    </row>
    <row r="243" spans="1:23" x14ac:dyDescent="0.3">
      <c r="A243" s="39" t="s">
        <v>586</v>
      </c>
      <c r="B243" s="40">
        <v>45871</v>
      </c>
      <c r="C243" s="41">
        <v>45877</v>
      </c>
      <c r="D243" s="42">
        <f t="shared" si="27"/>
        <v>6</v>
      </c>
      <c r="E243" s="42" t="str">
        <f>TEXT(Data!B243,"MMM-YYYY")</f>
        <v>Aug-2025</v>
      </c>
      <c r="F243" s="42" t="str">
        <f t="shared" si="23"/>
        <v>Q3-2025</v>
      </c>
      <c r="G243" s="37" t="s">
        <v>45</v>
      </c>
      <c r="H243" s="37" t="s">
        <v>46</v>
      </c>
      <c r="I243" s="37" t="s">
        <v>47</v>
      </c>
      <c r="J243" s="37" t="s">
        <v>48</v>
      </c>
      <c r="K243" s="37" t="s">
        <v>98</v>
      </c>
      <c r="L243" s="37" t="s">
        <v>126</v>
      </c>
      <c r="M243" s="37" t="s">
        <v>57</v>
      </c>
      <c r="N243" s="37" t="s">
        <v>587</v>
      </c>
      <c r="O243" s="42">
        <v>1225.94</v>
      </c>
      <c r="P243" s="43" t="str">
        <f t="shared" si="24"/>
        <v>High</v>
      </c>
      <c r="Q243" s="42">
        <v>1793.08</v>
      </c>
      <c r="R243" s="42">
        <v>0.13600000000000001</v>
      </c>
      <c r="S243" s="42">
        <v>22</v>
      </c>
      <c r="T243" s="42">
        <f t="shared" si="21"/>
        <v>9431.7695999999996</v>
      </c>
      <c r="U243" s="37">
        <f t="shared" si="22"/>
        <v>26970.68</v>
      </c>
      <c r="V243" s="42">
        <f t="shared" si="25"/>
        <v>-17538.910400000001</v>
      </c>
      <c r="W243" s="44">
        <f t="shared" si="26"/>
        <v>-1.8595567050323198</v>
      </c>
    </row>
    <row r="244" spans="1:23" x14ac:dyDescent="0.3">
      <c r="A244" s="45" t="s">
        <v>588</v>
      </c>
      <c r="B244" s="46">
        <v>45630</v>
      </c>
      <c r="C244" s="47">
        <v>45638</v>
      </c>
      <c r="D244" s="48">
        <f t="shared" si="27"/>
        <v>8</v>
      </c>
      <c r="E244" s="48" t="str">
        <f>TEXT(Data!B244,"MMM-YYYY")</f>
        <v>Dec-2024</v>
      </c>
      <c r="F244" s="48" t="str">
        <f t="shared" si="23"/>
        <v>Q4-2024</v>
      </c>
      <c r="G244" s="38" t="s">
        <v>78</v>
      </c>
      <c r="H244" s="38" t="s">
        <v>79</v>
      </c>
      <c r="I244" s="38" t="s">
        <v>335</v>
      </c>
      <c r="J244" s="38" t="s">
        <v>105</v>
      </c>
      <c r="K244" s="38" t="s">
        <v>40</v>
      </c>
      <c r="L244" s="38" t="s">
        <v>56</v>
      </c>
      <c r="M244" s="38" t="s">
        <v>30</v>
      </c>
      <c r="N244" s="38" t="s">
        <v>589</v>
      </c>
      <c r="O244" s="48">
        <v>72.06</v>
      </c>
      <c r="P244" s="49" t="str">
        <f t="shared" si="24"/>
        <v>Medium</v>
      </c>
      <c r="Q244" s="48">
        <v>122.74</v>
      </c>
      <c r="R244" s="48">
        <v>0.23799999999999999</v>
      </c>
      <c r="S244" s="48">
        <v>8</v>
      </c>
      <c r="T244" s="48">
        <f t="shared" si="21"/>
        <v>5532.6686399999999</v>
      </c>
      <c r="U244" s="38">
        <f t="shared" si="22"/>
        <v>576.48</v>
      </c>
      <c r="V244" s="48">
        <f t="shared" si="25"/>
        <v>4956.1886400000003</v>
      </c>
      <c r="W244" s="50">
        <f t="shared" si="26"/>
        <v>0.89580435093615152</v>
      </c>
    </row>
    <row r="245" spans="1:23" x14ac:dyDescent="0.3">
      <c r="A245" s="39" t="s">
        <v>590</v>
      </c>
      <c r="B245" s="40">
        <v>45035</v>
      </c>
      <c r="C245" s="41">
        <v>45044</v>
      </c>
      <c r="D245" s="42">
        <f t="shared" si="27"/>
        <v>9</v>
      </c>
      <c r="E245" s="42" t="str">
        <f>TEXT(Data!B245,"MMM-YYYY")</f>
        <v>Apr-2023</v>
      </c>
      <c r="F245" s="42" t="str">
        <f t="shared" si="23"/>
        <v>Q2-2023</v>
      </c>
      <c r="G245" s="37" t="s">
        <v>52</v>
      </c>
      <c r="H245" s="37" t="s">
        <v>73</v>
      </c>
      <c r="I245" s="37" t="s">
        <v>225</v>
      </c>
      <c r="J245" s="37" t="s">
        <v>19</v>
      </c>
      <c r="K245" s="37" t="s">
        <v>55</v>
      </c>
      <c r="L245" s="37" t="s">
        <v>110</v>
      </c>
      <c r="M245" s="37" t="s">
        <v>42</v>
      </c>
      <c r="N245" s="37" t="s">
        <v>591</v>
      </c>
      <c r="O245" s="42">
        <v>1013.54</v>
      </c>
      <c r="P245" s="43" t="str">
        <f t="shared" si="24"/>
        <v>High</v>
      </c>
      <c r="Q245" s="42">
        <v>927.93</v>
      </c>
      <c r="R245" s="42">
        <v>0.17499999999999999</v>
      </c>
      <c r="S245" s="42">
        <v>16</v>
      </c>
      <c r="T245" s="42">
        <f t="shared" si="21"/>
        <v>4411.308</v>
      </c>
      <c r="U245" s="37">
        <f t="shared" si="22"/>
        <v>16216.64</v>
      </c>
      <c r="V245" s="42">
        <f t="shared" si="25"/>
        <v>-11805.331999999999</v>
      </c>
      <c r="W245" s="44">
        <f t="shared" si="26"/>
        <v>-2.6761522886182507</v>
      </c>
    </row>
    <row r="246" spans="1:23" x14ac:dyDescent="0.3">
      <c r="A246" s="45" t="s">
        <v>592</v>
      </c>
      <c r="B246" s="46">
        <v>45357</v>
      </c>
      <c r="C246" s="47">
        <v>45377</v>
      </c>
      <c r="D246" s="48">
        <f t="shared" si="27"/>
        <v>20</v>
      </c>
      <c r="E246" s="48" t="str">
        <f>TEXT(Data!B246,"MMM-YYYY")</f>
        <v>Mar-2024</v>
      </c>
      <c r="F246" s="48" t="str">
        <f t="shared" si="23"/>
        <v>Q1-2024</v>
      </c>
      <c r="G246" s="38" t="s">
        <v>16</v>
      </c>
      <c r="H246" s="38" t="s">
        <v>25</v>
      </c>
      <c r="I246" s="38" t="s">
        <v>26</v>
      </c>
      <c r="J246" s="38" t="s">
        <v>48</v>
      </c>
      <c r="K246" s="38" t="s">
        <v>40</v>
      </c>
      <c r="L246" s="38" t="s">
        <v>34</v>
      </c>
      <c r="M246" s="38" t="s">
        <v>42</v>
      </c>
      <c r="N246" s="38" t="s">
        <v>593</v>
      </c>
      <c r="O246" s="48">
        <v>65.64</v>
      </c>
      <c r="P246" s="49" t="str">
        <f t="shared" si="24"/>
        <v>Medium</v>
      </c>
      <c r="Q246" s="48">
        <v>151.88</v>
      </c>
      <c r="R246" s="48">
        <v>0.16700000000000001</v>
      </c>
      <c r="S246" s="48">
        <v>23</v>
      </c>
      <c r="T246" s="48">
        <f t="shared" si="21"/>
        <v>10322.677609999999</v>
      </c>
      <c r="U246" s="38">
        <f t="shared" si="22"/>
        <v>1509.72</v>
      </c>
      <c r="V246" s="48">
        <f t="shared" si="25"/>
        <v>8812.9576099999995</v>
      </c>
      <c r="W246" s="50">
        <f t="shared" si="26"/>
        <v>0.8537472488206479</v>
      </c>
    </row>
    <row r="247" spans="1:23" x14ac:dyDescent="0.3">
      <c r="A247" s="39" t="s">
        <v>594</v>
      </c>
      <c r="B247" s="40">
        <v>45338</v>
      </c>
      <c r="C247" s="41">
        <v>45355</v>
      </c>
      <c r="D247" s="42">
        <f t="shared" si="27"/>
        <v>17</v>
      </c>
      <c r="E247" s="42" t="str">
        <f>TEXT(Data!B247,"MMM-YYYY")</f>
        <v>Feb-2024</v>
      </c>
      <c r="F247" s="42" t="str">
        <f t="shared" si="23"/>
        <v>Q1-2024</v>
      </c>
      <c r="G247" s="37" t="s">
        <v>52</v>
      </c>
      <c r="H247" s="37" t="s">
        <v>53</v>
      </c>
      <c r="I247" s="37" t="s">
        <v>144</v>
      </c>
      <c r="J247" s="37" t="s">
        <v>39</v>
      </c>
      <c r="K247" s="37" t="s">
        <v>20</v>
      </c>
      <c r="L247" s="37" t="s">
        <v>145</v>
      </c>
      <c r="M247" s="37" t="s">
        <v>57</v>
      </c>
      <c r="N247" s="37" t="s">
        <v>595</v>
      </c>
      <c r="O247" s="42">
        <v>1350.98</v>
      </c>
      <c r="P247" s="43" t="str">
        <f t="shared" si="24"/>
        <v>High</v>
      </c>
      <c r="Q247" s="42">
        <v>2210.4</v>
      </c>
      <c r="R247" s="42">
        <v>0.26300000000000001</v>
      </c>
      <c r="S247" s="42">
        <v>6</v>
      </c>
      <c r="T247" s="42">
        <f t="shared" si="21"/>
        <v>6352.3798799999995</v>
      </c>
      <c r="U247" s="37">
        <f t="shared" si="22"/>
        <v>8105.88</v>
      </c>
      <c r="V247" s="42">
        <f t="shared" si="25"/>
        <v>-1753.5001200000006</v>
      </c>
      <c r="W247" s="44">
        <f t="shared" si="26"/>
        <v>-0.27603829637468102</v>
      </c>
    </row>
    <row r="248" spans="1:23" x14ac:dyDescent="0.3">
      <c r="A248" s="45" t="s">
        <v>596</v>
      </c>
      <c r="B248" s="46">
        <v>45769</v>
      </c>
      <c r="C248" s="47">
        <v>45779</v>
      </c>
      <c r="D248" s="48">
        <f t="shared" si="27"/>
        <v>10</v>
      </c>
      <c r="E248" s="48" t="str">
        <f>TEXT(Data!B248,"MMM-YYYY")</f>
        <v>Apr-2025</v>
      </c>
      <c r="F248" s="48" t="str">
        <f t="shared" si="23"/>
        <v>Q2-2025</v>
      </c>
      <c r="G248" s="38" t="s">
        <v>78</v>
      </c>
      <c r="H248" s="38" t="s">
        <v>79</v>
      </c>
      <c r="I248" s="38" t="s">
        <v>80</v>
      </c>
      <c r="J248" s="38" t="s">
        <v>19</v>
      </c>
      <c r="K248" s="38" t="s">
        <v>40</v>
      </c>
      <c r="L248" s="38" t="s">
        <v>21</v>
      </c>
      <c r="M248" s="38" t="s">
        <v>64</v>
      </c>
      <c r="N248" s="38" t="s">
        <v>597</v>
      </c>
      <c r="O248" s="48">
        <v>20.149999999999999</v>
      </c>
      <c r="P248" s="49" t="str">
        <f t="shared" si="24"/>
        <v>Low</v>
      </c>
      <c r="Q248" s="48">
        <v>39.74</v>
      </c>
      <c r="R248" s="48">
        <v>0.151</v>
      </c>
      <c r="S248" s="48">
        <v>18</v>
      </c>
      <c r="T248" s="48">
        <f t="shared" si="21"/>
        <v>26996.417099999999</v>
      </c>
      <c r="U248" s="38">
        <f t="shared" si="22"/>
        <v>362.7</v>
      </c>
      <c r="V248" s="48">
        <f t="shared" si="25"/>
        <v>26633.717099999998</v>
      </c>
      <c r="W248" s="50">
        <f t="shared" si="26"/>
        <v>0.98656488382675045</v>
      </c>
    </row>
    <row r="249" spans="1:23" x14ac:dyDescent="0.3">
      <c r="A249" s="39" t="s">
        <v>598</v>
      </c>
      <c r="B249" s="40">
        <v>45604</v>
      </c>
      <c r="C249" s="41">
        <v>45604</v>
      </c>
      <c r="D249" s="42">
        <f t="shared" si="27"/>
        <v>0</v>
      </c>
      <c r="E249" s="42" t="str">
        <f>TEXT(Data!B249,"MMM-YYYY")</f>
        <v>Nov-2024</v>
      </c>
      <c r="F249" s="42" t="str">
        <f t="shared" si="23"/>
        <v>Q4-2024</v>
      </c>
      <c r="G249" s="37" t="s">
        <v>16</v>
      </c>
      <c r="H249" s="37" t="s">
        <v>17</v>
      </c>
      <c r="I249" s="37" t="s">
        <v>135</v>
      </c>
      <c r="J249" s="37" t="s">
        <v>105</v>
      </c>
      <c r="K249" s="37" t="s">
        <v>40</v>
      </c>
      <c r="L249" s="37" t="s">
        <v>110</v>
      </c>
      <c r="M249" s="37" t="s">
        <v>35</v>
      </c>
      <c r="N249" s="37" t="s">
        <v>599</v>
      </c>
      <c r="O249" s="42">
        <v>803.28</v>
      </c>
      <c r="P249" s="43" t="str">
        <f t="shared" si="24"/>
        <v>High</v>
      </c>
      <c r="Q249" s="42">
        <v>1009</v>
      </c>
      <c r="R249" s="42">
        <v>0.11</v>
      </c>
      <c r="S249" s="42">
        <v>4</v>
      </c>
      <c r="T249" s="42">
        <f t="shared" si="21"/>
        <v>2237.6023999999998</v>
      </c>
      <c r="U249" s="37">
        <f t="shared" si="22"/>
        <v>3213.12</v>
      </c>
      <c r="V249" s="42">
        <f t="shared" si="25"/>
        <v>-975.51760000000013</v>
      </c>
      <c r="W249" s="44">
        <f t="shared" si="26"/>
        <v>-0.43596556743056775</v>
      </c>
    </row>
    <row r="250" spans="1:23" x14ac:dyDescent="0.3">
      <c r="A250" s="45" t="s">
        <v>600</v>
      </c>
      <c r="B250" s="46">
        <v>45912</v>
      </c>
      <c r="C250" s="47">
        <v>45930</v>
      </c>
      <c r="D250" s="48">
        <f t="shared" si="27"/>
        <v>18</v>
      </c>
      <c r="E250" s="48" t="str">
        <f>TEXT(Data!B250,"MMM-YYYY")</f>
        <v>Sept-2025</v>
      </c>
      <c r="F250" s="48" t="str">
        <f t="shared" si="23"/>
        <v>Q3-2025</v>
      </c>
      <c r="G250" s="38" t="s">
        <v>45</v>
      </c>
      <c r="H250" s="38" t="s">
        <v>46</v>
      </c>
      <c r="I250" s="38" t="s">
        <v>231</v>
      </c>
      <c r="J250" s="38" t="s">
        <v>39</v>
      </c>
      <c r="K250" s="38" t="s">
        <v>40</v>
      </c>
      <c r="L250" s="38" t="s">
        <v>84</v>
      </c>
      <c r="M250" s="38" t="s">
        <v>64</v>
      </c>
      <c r="N250" s="38" t="s">
        <v>601</v>
      </c>
      <c r="O250" s="48">
        <v>1212.99</v>
      </c>
      <c r="P250" s="49" t="str">
        <f t="shared" si="24"/>
        <v>High</v>
      </c>
      <c r="Q250" s="48">
        <v>1653.64</v>
      </c>
      <c r="R250" s="48">
        <v>0.107</v>
      </c>
      <c r="S250" s="48">
        <v>8</v>
      </c>
      <c r="T250" s="48">
        <f t="shared" si="21"/>
        <v>11792.958000000001</v>
      </c>
      <c r="U250" s="38">
        <f t="shared" si="22"/>
        <v>9703.92</v>
      </c>
      <c r="V250" s="48">
        <f t="shared" si="25"/>
        <v>2089.0380000000005</v>
      </c>
      <c r="W250" s="50">
        <f t="shared" si="26"/>
        <v>0.17714283388442495</v>
      </c>
    </row>
    <row r="251" spans="1:23" x14ac:dyDescent="0.3">
      <c r="A251" s="39" t="s">
        <v>602</v>
      </c>
      <c r="B251" s="40">
        <v>45537</v>
      </c>
      <c r="C251" s="41">
        <v>45543</v>
      </c>
      <c r="D251" s="42">
        <f t="shared" si="27"/>
        <v>6</v>
      </c>
      <c r="E251" s="42" t="str">
        <f>TEXT(Data!B251,"MMM-YYYY")</f>
        <v>Sept-2024</v>
      </c>
      <c r="F251" s="42" t="str">
        <f t="shared" si="23"/>
        <v>Q3-2024</v>
      </c>
      <c r="G251" s="37" t="s">
        <v>52</v>
      </c>
      <c r="H251" s="37" t="s">
        <v>122</v>
      </c>
      <c r="I251" s="37" t="s">
        <v>326</v>
      </c>
      <c r="J251" s="37" t="s">
        <v>48</v>
      </c>
      <c r="K251" s="37" t="s">
        <v>98</v>
      </c>
      <c r="L251" s="37" t="s">
        <v>92</v>
      </c>
      <c r="M251" s="37" t="s">
        <v>22</v>
      </c>
      <c r="N251" s="37" t="s">
        <v>603</v>
      </c>
      <c r="O251" s="42">
        <v>462.94</v>
      </c>
      <c r="P251" s="43" t="str">
        <f t="shared" si="24"/>
        <v>High</v>
      </c>
      <c r="Q251" s="42">
        <v>1015.7</v>
      </c>
      <c r="R251" s="42">
        <v>0.14299999999999999</v>
      </c>
      <c r="S251" s="42">
        <v>14</v>
      </c>
      <c r="T251" s="42">
        <f t="shared" si="21"/>
        <v>26961.185719999998</v>
      </c>
      <c r="U251" s="37">
        <f t="shared" si="22"/>
        <v>6481.16</v>
      </c>
      <c r="V251" s="42">
        <f t="shared" si="25"/>
        <v>20480.025719999998</v>
      </c>
      <c r="W251" s="44">
        <f t="shared" si="26"/>
        <v>0.75961146266678359</v>
      </c>
    </row>
    <row r="252" spans="1:23" x14ac:dyDescent="0.3">
      <c r="A252" s="45" t="s">
        <v>604</v>
      </c>
      <c r="B252" s="46">
        <v>44989</v>
      </c>
      <c r="C252" s="47">
        <v>45009</v>
      </c>
      <c r="D252" s="48">
        <f t="shared" si="27"/>
        <v>20</v>
      </c>
      <c r="E252" s="48" t="str">
        <f>TEXT(Data!B252,"MMM-YYYY")</f>
        <v>Mar-2023</v>
      </c>
      <c r="F252" s="48" t="str">
        <f t="shared" si="23"/>
        <v>Q1-2023</v>
      </c>
      <c r="G252" s="38" t="s">
        <v>52</v>
      </c>
      <c r="H252" s="38" t="s">
        <v>53</v>
      </c>
      <c r="I252" s="38" t="s">
        <v>144</v>
      </c>
      <c r="J252" s="38" t="s">
        <v>48</v>
      </c>
      <c r="K252" s="38" t="s">
        <v>55</v>
      </c>
      <c r="L252" s="38" t="s">
        <v>34</v>
      </c>
      <c r="M252" s="38" t="s">
        <v>57</v>
      </c>
      <c r="N252" s="38" t="s">
        <v>605</v>
      </c>
      <c r="O252" s="48">
        <v>481.71</v>
      </c>
      <c r="P252" s="49" t="str">
        <f t="shared" si="24"/>
        <v>High</v>
      </c>
      <c r="Q252" s="48">
        <v>912.45</v>
      </c>
      <c r="R252" s="48">
        <v>0.20300000000000001</v>
      </c>
      <c r="S252" s="48">
        <v>24</v>
      </c>
      <c r="T252" s="48">
        <f t="shared" si="21"/>
        <v>17084.938320000001</v>
      </c>
      <c r="U252" s="38">
        <f t="shared" si="22"/>
        <v>11561.039999999999</v>
      </c>
      <c r="V252" s="48">
        <f t="shared" si="25"/>
        <v>5523.8983200000021</v>
      </c>
      <c r="W252" s="50">
        <f t="shared" si="26"/>
        <v>0.3233197695266834</v>
      </c>
    </row>
    <row r="253" spans="1:23" x14ac:dyDescent="0.3">
      <c r="A253" s="39" t="s">
        <v>606</v>
      </c>
      <c r="B253" s="40">
        <v>45366</v>
      </c>
      <c r="C253" s="41">
        <v>45391</v>
      </c>
      <c r="D253" s="42">
        <f t="shared" si="27"/>
        <v>25</v>
      </c>
      <c r="E253" s="42" t="str">
        <f>TEXT(Data!B253,"MMM-YYYY")</f>
        <v>Mar-2024</v>
      </c>
      <c r="F253" s="42" t="str">
        <f t="shared" si="23"/>
        <v>Q1-2024</v>
      </c>
      <c r="G253" s="37" t="s">
        <v>52</v>
      </c>
      <c r="H253" s="37" t="s">
        <v>53</v>
      </c>
      <c r="I253" s="37" t="s">
        <v>179</v>
      </c>
      <c r="J253" s="37" t="s">
        <v>48</v>
      </c>
      <c r="K253" s="37" t="s">
        <v>28</v>
      </c>
      <c r="L253" s="37" t="s">
        <v>84</v>
      </c>
      <c r="M253" s="37" t="s">
        <v>64</v>
      </c>
      <c r="N253" s="37" t="s">
        <v>607</v>
      </c>
      <c r="O253" s="42">
        <v>648.64</v>
      </c>
      <c r="P253" s="43" t="str">
        <f t="shared" si="24"/>
        <v>High</v>
      </c>
      <c r="Q253" s="42">
        <v>815.19</v>
      </c>
      <c r="R253" s="42">
        <v>0.22500000000000001</v>
      </c>
      <c r="S253" s="42">
        <v>28</v>
      </c>
      <c r="T253" s="42">
        <f t="shared" si="21"/>
        <v>50537.130000000005</v>
      </c>
      <c r="U253" s="37">
        <f t="shared" si="22"/>
        <v>18161.919999999998</v>
      </c>
      <c r="V253" s="42">
        <f t="shared" si="25"/>
        <v>32375.210000000006</v>
      </c>
      <c r="W253" s="44">
        <f t="shared" si="26"/>
        <v>0.64062225140208795</v>
      </c>
    </row>
    <row r="254" spans="1:23" x14ac:dyDescent="0.3">
      <c r="A254" s="45" t="s">
        <v>608</v>
      </c>
      <c r="B254" s="46">
        <v>45502</v>
      </c>
      <c r="C254" s="47">
        <v>45504</v>
      </c>
      <c r="D254" s="48">
        <f t="shared" si="27"/>
        <v>2</v>
      </c>
      <c r="E254" s="48" t="str">
        <f>TEXT(Data!B254,"MMM-YYYY")</f>
        <v>Jul-2024</v>
      </c>
      <c r="F254" s="48" t="str">
        <f t="shared" si="23"/>
        <v>Q3-2024</v>
      </c>
      <c r="G254" s="38" t="s">
        <v>52</v>
      </c>
      <c r="H254" s="38" t="s">
        <v>122</v>
      </c>
      <c r="I254" s="38" t="s">
        <v>387</v>
      </c>
      <c r="J254" s="38" t="s">
        <v>27</v>
      </c>
      <c r="K254" s="38" t="s">
        <v>40</v>
      </c>
      <c r="L254" s="38" t="s">
        <v>34</v>
      </c>
      <c r="M254" s="38" t="s">
        <v>30</v>
      </c>
      <c r="N254" s="38" t="s">
        <v>609</v>
      </c>
      <c r="O254" s="48">
        <v>798.97</v>
      </c>
      <c r="P254" s="49" t="str">
        <f t="shared" si="24"/>
        <v>High</v>
      </c>
      <c r="Q254" s="48">
        <v>1814.06</v>
      </c>
      <c r="R254" s="48">
        <v>0.122</v>
      </c>
      <c r="S254" s="48">
        <v>16</v>
      </c>
      <c r="T254" s="48">
        <f t="shared" si="21"/>
        <v>29033.704000000002</v>
      </c>
      <c r="U254" s="38">
        <f t="shared" si="22"/>
        <v>12783.52</v>
      </c>
      <c r="V254" s="48">
        <f t="shared" si="25"/>
        <v>16250.184000000001</v>
      </c>
      <c r="W254" s="50">
        <f t="shared" si="26"/>
        <v>0.55970068441835741</v>
      </c>
    </row>
    <row r="255" spans="1:23" x14ac:dyDescent="0.3">
      <c r="A255" s="39" t="s">
        <v>610</v>
      </c>
      <c r="B255" s="40">
        <v>45592</v>
      </c>
      <c r="C255" s="41">
        <v>45616</v>
      </c>
      <c r="D255" s="42">
        <f t="shared" si="27"/>
        <v>24</v>
      </c>
      <c r="E255" s="42" t="str">
        <f>TEXT(Data!B255,"MMM-YYYY")</f>
        <v>Oct-2024</v>
      </c>
      <c r="F255" s="42" t="str">
        <f t="shared" si="23"/>
        <v>Q4-2024</v>
      </c>
      <c r="G255" s="37" t="s">
        <v>45</v>
      </c>
      <c r="H255" s="37" t="s">
        <v>46</v>
      </c>
      <c r="I255" s="37" t="s">
        <v>231</v>
      </c>
      <c r="J255" s="37" t="s">
        <v>39</v>
      </c>
      <c r="K255" s="37" t="s">
        <v>28</v>
      </c>
      <c r="L255" s="37" t="s">
        <v>92</v>
      </c>
      <c r="M255" s="37" t="s">
        <v>64</v>
      </c>
      <c r="N255" s="37" t="s">
        <v>611</v>
      </c>
      <c r="O255" s="42">
        <v>317.25</v>
      </c>
      <c r="P255" s="43" t="str">
        <f t="shared" si="24"/>
        <v>High</v>
      </c>
      <c r="Q255" s="42">
        <v>758.92</v>
      </c>
      <c r="R255" s="42">
        <v>5.2999999999999999E-2</v>
      </c>
      <c r="S255" s="42">
        <v>9</v>
      </c>
      <c r="T255" s="42">
        <f t="shared" si="21"/>
        <v>18599.828130000002</v>
      </c>
      <c r="U255" s="37">
        <f t="shared" si="22"/>
        <v>2855.25</v>
      </c>
      <c r="V255" s="42">
        <f t="shared" si="25"/>
        <v>15744.578130000002</v>
      </c>
      <c r="W255" s="44">
        <f t="shared" si="26"/>
        <v>0.84649051700672895</v>
      </c>
    </row>
    <row r="256" spans="1:23" x14ac:dyDescent="0.3">
      <c r="A256" s="45" t="s">
        <v>612</v>
      </c>
      <c r="B256" s="46">
        <v>45411</v>
      </c>
      <c r="C256" s="47">
        <v>45431</v>
      </c>
      <c r="D256" s="48">
        <f t="shared" si="27"/>
        <v>20</v>
      </c>
      <c r="E256" s="48" t="str">
        <f>TEXT(Data!B256,"MMM-YYYY")</f>
        <v>Apr-2024</v>
      </c>
      <c r="F256" s="48" t="str">
        <f t="shared" si="23"/>
        <v>Q2-2024</v>
      </c>
      <c r="G256" s="38" t="s">
        <v>78</v>
      </c>
      <c r="H256" s="38" t="s">
        <v>79</v>
      </c>
      <c r="I256" s="38" t="s">
        <v>335</v>
      </c>
      <c r="J256" s="38" t="s">
        <v>105</v>
      </c>
      <c r="K256" s="38" t="s">
        <v>40</v>
      </c>
      <c r="L256" s="38" t="s">
        <v>21</v>
      </c>
      <c r="M256" s="38" t="s">
        <v>57</v>
      </c>
      <c r="N256" s="38" t="s">
        <v>613</v>
      </c>
      <c r="O256" s="48">
        <v>668.97</v>
      </c>
      <c r="P256" s="49" t="str">
        <f t="shared" si="24"/>
        <v>High</v>
      </c>
      <c r="Q256" s="48">
        <v>1667.44</v>
      </c>
      <c r="R256" s="48">
        <v>3.4000000000000002E-2</v>
      </c>
      <c r="S256" s="48">
        <v>15</v>
      </c>
      <c r="T256" s="48">
        <f t="shared" si="21"/>
        <v>39508.723799999992</v>
      </c>
      <c r="U256" s="38">
        <f t="shared" si="22"/>
        <v>10034.550000000001</v>
      </c>
      <c r="V256" s="48">
        <f t="shared" si="25"/>
        <v>29474.17379999999</v>
      </c>
      <c r="W256" s="50">
        <f t="shared" si="26"/>
        <v>0.74601685311839905</v>
      </c>
    </row>
    <row r="257" spans="1:23" x14ac:dyDescent="0.3">
      <c r="A257" s="39" t="s">
        <v>614</v>
      </c>
      <c r="B257" s="40">
        <v>45204</v>
      </c>
      <c r="C257" s="41">
        <v>45205</v>
      </c>
      <c r="D257" s="42">
        <f t="shared" si="27"/>
        <v>1</v>
      </c>
      <c r="E257" s="42" t="str">
        <f>TEXT(Data!B257,"MMM-YYYY")</f>
        <v>Oct-2023</v>
      </c>
      <c r="F257" s="42" t="str">
        <f t="shared" si="23"/>
        <v>Q4-2023</v>
      </c>
      <c r="G257" s="37" t="s">
        <v>45</v>
      </c>
      <c r="H257" s="37" t="s">
        <v>60</v>
      </c>
      <c r="I257" s="37" t="s">
        <v>61</v>
      </c>
      <c r="J257" s="37" t="s">
        <v>39</v>
      </c>
      <c r="K257" s="37" t="s">
        <v>28</v>
      </c>
      <c r="L257" s="37" t="s">
        <v>34</v>
      </c>
      <c r="M257" s="37" t="s">
        <v>22</v>
      </c>
      <c r="N257" s="37" t="s">
        <v>615</v>
      </c>
      <c r="O257" s="42">
        <v>1470.26</v>
      </c>
      <c r="P257" s="43" t="str">
        <f t="shared" si="24"/>
        <v>High</v>
      </c>
      <c r="Q257" s="42">
        <v>2562.5500000000002</v>
      </c>
      <c r="R257" s="42">
        <v>0.17299999999999999</v>
      </c>
      <c r="S257" s="42">
        <v>9</v>
      </c>
      <c r="T257" s="42">
        <f t="shared" ref="T257:T320" si="28">(Q283*S257)*(1-R257)</f>
        <v>828.33146999999997</v>
      </c>
      <c r="U257" s="37">
        <f t="shared" ref="U257:U320" si="29">(O257*S257)</f>
        <v>13232.34</v>
      </c>
      <c r="V257" s="42">
        <f t="shared" si="25"/>
        <v>-12404.008530000001</v>
      </c>
      <c r="W257" s="44">
        <f t="shared" si="26"/>
        <v>-14.974691870634834</v>
      </c>
    </row>
    <row r="258" spans="1:23" x14ac:dyDescent="0.3">
      <c r="A258" s="45" t="s">
        <v>616</v>
      </c>
      <c r="B258" s="46">
        <v>45035</v>
      </c>
      <c r="C258" s="47">
        <v>45053</v>
      </c>
      <c r="D258" s="48">
        <f t="shared" si="27"/>
        <v>18</v>
      </c>
      <c r="E258" s="48" t="str">
        <f>TEXT(Data!B258,"MMM-YYYY")</f>
        <v>Apr-2023</v>
      </c>
      <c r="F258" s="48" t="str">
        <f t="shared" ref="F258:F321" si="30">"Q"&amp;ROUNDUP(MONTH(B258)/3,0)&amp;"-"&amp;YEAR(B258)</f>
        <v>Q2-2023</v>
      </c>
      <c r="G258" s="38" t="s">
        <v>78</v>
      </c>
      <c r="H258" s="38" t="s">
        <v>108</v>
      </c>
      <c r="I258" s="38" t="s">
        <v>152</v>
      </c>
      <c r="J258" s="38" t="s">
        <v>39</v>
      </c>
      <c r="K258" s="38" t="s">
        <v>98</v>
      </c>
      <c r="L258" s="38" t="s">
        <v>92</v>
      </c>
      <c r="M258" s="38" t="s">
        <v>35</v>
      </c>
      <c r="N258" s="38" t="s">
        <v>617</v>
      </c>
      <c r="O258" s="48">
        <v>516.96</v>
      </c>
      <c r="P258" s="49" t="str">
        <f t="shared" ref="P258:P321" si="31">IF(Q258&lt;50, "Low", IF(Q258&lt;200, "Medium", "High"))</f>
        <v>High</v>
      </c>
      <c r="Q258" s="48">
        <v>745.38</v>
      </c>
      <c r="R258" s="48">
        <v>0.19700000000000001</v>
      </c>
      <c r="S258" s="48">
        <v>4</v>
      </c>
      <c r="T258" s="48">
        <f t="shared" si="28"/>
        <v>3533.4890799999994</v>
      </c>
      <c r="U258" s="38">
        <f t="shared" si="29"/>
        <v>2067.84</v>
      </c>
      <c r="V258" s="48">
        <f t="shared" ref="V258:V321" si="32">(T258-U258)</f>
        <v>1465.6490799999992</v>
      </c>
      <c r="W258" s="50">
        <f t="shared" ref="W258:W321" si="33">IF(T258=0, 0, V258/T258)</f>
        <v>0.41478805985159561</v>
      </c>
    </row>
    <row r="259" spans="1:23" x14ac:dyDescent="0.3">
      <c r="A259" s="39" t="s">
        <v>618</v>
      </c>
      <c r="B259" s="40">
        <v>45835</v>
      </c>
      <c r="C259" s="41">
        <v>45843</v>
      </c>
      <c r="D259" s="42">
        <f t="shared" ref="D259:D321" si="34">DATEDIF(B259,C259, "MD")</f>
        <v>8</v>
      </c>
      <c r="E259" s="42" t="str">
        <f>TEXT(Data!B259,"MMM-YYYY")</f>
        <v>Jun-2025</v>
      </c>
      <c r="F259" s="42" t="str">
        <f t="shared" si="30"/>
        <v>Q2-2025</v>
      </c>
      <c r="G259" s="37" t="s">
        <v>78</v>
      </c>
      <c r="H259" s="37" t="s">
        <v>79</v>
      </c>
      <c r="I259" s="37" t="s">
        <v>159</v>
      </c>
      <c r="J259" s="37" t="s">
        <v>62</v>
      </c>
      <c r="K259" s="37" t="s">
        <v>98</v>
      </c>
      <c r="L259" s="37" t="s">
        <v>41</v>
      </c>
      <c r="M259" s="37" t="s">
        <v>64</v>
      </c>
      <c r="N259" s="37" t="s">
        <v>619</v>
      </c>
      <c r="O259" s="42">
        <v>314.93</v>
      </c>
      <c r="P259" s="43" t="str">
        <f t="shared" si="31"/>
        <v>High</v>
      </c>
      <c r="Q259" s="42">
        <v>687.95</v>
      </c>
      <c r="R259" s="42">
        <v>0.20499999999999999</v>
      </c>
      <c r="S259" s="42">
        <v>8</v>
      </c>
      <c r="T259" s="42">
        <f t="shared" si="28"/>
        <v>9725.3304000000007</v>
      </c>
      <c r="U259" s="37">
        <f t="shared" si="29"/>
        <v>2519.44</v>
      </c>
      <c r="V259" s="42">
        <f t="shared" si="32"/>
        <v>7205.8904000000002</v>
      </c>
      <c r="W259" s="44">
        <f t="shared" si="33"/>
        <v>0.74094042090333501</v>
      </c>
    </row>
    <row r="260" spans="1:23" x14ac:dyDescent="0.3">
      <c r="A260" s="45" t="s">
        <v>620</v>
      </c>
      <c r="B260" s="46">
        <v>45210</v>
      </c>
      <c r="C260" s="47">
        <v>45212</v>
      </c>
      <c r="D260" s="48">
        <f t="shared" si="34"/>
        <v>2</v>
      </c>
      <c r="E260" s="48" t="str">
        <f>TEXT(Data!B260,"MMM-YYYY")</f>
        <v>Oct-2023</v>
      </c>
      <c r="F260" s="48" t="str">
        <f t="shared" si="30"/>
        <v>Q4-2023</v>
      </c>
      <c r="G260" s="38" t="s">
        <v>52</v>
      </c>
      <c r="H260" s="38" t="s">
        <v>73</v>
      </c>
      <c r="I260" s="38" t="s">
        <v>87</v>
      </c>
      <c r="J260" s="38" t="s">
        <v>48</v>
      </c>
      <c r="K260" s="38" t="s">
        <v>55</v>
      </c>
      <c r="L260" s="38" t="s">
        <v>1364</v>
      </c>
      <c r="M260" s="38" t="s">
        <v>81</v>
      </c>
      <c r="N260" s="38" t="s">
        <v>621</v>
      </c>
      <c r="O260" s="48">
        <v>715.94</v>
      </c>
      <c r="P260" s="49" t="str">
        <f t="shared" si="31"/>
        <v>High</v>
      </c>
      <c r="Q260" s="48">
        <v>550.07000000000005</v>
      </c>
      <c r="R260" s="48">
        <v>0.14000000000000001</v>
      </c>
      <c r="S260" s="48">
        <v>16</v>
      </c>
      <c r="T260" s="48">
        <f t="shared" si="28"/>
        <v>10026.7744</v>
      </c>
      <c r="U260" s="38">
        <f t="shared" si="29"/>
        <v>11455.04</v>
      </c>
      <c r="V260" s="48">
        <f t="shared" si="32"/>
        <v>-1428.2656000000006</v>
      </c>
      <c r="W260" s="50">
        <f t="shared" si="33"/>
        <v>-0.14244517159975201</v>
      </c>
    </row>
    <row r="261" spans="1:23" x14ac:dyDescent="0.3">
      <c r="A261" s="39" t="s">
        <v>622</v>
      </c>
      <c r="B261" s="40">
        <v>45066</v>
      </c>
      <c r="C261" s="41">
        <v>45084</v>
      </c>
      <c r="D261" s="42">
        <f t="shared" si="34"/>
        <v>18</v>
      </c>
      <c r="E261" s="42" t="str">
        <f>TEXT(Data!B261,"MMM-YYYY")</f>
        <v>May-2023</v>
      </c>
      <c r="F261" s="42" t="str">
        <f t="shared" si="30"/>
        <v>Q2-2023</v>
      </c>
      <c r="G261" s="37" t="s">
        <v>16</v>
      </c>
      <c r="H261" s="37" t="s">
        <v>25</v>
      </c>
      <c r="I261" s="37" t="s">
        <v>26</v>
      </c>
      <c r="J261" s="37" t="s">
        <v>105</v>
      </c>
      <c r="K261" s="37" t="s">
        <v>55</v>
      </c>
      <c r="L261" s="37" t="s">
        <v>63</v>
      </c>
      <c r="M261" s="37" t="s">
        <v>22</v>
      </c>
      <c r="N261" s="37" t="s">
        <v>623</v>
      </c>
      <c r="O261" s="42">
        <v>1120.06</v>
      </c>
      <c r="P261" s="43" t="str">
        <f t="shared" si="31"/>
        <v>High</v>
      </c>
      <c r="Q261" s="42">
        <v>2068.21</v>
      </c>
      <c r="R261" s="42">
        <v>7.8E-2</v>
      </c>
      <c r="S261" s="42">
        <v>12</v>
      </c>
      <c r="T261" s="42">
        <f t="shared" si="28"/>
        <v>69.481920000000002</v>
      </c>
      <c r="U261" s="37">
        <f t="shared" si="29"/>
        <v>13440.72</v>
      </c>
      <c r="V261" s="42">
        <f t="shared" si="32"/>
        <v>-13371.238079999999</v>
      </c>
      <c r="W261" s="44">
        <f t="shared" si="33"/>
        <v>-192.44197742376721</v>
      </c>
    </row>
    <row r="262" spans="1:23" x14ac:dyDescent="0.3">
      <c r="A262" s="45" t="s">
        <v>624</v>
      </c>
      <c r="B262" s="46">
        <v>45073</v>
      </c>
      <c r="C262" s="47">
        <v>45096</v>
      </c>
      <c r="D262" s="48">
        <f t="shared" si="34"/>
        <v>23</v>
      </c>
      <c r="E262" s="48" t="str">
        <f>TEXT(Data!B262,"MMM-YYYY")</f>
        <v>May-2023</v>
      </c>
      <c r="F262" s="48" t="str">
        <f t="shared" si="30"/>
        <v>Q2-2023</v>
      </c>
      <c r="G262" s="38" t="s">
        <v>78</v>
      </c>
      <c r="H262" s="38" t="s">
        <v>79</v>
      </c>
      <c r="I262" s="38" t="s">
        <v>80</v>
      </c>
      <c r="J262" s="38" t="s">
        <v>27</v>
      </c>
      <c r="K262" s="38" t="s">
        <v>20</v>
      </c>
      <c r="L262" s="38" t="s">
        <v>68</v>
      </c>
      <c r="M262" s="38" t="s">
        <v>81</v>
      </c>
      <c r="N262" s="38" t="s">
        <v>625</v>
      </c>
      <c r="O262" s="48">
        <v>1471.58</v>
      </c>
      <c r="P262" s="49" t="str">
        <f t="shared" si="31"/>
        <v>High</v>
      </c>
      <c r="Q262" s="48">
        <v>2576.65</v>
      </c>
      <c r="R262" s="48">
        <v>4.0000000000000001E-3</v>
      </c>
      <c r="S262" s="48">
        <v>7</v>
      </c>
      <c r="T262" s="48">
        <f t="shared" si="28"/>
        <v>17916.436439999998</v>
      </c>
      <c r="U262" s="38">
        <f t="shared" si="29"/>
        <v>10301.06</v>
      </c>
      <c r="V262" s="48">
        <f t="shared" si="32"/>
        <v>7615.3764399999982</v>
      </c>
      <c r="W262" s="50">
        <f t="shared" si="33"/>
        <v>0.42504972824830334</v>
      </c>
    </row>
    <row r="263" spans="1:23" x14ac:dyDescent="0.3">
      <c r="A263" s="39" t="s">
        <v>626</v>
      </c>
      <c r="B263" s="40">
        <v>45142</v>
      </c>
      <c r="C263" s="41">
        <v>45162</v>
      </c>
      <c r="D263" s="42">
        <f t="shared" si="34"/>
        <v>20</v>
      </c>
      <c r="E263" s="42" t="str">
        <f>TEXT(Data!B263,"MMM-YYYY")</f>
        <v>Aug-2023</v>
      </c>
      <c r="F263" s="42" t="str">
        <f t="shared" si="30"/>
        <v>Q3-2023</v>
      </c>
      <c r="G263" s="37" t="s">
        <v>52</v>
      </c>
      <c r="H263" s="37" t="s">
        <v>73</v>
      </c>
      <c r="I263" s="37" t="s">
        <v>87</v>
      </c>
      <c r="J263" s="37" t="s">
        <v>39</v>
      </c>
      <c r="K263" s="37" t="s">
        <v>98</v>
      </c>
      <c r="L263" s="37" t="s">
        <v>1364</v>
      </c>
      <c r="M263" s="37" t="s">
        <v>35</v>
      </c>
      <c r="N263" s="37" t="s">
        <v>627</v>
      </c>
      <c r="O263" s="42">
        <v>582.88</v>
      </c>
      <c r="P263" s="43" t="str">
        <f t="shared" si="31"/>
        <v>High</v>
      </c>
      <c r="Q263" s="42">
        <v>1044.1400000000001</v>
      </c>
      <c r="R263" s="42">
        <v>0.216</v>
      </c>
      <c r="S263" s="42">
        <v>10</v>
      </c>
      <c r="T263" s="42">
        <f t="shared" si="28"/>
        <v>12481.436800000001</v>
      </c>
      <c r="U263" s="37">
        <f t="shared" si="29"/>
        <v>5828.8</v>
      </c>
      <c r="V263" s="42">
        <f t="shared" si="32"/>
        <v>6652.6368000000011</v>
      </c>
      <c r="W263" s="44">
        <f t="shared" si="33"/>
        <v>0.53300248253470306</v>
      </c>
    </row>
    <row r="264" spans="1:23" x14ac:dyDescent="0.3">
      <c r="A264" s="45" t="s">
        <v>628</v>
      </c>
      <c r="B264" s="46">
        <v>45829</v>
      </c>
      <c r="C264" s="47">
        <v>45835</v>
      </c>
      <c r="D264" s="48">
        <f t="shared" si="34"/>
        <v>6</v>
      </c>
      <c r="E264" s="48" t="str">
        <f>TEXT(Data!B264,"MMM-YYYY")</f>
        <v>Jun-2025</v>
      </c>
      <c r="F264" s="48" t="str">
        <f t="shared" si="30"/>
        <v>Q2-2025</v>
      </c>
      <c r="G264" s="38" t="s">
        <v>16</v>
      </c>
      <c r="H264" s="38" t="s">
        <v>148</v>
      </c>
      <c r="I264" s="38" t="s">
        <v>172</v>
      </c>
      <c r="J264" s="38" t="s">
        <v>105</v>
      </c>
      <c r="K264" s="38" t="s">
        <v>55</v>
      </c>
      <c r="L264" s="38" t="s">
        <v>126</v>
      </c>
      <c r="M264" s="38" t="s">
        <v>42</v>
      </c>
      <c r="N264" s="38" t="s">
        <v>629</v>
      </c>
      <c r="O264" s="48">
        <v>93.91</v>
      </c>
      <c r="P264" s="49" t="str">
        <f t="shared" si="31"/>
        <v>Medium</v>
      </c>
      <c r="Q264" s="48">
        <v>99.04</v>
      </c>
      <c r="R264" s="48">
        <v>5.7000000000000002E-2</v>
      </c>
      <c r="S264" s="48">
        <v>6</v>
      </c>
      <c r="T264" s="48">
        <f t="shared" si="28"/>
        <v>5632.3692599999995</v>
      </c>
      <c r="U264" s="38">
        <f t="shared" si="29"/>
        <v>563.46</v>
      </c>
      <c r="V264" s="48">
        <f t="shared" si="32"/>
        <v>5068.9092599999994</v>
      </c>
      <c r="W264" s="50">
        <f t="shared" si="33"/>
        <v>0.89996039428707486</v>
      </c>
    </row>
    <row r="265" spans="1:23" x14ac:dyDescent="0.3">
      <c r="A265" s="39" t="s">
        <v>630</v>
      </c>
      <c r="B265" s="40">
        <v>45763</v>
      </c>
      <c r="C265" s="41">
        <v>45773</v>
      </c>
      <c r="D265" s="42">
        <f t="shared" si="34"/>
        <v>10</v>
      </c>
      <c r="E265" s="42" t="str">
        <f>TEXT(Data!B265,"MMM-YYYY")</f>
        <v>Apr-2025</v>
      </c>
      <c r="F265" s="42" t="str">
        <f t="shared" si="30"/>
        <v>Q2-2025</v>
      </c>
      <c r="G265" s="37" t="s">
        <v>16</v>
      </c>
      <c r="H265" s="37" t="s">
        <v>25</v>
      </c>
      <c r="I265" s="37" t="s">
        <v>26</v>
      </c>
      <c r="J265" s="37" t="s">
        <v>105</v>
      </c>
      <c r="K265" s="37" t="s">
        <v>40</v>
      </c>
      <c r="L265" s="37" t="s">
        <v>84</v>
      </c>
      <c r="M265" s="37" t="s">
        <v>57</v>
      </c>
      <c r="N265" s="37" t="s">
        <v>631</v>
      </c>
      <c r="O265" s="42">
        <v>1457.44</v>
      </c>
      <c r="P265" s="43" t="str">
        <f t="shared" si="31"/>
        <v>High</v>
      </c>
      <c r="Q265" s="42">
        <v>1996.81</v>
      </c>
      <c r="R265" s="42">
        <v>0.126</v>
      </c>
      <c r="S265" s="42">
        <v>23</v>
      </c>
      <c r="T265" s="42">
        <f t="shared" si="28"/>
        <v>24932.711619999998</v>
      </c>
      <c r="U265" s="37">
        <f t="shared" si="29"/>
        <v>33521.120000000003</v>
      </c>
      <c r="V265" s="42">
        <f t="shared" si="32"/>
        <v>-8588.4083800000044</v>
      </c>
      <c r="W265" s="44">
        <f t="shared" si="33"/>
        <v>-0.3444634707566559</v>
      </c>
    </row>
    <row r="266" spans="1:23" x14ac:dyDescent="0.3">
      <c r="A266" s="45" t="s">
        <v>632</v>
      </c>
      <c r="B266" s="46">
        <v>45902</v>
      </c>
      <c r="C266" s="47">
        <v>45911</v>
      </c>
      <c r="D266" s="48">
        <f t="shared" si="34"/>
        <v>9</v>
      </c>
      <c r="E266" s="48" t="str">
        <f>TEXT(Data!B266,"MMM-YYYY")</f>
        <v>Sept-2025</v>
      </c>
      <c r="F266" s="48" t="str">
        <f t="shared" si="30"/>
        <v>Q3-2025</v>
      </c>
      <c r="G266" s="38" t="s">
        <v>52</v>
      </c>
      <c r="H266" s="38" t="s">
        <v>53</v>
      </c>
      <c r="I266" s="38" t="s">
        <v>54</v>
      </c>
      <c r="J266" s="38" t="s">
        <v>19</v>
      </c>
      <c r="K266" s="38" t="s">
        <v>55</v>
      </c>
      <c r="L266" s="38" t="s">
        <v>110</v>
      </c>
      <c r="M266" s="38" t="s">
        <v>30</v>
      </c>
      <c r="N266" s="38" t="s">
        <v>633</v>
      </c>
      <c r="O266" s="48">
        <v>1207.6300000000001</v>
      </c>
      <c r="P266" s="49" t="str">
        <f t="shared" si="31"/>
        <v>High</v>
      </c>
      <c r="Q266" s="48">
        <v>921.68</v>
      </c>
      <c r="R266" s="48">
        <v>0.19600000000000001</v>
      </c>
      <c r="S266" s="48">
        <v>17</v>
      </c>
      <c r="T266" s="48">
        <f t="shared" si="28"/>
        <v>1617.8811600000001</v>
      </c>
      <c r="U266" s="38">
        <f t="shared" si="29"/>
        <v>20529.710000000003</v>
      </c>
      <c r="V266" s="48">
        <f t="shared" si="32"/>
        <v>-18911.828840000002</v>
      </c>
      <c r="W266" s="50">
        <f t="shared" si="33"/>
        <v>-11.689257102171831</v>
      </c>
    </row>
    <row r="267" spans="1:23" x14ac:dyDescent="0.3">
      <c r="A267" s="39" t="s">
        <v>634</v>
      </c>
      <c r="B267" s="40">
        <v>45573</v>
      </c>
      <c r="C267" s="41">
        <v>45573</v>
      </c>
      <c r="D267" s="42">
        <f t="shared" si="34"/>
        <v>0</v>
      </c>
      <c r="E267" s="42" t="str">
        <f>TEXT(Data!B267,"MMM-YYYY")</f>
        <v>Oct-2024</v>
      </c>
      <c r="F267" s="42" t="str">
        <f t="shared" si="30"/>
        <v>Q4-2024</v>
      </c>
      <c r="G267" s="37" t="s">
        <v>78</v>
      </c>
      <c r="H267" s="37" t="s">
        <v>108</v>
      </c>
      <c r="I267" s="37" t="s">
        <v>152</v>
      </c>
      <c r="J267" s="37" t="s">
        <v>19</v>
      </c>
      <c r="K267" s="37" t="s">
        <v>28</v>
      </c>
      <c r="L267" s="37" t="s">
        <v>63</v>
      </c>
      <c r="M267" s="37" t="s">
        <v>64</v>
      </c>
      <c r="N267" s="37" t="s">
        <v>635</v>
      </c>
      <c r="O267" s="42">
        <v>1108.1099999999999</v>
      </c>
      <c r="P267" s="43" t="str">
        <f t="shared" si="31"/>
        <v>High</v>
      </c>
      <c r="Q267" s="42">
        <v>2503.79</v>
      </c>
      <c r="R267" s="42">
        <v>0.184</v>
      </c>
      <c r="S267" s="42">
        <v>19</v>
      </c>
      <c r="T267" s="42">
        <f t="shared" si="28"/>
        <v>32644.137120000007</v>
      </c>
      <c r="U267" s="37">
        <f t="shared" si="29"/>
        <v>21054.089999999997</v>
      </c>
      <c r="V267" s="42">
        <f t="shared" si="32"/>
        <v>11590.04712000001</v>
      </c>
      <c r="W267" s="44">
        <f t="shared" si="33"/>
        <v>0.35504222633898824</v>
      </c>
    </row>
    <row r="268" spans="1:23" x14ac:dyDescent="0.3">
      <c r="A268" s="45" t="s">
        <v>636</v>
      </c>
      <c r="B268" s="46">
        <v>45053</v>
      </c>
      <c r="C268" s="47">
        <v>45051</v>
      </c>
      <c r="D268" s="48">
        <f>DATEDIF(C268,B268, "MD")</f>
        <v>2</v>
      </c>
      <c r="E268" s="48" t="str">
        <f>TEXT(Data!B268,"MMM-YYYY")</f>
        <v>May-2023</v>
      </c>
      <c r="F268" s="48" t="str">
        <f t="shared" si="30"/>
        <v>Q2-2023</v>
      </c>
      <c r="G268" s="38" t="s">
        <v>16</v>
      </c>
      <c r="H268" s="38" t="s">
        <v>25</v>
      </c>
      <c r="I268" s="38" t="s">
        <v>26</v>
      </c>
      <c r="J268" s="38" t="s">
        <v>39</v>
      </c>
      <c r="K268" s="38" t="s">
        <v>40</v>
      </c>
      <c r="L268" s="38" t="s">
        <v>75</v>
      </c>
      <c r="M268" s="38" t="s">
        <v>22</v>
      </c>
      <c r="N268" s="38" t="s">
        <v>637</v>
      </c>
      <c r="O268" s="48">
        <v>1269.6500000000001</v>
      </c>
      <c r="P268" s="49" t="str">
        <f t="shared" si="31"/>
        <v>High</v>
      </c>
      <c r="Q268" s="48">
        <v>2462.77</v>
      </c>
      <c r="R268" s="48">
        <v>0.107</v>
      </c>
      <c r="S268" s="48">
        <v>8</v>
      </c>
      <c r="T268" s="48">
        <f t="shared" si="28"/>
        <v>3736.3119999999999</v>
      </c>
      <c r="U268" s="38">
        <f t="shared" si="29"/>
        <v>10157.200000000001</v>
      </c>
      <c r="V268" s="48">
        <f t="shared" si="32"/>
        <v>-6420.8880000000008</v>
      </c>
      <c r="W268" s="50">
        <f t="shared" si="33"/>
        <v>-1.7185095891349547</v>
      </c>
    </row>
    <row r="269" spans="1:23" x14ac:dyDescent="0.3">
      <c r="A269" s="39" t="s">
        <v>638</v>
      </c>
      <c r="B269" s="40">
        <v>45284</v>
      </c>
      <c r="C269" s="41">
        <v>45292</v>
      </c>
      <c r="D269" s="42">
        <f t="shared" si="34"/>
        <v>8</v>
      </c>
      <c r="E269" s="42" t="str">
        <f>TEXT(Data!B269,"MMM-YYYY")</f>
        <v>Dec-2023</v>
      </c>
      <c r="F269" s="42" t="str">
        <f t="shared" si="30"/>
        <v>Q4-2023</v>
      </c>
      <c r="G269" s="37" t="s">
        <v>52</v>
      </c>
      <c r="H269" s="37" t="s">
        <v>73</v>
      </c>
      <c r="I269" s="37" t="s">
        <v>74</v>
      </c>
      <c r="J269" s="37" t="s">
        <v>27</v>
      </c>
      <c r="K269" s="37" t="s">
        <v>98</v>
      </c>
      <c r="L269" s="37" t="s">
        <v>21</v>
      </c>
      <c r="M269" s="37" t="s">
        <v>42</v>
      </c>
      <c r="N269" s="37" t="s">
        <v>639</v>
      </c>
      <c r="O269" s="42">
        <v>526.49</v>
      </c>
      <c r="P269" s="43" t="str">
        <f t="shared" si="31"/>
        <v>High</v>
      </c>
      <c r="Q269" s="42">
        <v>496.2</v>
      </c>
      <c r="R269" s="42">
        <v>0</v>
      </c>
      <c r="S269" s="42">
        <v>14</v>
      </c>
      <c r="T269" s="42">
        <f t="shared" si="28"/>
        <v>15054.199999999999</v>
      </c>
      <c r="U269" s="37">
        <f t="shared" si="29"/>
        <v>7370.8600000000006</v>
      </c>
      <c r="V269" s="42">
        <f t="shared" si="32"/>
        <v>7683.3399999999983</v>
      </c>
      <c r="W269" s="44">
        <f t="shared" si="33"/>
        <v>0.51037849902352828</v>
      </c>
    </row>
    <row r="270" spans="1:23" x14ac:dyDescent="0.3">
      <c r="A270" s="45" t="s">
        <v>640</v>
      </c>
      <c r="B270" s="46">
        <v>45301</v>
      </c>
      <c r="C270" s="47">
        <v>45314</v>
      </c>
      <c r="D270" s="48">
        <f t="shared" si="34"/>
        <v>13</v>
      </c>
      <c r="E270" s="48" t="str">
        <f>TEXT(Data!B270,"MMM-YYYY")</f>
        <v>Jan-2024</v>
      </c>
      <c r="F270" s="48" t="str">
        <f t="shared" si="30"/>
        <v>Q1-2024</v>
      </c>
      <c r="G270" s="38" t="s">
        <v>78</v>
      </c>
      <c r="H270" s="38" t="s">
        <v>90</v>
      </c>
      <c r="I270" s="38" t="s">
        <v>91</v>
      </c>
      <c r="J270" s="38" t="s">
        <v>19</v>
      </c>
      <c r="K270" s="38" t="s">
        <v>98</v>
      </c>
      <c r="L270" s="38" t="s">
        <v>75</v>
      </c>
      <c r="M270" s="38" t="s">
        <v>30</v>
      </c>
      <c r="N270" s="38" t="s">
        <v>641</v>
      </c>
      <c r="O270" s="48">
        <v>720</v>
      </c>
      <c r="P270" s="49" t="str">
        <f t="shared" si="31"/>
        <v>High</v>
      </c>
      <c r="Q270" s="48">
        <v>907.59</v>
      </c>
      <c r="R270" s="48">
        <v>0.154</v>
      </c>
      <c r="S270" s="48">
        <v>10</v>
      </c>
      <c r="T270" s="48">
        <f t="shared" si="28"/>
        <v>27872.062200000004</v>
      </c>
      <c r="U270" s="38">
        <f t="shared" si="29"/>
        <v>7200</v>
      </c>
      <c r="V270" s="48">
        <f t="shared" si="32"/>
        <v>20672.062200000004</v>
      </c>
      <c r="W270" s="50">
        <f t="shared" si="33"/>
        <v>0.7416768106954067</v>
      </c>
    </row>
    <row r="271" spans="1:23" x14ac:dyDescent="0.3">
      <c r="A271" s="39" t="s">
        <v>642</v>
      </c>
      <c r="B271" s="40">
        <v>45141</v>
      </c>
      <c r="C271" s="41">
        <v>45152</v>
      </c>
      <c r="D271" s="42">
        <f t="shared" si="34"/>
        <v>11</v>
      </c>
      <c r="E271" s="42" t="str">
        <f>TEXT(Data!B271,"MMM-YYYY")</f>
        <v>Aug-2023</v>
      </c>
      <c r="F271" s="42" t="str">
        <f t="shared" si="30"/>
        <v>Q3-2023</v>
      </c>
      <c r="G271" s="37" t="s">
        <v>52</v>
      </c>
      <c r="H271" s="37" t="s">
        <v>73</v>
      </c>
      <c r="I271" s="37" t="s">
        <v>87</v>
      </c>
      <c r="J271" s="37" t="s">
        <v>19</v>
      </c>
      <c r="K271" s="37" t="s">
        <v>98</v>
      </c>
      <c r="L271" s="37" t="s">
        <v>29</v>
      </c>
      <c r="M271" s="37" t="s">
        <v>81</v>
      </c>
      <c r="N271" s="37" t="s">
        <v>643</v>
      </c>
      <c r="O271" s="42">
        <v>232.73</v>
      </c>
      <c r="P271" s="43" t="str">
        <f t="shared" si="31"/>
        <v>High</v>
      </c>
      <c r="Q271" s="42">
        <v>334.19</v>
      </c>
      <c r="R271" s="42">
        <v>0.13400000000000001</v>
      </c>
      <c r="S271" s="42">
        <v>25</v>
      </c>
      <c r="T271" s="42">
        <f t="shared" si="28"/>
        <v>10046.682500000001</v>
      </c>
      <c r="U271" s="37">
        <f t="shared" si="29"/>
        <v>5818.25</v>
      </c>
      <c r="V271" s="42">
        <f t="shared" si="32"/>
        <v>4228.4325000000008</v>
      </c>
      <c r="W271" s="44">
        <f t="shared" si="33"/>
        <v>0.42087848401698774</v>
      </c>
    </row>
    <row r="272" spans="1:23" x14ac:dyDescent="0.3">
      <c r="A272" s="45" t="s">
        <v>644</v>
      </c>
      <c r="B272" s="46">
        <v>45707</v>
      </c>
      <c r="C272" s="47">
        <v>45725</v>
      </c>
      <c r="D272" s="48">
        <f t="shared" si="34"/>
        <v>18</v>
      </c>
      <c r="E272" s="48" t="str">
        <f>TEXT(Data!B272,"MMM-YYYY")</f>
        <v>Feb-2025</v>
      </c>
      <c r="F272" s="48" t="str">
        <f t="shared" si="30"/>
        <v>Q1-2025</v>
      </c>
      <c r="G272" s="38" t="s">
        <v>45</v>
      </c>
      <c r="H272" s="38" t="s">
        <v>60</v>
      </c>
      <c r="I272" s="38" t="s">
        <v>141</v>
      </c>
      <c r="J272" s="38" t="s">
        <v>62</v>
      </c>
      <c r="K272" s="38" t="s">
        <v>98</v>
      </c>
      <c r="L272" s="38" t="s">
        <v>68</v>
      </c>
      <c r="M272" s="38" t="s">
        <v>64</v>
      </c>
      <c r="N272" s="38" t="s">
        <v>645</v>
      </c>
      <c r="O272" s="48">
        <v>325.87</v>
      </c>
      <c r="P272" s="49" t="str">
        <f t="shared" si="31"/>
        <v>High</v>
      </c>
      <c r="Q272" s="48">
        <v>538.79</v>
      </c>
      <c r="R272" s="48">
        <v>0.17399999999999999</v>
      </c>
      <c r="S272" s="48">
        <v>16</v>
      </c>
      <c r="T272" s="48">
        <f t="shared" si="28"/>
        <v>6753.7724800000005</v>
      </c>
      <c r="U272" s="38">
        <f t="shared" si="29"/>
        <v>5213.92</v>
      </c>
      <c r="V272" s="48">
        <f t="shared" si="32"/>
        <v>1539.8524800000005</v>
      </c>
      <c r="W272" s="50">
        <f t="shared" si="33"/>
        <v>0.22799886797489516</v>
      </c>
    </row>
    <row r="273" spans="1:23" x14ac:dyDescent="0.3">
      <c r="A273" s="39" t="s">
        <v>646</v>
      </c>
      <c r="B273" s="40">
        <v>45382</v>
      </c>
      <c r="C273" s="41">
        <v>45399</v>
      </c>
      <c r="D273" s="42">
        <f t="shared" si="34"/>
        <v>17</v>
      </c>
      <c r="E273" s="42" t="str">
        <f>TEXT(Data!B273,"MMM-YYYY")</f>
        <v>Mar-2024</v>
      </c>
      <c r="F273" s="42" t="str">
        <f t="shared" si="30"/>
        <v>Q1-2024</v>
      </c>
      <c r="G273" s="37" t="s">
        <v>78</v>
      </c>
      <c r="H273" s="37" t="s">
        <v>79</v>
      </c>
      <c r="I273" s="37" t="s">
        <v>335</v>
      </c>
      <c r="J273" s="37" t="s">
        <v>27</v>
      </c>
      <c r="K273" s="37" t="s">
        <v>98</v>
      </c>
      <c r="L273" s="37" t="s">
        <v>92</v>
      </c>
      <c r="M273" s="37" t="s">
        <v>64</v>
      </c>
      <c r="N273" s="37" t="s">
        <v>647</v>
      </c>
      <c r="O273" s="42">
        <v>1025.51</v>
      </c>
      <c r="P273" s="43" t="str">
        <f t="shared" si="31"/>
        <v>High</v>
      </c>
      <c r="Q273" s="42">
        <v>1436.54</v>
      </c>
      <c r="R273" s="42">
        <v>0.13900000000000001</v>
      </c>
      <c r="S273" s="42">
        <v>28</v>
      </c>
      <c r="T273" s="42">
        <f t="shared" si="28"/>
        <v>101.73576</v>
      </c>
      <c r="U273" s="37">
        <f t="shared" si="29"/>
        <v>28714.28</v>
      </c>
      <c r="V273" s="42">
        <f t="shared" si="32"/>
        <v>-28612.544239999999</v>
      </c>
      <c r="W273" s="44">
        <f t="shared" si="33"/>
        <v>-281.24372629643699</v>
      </c>
    </row>
    <row r="274" spans="1:23" x14ac:dyDescent="0.3">
      <c r="A274" s="45" t="s">
        <v>648</v>
      </c>
      <c r="B274" s="46">
        <v>45131</v>
      </c>
      <c r="C274" s="47">
        <v>45151</v>
      </c>
      <c r="D274" s="48">
        <f t="shared" si="34"/>
        <v>20</v>
      </c>
      <c r="E274" s="48" t="str">
        <f>TEXT(Data!B274,"MMM-YYYY")</f>
        <v>Jul-2023</v>
      </c>
      <c r="F274" s="48" t="str">
        <f t="shared" si="30"/>
        <v>Q3-2023</v>
      </c>
      <c r="G274" s="38" t="s">
        <v>52</v>
      </c>
      <c r="H274" s="38" t="s">
        <v>53</v>
      </c>
      <c r="I274" s="38" t="s">
        <v>144</v>
      </c>
      <c r="J274" s="38" t="s">
        <v>27</v>
      </c>
      <c r="K274" s="38" t="s">
        <v>98</v>
      </c>
      <c r="L274" s="38" t="s">
        <v>21</v>
      </c>
      <c r="M274" s="38" t="s">
        <v>64</v>
      </c>
      <c r="N274" s="38" t="s">
        <v>649</v>
      </c>
      <c r="O274" s="48">
        <v>1082.3800000000001</v>
      </c>
      <c r="P274" s="49" t="str">
        <f t="shared" si="31"/>
        <v>High</v>
      </c>
      <c r="Q274" s="48">
        <v>1766.55</v>
      </c>
      <c r="R274" s="48">
        <v>0.16400000000000001</v>
      </c>
      <c r="S274" s="48">
        <v>20</v>
      </c>
      <c r="T274" s="48">
        <f t="shared" si="28"/>
        <v>9651.4527999999991</v>
      </c>
      <c r="U274" s="38">
        <f t="shared" si="29"/>
        <v>21647.600000000002</v>
      </c>
      <c r="V274" s="48">
        <f t="shared" si="32"/>
        <v>-11996.147200000003</v>
      </c>
      <c r="W274" s="50">
        <f t="shared" si="33"/>
        <v>-1.242936938986015</v>
      </c>
    </row>
    <row r="275" spans="1:23" x14ac:dyDescent="0.3">
      <c r="A275" s="39" t="s">
        <v>650</v>
      </c>
      <c r="B275" s="40">
        <v>45367</v>
      </c>
      <c r="C275" s="41">
        <v>45395</v>
      </c>
      <c r="D275" s="42">
        <f t="shared" si="34"/>
        <v>28</v>
      </c>
      <c r="E275" s="42" t="str">
        <f>TEXT(Data!B275,"MMM-YYYY")</f>
        <v>Mar-2024</v>
      </c>
      <c r="F275" s="42" t="str">
        <f t="shared" si="30"/>
        <v>Q1-2024</v>
      </c>
      <c r="G275" s="37" t="s">
        <v>78</v>
      </c>
      <c r="H275" s="37" t="s">
        <v>90</v>
      </c>
      <c r="I275" s="37" t="s">
        <v>217</v>
      </c>
      <c r="J275" s="37" t="s">
        <v>62</v>
      </c>
      <c r="K275" s="37" t="s">
        <v>28</v>
      </c>
      <c r="L275" s="37" t="s">
        <v>95</v>
      </c>
      <c r="M275" s="37" t="s">
        <v>30</v>
      </c>
      <c r="N275" s="37" t="s">
        <v>651</v>
      </c>
      <c r="O275" s="42">
        <v>287.61</v>
      </c>
      <c r="P275" s="43" t="str">
        <f t="shared" si="31"/>
        <v>High</v>
      </c>
      <c r="Q275" s="42">
        <v>628.54</v>
      </c>
      <c r="R275" s="42">
        <v>0.13500000000000001</v>
      </c>
      <c r="S275" s="42">
        <v>21</v>
      </c>
      <c r="T275" s="42">
        <f t="shared" si="28"/>
        <v>25903.83495</v>
      </c>
      <c r="U275" s="37">
        <f t="shared" si="29"/>
        <v>6039.81</v>
      </c>
      <c r="V275" s="42">
        <f t="shared" si="32"/>
        <v>19864.024949999999</v>
      </c>
      <c r="W275" s="44">
        <f t="shared" si="33"/>
        <v>0.76683722654741504</v>
      </c>
    </row>
    <row r="276" spans="1:23" x14ac:dyDescent="0.3">
      <c r="A276" s="45" t="s">
        <v>652</v>
      </c>
      <c r="B276" s="46">
        <v>45316</v>
      </c>
      <c r="C276" s="47">
        <v>45318</v>
      </c>
      <c r="D276" s="48">
        <f t="shared" si="34"/>
        <v>2</v>
      </c>
      <c r="E276" s="48" t="str">
        <f>TEXT(Data!B276,"MMM-YYYY")</f>
        <v>Jan-2024</v>
      </c>
      <c r="F276" s="48" t="str">
        <f t="shared" si="30"/>
        <v>Q1-2024</v>
      </c>
      <c r="G276" s="38" t="s">
        <v>52</v>
      </c>
      <c r="H276" s="38" t="s">
        <v>73</v>
      </c>
      <c r="I276" s="38" t="s">
        <v>74</v>
      </c>
      <c r="J276" s="38" t="s">
        <v>39</v>
      </c>
      <c r="K276" s="38" t="s">
        <v>40</v>
      </c>
      <c r="L276" s="38" t="s">
        <v>126</v>
      </c>
      <c r="M276" s="38" t="s">
        <v>57</v>
      </c>
      <c r="N276" s="38" t="s">
        <v>653</v>
      </c>
      <c r="O276" s="48">
        <v>1410.97</v>
      </c>
      <c r="P276" s="49" t="str">
        <f t="shared" si="31"/>
        <v>High</v>
      </c>
      <c r="Q276" s="48">
        <v>1650.75</v>
      </c>
      <c r="R276" s="48">
        <v>0.13500000000000001</v>
      </c>
      <c r="S276" s="48">
        <v>6</v>
      </c>
      <c r="T276" s="48">
        <f t="shared" si="28"/>
        <v>7059.0227999999997</v>
      </c>
      <c r="U276" s="38">
        <f t="shared" si="29"/>
        <v>8465.82</v>
      </c>
      <c r="V276" s="48">
        <f t="shared" si="32"/>
        <v>-1406.7972</v>
      </c>
      <c r="W276" s="50">
        <f t="shared" si="33"/>
        <v>-0.19929064402511917</v>
      </c>
    </row>
    <row r="277" spans="1:23" x14ac:dyDescent="0.3">
      <c r="A277" s="39" t="s">
        <v>654</v>
      </c>
      <c r="B277" s="40">
        <v>45378</v>
      </c>
      <c r="C277" s="41">
        <v>45393</v>
      </c>
      <c r="D277" s="42">
        <f t="shared" si="34"/>
        <v>15</v>
      </c>
      <c r="E277" s="42" t="str">
        <f>TEXT(Data!B277,"MMM-YYYY")</f>
        <v>Mar-2024</v>
      </c>
      <c r="F277" s="42" t="str">
        <f t="shared" si="30"/>
        <v>Q1-2024</v>
      </c>
      <c r="G277" s="37" t="s">
        <v>52</v>
      </c>
      <c r="H277" s="37" t="s">
        <v>122</v>
      </c>
      <c r="I277" s="37" t="s">
        <v>167</v>
      </c>
      <c r="J277" s="37" t="s">
        <v>62</v>
      </c>
      <c r="K277" s="37" t="s">
        <v>98</v>
      </c>
      <c r="L277" s="37" t="s">
        <v>68</v>
      </c>
      <c r="M277" s="37" t="s">
        <v>35</v>
      </c>
      <c r="N277" s="37" t="s">
        <v>655</v>
      </c>
      <c r="O277" s="42">
        <v>1338.35</v>
      </c>
      <c r="P277" s="43" t="str">
        <f t="shared" si="31"/>
        <v>High</v>
      </c>
      <c r="Q277" s="42">
        <v>2247.14</v>
      </c>
      <c r="R277" s="42">
        <v>0.115</v>
      </c>
      <c r="S277" s="42">
        <v>40</v>
      </c>
      <c r="T277" s="42">
        <f t="shared" si="28"/>
        <v>73316.94</v>
      </c>
      <c r="U277" s="37">
        <f t="shared" si="29"/>
        <v>53534</v>
      </c>
      <c r="V277" s="42">
        <f t="shared" si="32"/>
        <v>19782.940000000002</v>
      </c>
      <c r="W277" s="44">
        <f t="shared" si="33"/>
        <v>0.26982768238827209</v>
      </c>
    </row>
    <row r="278" spans="1:23" x14ac:dyDescent="0.3">
      <c r="A278" s="45" t="s">
        <v>656</v>
      </c>
      <c r="B278" s="46">
        <v>45832</v>
      </c>
      <c r="C278" s="47">
        <v>45852</v>
      </c>
      <c r="D278" s="48">
        <f t="shared" si="34"/>
        <v>20</v>
      </c>
      <c r="E278" s="48" t="str">
        <f>TEXT(Data!B278,"MMM-YYYY")</f>
        <v>Jun-2025</v>
      </c>
      <c r="F278" s="48" t="str">
        <f t="shared" si="30"/>
        <v>Q2-2025</v>
      </c>
      <c r="G278" s="38" t="s">
        <v>78</v>
      </c>
      <c r="H278" s="38" t="s">
        <v>79</v>
      </c>
      <c r="I278" s="38" t="s">
        <v>80</v>
      </c>
      <c r="J278" s="38" t="s">
        <v>19</v>
      </c>
      <c r="K278" s="38" t="s">
        <v>98</v>
      </c>
      <c r="L278" s="38" t="s">
        <v>68</v>
      </c>
      <c r="M278" s="38" t="s">
        <v>81</v>
      </c>
      <c r="N278" s="38" t="s">
        <v>657</v>
      </c>
      <c r="O278" s="48">
        <v>385.08</v>
      </c>
      <c r="P278" s="49" t="str">
        <f t="shared" si="31"/>
        <v>High</v>
      </c>
      <c r="Q278" s="48">
        <v>893.19</v>
      </c>
      <c r="R278" s="48">
        <v>0.151</v>
      </c>
      <c r="S278" s="48">
        <v>8</v>
      </c>
      <c r="T278" s="48">
        <f t="shared" si="28"/>
        <v>6655.0732799999996</v>
      </c>
      <c r="U278" s="38">
        <f t="shared" si="29"/>
        <v>3080.64</v>
      </c>
      <c r="V278" s="48">
        <f t="shared" si="32"/>
        <v>3574.4332799999997</v>
      </c>
      <c r="W278" s="50">
        <f t="shared" si="33"/>
        <v>0.53709901147775185</v>
      </c>
    </row>
    <row r="279" spans="1:23" x14ac:dyDescent="0.3">
      <c r="A279" s="39" t="s">
        <v>658</v>
      </c>
      <c r="B279" s="40">
        <v>45459</v>
      </c>
      <c r="C279" s="41">
        <v>45476</v>
      </c>
      <c r="D279" s="42">
        <f t="shared" si="34"/>
        <v>17</v>
      </c>
      <c r="E279" s="42" t="str">
        <f>TEXT(Data!B279,"MMM-YYYY")</f>
        <v>Jun-2024</v>
      </c>
      <c r="F279" s="42" t="str">
        <f t="shared" si="30"/>
        <v>Q2-2024</v>
      </c>
      <c r="G279" s="37" t="s">
        <v>16</v>
      </c>
      <c r="H279" s="37" t="s">
        <v>148</v>
      </c>
      <c r="I279" s="37" t="s">
        <v>149</v>
      </c>
      <c r="J279" s="37" t="s">
        <v>105</v>
      </c>
      <c r="K279" s="37" t="s">
        <v>40</v>
      </c>
      <c r="L279" s="37" t="s">
        <v>84</v>
      </c>
      <c r="M279" s="37" t="s">
        <v>42</v>
      </c>
      <c r="N279" s="37" t="s">
        <v>659</v>
      </c>
      <c r="O279" s="42">
        <v>1173.83</v>
      </c>
      <c r="P279" s="43" t="str">
        <f t="shared" si="31"/>
        <v>High</v>
      </c>
      <c r="Q279" s="42">
        <v>2328.9</v>
      </c>
      <c r="R279" s="42">
        <v>0.12</v>
      </c>
      <c r="S279" s="42">
        <v>17</v>
      </c>
      <c r="T279" s="42">
        <f t="shared" si="28"/>
        <v>8039.3543999999993</v>
      </c>
      <c r="U279" s="37">
        <f t="shared" si="29"/>
        <v>19955.11</v>
      </c>
      <c r="V279" s="42">
        <f t="shared" si="32"/>
        <v>-11915.7556</v>
      </c>
      <c r="W279" s="44">
        <f t="shared" si="33"/>
        <v>-1.4821781709237749</v>
      </c>
    </row>
    <row r="280" spans="1:23" x14ac:dyDescent="0.3">
      <c r="A280" s="45" t="s">
        <v>660</v>
      </c>
      <c r="B280" s="46">
        <v>45229</v>
      </c>
      <c r="C280" s="47">
        <v>45244</v>
      </c>
      <c r="D280" s="48">
        <f t="shared" si="34"/>
        <v>15</v>
      </c>
      <c r="E280" s="48" t="str">
        <f>TEXT(Data!B280,"MMM-YYYY")</f>
        <v>Oct-2023</v>
      </c>
      <c r="F280" s="48" t="str">
        <f t="shared" si="30"/>
        <v>Q4-2023</v>
      </c>
      <c r="G280" s="38" t="s">
        <v>45</v>
      </c>
      <c r="H280" s="38" t="s">
        <v>60</v>
      </c>
      <c r="I280" s="38" t="s">
        <v>61</v>
      </c>
      <c r="J280" s="38" t="s">
        <v>19</v>
      </c>
      <c r="K280" s="38" t="s">
        <v>28</v>
      </c>
      <c r="L280" s="38" t="s">
        <v>84</v>
      </c>
      <c r="M280" s="38" t="s">
        <v>57</v>
      </c>
      <c r="N280" s="38" t="s">
        <v>661</v>
      </c>
      <c r="O280" s="48">
        <v>953.46</v>
      </c>
      <c r="P280" s="49" t="str">
        <f t="shared" si="31"/>
        <v>High</v>
      </c>
      <c r="Q280" s="48">
        <v>2066.75</v>
      </c>
      <c r="R280" s="48">
        <v>0.13800000000000001</v>
      </c>
      <c r="S280" s="48">
        <v>5</v>
      </c>
      <c r="T280" s="48">
        <f t="shared" si="28"/>
        <v>919.40919999999994</v>
      </c>
      <c r="U280" s="38">
        <f t="shared" si="29"/>
        <v>4767.3</v>
      </c>
      <c r="V280" s="48">
        <f t="shared" si="32"/>
        <v>-3847.8908000000001</v>
      </c>
      <c r="W280" s="50">
        <f t="shared" si="33"/>
        <v>-4.1851776118838062</v>
      </c>
    </row>
    <row r="281" spans="1:23" x14ac:dyDescent="0.3">
      <c r="A281" s="39" t="s">
        <v>662</v>
      </c>
      <c r="B281" s="40">
        <v>45092</v>
      </c>
      <c r="C281" s="41">
        <v>45100</v>
      </c>
      <c r="D281" s="42">
        <f t="shared" si="34"/>
        <v>8</v>
      </c>
      <c r="E281" s="42" t="str">
        <f>TEXT(Data!B281,"MMM-YYYY")</f>
        <v>Jun-2023</v>
      </c>
      <c r="F281" s="42" t="str">
        <f t="shared" si="30"/>
        <v>Q2-2023</v>
      </c>
      <c r="G281" s="37" t="s">
        <v>52</v>
      </c>
      <c r="H281" s="37" t="s">
        <v>122</v>
      </c>
      <c r="I281" s="37" t="s">
        <v>167</v>
      </c>
      <c r="J281" s="37" t="s">
        <v>48</v>
      </c>
      <c r="K281" s="37" t="s">
        <v>55</v>
      </c>
      <c r="L281" s="37" t="s">
        <v>68</v>
      </c>
      <c r="M281" s="37" t="s">
        <v>64</v>
      </c>
      <c r="N281" s="37" t="s">
        <v>663</v>
      </c>
      <c r="O281" s="42">
        <v>1097.0899999999999</v>
      </c>
      <c r="P281" s="43" t="str">
        <f t="shared" si="31"/>
        <v>High</v>
      </c>
      <c r="Q281" s="42">
        <v>2182.31</v>
      </c>
      <c r="R281" s="42">
        <v>0.112</v>
      </c>
      <c r="S281" s="42">
        <v>9</v>
      </c>
      <c r="T281" s="42">
        <f t="shared" si="28"/>
        <v>15941.402639999998</v>
      </c>
      <c r="U281" s="37">
        <f t="shared" si="29"/>
        <v>9873.81</v>
      </c>
      <c r="V281" s="42">
        <f t="shared" si="32"/>
        <v>6067.5926399999989</v>
      </c>
      <c r="W281" s="44">
        <f t="shared" si="33"/>
        <v>0.38061849242646062</v>
      </c>
    </row>
    <row r="282" spans="1:23" x14ac:dyDescent="0.3">
      <c r="A282" s="45" t="s">
        <v>664</v>
      </c>
      <c r="B282" s="46">
        <v>45730</v>
      </c>
      <c r="C282" s="47">
        <v>45745</v>
      </c>
      <c r="D282" s="48">
        <f t="shared" si="34"/>
        <v>15</v>
      </c>
      <c r="E282" s="48" t="str">
        <f>TEXT(Data!B282,"MMM-YYYY")</f>
        <v>Mar-2025</v>
      </c>
      <c r="F282" s="48" t="str">
        <f t="shared" si="30"/>
        <v>Q1-2025</v>
      </c>
      <c r="G282" s="38" t="s">
        <v>45</v>
      </c>
      <c r="H282" s="38" t="s">
        <v>46</v>
      </c>
      <c r="I282" s="38" t="s">
        <v>214</v>
      </c>
      <c r="J282" s="38" t="s">
        <v>39</v>
      </c>
      <c r="K282" s="38" t="s">
        <v>98</v>
      </c>
      <c r="L282" s="38" t="s">
        <v>92</v>
      </c>
      <c r="M282" s="38" t="s">
        <v>35</v>
      </c>
      <c r="N282" s="38" t="s">
        <v>665</v>
      </c>
      <c r="O282" s="48">
        <v>1106.96</v>
      </c>
      <c r="P282" s="49" t="str">
        <f t="shared" si="31"/>
        <v>High</v>
      </c>
      <c r="Q282" s="48">
        <v>2726.62</v>
      </c>
      <c r="R282" s="48">
        <v>0.317</v>
      </c>
      <c r="S282" s="48">
        <v>7</v>
      </c>
      <c r="T282" s="48">
        <f t="shared" si="28"/>
        <v>2643.1280400000001</v>
      </c>
      <c r="U282" s="38">
        <f t="shared" si="29"/>
        <v>7748.72</v>
      </c>
      <c r="V282" s="48">
        <f t="shared" si="32"/>
        <v>-5105.5919599999997</v>
      </c>
      <c r="W282" s="50">
        <f t="shared" si="33"/>
        <v>-1.9316476094741137</v>
      </c>
    </row>
    <row r="283" spans="1:23" x14ac:dyDescent="0.3">
      <c r="A283" s="39" t="s">
        <v>666</v>
      </c>
      <c r="B283" s="40">
        <v>45153</v>
      </c>
      <c r="C283" s="41">
        <v>45163</v>
      </c>
      <c r="D283" s="42">
        <f t="shared" si="34"/>
        <v>10</v>
      </c>
      <c r="E283" s="42" t="str">
        <f>TEXT(Data!B283,"MMM-YYYY")</f>
        <v>Aug-2023</v>
      </c>
      <c r="F283" s="42" t="str">
        <f t="shared" si="30"/>
        <v>Q3-2023</v>
      </c>
      <c r="G283" s="37" t="s">
        <v>16</v>
      </c>
      <c r="H283" s="37" t="s">
        <v>17</v>
      </c>
      <c r="I283" s="37" t="s">
        <v>33</v>
      </c>
      <c r="J283" s="37" t="s">
        <v>62</v>
      </c>
      <c r="K283" s="37" t="s">
        <v>20</v>
      </c>
      <c r="L283" s="37" t="s">
        <v>126</v>
      </c>
      <c r="M283" s="37" t="s">
        <v>42</v>
      </c>
      <c r="N283" s="37" t="s">
        <v>667</v>
      </c>
      <c r="O283" s="42">
        <v>91.85</v>
      </c>
      <c r="P283" s="43" t="str">
        <f t="shared" si="31"/>
        <v>Medium</v>
      </c>
      <c r="Q283" s="42">
        <v>111.29</v>
      </c>
      <c r="R283" s="42">
        <v>0</v>
      </c>
      <c r="S283" s="42">
        <v>6</v>
      </c>
      <c r="T283" s="42">
        <f t="shared" si="28"/>
        <v>1349.6999999999998</v>
      </c>
      <c r="U283" s="37">
        <f t="shared" si="29"/>
        <v>551.09999999999991</v>
      </c>
      <c r="V283" s="42">
        <f t="shared" si="32"/>
        <v>798.59999999999991</v>
      </c>
      <c r="W283" s="44">
        <f t="shared" si="33"/>
        <v>0.59168704156479224</v>
      </c>
    </row>
    <row r="284" spans="1:23" x14ac:dyDescent="0.3">
      <c r="A284" s="45" t="s">
        <v>668</v>
      </c>
      <c r="B284" s="46">
        <v>45794</v>
      </c>
      <c r="C284" s="47">
        <v>45805</v>
      </c>
      <c r="D284" s="48">
        <f t="shared" si="34"/>
        <v>11</v>
      </c>
      <c r="E284" s="48" t="str">
        <f>TEXT(Data!B284,"MMM-YYYY")</f>
        <v>May-2025</v>
      </c>
      <c r="F284" s="48" t="str">
        <f t="shared" si="30"/>
        <v>Q2-2025</v>
      </c>
      <c r="G284" s="38" t="s">
        <v>45</v>
      </c>
      <c r="H284" s="38" t="s">
        <v>60</v>
      </c>
      <c r="I284" s="38" t="s">
        <v>61</v>
      </c>
      <c r="J284" s="38" t="s">
        <v>19</v>
      </c>
      <c r="K284" s="38" t="s">
        <v>55</v>
      </c>
      <c r="L284" s="38" t="s">
        <v>56</v>
      </c>
      <c r="M284" s="38" t="s">
        <v>57</v>
      </c>
      <c r="N284" s="38" t="s">
        <v>669</v>
      </c>
      <c r="O284" s="48">
        <v>623.4</v>
      </c>
      <c r="P284" s="49" t="str">
        <f t="shared" si="31"/>
        <v>High</v>
      </c>
      <c r="Q284" s="48">
        <v>1100.0899999999999</v>
      </c>
      <c r="R284" s="48">
        <v>0.114</v>
      </c>
      <c r="S284" s="48">
        <v>12</v>
      </c>
      <c r="T284" s="48">
        <f t="shared" si="28"/>
        <v>8208.8608800000002</v>
      </c>
      <c r="U284" s="38">
        <f t="shared" si="29"/>
        <v>7480.7999999999993</v>
      </c>
      <c r="V284" s="48">
        <f t="shared" si="32"/>
        <v>728.06088000000091</v>
      </c>
      <c r="W284" s="50">
        <f t="shared" si="33"/>
        <v>8.8692071974790357E-2</v>
      </c>
    </row>
    <row r="285" spans="1:23" x14ac:dyDescent="0.3">
      <c r="A285" s="39" t="s">
        <v>670</v>
      </c>
      <c r="B285" s="40">
        <v>45304</v>
      </c>
      <c r="C285" s="41">
        <v>45327</v>
      </c>
      <c r="D285" s="42">
        <f t="shared" si="34"/>
        <v>23</v>
      </c>
      <c r="E285" s="42" t="str">
        <f>TEXT(Data!B285,"MMM-YYYY")</f>
        <v>Jan-2024</v>
      </c>
      <c r="F285" s="42" t="str">
        <f t="shared" si="30"/>
        <v>Q1-2024</v>
      </c>
      <c r="G285" s="37" t="s">
        <v>78</v>
      </c>
      <c r="H285" s="37" t="s">
        <v>79</v>
      </c>
      <c r="I285" s="37" t="s">
        <v>335</v>
      </c>
      <c r="J285" s="37" t="s">
        <v>27</v>
      </c>
      <c r="K285" s="37" t="s">
        <v>98</v>
      </c>
      <c r="L285" s="37" t="s">
        <v>56</v>
      </c>
      <c r="M285" s="37" t="s">
        <v>57</v>
      </c>
      <c r="N285" s="37" t="s">
        <v>671</v>
      </c>
      <c r="O285" s="42">
        <v>1017.93</v>
      </c>
      <c r="P285" s="43" t="str">
        <f t="shared" si="31"/>
        <v>High</v>
      </c>
      <c r="Q285" s="42">
        <v>1529.14</v>
      </c>
      <c r="R285" s="42">
        <v>0.155</v>
      </c>
      <c r="S285" s="42">
        <v>12</v>
      </c>
      <c r="T285" s="42">
        <f t="shared" si="28"/>
        <v>31932.989400000002</v>
      </c>
      <c r="U285" s="37">
        <f t="shared" si="29"/>
        <v>12215.16</v>
      </c>
      <c r="V285" s="42">
        <f t="shared" si="32"/>
        <v>19717.829400000002</v>
      </c>
      <c r="W285" s="44">
        <f t="shared" si="33"/>
        <v>0.61747521201381794</v>
      </c>
    </row>
    <row r="286" spans="1:23" x14ac:dyDescent="0.3">
      <c r="A286" s="45" t="s">
        <v>672</v>
      </c>
      <c r="B286" s="46">
        <v>45101</v>
      </c>
      <c r="C286" s="47">
        <v>45128</v>
      </c>
      <c r="D286" s="48">
        <f t="shared" si="34"/>
        <v>27</v>
      </c>
      <c r="E286" s="48" t="str">
        <f>TEXT(Data!B286,"MMM-YYYY")</f>
        <v>Jun-2023</v>
      </c>
      <c r="F286" s="48" t="str">
        <f t="shared" si="30"/>
        <v>Q2-2023</v>
      </c>
      <c r="G286" s="38" t="s">
        <v>45</v>
      </c>
      <c r="H286" s="38" t="s">
        <v>46</v>
      </c>
      <c r="I286" s="38" t="s">
        <v>231</v>
      </c>
      <c r="J286" s="38" t="s">
        <v>48</v>
      </c>
      <c r="K286" s="38" t="s">
        <v>40</v>
      </c>
      <c r="L286" s="38" t="s">
        <v>29</v>
      </c>
      <c r="M286" s="38" t="s">
        <v>42</v>
      </c>
      <c r="N286" s="38" t="s">
        <v>673</v>
      </c>
      <c r="O286" s="48">
        <v>554.76</v>
      </c>
      <c r="P286" s="49" t="str">
        <f t="shared" si="31"/>
        <v>High</v>
      </c>
      <c r="Q286" s="48">
        <v>728.69</v>
      </c>
      <c r="R286" s="48">
        <v>0.22</v>
      </c>
      <c r="S286" s="48">
        <v>7</v>
      </c>
      <c r="T286" s="48">
        <f t="shared" si="28"/>
        <v>314.11380000000003</v>
      </c>
      <c r="U286" s="38">
        <f t="shared" si="29"/>
        <v>3883.3199999999997</v>
      </c>
      <c r="V286" s="48">
        <f t="shared" si="32"/>
        <v>-3569.2061999999996</v>
      </c>
      <c r="W286" s="50">
        <f t="shared" si="33"/>
        <v>-11.362780622818862</v>
      </c>
    </row>
    <row r="287" spans="1:23" x14ac:dyDescent="0.3">
      <c r="A287" s="39" t="s">
        <v>674</v>
      </c>
      <c r="B287" s="40">
        <v>45751</v>
      </c>
      <c r="C287" s="41">
        <v>45760</v>
      </c>
      <c r="D287" s="42">
        <f t="shared" si="34"/>
        <v>9</v>
      </c>
      <c r="E287" s="42" t="str">
        <f>TEXT(Data!B287,"MMM-YYYY")</f>
        <v>Apr-2025</v>
      </c>
      <c r="F287" s="42" t="str">
        <f t="shared" si="30"/>
        <v>Q2-2025</v>
      </c>
      <c r="G287" s="37" t="s">
        <v>78</v>
      </c>
      <c r="H287" s="37" t="s">
        <v>79</v>
      </c>
      <c r="I287" s="37" t="s">
        <v>159</v>
      </c>
      <c r="J287" s="37" t="s">
        <v>48</v>
      </c>
      <c r="K287" s="37" t="s">
        <v>40</v>
      </c>
      <c r="L287" s="37" t="s">
        <v>84</v>
      </c>
      <c r="M287" s="37" t="s">
        <v>42</v>
      </c>
      <c r="N287" s="37" t="s">
        <v>675</v>
      </c>
      <c r="O287" s="42">
        <v>7.02</v>
      </c>
      <c r="P287" s="43" t="str">
        <f t="shared" si="31"/>
        <v>Low</v>
      </c>
      <c r="Q287" s="42">
        <v>6.28</v>
      </c>
      <c r="R287" s="42">
        <v>0.13400000000000001</v>
      </c>
      <c r="S287" s="42">
        <v>14</v>
      </c>
      <c r="T287" s="42">
        <f t="shared" si="28"/>
        <v>9999.9964400000008</v>
      </c>
      <c r="U287" s="37">
        <f t="shared" si="29"/>
        <v>98.28</v>
      </c>
      <c r="V287" s="42">
        <f t="shared" si="32"/>
        <v>9901.7164400000001</v>
      </c>
      <c r="W287" s="44">
        <f t="shared" si="33"/>
        <v>0.99017199650123067</v>
      </c>
    </row>
    <row r="288" spans="1:23" x14ac:dyDescent="0.3">
      <c r="A288" s="45" t="s">
        <v>676</v>
      </c>
      <c r="B288" s="46">
        <v>45542</v>
      </c>
      <c r="C288" s="47">
        <v>45542</v>
      </c>
      <c r="D288" s="48">
        <f t="shared" si="34"/>
        <v>0</v>
      </c>
      <c r="E288" s="48" t="str">
        <f>TEXT(Data!B288,"MMM-YYYY")</f>
        <v>Sept-2024</v>
      </c>
      <c r="F288" s="48" t="str">
        <f t="shared" si="30"/>
        <v>Q3-2024</v>
      </c>
      <c r="G288" s="38" t="s">
        <v>45</v>
      </c>
      <c r="H288" s="38" t="s">
        <v>60</v>
      </c>
      <c r="I288" s="38" t="s">
        <v>220</v>
      </c>
      <c r="J288" s="38" t="s">
        <v>27</v>
      </c>
      <c r="K288" s="38" t="s">
        <v>55</v>
      </c>
      <c r="L288" s="38" t="s">
        <v>56</v>
      </c>
      <c r="M288" s="38" t="s">
        <v>35</v>
      </c>
      <c r="N288" s="38" t="s">
        <v>677</v>
      </c>
      <c r="O288" s="48">
        <v>1066.6500000000001</v>
      </c>
      <c r="P288" s="49" t="str">
        <f t="shared" si="31"/>
        <v>High</v>
      </c>
      <c r="Q288" s="48">
        <v>2569.77</v>
      </c>
      <c r="R288" s="48">
        <v>0.13400000000000001</v>
      </c>
      <c r="S288" s="48">
        <v>9</v>
      </c>
      <c r="T288" s="48">
        <f t="shared" si="28"/>
        <v>11640.572819999999</v>
      </c>
      <c r="U288" s="38">
        <f t="shared" si="29"/>
        <v>9599.85</v>
      </c>
      <c r="V288" s="48">
        <f t="shared" si="32"/>
        <v>2040.722819999999</v>
      </c>
      <c r="W288" s="50">
        <f t="shared" si="33"/>
        <v>0.17531120259767416</v>
      </c>
    </row>
    <row r="289" spans="1:23" x14ac:dyDescent="0.3">
      <c r="A289" s="39" t="s">
        <v>678</v>
      </c>
      <c r="B289" s="40">
        <v>45319</v>
      </c>
      <c r="C289" s="41">
        <v>45321</v>
      </c>
      <c r="D289" s="42">
        <f t="shared" si="34"/>
        <v>2</v>
      </c>
      <c r="E289" s="42" t="str">
        <f>TEXT(Data!B289,"MMM-YYYY")</f>
        <v>Jan-2024</v>
      </c>
      <c r="F289" s="42" t="str">
        <f t="shared" si="30"/>
        <v>Q1-2024</v>
      </c>
      <c r="G289" s="37" t="s">
        <v>16</v>
      </c>
      <c r="H289" s="37" t="s">
        <v>148</v>
      </c>
      <c r="I289" s="37" t="s">
        <v>258</v>
      </c>
      <c r="J289" s="37" t="s">
        <v>48</v>
      </c>
      <c r="K289" s="37" t="s">
        <v>98</v>
      </c>
      <c r="L289" s="37" t="s">
        <v>84</v>
      </c>
      <c r="M289" s="37" t="s">
        <v>81</v>
      </c>
      <c r="N289" s="37" t="s">
        <v>679</v>
      </c>
      <c r="O289" s="42">
        <v>798.45</v>
      </c>
      <c r="P289" s="43" t="str">
        <f t="shared" si="31"/>
        <v>High</v>
      </c>
      <c r="Q289" s="42">
        <v>1592.02</v>
      </c>
      <c r="R289" s="42">
        <v>6.6000000000000003E-2</v>
      </c>
      <c r="S289" s="42">
        <v>18</v>
      </c>
      <c r="T289" s="42">
        <f t="shared" si="28"/>
        <v>12473.159039999999</v>
      </c>
      <c r="U289" s="37">
        <f t="shared" si="29"/>
        <v>14372.1</v>
      </c>
      <c r="V289" s="42">
        <f t="shared" si="32"/>
        <v>-1898.9409600000017</v>
      </c>
      <c r="W289" s="44">
        <f t="shared" si="33"/>
        <v>-0.15224218290733843</v>
      </c>
    </row>
    <row r="290" spans="1:23" x14ac:dyDescent="0.3">
      <c r="A290" s="45" t="s">
        <v>680</v>
      </c>
      <c r="B290" s="46">
        <v>45125</v>
      </c>
      <c r="C290" s="47">
        <v>45148</v>
      </c>
      <c r="D290" s="48">
        <f t="shared" si="34"/>
        <v>23</v>
      </c>
      <c r="E290" s="48" t="str">
        <f>TEXT(Data!B290,"MMM-YYYY")</f>
        <v>Jul-2023</v>
      </c>
      <c r="F290" s="48" t="str">
        <f t="shared" si="30"/>
        <v>Q3-2023</v>
      </c>
      <c r="G290" s="38" t="s">
        <v>16</v>
      </c>
      <c r="H290" s="38" t="s">
        <v>148</v>
      </c>
      <c r="I290" s="38" t="s">
        <v>149</v>
      </c>
      <c r="J290" s="38" t="s">
        <v>62</v>
      </c>
      <c r="K290" s="38" t="s">
        <v>20</v>
      </c>
      <c r="L290" s="38" t="s">
        <v>49</v>
      </c>
      <c r="M290" s="38" t="s">
        <v>22</v>
      </c>
      <c r="N290" s="38" t="s">
        <v>681</v>
      </c>
      <c r="O290" s="48">
        <v>1271.56</v>
      </c>
      <c r="P290" s="49" t="str">
        <f t="shared" si="31"/>
        <v>High</v>
      </c>
      <c r="Q290" s="48">
        <v>995.47</v>
      </c>
      <c r="R290" s="48">
        <v>0.192</v>
      </c>
      <c r="S290" s="48">
        <v>13</v>
      </c>
      <c r="T290" s="48">
        <f t="shared" si="28"/>
        <v>7796.3839200000002</v>
      </c>
      <c r="U290" s="38">
        <f t="shared" si="29"/>
        <v>16530.28</v>
      </c>
      <c r="V290" s="48">
        <f t="shared" si="32"/>
        <v>-8733.8960799999986</v>
      </c>
      <c r="W290" s="50">
        <f t="shared" si="33"/>
        <v>-1.1202496143878966</v>
      </c>
    </row>
    <row r="291" spans="1:23" x14ac:dyDescent="0.3">
      <c r="A291" s="39" t="s">
        <v>682</v>
      </c>
      <c r="B291" s="40">
        <v>45897</v>
      </c>
      <c r="C291" s="41">
        <v>45895</v>
      </c>
      <c r="D291" s="42">
        <f>DATEDIF(C291,B291, "MD")</f>
        <v>2</v>
      </c>
      <c r="E291" s="42" t="str">
        <f>TEXT(Data!B291,"MMM-YYYY")</f>
        <v>Aug-2025</v>
      </c>
      <c r="F291" s="42" t="str">
        <f t="shared" si="30"/>
        <v>Q3-2025</v>
      </c>
      <c r="G291" s="37" t="s">
        <v>16</v>
      </c>
      <c r="H291" s="37" t="s">
        <v>25</v>
      </c>
      <c r="I291" s="37" t="s">
        <v>26</v>
      </c>
      <c r="J291" s="37" t="s">
        <v>62</v>
      </c>
      <c r="K291" s="37" t="s">
        <v>20</v>
      </c>
      <c r="L291" s="37" t="s">
        <v>75</v>
      </c>
      <c r="M291" s="37" t="s">
        <v>81</v>
      </c>
      <c r="N291" s="37" t="s">
        <v>683</v>
      </c>
      <c r="O291" s="42">
        <v>521.05999999999995</v>
      </c>
      <c r="P291" s="43" t="str">
        <f t="shared" si="31"/>
        <v>High</v>
      </c>
      <c r="Q291" s="42">
        <v>1240.31</v>
      </c>
      <c r="R291" s="42">
        <v>0.14599999999999999</v>
      </c>
      <c r="S291" s="42">
        <v>18</v>
      </c>
      <c r="T291" s="42">
        <f t="shared" si="28"/>
        <v>7371.4888800000008</v>
      </c>
      <c r="U291" s="37">
        <f t="shared" si="29"/>
        <v>9379.0799999999981</v>
      </c>
      <c r="V291" s="42">
        <f t="shared" si="32"/>
        <v>-2007.5911199999973</v>
      </c>
      <c r="W291" s="44">
        <f t="shared" si="33"/>
        <v>-0.27234540439271437</v>
      </c>
    </row>
    <row r="292" spans="1:23" x14ac:dyDescent="0.3">
      <c r="A292" s="45" t="s">
        <v>684</v>
      </c>
      <c r="B292" s="46">
        <v>45746</v>
      </c>
      <c r="C292" s="47">
        <v>45754</v>
      </c>
      <c r="D292" s="48">
        <f t="shared" si="34"/>
        <v>8</v>
      </c>
      <c r="E292" s="48" t="str">
        <f>TEXT(Data!B292,"MMM-YYYY")</f>
        <v>Mar-2025</v>
      </c>
      <c r="F292" s="48" t="str">
        <f t="shared" si="30"/>
        <v>Q1-2025</v>
      </c>
      <c r="G292" s="38" t="s">
        <v>52</v>
      </c>
      <c r="H292" s="38" t="s">
        <v>73</v>
      </c>
      <c r="I292" s="38" t="s">
        <v>74</v>
      </c>
      <c r="J292" s="38" t="s">
        <v>39</v>
      </c>
      <c r="K292" s="38" t="s">
        <v>98</v>
      </c>
      <c r="L292" s="38" t="s">
        <v>49</v>
      </c>
      <c r="M292" s="38" t="s">
        <v>30</v>
      </c>
      <c r="N292" s="38" t="s">
        <v>685</v>
      </c>
      <c r="O292" s="48">
        <v>71.62</v>
      </c>
      <c r="P292" s="49" t="str">
        <f t="shared" si="31"/>
        <v>Medium</v>
      </c>
      <c r="Q292" s="48">
        <v>118.37</v>
      </c>
      <c r="R292" s="48">
        <v>0.156</v>
      </c>
      <c r="S292" s="48">
        <v>11</v>
      </c>
      <c r="T292" s="48">
        <f t="shared" si="28"/>
        <v>10911.020999999999</v>
      </c>
      <c r="U292" s="38">
        <f t="shared" si="29"/>
        <v>787.82</v>
      </c>
      <c r="V292" s="48">
        <f t="shared" si="32"/>
        <v>10123.200999999999</v>
      </c>
      <c r="W292" s="50">
        <f t="shared" si="33"/>
        <v>0.92779594136973986</v>
      </c>
    </row>
    <row r="293" spans="1:23" x14ac:dyDescent="0.3">
      <c r="A293" s="39" t="s">
        <v>686</v>
      </c>
      <c r="B293" s="40">
        <v>45220</v>
      </c>
      <c r="C293" s="41">
        <v>45239</v>
      </c>
      <c r="D293" s="42">
        <f t="shared" si="34"/>
        <v>19</v>
      </c>
      <c r="E293" s="42" t="str">
        <f>TEXT(Data!B293,"MMM-YYYY")</f>
        <v>Oct-2023</v>
      </c>
      <c r="F293" s="42" t="str">
        <f t="shared" si="30"/>
        <v>Q4-2023</v>
      </c>
      <c r="G293" s="37" t="s">
        <v>78</v>
      </c>
      <c r="H293" s="37" t="s">
        <v>108</v>
      </c>
      <c r="I293" s="37" t="s">
        <v>152</v>
      </c>
      <c r="J293" s="37" t="s">
        <v>39</v>
      </c>
      <c r="K293" s="37" t="s">
        <v>98</v>
      </c>
      <c r="L293" s="37" t="s">
        <v>75</v>
      </c>
      <c r="M293" s="37" t="s">
        <v>81</v>
      </c>
      <c r="N293" s="37" t="s">
        <v>687</v>
      </c>
      <c r="O293" s="42">
        <v>1142.48</v>
      </c>
      <c r="P293" s="43" t="str">
        <f t="shared" si="31"/>
        <v>High</v>
      </c>
      <c r="Q293" s="42">
        <v>2105.5300000000002</v>
      </c>
      <c r="R293" s="42">
        <v>0.20699999999999999</v>
      </c>
      <c r="S293" s="42">
        <v>14</v>
      </c>
      <c r="T293" s="42">
        <f t="shared" si="28"/>
        <v>2525.1498999999999</v>
      </c>
      <c r="U293" s="37">
        <f t="shared" si="29"/>
        <v>15994.720000000001</v>
      </c>
      <c r="V293" s="42">
        <f t="shared" si="32"/>
        <v>-13469.570100000001</v>
      </c>
      <c r="W293" s="44">
        <f t="shared" si="33"/>
        <v>-5.3341665379944381</v>
      </c>
    </row>
    <row r="294" spans="1:23" x14ac:dyDescent="0.3">
      <c r="A294" s="45" t="s">
        <v>688</v>
      </c>
      <c r="B294" s="46">
        <v>45161</v>
      </c>
      <c r="C294" s="47">
        <v>45191</v>
      </c>
      <c r="D294" s="48">
        <f t="shared" si="34"/>
        <v>30</v>
      </c>
      <c r="E294" s="48" t="str">
        <f>TEXT(Data!B294,"MMM-YYYY")</f>
        <v>Aug-2023</v>
      </c>
      <c r="F294" s="48" t="str">
        <f t="shared" si="30"/>
        <v>Q3-2023</v>
      </c>
      <c r="G294" s="38" t="s">
        <v>78</v>
      </c>
      <c r="H294" s="38" t="s">
        <v>108</v>
      </c>
      <c r="I294" s="38" t="s">
        <v>152</v>
      </c>
      <c r="J294" s="38" t="s">
        <v>48</v>
      </c>
      <c r="K294" s="38" t="s">
        <v>55</v>
      </c>
      <c r="L294" s="38" t="s">
        <v>68</v>
      </c>
      <c r="M294" s="38" t="s">
        <v>81</v>
      </c>
      <c r="N294" s="38" t="s">
        <v>689</v>
      </c>
      <c r="O294" s="48">
        <v>209.81</v>
      </c>
      <c r="P294" s="49" t="str">
        <f t="shared" si="31"/>
        <v>High</v>
      </c>
      <c r="Q294" s="48">
        <v>523</v>
      </c>
      <c r="R294" s="48">
        <v>5.8999999999999997E-2</v>
      </c>
      <c r="S294" s="48">
        <v>15</v>
      </c>
      <c r="T294" s="48">
        <f t="shared" si="28"/>
        <v>16636.221300000001</v>
      </c>
      <c r="U294" s="38">
        <f t="shared" si="29"/>
        <v>3147.15</v>
      </c>
      <c r="V294" s="48">
        <f t="shared" si="32"/>
        <v>13489.071300000001</v>
      </c>
      <c r="W294" s="50">
        <f t="shared" si="33"/>
        <v>0.81082543065233215</v>
      </c>
    </row>
    <row r="295" spans="1:23" x14ac:dyDescent="0.3">
      <c r="A295" s="39" t="s">
        <v>690</v>
      </c>
      <c r="B295" s="40">
        <v>45758</v>
      </c>
      <c r="C295" s="41">
        <v>45781</v>
      </c>
      <c r="D295" s="42">
        <f t="shared" si="34"/>
        <v>23</v>
      </c>
      <c r="E295" s="42" t="str">
        <f>TEXT(Data!B295,"MMM-YYYY")</f>
        <v>Apr-2025</v>
      </c>
      <c r="F295" s="42" t="str">
        <f t="shared" si="30"/>
        <v>Q2-2025</v>
      </c>
      <c r="G295" s="37" t="s">
        <v>45</v>
      </c>
      <c r="H295" s="37" t="s">
        <v>46</v>
      </c>
      <c r="I295" s="37" t="s">
        <v>47</v>
      </c>
      <c r="J295" s="37" t="s">
        <v>62</v>
      </c>
      <c r="K295" s="37" t="s">
        <v>28</v>
      </c>
      <c r="L295" s="37" t="s">
        <v>110</v>
      </c>
      <c r="M295" s="37" t="s">
        <v>22</v>
      </c>
      <c r="N295" s="37" t="s">
        <v>691</v>
      </c>
      <c r="O295" s="42">
        <v>786.2</v>
      </c>
      <c r="P295" s="43" t="str">
        <f t="shared" si="31"/>
        <v>High</v>
      </c>
      <c r="Q295" s="42">
        <v>1075.3</v>
      </c>
      <c r="R295" s="42">
        <v>0.08</v>
      </c>
      <c r="S295" s="42">
        <v>9</v>
      </c>
      <c r="T295" s="42">
        <f t="shared" si="28"/>
        <v>20054.987999999998</v>
      </c>
      <c r="U295" s="37">
        <f t="shared" si="29"/>
        <v>7075.8</v>
      </c>
      <c r="V295" s="42">
        <f t="shared" si="32"/>
        <v>12979.187999999998</v>
      </c>
      <c r="W295" s="44">
        <f t="shared" si="33"/>
        <v>0.64718004318925548</v>
      </c>
    </row>
    <row r="296" spans="1:23" x14ac:dyDescent="0.3">
      <c r="A296" s="45" t="s">
        <v>692</v>
      </c>
      <c r="B296" s="46">
        <v>45809</v>
      </c>
      <c r="C296" s="47">
        <v>45835</v>
      </c>
      <c r="D296" s="48">
        <f t="shared" si="34"/>
        <v>26</v>
      </c>
      <c r="E296" s="48" t="str">
        <f>TEXT(Data!B296,"MMM-YYYY")</f>
        <v>Jun-2025</v>
      </c>
      <c r="F296" s="48" t="str">
        <f t="shared" si="30"/>
        <v>Q2-2025</v>
      </c>
      <c r="G296" s="38" t="s">
        <v>78</v>
      </c>
      <c r="H296" s="38" t="s">
        <v>79</v>
      </c>
      <c r="I296" s="38" t="s">
        <v>159</v>
      </c>
      <c r="J296" s="38" t="s">
        <v>48</v>
      </c>
      <c r="K296" s="38" t="s">
        <v>55</v>
      </c>
      <c r="L296" s="38" t="s">
        <v>63</v>
      </c>
      <c r="M296" s="38" t="s">
        <v>57</v>
      </c>
      <c r="N296" s="38" t="s">
        <v>693</v>
      </c>
      <c r="O296" s="48">
        <v>1362.31</v>
      </c>
      <c r="P296" s="49" t="str">
        <f t="shared" si="31"/>
        <v>High</v>
      </c>
      <c r="Q296" s="48">
        <v>3294.57</v>
      </c>
      <c r="R296" s="48">
        <v>0.113</v>
      </c>
      <c r="S296" s="48">
        <v>7</v>
      </c>
      <c r="T296" s="48">
        <f t="shared" si="28"/>
        <v>2693.96092</v>
      </c>
      <c r="U296" s="38">
        <f t="shared" si="29"/>
        <v>9536.17</v>
      </c>
      <c r="V296" s="48">
        <f t="shared" si="32"/>
        <v>-6842.2090800000005</v>
      </c>
      <c r="W296" s="50">
        <f t="shared" si="33"/>
        <v>-2.5398323447097373</v>
      </c>
    </row>
    <row r="297" spans="1:23" x14ac:dyDescent="0.3">
      <c r="A297" s="39" t="s">
        <v>694</v>
      </c>
      <c r="B297" s="40">
        <v>45353</v>
      </c>
      <c r="C297" s="41">
        <v>45367</v>
      </c>
      <c r="D297" s="42">
        <f t="shared" si="34"/>
        <v>14</v>
      </c>
      <c r="E297" s="42" t="str">
        <f>TEXT(Data!B297,"MMM-YYYY")</f>
        <v>Mar-2024</v>
      </c>
      <c r="F297" s="42" t="str">
        <f t="shared" si="30"/>
        <v>Q1-2024</v>
      </c>
      <c r="G297" s="37" t="s">
        <v>52</v>
      </c>
      <c r="H297" s="37" t="s">
        <v>53</v>
      </c>
      <c r="I297" s="37" t="s">
        <v>179</v>
      </c>
      <c r="J297" s="37" t="s">
        <v>39</v>
      </c>
      <c r="K297" s="37" t="s">
        <v>98</v>
      </c>
      <c r="L297" s="37" t="s">
        <v>68</v>
      </c>
      <c r="M297" s="37" t="s">
        <v>30</v>
      </c>
      <c r="N297" s="37" t="s">
        <v>695</v>
      </c>
      <c r="O297" s="42">
        <v>248.24</v>
      </c>
      <c r="P297" s="43" t="str">
        <f t="shared" si="31"/>
        <v>High</v>
      </c>
      <c r="Q297" s="42">
        <v>464.05</v>
      </c>
      <c r="R297" s="42">
        <v>0.16900000000000001</v>
      </c>
      <c r="S297" s="42">
        <v>11</v>
      </c>
      <c r="T297" s="42">
        <f t="shared" si="28"/>
        <v>28786.197329999999</v>
      </c>
      <c r="U297" s="37">
        <f t="shared" si="29"/>
        <v>2730.6400000000003</v>
      </c>
      <c r="V297" s="42">
        <f t="shared" si="32"/>
        <v>26055.55733</v>
      </c>
      <c r="W297" s="44">
        <f t="shared" si="33"/>
        <v>0.90514064887777934</v>
      </c>
    </row>
    <row r="298" spans="1:23" x14ac:dyDescent="0.3">
      <c r="A298" s="45" t="s">
        <v>696</v>
      </c>
      <c r="B298" s="46">
        <v>45097</v>
      </c>
      <c r="C298" s="47">
        <v>45115</v>
      </c>
      <c r="D298" s="48">
        <f t="shared" si="34"/>
        <v>18</v>
      </c>
      <c r="E298" s="48" t="str">
        <f>TEXT(Data!B298,"MMM-YYYY")</f>
        <v>Jun-2023</v>
      </c>
      <c r="F298" s="48" t="str">
        <f t="shared" si="30"/>
        <v>Q2-2023</v>
      </c>
      <c r="G298" s="38" t="s">
        <v>52</v>
      </c>
      <c r="H298" s="38" t="s">
        <v>122</v>
      </c>
      <c r="I298" s="38" t="s">
        <v>326</v>
      </c>
      <c r="J298" s="38" t="s">
        <v>39</v>
      </c>
      <c r="K298" s="38" t="s">
        <v>98</v>
      </c>
      <c r="L298" s="38" t="s">
        <v>84</v>
      </c>
      <c r="M298" s="38" t="s">
        <v>64</v>
      </c>
      <c r="N298" s="38" t="s">
        <v>697</v>
      </c>
      <c r="O298" s="48">
        <v>337</v>
      </c>
      <c r="P298" s="49" t="str">
        <f t="shared" si="31"/>
        <v>High</v>
      </c>
      <c r="Q298" s="48">
        <v>511.03</v>
      </c>
      <c r="R298" s="48">
        <v>0.108</v>
      </c>
      <c r="S298" s="48">
        <v>7</v>
      </c>
      <c r="T298" s="48">
        <f t="shared" si="28"/>
        <v>409.91860000000008</v>
      </c>
      <c r="U298" s="38">
        <f t="shared" si="29"/>
        <v>2359</v>
      </c>
      <c r="V298" s="48">
        <f t="shared" si="32"/>
        <v>-1949.0814</v>
      </c>
      <c r="W298" s="50">
        <f t="shared" si="33"/>
        <v>-4.7548010751402829</v>
      </c>
    </row>
    <row r="299" spans="1:23" x14ac:dyDescent="0.3">
      <c r="A299" s="39" t="s">
        <v>698</v>
      </c>
      <c r="B299" s="40">
        <v>45377</v>
      </c>
      <c r="C299" s="41">
        <v>45387</v>
      </c>
      <c r="D299" s="42">
        <f t="shared" si="34"/>
        <v>10</v>
      </c>
      <c r="E299" s="42" t="str">
        <f>TEXT(Data!B299,"MMM-YYYY")</f>
        <v>Mar-2024</v>
      </c>
      <c r="F299" s="42" t="str">
        <f t="shared" si="30"/>
        <v>Q1-2024</v>
      </c>
      <c r="G299" s="37" t="s">
        <v>52</v>
      </c>
      <c r="H299" s="37" t="s">
        <v>122</v>
      </c>
      <c r="I299" s="37" t="s">
        <v>326</v>
      </c>
      <c r="J299" s="37" t="s">
        <v>48</v>
      </c>
      <c r="K299" s="37" t="s">
        <v>98</v>
      </c>
      <c r="L299" s="37" t="s">
        <v>29</v>
      </c>
      <c r="M299" s="37" t="s">
        <v>64</v>
      </c>
      <c r="N299" s="37" t="s">
        <v>699</v>
      </c>
      <c r="O299" s="42">
        <v>5.66</v>
      </c>
      <c r="P299" s="43" t="str">
        <f t="shared" si="31"/>
        <v>Low</v>
      </c>
      <c r="Q299" s="42">
        <v>4.22</v>
      </c>
      <c r="R299" s="42">
        <v>0.11899999999999999</v>
      </c>
      <c r="S299" s="42">
        <v>18</v>
      </c>
      <c r="T299" s="42">
        <f t="shared" si="28"/>
        <v>39520.356119999997</v>
      </c>
      <c r="U299" s="37">
        <f t="shared" si="29"/>
        <v>101.88</v>
      </c>
      <c r="V299" s="42">
        <f t="shared" si="32"/>
        <v>39418.476119999999</v>
      </c>
      <c r="W299" s="44">
        <f t="shared" si="33"/>
        <v>0.99742208800723742</v>
      </c>
    </row>
    <row r="300" spans="1:23" x14ac:dyDescent="0.3">
      <c r="A300" s="45" t="s">
        <v>700</v>
      </c>
      <c r="B300" s="46">
        <v>45679</v>
      </c>
      <c r="C300" s="47">
        <v>45679</v>
      </c>
      <c r="D300" s="48">
        <f t="shared" si="34"/>
        <v>0</v>
      </c>
      <c r="E300" s="48" t="str">
        <f>TEXT(Data!B300,"MMM-YYYY")</f>
        <v>Jan-2025</v>
      </c>
      <c r="F300" s="48" t="str">
        <f t="shared" si="30"/>
        <v>Q1-2025</v>
      </c>
      <c r="G300" s="38" t="s">
        <v>78</v>
      </c>
      <c r="H300" s="38" t="s">
        <v>90</v>
      </c>
      <c r="I300" s="38" t="s">
        <v>138</v>
      </c>
      <c r="J300" s="38" t="s">
        <v>62</v>
      </c>
      <c r="K300" s="38" t="s">
        <v>28</v>
      </c>
      <c r="L300" s="38" t="s">
        <v>56</v>
      </c>
      <c r="M300" s="38" t="s">
        <v>81</v>
      </c>
      <c r="N300" s="38" t="s">
        <v>701</v>
      </c>
      <c r="O300" s="48">
        <v>591.72</v>
      </c>
      <c r="P300" s="49" t="str">
        <f t="shared" si="31"/>
        <v>High</v>
      </c>
      <c r="Q300" s="48">
        <v>577.24</v>
      </c>
      <c r="R300" s="48">
        <v>0</v>
      </c>
      <c r="S300" s="48">
        <v>22</v>
      </c>
      <c r="T300" s="48">
        <f t="shared" si="28"/>
        <v>20500.48</v>
      </c>
      <c r="U300" s="38">
        <f t="shared" si="29"/>
        <v>13017.84</v>
      </c>
      <c r="V300" s="48">
        <f t="shared" si="32"/>
        <v>7482.6399999999994</v>
      </c>
      <c r="W300" s="50">
        <f t="shared" si="33"/>
        <v>0.36499828296703296</v>
      </c>
    </row>
    <row r="301" spans="1:23" x14ac:dyDescent="0.3">
      <c r="A301" s="39" t="s">
        <v>702</v>
      </c>
      <c r="B301" s="40">
        <v>45787</v>
      </c>
      <c r="C301" s="41">
        <v>45804</v>
      </c>
      <c r="D301" s="42">
        <f t="shared" si="34"/>
        <v>17</v>
      </c>
      <c r="E301" s="42" t="str">
        <f>TEXT(Data!B301,"MMM-YYYY")</f>
        <v>May-2025</v>
      </c>
      <c r="F301" s="42" t="str">
        <f t="shared" si="30"/>
        <v>Q2-2025</v>
      </c>
      <c r="G301" s="37" t="s">
        <v>52</v>
      </c>
      <c r="H301" s="37" t="s">
        <v>53</v>
      </c>
      <c r="I301" s="37" t="s">
        <v>179</v>
      </c>
      <c r="J301" s="37" t="s">
        <v>27</v>
      </c>
      <c r="K301" s="37" t="s">
        <v>98</v>
      </c>
      <c r="L301" s="37" t="s">
        <v>21</v>
      </c>
      <c r="M301" s="37" t="s">
        <v>22</v>
      </c>
      <c r="N301" s="37" t="s">
        <v>703</v>
      </c>
      <c r="O301" s="42">
        <v>862.89</v>
      </c>
      <c r="P301" s="43" t="str">
        <f t="shared" si="31"/>
        <v>High</v>
      </c>
      <c r="Q301" s="42">
        <v>1426.03</v>
      </c>
      <c r="R301" s="42">
        <v>5.6000000000000001E-2</v>
      </c>
      <c r="S301" s="42">
        <v>19</v>
      </c>
      <c r="T301" s="42">
        <f t="shared" si="28"/>
        <v>11111.531359999999</v>
      </c>
      <c r="U301" s="37">
        <f t="shared" si="29"/>
        <v>16394.91</v>
      </c>
      <c r="V301" s="42">
        <f t="shared" si="32"/>
        <v>-5283.3786400000008</v>
      </c>
      <c r="W301" s="44">
        <f t="shared" si="33"/>
        <v>-0.4754860935747745</v>
      </c>
    </row>
    <row r="302" spans="1:23" x14ac:dyDescent="0.3">
      <c r="A302" s="45" t="s">
        <v>704</v>
      </c>
      <c r="B302" s="46">
        <v>45204</v>
      </c>
      <c r="C302" s="47">
        <v>45230</v>
      </c>
      <c r="D302" s="48">
        <f t="shared" si="34"/>
        <v>26</v>
      </c>
      <c r="E302" s="48" t="str">
        <f>TEXT(Data!B302,"MMM-YYYY")</f>
        <v>Oct-2023</v>
      </c>
      <c r="F302" s="48" t="str">
        <f t="shared" si="30"/>
        <v>Q4-2023</v>
      </c>
      <c r="G302" s="38" t="s">
        <v>45</v>
      </c>
      <c r="H302" s="38" t="s">
        <v>116</v>
      </c>
      <c r="I302" s="38" t="s">
        <v>162</v>
      </c>
      <c r="J302" s="38" t="s">
        <v>48</v>
      </c>
      <c r="K302" s="38" t="s">
        <v>1364</v>
      </c>
      <c r="L302" s="38" t="s">
        <v>29</v>
      </c>
      <c r="M302" s="38" t="s">
        <v>30</v>
      </c>
      <c r="N302" s="38" t="s">
        <v>705</v>
      </c>
      <c r="O302" s="48">
        <v>649.91</v>
      </c>
      <c r="P302" s="49" t="str">
        <f t="shared" si="31"/>
        <v>High</v>
      </c>
      <c r="Q302" s="48">
        <v>1360.12</v>
      </c>
      <c r="R302" s="48">
        <v>0.19400000000000001</v>
      </c>
      <c r="S302" s="48">
        <v>9</v>
      </c>
      <c r="T302" s="48">
        <f t="shared" si="28"/>
        <v>10311.923699999999</v>
      </c>
      <c r="U302" s="38">
        <f t="shared" si="29"/>
        <v>5849.19</v>
      </c>
      <c r="V302" s="48">
        <f t="shared" si="32"/>
        <v>4462.7336999999998</v>
      </c>
      <c r="W302" s="50">
        <f t="shared" si="33"/>
        <v>0.43277411953697836</v>
      </c>
    </row>
    <row r="303" spans="1:23" x14ac:dyDescent="0.3">
      <c r="A303" s="39" t="s">
        <v>706</v>
      </c>
      <c r="B303" s="40">
        <v>45125</v>
      </c>
      <c r="C303" s="41">
        <v>45129</v>
      </c>
      <c r="D303" s="42">
        <f t="shared" si="34"/>
        <v>4</v>
      </c>
      <c r="E303" s="42" t="str">
        <f>TEXT(Data!B303,"MMM-YYYY")</f>
        <v>Jul-2023</v>
      </c>
      <c r="F303" s="42" t="str">
        <f t="shared" si="30"/>
        <v>Q3-2023</v>
      </c>
      <c r="G303" s="37" t="s">
        <v>52</v>
      </c>
      <c r="H303" s="37" t="s">
        <v>73</v>
      </c>
      <c r="I303" s="37" t="s">
        <v>74</v>
      </c>
      <c r="J303" s="37" t="s">
        <v>48</v>
      </c>
      <c r="K303" s="37" t="s">
        <v>98</v>
      </c>
      <c r="L303" s="37" t="s">
        <v>84</v>
      </c>
      <c r="M303" s="37" t="s">
        <v>35</v>
      </c>
      <c r="N303" s="37" t="s">
        <v>707</v>
      </c>
      <c r="O303" s="42">
        <v>1269.55</v>
      </c>
      <c r="P303" s="43" t="str">
        <f t="shared" si="31"/>
        <v>High</v>
      </c>
      <c r="Q303" s="42">
        <v>2071.1</v>
      </c>
      <c r="R303" s="42">
        <v>0.129</v>
      </c>
      <c r="S303" s="42">
        <v>22</v>
      </c>
      <c r="T303" s="42">
        <f t="shared" si="28"/>
        <v>18252.954719999998</v>
      </c>
      <c r="U303" s="37">
        <f t="shared" si="29"/>
        <v>27930.1</v>
      </c>
      <c r="V303" s="42">
        <f t="shared" si="32"/>
        <v>-9677.1452800000006</v>
      </c>
      <c r="W303" s="44">
        <f t="shared" si="33"/>
        <v>-0.53016870027057195</v>
      </c>
    </row>
    <row r="304" spans="1:23" x14ac:dyDescent="0.3">
      <c r="A304" s="45" t="s">
        <v>708</v>
      </c>
      <c r="B304" s="46">
        <v>45830</v>
      </c>
      <c r="C304" s="47">
        <v>45846</v>
      </c>
      <c r="D304" s="48">
        <f t="shared" si="34"/>
        <v>16</v>
      </c>
      <c r="E304" s="48" t="str">
        <f>TEXT(Data!B304,"MMM-YYYY")</f>
        <v>Jun-2025</v>
      </c>
      <c r="F304" s="48" t="str">
        <f t="shared" si="30"/>
        <v>Q2-2025</v>
      </c>
      <c r="G304" s="38" t="s">
        <v>78</v>
      </c>
      <c r="H304" s="38" t="s">
        <v>108</v>
      </c>
      <c r="I304" s="38" t="s">
        <v>152</v>
      </c>
      <c r="J304" s="38" t="s">
        <v>27</v>
      </c>
      <c r="K304" s="38" t="s">
        <v>98</v>
      </c>
      <c r="L304" s="38" t="s">
        <v>75</v>
      </c>
      <c r="M304" s="38" t="s">
        <v>42</v>
      </c>
      <c r="N304" s="38" t="s">
        <v>709</v>
      </c>
      <c r="O304" s="48">
        <v>892.73</v>
      </c>
      <c r="P304" s="49" t="str">
        <f t="shared" si="31"/>
        <v>High</v>
      </c>
      <c r="Q304" s="48">
        <v>979.84</v>
      </c>
      <c r="R304" s="48">
        <v>0.17399999999999999</v>
      </c>
      <c r="S304" s="48">
        <v>10</v>
      </c>
      <c r="T304" s="48">
        <f t="shared" si="28"/>
        <v>26053.196400000001</v>
      </c>
      <c r="U304" s="38">
        <f t="shared" si="29"/>
        <v>8927.2999999999993</v>
      </c>
      <c r="V304" s="48">
        <f t="shared" si="32"/>
        <v>17125.896400000001</v>
      </c>
      <c r="W304" s="50">
        <f t="shared" si="33"/>
        <v>0.65734338839129935</v>
      </c>
    </row>
    <row r="305" spans="1:23" x14ac:dyDescent="0.3">
      <c r="A305" s="39" t="s">
        <v>710</v>
      </c>
      <c r="B305" s="40">
        <v>45462</v>
      </c>
      <c r="C305" s="41">
        <v>45463</v>
      </c>
      <c r="D305" s="42">
        <f t="shared" si="34"/>
        <v>1</v>
      </c>
      <c r="E305" s="42" t="str">
        <f>TEXT(Data!B305,"MMM-YYYY")</f>
        <v>Jun-2024</v>
      </c>
      <c r="F305" s="42" t="str">
        <f t="shared" si="30"/>
        <v>Q2-2024</v>
      </c>
      <c r="G305" s="37" t="s">
        <v>16</v>
      </c>
      <c r="H305" s="37" t="s">
        <v>17</v>
      </c>
      <c r="I305" s="37" t="s">
        <v>18</v>
      </c>
      <c r="J305" s="37" t="s">
        <v>62</v>
      </c>
      <c r="K305" s="37" t="s">
        <v>98</v>
      </c>
      <c r="L305" s="37" t="s">
        <v>29</v>
      </c>
      <c r="M305" s="37" t="s">
        <v>57</v>
      </c>
      <c r="N305" s="37" t="s">
        <v>711</v>
      </c>
      <c r="O305" s="42">
        <v>231.63</v>
      </c>
      <c r="P305" s="43" t="str">
        <f t="shared" si="31"/>
        <v>High</v>
      </c>
      <c r="Q305" s="42">
        <v>537.39</v>
      </c>
      <c r="R305" s="42">
        <v>0.08</v>
      </c>
      <c r="S305" s="42">
        <v>12</v>
      </c>
      <c r="T305" s="42">
        <f t="shared" si="28"/>
        <v>2496.5855999999999</v>
      </c>
      <c r="U305" s="37">
        <f t="shared" si="29"/>
        <v>2779.56</v>
      </c>
      <c r="V305" s="42">
        <f t="shared" si="32"/>
        <v>-282.97440000000006</v>
      </c>
      <c r="W305" s="44">
        <f t="shared" si="33"/>
        <v>-0.11334456146827093</v>
      </c>
    </row>
    <row r="306" spans="1:23" x14ac:dyDescent="0.3">
      <c r="A306" s="45" t="s">
        <v>712</v>
      </c>
      <c r="B306" s="46">
        <v>45756</v>
      </c>
      <c r="C306" s="47">
        <v>45759</v>
      </c>
      <c r="D306" s="48">
        <f t="shared" si="34"/>
        <v>3</v>
      </c>
      <c r="E306" s="48" t="str">
        <f>TEXT(Data!B306,"MMM-YYYY")</f>
        <v>Apr-2025</v>
      </c>
      <c r="F306" s="48" t="str">
        <f t="shared" si="30"/>
        <v>Q2-2025</v>
      </c>
      <c r="G306" s="38" t="s">
        <v>78</v>
      </c>
      <c r="H306" s="38" t="s">
        <v>90</v>
      </c>
      <c r="I306" s="38" t="s">
        <v>138</v>
      </c>
      <c r="J306" s="38" t="s">
        <v>62</v>
      </c>
      <c r="K306" s="38" t="s">
        <v>55</v>
      </c>
      <c r="L306" s="38" t="s">
        <v>92</v>
      </c>
      <c r="M306" s="38" t="s">
        <v>64</v>
      </c>
      <c r="N306" s="38" t="s">
        <v>713</v>
      </c>
      <c r="O306" s="48">
        <v>86.68</v>
      </c>
      <c r="P306" s="49" t="str">
        <f t="shared" si="31"/>
        <v>High</v>
      </c>
      <c r="Q306" s="48">
        <v>213.32</v>
      </c>
      <c r="R306" s="48">
        <v>3.7999999999999999E-2</v>
      </c>
      <c r="S306" s="48">
        <v>8</v>
      </c>
      <c r="T306" s="48">
        <f t="shared" si="28"/>
        <v>6818.0403199999992</v>
      </c>
      <c r="U306" s="38">
        <f t="shared" si="29"/>
        <v>693.44</v>
      </c>
      <c r="V306" s="48">
        <f t="shared" si="32"/>
        <v>6124.6003199999996</v>
      </c>
      <c r="W306" s="50">
        <f t="shared" si="33"/>
        <v>0.89829335594190218</v>
      </c>
    </row>
    <row r="307" spans="1:23" x14ac:dyDescent="0.3">
      <c r="A307" s="39" t="s">
        <v>714</v>
      </c>
      <c r="B307" s="40">
        <v>45741</v>
      </c>
      <c r="C307" s="41">
        <v>45742</v>
      </c>
      <c r="D307" s="42">
        <f t="shared" si="34"/>
        <v>1</v>
      </c>
      <c r="E307" s="42" t="str">
        <f>TEXT(Data!B307,"MMM-YYYY")</f>
        <v>Mar-2025</v>
      </c>
      <c r="F307" s="42" t="str">
        <f t="shared" si="30"/>
        <v>Q1-2025</v>
      </c>
      <c r="G307" s="37" t="s">
        <v>16</v>
      </c>
      <c r="H307" s="37" t="s">
        <v>25</v>
      </c>
      <c r="I307" s="37" t="s">
        <v>38</v>
      </c>
      <c r="J307" s="37" t="s">
        <v>27</v>
      </c>
      <c r="K307" s="37" t="s">
        <v>55</v>
      </c>
      <c r="L307" s="37" t="s">
        <v>41</v>
      </c>
      <c r="M307" s="37" t="s">
        <v>81</v>
      </c>
      <c r="N307" s="37" t="s">
        <v>715</v>
      </c>
      <c r="O307" s="42">
        <v>1450.43</v>
      </c>
      <c r="P307" s="43" t="str">
        <f t="shared" si="31"/>
        <v>High</v>
      </c>
      <c r="Q307" s="42">
        <v>1994.67</v>
      </c>
      <c r="R307" s="42">
        <v>0.1</v>
      </c>
      <c r="S307" s="42">
        <v>24</v>
      </c>
      <c r="T307" s="42">
        <f t="shared" si="28"/>
        <v>52560.144000000008</v>
      </c>
      <c r="U307" s="37">
        <f t="shared" si="29"/>
        <v>34810.32</v>
      </c>
      <c r="V307" s="42">
        <f t="shared" si="32"/>
        <v>17749.824000000008</v>
      </c>
      <c r="W307" s="44">
        <f t="shared" si="33"/>
        <v>0.33770501085385163</v>
      </c>
    </row>
    <row r="308" spans="1:23" x14ac:dyDescent="0.3">
      <c r="A308" s="45" t="s">
        <v>716</v>
      </c>
      <c r="B308" s="46">
        <v>45795</v>
      </c>
      <c r="C308" s="47">
        <v>45817</v>
      </c>
      <c r="D308" s="48">
        <f t="shared" si="34"/>
        <v>22</v>
      </c>
      <c r="E308" s="48" t="str">
        <f>TEXT(Data!B308,"MMM-YYYY")</f>
        <v>May-2025</v>
      </c>
      <c r="F308" s="48" t="str">
        <f t="shared" si="30"/>
        <v>Q2-2025</v>
      </c>
      <c r="G308" s="38" t="s">
        <v>52</v>
      </c>
      <c r="H308" s="38" t="s">
        <v>122</v>
      </c>
      <c r="I308" s="38" t="s">
        <v>387</v>
      </c>
      <c r="J308" s="38" t="s">
        <v>48</v>
      </c>
      <c r="K308" s="38" t="s">
        <v>20</v>
      </c>
      <c r="L308" s="38" t="s">
        <v>92</v>
      </c>
      <c r="M308" s="38" t="s">
        <v>35</v>
      </c>
      <c r="N308" s="38" t="s">
        <v>717</v>
      </c>
      <c r="O308" s="48">
        <v>382.96</v>
      </c>
      <c r="P308" s="49" t="str">
        <f t="shared" si="31"/>
        <v>High</v>
      </c>
      <c r="Q308" s="48">
        <v>552.84</v>
      </c>
      <c r="R308" s="48">
        <v>0.17599999999999999</v>
      </c>
      <c r="S308" s="48">
        <v>8</v>
      </c>
      <c r="T308" s="48">
        <f t="shared" si="28"/>
        <v>7609.4092799999999</v>
      </c>
      <c r="U308" s="38">
        <f t="shared" si="29"/>
        <v>3063.68</v>
      </c>
      <c r="V308" s="48">
        <f t="shared" si="32"/>
        <v>4545.7292799999996</v>
      </c>
      <c r="W308" s="50">
        <f t="shared" si="33"/>
        <v>0.59738267620164065</v>
      </c>
    </row>
    <row r="309" spans="1:23" x14ac:dyDescent="0.3">
      <c r="A309" s="39" t="s">
        <v>718</v>
      </c>
      <c r="B309" s="40">
        <v>45679</v>
      </c>
      <c r="C309" s="41">
        <v>45692</v>
      </c>
      <c r="D309" s="42">
        <f t="shared" si="34"/>
        <v>13</v>
      </c>
      <c r="E309" s="42" t="str">
        <f>TEXT(Data!B309,"MMM-YYYY")</f>
        <v>Jan-2025</v>
      </c>
      <c r="F309" s="42" t="str">
        <f t="shared" si="30"/>
        <v>Q1-2025</v>
      </c>
      <c r="G309" s="37" t="s">
        <v>45</v>
      </c>
      <c r="H309" s="37" t="s">
        <v>46</v>
      </c>
      <c r="I309" s="37" t="s">
        <v>214</v>
      </c>
      <c r="J309" s="37" t="s">
        <v>62</v>
      </c>
      <c r="K309" s="37" t="s">
        <v>55</v>
      </c>
      <c r="L309" s="37" t="s">
        <v>49</v>
      </c>
      <c r="M309" s="37" t="s">
        <v>30</v>
      </c>
      <c r="N309" s="37" t="s">
        <v>719</v>
      </c>
      <c r="O309" s="42">
        <v>122.29</v>
      </c>
      <c r="P309" s="43" t="str">
        <f t="shared" si="31"/>
        <v>High</v>
      </c>
      <c r="Q309" s="42">
        <v>224.95</v>
      </c>
      <c r="R309" s="42">
        <v>0.153</v>
      </c>
      <c r="S309" s="42">
        <v>28</v>
      </c>
      <c r="T309" s="42">
        <f t="shared" si="28"/>
        <v>26941.13884</v>
      </c>
      <c r="U309" s="37">
        <f t="shared" si="29"/>
        <v>3424.1200000000003</v>
      </c>
      <c r="V309" s="42">
        <f t="shared" si="32"/>
        <v>23517.018840000001</v>
      </c>
      <c r="W309" s="44">
        <f t="shared" si="33"/>
        <v>0.8729036652705956</v>
      </c>
    </row>
    <row r="310" spans="1:23" x14ac:dyDescent="0.3">
      <c r="A310" s="45" t="s">
        <v>720</v>
      </c>
      <c r="B310" s="46">
        <v>44936</v>
      </c>
      <c r="C310" s="47">
        <v>44955</v>
      </c>
      <c r="D310" s="48">
        <f t="shared" si="34"/>
        <v>19</v>
      </c>
      <c r="E310" s="48" t="str">
        <f>TEXT(Data!B310,"MMM-YYYY")</f>
        <v>Jan-2023</v>
      </c>
      <c r="F310" s="48" t="str">
        <f t="shared" si="30"/>
        <v>Q1-2023</v>
      </c>
      <c r="G310" s="38" t="s">
        <v>78</v>
      </c>
      <c r="H310" s="38" t="s">
        <v>90</v>
      </c>
      <c r="I310" s="38" t="s">
        <v>138</v>
      </c>
      <c r="J310" s="38" t="s">
        <v>39</v>
      </c>
      <c r="K310" s="38" t="s">
        <v>98</v>
      </c>
      <c r="L310" s="38" t="s">
        <v>145</v>
      </c>
      <c r="M310" s="38" t="s">
        <v>57</v>
      </c>
      <c r="N310" s="38" t="s">
        <v>721</v>
      </c>
      <c r="O310" s="48">
        <v>401.66</v>
      </c>
      <c r="P310" s="49" t="str">
        <f t="shared" si="31"/>
        <v>High</v>
      </c>
      <c r="Q310" s="48">
        <v>772.09</v>
      </c>
      <c r="R310" s="48">
        <v>8.8999999999999996E-2</v>
      </c>
      <c r="S310" s="48">
        <v>14</v>
      </c>
      <c r="T310" s="48">
        <f t="shared" si="28"/>
        <v>35096.967360000002</v>
      </c>
      <c r="U310" s="38">
        <f t="shared" si="29"/>
        <v>5623.2400000000007</v>
      </c>
      <c r="V310" s="48">
        <f t="shared" si="32"/>
        <v>29473.727360000001</v>
      </c>
      <c r="W310" s="50">
        <f t="shared" si="33"/>
        <v>0.83977988917615698</v>
      </c>
    </row>
    <row r="311" spans="1:23" x14ac:dyDescent="0.3">
      <c r="A311" s="39" t="s">
        <v>722</v>
      </c>
      <c r="B311" s="40">
        <v>45655</v>
      </c>
      <c r="C311" s="41">
        <v>45669</v>
      </c>
      <c r="D311" s="42">
        <f t="shared" si="34"/>
        <v>14</v>
      </c>
      <c r="E311" s="42" t="str">
        <f>TEXT(Data!B311,"MMM-YYYY")</f>
        <v>Dec-2024</v>
      </c>
      <c r="F311" s="42" t="str">
        <f t="shared" si="30"/>
        <v>Q4-2024</v>
      </c>
      <c r="G311" s="37" t="s">
        <v>78</v>
      </c>
      <c r="H311" s="37" t="s">
        <v>108</v>
      </c>
      <c r="I311" s="37" t="s">
        <v>228</v>
      </c>
      <c r="J311" s="37" t="s">
        <v>19</v>
      </c>
      <c r="K311" s="37" t="s">
        <v>98</v>
      </c>
      <c r="L311" s="37" t="s">
        <v>56</v>
      </c>
      <c r="M311" s="37" t="s">
        <v>64</v>
      </c>
      <c r="N311" s="37" t="s">
        <v>723</v>
      </c>
      <c r="O311" s="42">
        <v>1399.72</v>
      </c>
      <c r="P311" s="43" t="str">
        <f t="shared" si="31"/>
        <v>High</v>
      </c>
      <c r="Q311" s="42">
        <v>3149.21</v>
      </c>
      <c r="R311" s="42">
        <v>0.185</v>
      </c>
      <c r="S311" s="42">
        <v>12</v>
      </c>
      <c r="T311" s="42">
        <f t="shared" si="28"/>
        <v>13444.761599999998</v>
      </c>
      <c r="U311" s="37">
        <f t="shared" si="29"/>
        <v>16796.64</v>
      </c>
      <c r="V311" s="42">
        <f t="shared" si="32"/>
        <v>-3351.8784000000014</v>
      </c>
      <c r="W311" s="44">
        <f t="shared" si="33"/>
        <v>-0.24930738823959525</v>
      </c>
    </row>
    <row r="312" spans="1:23" x14ac:dyDescent="0.3">
      <c r="A312" s="45" t="s">
        <v>724</v>
      </c>
      <c r="B312" s="46">
        <v>45435</v>
      </c>
      <c r="C312" s="47">
        <v>45449</v>
      </c>
      <c r="D312" s="48">
        <f t="shared" si="34"/>
        <v>14</v>
      </c>
      <c r="E312" s="48" t="str">
        <f>TEXT(Data!B312,"MMM-YYYY")</f>
        <v>May-2024</v>
      </c>
      <c r="F312" s="48" t="str">
        <f t="shared" si="30"/>
        <v>Q2-2024</v>
      </c>
      <c r="G312" s="38" t="s">
        <v>52</v>
      </c>
      <c r="H312" s="38" t="s">
        <v>73</v>
      </c>
      <c r="I312" s="38" t="s">
        <v>225</v>
      </c>
      <c r="J312" s="38" t="s">
        <v>39</v>
      </c>
      <c r="K312" s="38" t="s">
        <v>28</v>
      </c>
      <c r="L312" s="38" t="s">
        <v>34</v>
      </c>
      <c r="M312" s="38" t="s">
        <v>35</v>
      </c>
      <c r="N312" s="38" t="s">
        <v>725</v>
      </c>
      <c r="O312" s="48">
        <v>51.13</v>
      </c>
      <c r="P312" s="49" t="str">
        <f t="shared" si="31"/>
        <v>Medium</v>
      </c>
      <c r="Q312" s="48">
        <v>57.53</v>
      </c>
      <c r="R312" s="48">
        <v>4.4999999999999998E-2</v>
      </c>
      <c r="S312" s="48">
        <v>16</v>
      </c>
      <c r="T312" s="48">
        <f t="shared" si="28"/>
        <v>20144.693599999999</v>
      </c>
      <c r="U312" s="38">
        <f t="shared" si="29"/>
        <v>818.08</v>
      </c>
      <c r="V312" s="48">
        <f t="shared" si="32"/>
        <v>19326.613599999997</v>
      </c>
      <c r="W312" s="50">
        <f t="shared" si="33"/>
        <v>0.95938980178879452</v>
      </c>
    </row>
    <row r="313" spans="1:23" x14ac:dyDescent="0.3">
      <c r="A313" s="39" t="s">
        <v>726</v>
      </c>
      <c r="B313" s="40">
        <v>45101</v>
      </c>
      <c r="C313" s="41">
        <v>45099</v>
      </c>
      <c r="D313" s="42">
        <f>DATEDIF(C313,B313, "MD")</f>
        <v>2</v>
      </c>
      <c r="E313" s="42" t="str">
        <f>TEXT(Data!B313,"MMM-YYYY")</f>
        <v>Jun-2023</v>
      </c>
      <c r="F313" s="42" t="str">
        <f t="shared" si="30"/>
        <v>Q2-2023</v>
      </c>
      <c r="G313" s="37" t="s">
        <v>52</v>
      </c>
      <c r="H313" s="37" t="s">
        <v>53</v>
      </c>
      <c r="I313" s="37" t="s">
        <v>54</v>
      </c>
      <c r="J313" s="37" t="s">
        <v>39</v>
      </c>
      <c r="K313" s="37" t="s">
        <v>20</v>
      </c>
      <c r="L313" s="37" t="s">
        <v>110</v>
      </c>
      <c r="M313" s="37" t="s">
        <v>81</v>
      </c>
      <c r="N313" s="37" t="s">
        <v>727</v>
      </c>
      <c r="O313" s="42">
        <v>471.42</v>
      </c>
      <c r="P313" s="43" t="str">
        <f t="shared" si="31"/>
        <v>High</v>
      </c>
      <c r="Q313" s="42">
        <v>824.81</v>
      </c>
      <c r="R313" s="42">
        <v>8.7999999999999995E-2</v>
      </c>
      <c r="S313" s="42">
        <v>15</v>
      </c>
      <c r="T313" s="42">
        <f t="shared" si="28"/>
        <v>6043.0032000000001</v>
      </c>
      <c r="U313" s="37">
        <f t="shared" si="29"/>
        <v>7071.3</v>
      </c>
      <c r="V313" s="42">
        <f t="shared" si="32"/>
        <v>-1028.2968000000001</v>
      </c>
      <c r="W313" s="44">
        <f t="shared" si="33"/>
        <v>-0.17016320626803574</v>
      </c>
    </row>
    <row r="314" spans="1:23" x14ac:dyDescent="0.3">
      <c r="A314" s="45" t="s">
        <v>728</v>
      </c>
      <c r="B314" s="46">
        <v>45600</v>
      </c>
      <c r="C314" s="47">
        <v>45601</v>
      </c>
      <c r="D314" s="48">
        <f t="shared" si="34"/>
        <v>1</v>
      </c>
      <c r="E314" s="48" t="str">
        <f>TEXT(Data!B314,"MMM-YYYY")</f>
        <v>Nov-2024</v>
      </c>
      <c r="F314" s="48" t="str">
        <f t="shared" si="30"/>
        <v>Q4-2024</v>
      </c>
      <c r="G314" s="38" t="s">
        <v>78</v>
      </c>
      <c r="H314" s="38" t="s">
        <v>108</v>
      </c>
      <c r="I314" s="38" t="s">
        <v>152</v>
      </c>
      <c r="J314" s="38" t="s">
        <v>19</v>
      </c>
      <c r="K314" s="38" t="s">
        <v>20</v>
      </c>
      <c r="L314" s="38" t="s">
        <v>110</v>
      </c>
      <c r="M314" s="38" t="s">
        <v>30</v>
      </c>
      <c r="N314" s="38" t="s">
        <v>729</v>
      </c>
      <c r="O314" s="48">
        <v>840.68</v>
      </c>
      <c r="P314" s="49" t="str">
        <f t="shared" si="31"/>
        <v>High</v>
      </c>
      <c r="Q314" s="48">
        <v>1493.53</v>
      </c>
      <c r="R314" s="48">
        <v>0</v>
      </c>
      <c r="S314" s="48">
        <v>27</v>
      </c>
      <c r="T314" s="48">
        <f t="shared" si="28"/>
        <v>35911.89</v>
      </c>
      <c r="U314" s="38">
        <f t="shared" si="29"/>
        <v>22698.359999999997</v>
      </c>
      <c r="V314" s="48">
        <f t="shared" si="32"/>
        <v>13213.530000000002</v>
      </c>
      <c r="W314" s="50">
        <f t="shared" si="33"/>
        <v>0.36794304059184862</v>
      </c>
    </row>
    <row r="315" spans="1:23" x14ac:dyDescent="0.3">
      <c r="A315" s="39" t="s">
        <v>730</v>
      </c>
      <c r="B315" s="40">
        <v>45451</v>
      </c>
      <c r="C315" s="41">
        <v>45467</v>
      </c>
      <c r="D315" s="42">
        <f t="shared" si="34"/>
        <v>16</v>
      </c>
      <c r="E315" s="42" t="str">
        <f>TEXT(Data!B315,"MMM-YYYY")</f>
        <v>Jun-2024</v>
      </c>
      <c r="F315" s="42" t="str">
        <f t="shared" si="30"/>
        <v>Q2-2024</v>
      </c>
      <c r="G315" s="37" t="s">
        <v>16</v>
      </c>
      <c r="H315" s="37" t="s">
        <v>148</v>
      </c>
      <c r="I315" s="37" t="s">
        <v>172</v>
      </c>
      <c r="J315" s="37" t="s">
        <v>27</v>
      </c>
      <c r="K315" s="37" t="s">
        <v>55</v>
      </c>
      <c r="L315" s="37" t="s">
        <v>92</v>
      </c>
      <c r="M315" s="37" t="s">
        <v>64</v>
      </c>
      <c r="N315" s="37" t="s">
        <v>731</v>
      </c>
      <c r="O315" s="42">
        <v>597.85</v>
      </c>
      <c r="P315" s="43" t="str">
        <f t="shared" si="31"/>
        <v>High</v>
      </c>
      <c r="Q315" s="42">
        <v>741.92</v>
      </c>
      <c r="R315" s="42">
        <v>3.1E-2</v>
      </c>
      <c r="S315" s="42">
        <v>7</v>
      </c>
      <c r="T315" s="42">
        <f t="shared" si="28"/>
        <v>11089.255379999999</v>
      </c>
      <c r="U315" s="37">
        <f t="shared" si="29"/>
        <v>4184.95</v>
      </c>
      <c r="V315" s="42">
        <f t="shared" si="32"/>
        <v>6904.3053799999989</v>
      </c>
      <c r="W315" s="44">
        <f t="shared" si="33"/>
        <v>0.62261217217995024</v>
      </c>
    </row>
    <row r="316" spans="1:23" x14ac:dyDescent="0.3">
      <c r="A316" s="45" t="s">
        <v>732</v>
      </c>
      <c r="B316" s="46">
        <v>45809</v>
      </c>
      <c r="C316" s="47">
        <v>45814</v>
      </c>
      <c r="D316" s="48">
        <f t="shared" si="34"/>
        <v>5</v>
      </c>
      <c r="E316" s="48" t="str">
        <f>TEXT(Data!B316,"MMM-YYYY")</f>
        <v>Jun-2025</v>
      </c>
      <c r="F316" s="48" t="str">
        <f t="shared" si="30"/>
        <v>Q2-2025</v>
      </c>
      <c r="G316" s="38" t="s">
        <v>78</v>
      </c>
      <c r="H316" s="38" t="s">
        <v>90</v>
      </c>
      <c r="I316" s="38" t="s">
        <v>217</v>
      </c>
      <c r="J316" s="38" t="s">
        <v>48</v>
      </c>
      <c r="K316" s="38" t="s">
        <v>55</v>
      </c>
      <c r="L316" s="38" t="s">
        <v>41</v>
      </c>
      <c r="M316" s="38" t="s">
        <v>22</v>
      </c>
      <c r="N316" s="38" t="s">
        <v>733</v>
      </c>
      <c r="O316" s="48">
        <v>379.45</v>
      </c>
      <c r="P316" s="49" t="str">
        <f t="shared" si="31"/>
        <v>High</v>
      </c>
      <c r="Q316" s="48">
        <v>742.23</v>
      </c>
      <c r="R316" s="48">
        <v>0.09</v>
      </c>
      <c r="S316" s="48">
        <v>13</v>
      </c>
      <c r="T316" s="48">
        <f t="shared" si="28"/>
        <v>835.19799999999998</v>
      </c>
      <c r="U316" s="38">
        <f t="shared" si="29"/>
        <v>4932.8499999999995</v>
      </c>
      <c r="V316" s="48">
        <f t="shared" si="32"/>
        <v>-4097.6519999999991</v>
      </c>
      <c r="W316" s="50">
        <f t="shared" si="33"/>
        <v>-4.9062042773090919</v>
      </c>
    </row>
    <row r="317" spans="1:23" x14ac:dyDescent="0.3">
      <c r="A317" s="39" t="s">
        <v>734</v>
      </c>
      <c r="B317" s="40">
        <v>45052</v>
      </c>
      <c r="C317" s="41">
        <v>45060</v>
      </c>
      <c r="D317" s="42">
        <f t="shared" si="34"/>
        <v>8</v>
      </c>
      <c r="E317" s="42" t="str">
        <f>TEXT(Data!B317,"MMM-YYYY")</f>
        <v>May-2023</v>
      </c>
      <c r="F317" s="42" t="str">
        <f t="shared" si="30"/>
        <v>Q2-2023</v>
      </c>
      <c r="G317" s="37" t="s">
        <v>45</v>
      </c>
      <c r="H317" s="37" t="s">
        <v>46</v>
      </c>
      <c r="I317" s="37" t="s">
        <v>47</v>
      </c>
      <c r="J317" s="37" t="s">
        <v>105</v>
      </c>
      <c r="K317" s="37" t="s">
        <v>40</v>
      </c>
      <c r="L317" s="37" t="s">
        <v>56</v>
      </c>
      <c r="M317" s="37" t="s">
        <v>42</v>
      </c>
      <c r="N317" s="37" t="s">
        <v>735</v>
      </c>
      <c r="O317" s="42">
        <v>291.18</v>
      </c>
      <c r="P317" s="43" t="str">
        <f t="shared" si="31"/>
        <v>High</v>
      </c>
      <c r="Q317" s="42">
        <v>479.54</v>
      </c>
      <c r="R317" s="42">
        <v>0.14099999999999999</v>
      </c>
      <c r="S317" s="42">
        <v>22</v>
      </c>
      <c r="T317" s="42">
        <f t="shared" si="28"/>
        <v>34451.80992</v>
      </c>
      <c r="U317" s="37">
        <f t="shared" si="29"/>
        <v>6405.96</v>
      </c>
      <c r="V317" s="42">
        <f t="shared" si="32"/>
        <v>28045.849920000001</v>
      </c>
      <c r="W317" s="44">
        <f t="shared" si="33"/>
        <v>0.81406027680765747</v>
      </c>
    </row>
    <row r="318" spans="1:23" x14ac:dyDescent="0.3">
      <c r="A318" s="45" t="s">
        <v>736</v>
      </c>
      <c r="B318" s="46">
        <v>45244</v>
      </c>
      <c r="C318" s="47">
        <v>45260</v>
      </c>
      <c r="D318" s="48">
        <f t="shared" si="34"/>
        <v>16</v>
      </c>
      <c r="E318" s="48" t="str">
        <f>TEXT(Data!B318,"MMM-YYYY")</f>
        <v>Nov-2023</v>
      </c>
      <c r="F318" s="48" t="str">
        <f t="shared" si="30"/>
        <v>Q4-2023</v>
      </c>
      <c r="G318" s="38" t="s">
        <v>52</v>
      </c>
      <c r="H318" s="38" t="s">
        <v>73</v>
      </c>
      <c r="I318" s="38" t="s">
        <v>74</v>
      </c>
      <c r="J318" s="38" t="s">
        <v>105</v>
      </c>
      <c r="K318" s="38" t="s">
        <v>98</v>
      </c>
      <c r="L318" s="38" t="s">
        <v>95</v>
      </c>
      <c r="M318" s="38" t="s">
        <v>35</v>
      </c>
      <c r="N318" s="38" t="s">
        <v>737</v>
      </c>
      <c r="O318" s="48">
        <v>1017.92</v>
      </c>
      <c r="P318" s="49" t="str">
        <f t="shared" si="31"/>
        <v>High</v>
      </c>
      <c r="Q318" s="48">
        <v>1175.25</v>
      </c>
      <c r="R318" s="48">
        <v>7.4999999999999997E-2</v>
      </c>
      <c r="S318" s="48">
        <v>15</v>
      </c>
      <c r="T318" s="48">
        <f t="shared" si="28"/>
        <v>27971.861250000002</v>
      </c>
      <c r="U318" s="38">
        <f t="shared" si="29"/>
        <v>15268.8</v>
      </c>
      <c r="V318" s="48">
        <f t="shared" si="32"/>
        <v>12703.061250000002</v>
      </c>
      <c r="W318" s="50">
        <f t="shared" si="33"/>
        <v>0.45413714648681097</v>
      </c>
    </row>
    <row r="319" spans="1:23" x14ac:dyDescent="0.3">
      <c r="A319" s="39" t="s">
        <v>738</v>
      </c>
      <c r="B319" s="40">
        <v>45748</v>
      </c>
      <c r="C319" s="41">
        <v>45774</v>
      </c>
      <c r="D319" s="42">
        <f t="shared" si="34"/>
        <v>26</v>
      </c>
      <c r="E319" s="42" t="str">
        <f>TEXT(Data!B319,"MMM-YYYY")</f>
        <v>Apr-2025</v>
      </c>
      <c r="F319" s="42" t="str">
        <f t="shared" si="30"/>
        <v>Q2-2025</v>
      </c>
      <c r="G319" s="37" t="s">
        <v>52</v>
      </c>
      <c r="H319" s="37" t="s">
        <v>122</v>
      </c>
      <c r="I319" s="37" t="s">
        <v>167</v>
      </c>
      <c r="J319" s="37" t="s">
        <v>19</v>
      </c>
      <c r="K319" s="37" t="s">
        <v>98</v>
      </c>
      <c r="L319" s="37" t="s">
        <v>34</v>
      </c>
      <c r="M319" s="37" t="s">
        <v>64</v>
      </c>
      <c r="N319" s="37" t="s">
        <v>739</v>
      </c>
      <c r="O319" s="42">
        <v>156.55000000000001</v>
      </c>
      <c r="P319" s="43" t="str">
        <f t="shared" si="31"/>
        <v>High</v>
      </c>
      <c r="Q319" s="42">
        <v>227.45</v>
      </c>
      <c r="R319" s="42">
        <v>1.4E-2</v>
      </c>
      <c r="S319" s="42">
        <v>13</v>
      </c>
      <c r="T319" s="42">
        <f t="shared" si="28"/>
        <v>3129.2583399999999</v>
      </c>
      <c r="U319" s="37">
        <f t="shared" si="29"/>
        <v>2035.15</v>
      </c>
      <c r="V319" s="42">
        <f t="shared" si="32"/>
        <v>1094.1083399999998</v>
      </c>
      <c r="W319" s="44">
        <f t="shared" si="33"/>
        <v>0.34963822769583153</v>
      </c>
    </row>
    <row r="320" spans="1:23" x14ac:dyDescent="0.3">
      <c r="A320" s="45" t="s">
        <v>740</v>
      </c>
      <c r="B320" s="46">
        <v>45008</v>
      </c>
      <c r="C320" s="47">
        <v>45031</v>
      </c>
      <c r="D320" s="48">
        <f t="shared" si="34"/>
        <v>23</v>
      </c>
      <c r="E320" s="48" t="str">
        <f>TEXT(Data!B320,"MMM-YYYY")</f>
        <v>Mar-2023</v>
      </c>
      <c r="F320" s="48" t="str">
        <f t="shared" si="30"/>
        <v>Q1-2023</v>
      </c>
      <c r="G320" s="38" t="s">
        <v>16</v>
      </c>
      <c r="H320" s="38" t="s">
        <v>17</v>
      </c>
      <c r="I320" s="38" t="s">
        <v>113</v>
      </c>
      <c r="J320" s="38" t="s">
        <v>62</v>
      </c>
      <c r="K320" s="38" t="s">
        <v>20</v>
      </c>
      <c r="L320" s="38" t="s">
        <v>21</v>
      </c>
      <c r="M320" s="38" t="s">
        <v>81</v>
      </c>
      <c r="N320" s="38" t="s">
        <v>741</v>
      </c>
      <c r="O320" s="48">
        <v>875.36</v>
      </c>
      <c r="P320" s="49" t="str">
        <f t="shared" si="31"/>
        <v>High</v>
      </c>
      <c r="Q320" s="48">
        <v>1178.6199999999999</v>
      </c>
      <c r="R320" s="48">
        <v>0.151</v>
      </c>
      <c r="S320" s="48">
        <v>53</v>
      </c>
      <c r="T320" s="48">
        <f t="shared" si="28"/>
        <v>125232.05063999999</v>
      </c>
      <c r="U320" s="38">
        <f t="shared" si="29"/>
        <v>46394.080000000002</v>
      </c>
      <c r="V320" s="48">
        <f t="shared" si="32"/>
        <v>78837.970639999985</v>
      </c>
      <c r="W320" s="50">
        <f t="shared" si="33"/>
        <v>0.62953509295022747</v>
      </c>
    </row>
    <row r="321" spans="1:23" x14ac:dyDescent="0.3">
      <c r="A321" s="39" t="s">
        <v>742</v>
      </c>
      <c r="B321" s="40">
        <v>45440</v>
      </c>
      <c r="C321" s="41">
        <v>45461</v>
      </c>
      <c r="D321" s="42">
        <f t="shared" si="34"/>
        <v>21</v>
      </c>
      <c r="E321" s="42" t="str">
        <f>TEXT(Data!B321,"MMM-YYYY")</f>
        <v>May-2024</v>
      </c>
      <c r="F321" s="42" t="str">
        <f t="shared" si="30"/>
        <v>Q2-2024</v>
      </c>
      <c r="G321" s="37" t="s">
        <v>78</v>
      </c>
      <c r="H321" s="37" t="s">
        <v>79</v>
      </c>
      <c r="I321" s="37" t="s">
        <v>335</v>
      </c>
      <c r="J321" s="37" t="s">
        <v>62</v>
      </c>
      <c r="K321" s="37" t="s">
        <v>28</v>
      </c>
      <c r="L321" s="37" t="s">
        <v>63</v>
      </c>
      <c r="M321" s="37" t="s">
        <v>42</v>
      </c>
      <c r="N321" s="37" t="s">
        <v>743</v>
      </c>
      <c r="O321" s="42">
        <v>986.85</v>
      </c>
      <c r="P321" s="43" t="str">
        <f t="shared" si="31"/>
        <v>High</v>
      </c>
      <c r="Q321" s="42">
        <v>2422.1</v>
      </c>
      <c r="R321" s="42">
        <v>7.5999999999999998E-2</v>
      </c>
      <c r="S321" s="42">
        <v>10</v>
      </c>
      <c r="T321" s="42">
        <f t="shared" ref="T321:T384" si="35">(Q347*S321)*(1-R321)</f>
        <v>18944.864399999999</v>
      </c>
      <c r="U321" s="37">
        <f t="shared" ref="U321:U384" si="36">(O321*S321)</f>
        <v>9868.5</v>
      </c>
      <c r="V321" s="42">
        <f t="shared" si="32"/>
        <v>9076.3643999999986</v>
      </c>
      <c r="W321" s="44">
        <f t="shared" si="33"/>
        <v>0.47909365875429538</v>
      </c>
    </row>
    <row r="322" spans="1:23" x14ac:dyDescent="0.3">
      <c r="A322" s="45" t="s">
        <v>744</v>
      </c>
      <c r="B322" s="46">
        <v>45293</v>
      </c>
      <c r="C322" s="47">
        <v>45292</v>
      </c>
      <c r="D322" s="48">
        <f>DATEDIF(C322,B322, "MD")</f>
        <v>1</v>
      </c>
      <c r="E322" s="48" t="str">
        <f>TEXT(Data!B322,"MMM-YYYY")</f>
        <v>Jan-2024</v>
      </c>
      <c r="F322" s="48" t="str">
        <f t="shared" ref="F322:F385" si="37">"Q"&amp;ROUNDUP(MONTH(B322)/3,0)&amp;"-"&amp;YEAR(B322)</f>
        <v>Q1-2024</v>
      </c>
      <c r="G322" s="38" t="s">
        <v>52</v>
      </c>
      <c r="H322" s="38" t="s">
        <v>122</v>
      </c>
      <c r="I322" s="38" t="s">
        <v>123</v>
      </c>
      <c r="J322" s="38" t="s">
        <v>27</v>
      </c>
      <c r="K322" s="38" t="s">
        <v>40</v>
      </c>
      <c r="L322" s="38" t="s">
        <v>56</v>
      </c>
      <c r="M322" s="38" t="s">
        <v>35</v>
      </c>
      <c r="N322" s="38" t="s">
        <v>745</v>
      </c>
      <c r="O322" s="48">
        <v>404.77</v>
      </c>
      <c r="P322" s="49" t="str">
        <f t="shared" ref="P322:P385" si="38">IF(Q322&lt;50, "Low", IF(Q322&lt;200, "Medium", "High"))</f>
        <v>High</v>
      </c>
      <c r="Q322" s="48">
        <v>433.88</v>
      </c>
      <c r="R322" s="48">
        <v>0.215</v>
      </c>
      <c r="S322" s="48">
        <v>22</v>
      </c>
      <c r="T322" s="48">
        <f t="shared" si="35"/>
        <v>2540.7624000000005</v>
      </c>
      <c r="U322" s="38">
        <f t="shared" si="36"/>
        <v>8904.9399999999987</v>
      </c>
      <c r="V322" s="48">
        <f t="shared" ref="V322:V385" si="39">(T322-U322)</f>
        <v>-6364.1775999999982</v>
      </c>
      <c r="W322" s="50">
        <f t="shared" ref="W322:W385" si="40">IF(T322=0, 0, V322/T322)</f>
        <v>-2.504829888855407</v>
      </c>
    </row>
    <row r="323" spans="1:23" x14ac:dyDescent="0.3">
      <c r="A323" s="39" t="s">
        <v>746</v>
      </c>
      <c r="B323" s="40">
        <v>44985</v>
      </c>
      <c r="C323" s="41">
        <v>44984</v>
      </c>
      <c r="D323" s="42">
        <f>DATEDIF(C323,B323, "MD")</f>
        <v>1</v>
      </c>
      <c r="E323" s="42" t="str">
        <f>TEXT(Data!B323,"MMM-YYYY")</f>
        <v>Feb-2023</v>
      </c>
      <c r="F323" s="42" t="str">
        <f t="shared" si="37"/>
        <v>Q1-2023</v>
      </c>
      <c r="G323" s="37" t="s">
        <v>78</v>
      </c>
      <c r="H323" s="37" t="s">
        <v>90</v>
      </c>
      <c r="I323" s="37" t="s">
        <v>91</v>
      </c>
      <c r="J323" s="37" t="s">
        <v>19</v>
      </c>
      <c r="K323" s="37" t="s">
        <v>20</v>
      </c>
      <c r="L323" s="37" t="s">
        <v>95</v>
      </c>
      <c r="M323" s="37" t="s">
        <v>35</v>
      </c>
      <c r="N323" s="37" t="s">
        <v>747</v>
      </c>
      <c r="O323" s="42">
        <v>1299.81</v>
      </c>
      <c r="P323" s="43" t="str">
        <f t="shared" si="38"/>
        <v>High</v>
      </c>
      <c r="Q323" s="42">
        <v>3149.13</v>
      </c>
      <c r="R323" s="42">
        <v>0.10299999999999999</v>
      </c>
      <c r="S323" s="42">
        <v>14</v>
      </c>
      <c r="T323" s="42">
        <f t="shared" si="35"/>
        <v>24902.262840000003</v>
      </c>
      <c r="U323" s="37">
        <f t="shared" si="36"/>
        <v>18197.34</v>
      </c>
      <c r="V323" s="42">
        <f t="shared" si="39"/>
        <v>6704.9228400000029</v>
      </c>
      <c r="W323" s="44">
        <f t="shared" si="40"/>
        <v>0.26924954101881943</v>
      </c>
    </row>
    <row r="324" spans="1:23" x14ac:dyDescent="0.3">
      <c r="A324" s="45" t="s">
        <v>748</v>
      </c>
      <c r="B324" s="46">
        <v>45340</v>
      </c>
      <c r="C324" s="47">
        <v>45362</v>
      </c>
      <c r="D324" s="48">
        <f t="shared" ref="D324:D387" si="41">DATEDIF(B324,C324, "MD")</f>
        <v>22</v>
      </c>
      <c r="E324" s="48" t="str">
        <f>TEXT(Data!B324,"MMM-YYYY")</f>
        <v>Feb-2024</v>
      </c>
      <c r="F324" s="48" t="str">
        <f t="shared" si="37"/>
        <v>Q1-2024</v>
      </c>
      <c r="G324" s="38" t="s">
        <v>52</v>
      </c>
      <c r="H324" s="38" t="s">
        <v>73</v>
      </c>
      <c r="I324" s="38" t="s">
        <v>74</v>
      </c>
      <c r="J324" s="38" t="s">
        <v>48</v>
      </c>
      <c r="K324" s="38" t="s">
        <v>28</v>
      </c>
      <c r="L324" s="38" t="s">
        <v>75</v>
      </c>
      <c r="M324" s="38" t="s">
        <v>22</v>
      </c>
      <c r="N324" s="38" t="s">
        <v>749</v>
      </c>
      <c r="O324" s="48">
        <v>80.48</v>
      </c>
      <c r="P324" s="49" t="str">
        <f t="shared" si="38"/>
        <v>Medium</v>
      </c>
      <c r="Q324" s="48">
        <v>65.650000000000006</v>
      </c>
      <c r="R324" s="48">
        <v>0.17599999999999999</v>
      </c>
      <c r="S324" s="48">
        <v>13</v>
      </c>
      <c r="T324" s="48">
        <f t="shared" si="35"/>
        <v>24630.101600000002</v>
      </c>
      <c r="U324" s="38">
        <f t="shared" si="36"/>
        <v>1046.24</v>
      </c>
      <c r="V324" s="48">
        <f t="shared" si="39"/>
        <v>23583.8616</v>
      </c>
      <c r="W324" s="50">
        <f t="shared" si="40"/>
        <v>0.95752189670220433</v>
      </c>
    </row>
    <row r="325" spans="1:23" x14ac:dyDescent="0.3">
      <c r="A325" s="39" t="s">
        <v>750</v>
      </c>
      <c r="B325" s="40">
        <v>45544</v>
      </c>
      <c r="C325" s="41">
        <v>45573</v>
      </c>
      <c r="D325" s="42">
        <f t="shared" si="41"/>
        <v>29</v>
      </c>
      <c r="E325" s="42" t="str">
        <f>TEXT(Data!B325,"MMM-YYYY")</f>
        <v>Sept-2024</v>
      </c>
      <c r="F325" s="42" t="str">
        <f t="shared" si="37"/>
        <v>Q3-2024</v>
      </c>
      <c r="G325" s="37" t="s">
        <v>52</v>
      </c>
      <c r="H325" s="37" t="s">
        <v>73</v>
      </c>
      <c r="I325" s="37" t="s">
        <v>74</v>
      </c>
      <c r="J325" s="37" t="s">
        <v>27</v>
      </c>
      <c r="K325" s="37" t="s">
        <v>98</v>
      </c>
      <c r="L325" s="37" t="s">
        <v>29</v>
      </c>
      <c r="M325" s="37" t="s">
        <v>22</v>
      </c>
      <c r="N325" s="37" t="s">
        <v>751</v>
      </c>
      <c r="O325" s="42">
        <v>1010.33</v>
      </c>
      <c r="P325" s="43" t="str">
        <f t="shared" si="38"/>
        <v>High</v>
      </c>
      <c r="Q325" s="42">
        <v>2492.14</v>
      </c>
      <c r="R325" s="42">
        <v>5.0999999999999997E-2</v>
      </c>
      <c r="S325" s="42">
        <v>11</v>
      </c>
      <c r="T325" s="42">
        <f t="shared" si="35"/>
        <v>4829.1857899999995</v>
      </c>
      <c r="U325" s="37">
        <f t="shared" si="36"/>
        <v>11113.630000000001</v>
      </c>
      <c r="V325" s="42">
        <f t="shared" si="39"/>
        <v>-6284.4442100000015</v>
      </c>
      <c r="W325" s="44">
        <f t="shared" si="40"/>
        <v>-1.3013465381707756</v>
      </c>
    </row>
    <row r="326" spans="1:23" x14ac:dyDescent="0.3">
      <c r="A326" s="45" t="s">
        <v>752</v>
      </c>
      <c r="B326" s="46">
        <v>45053</v>
      </c>
      <c r="C326" s="47">
        <v>45075</v>
      </c>
      <c r="D326" s="48">
        <f t="shared" si="41"/>
        <v>22</v>
      </c>
      <c r="E326" s="48" t="str">
        <f>TEXT(Data!B326,"MMM-YYYY")</f>
        <v>May-2023</v>
      </c>
      <c r="F326" s="48" t="str">
        <f t="shared" si="37"/>
        <v>Q2-2023</v>
      </c>
      <c r="G326" s="38" t="s">
        <v>16</v>
      </c>
      <c r="H326" s="38" t="s">
        <v>148</v>
      </c>
      <c r="I326" s="38" t="s">
        <v>172</v>
      </c>
      <c r="J326" s="38" t="s">
        <v>27</v>
      </c>
      <c r="K326" s="38" t="s">
        <v>55</v>
      </c>
      <c r="L326" s="38" t="s">
        <v>95</v>
      </c>
      <c r="M326" s="38" t="s">
        <v>81</v>
      </c>
      <c r="N326" s="38" t="s">
        <v>753</v>
      </c>
      <c r="O326" s="48">
        <v>653.86</v>
      </c>
      <c r="P326" s="49" t="str">
        <f t="shared" si="38"/>
        <v>High</v>
      </c>
      <c r="Q326" s="48">
        <v>931.84</v>
      </c>
      <c r="R326" s="48">
        <v>0.121</v>
      </c>
      <c r="S326" s="48">
        <v>12</v>
      </c>
      <c r="T326" s="48">
        <f t="shared" si="35"/>
        <v>11533.077720000001</v>
      </c>
      <c r="U326" s="38">
        <f t="shared" si="36"/>
        <v>7846.32</v>
      </c>
      <c r="V326" s="48">
        <f t="shared" si="39"/>
        <v>3686.7577200000014</v>
      </c>
      <c r="W326" s="50">
        <f t="shared" si="40"/>
        <v>0.3196681587956906</v>
      </c>
    </row>
    <row r="327" spans="1:23" x14ac:dyDescent="0.3">
      <c r="A327" s="39" t="s">
        <v>754</v>
      </c>
      <c r="B327" s="40">
        <v>45303</v>
      </c>
      <c r="C327" s="41">
        <v>45320</v>
      </c>
      <c r="D327" s="42">
        <f t="shared" si="41"/>
        <v>17</v>
      </c>
      <c r="E327" s="42" t="str">
        <f>TEXT(Data!B327,"MMM-YYYY")</f>
        <v>Jan-2024</v>
      </c>
      <c r="F327" s="42" t="str">
        <f t="shared" si="37"/>
        <v>Q1-2024</v>
      </c>
      <c r="G327" s="37" t="s">
        <v>45</v>
      </c>
      <c r="H327" s="37" t="s">
        <v>60</v>
      </c>
      <c r="I327" s="37" t="s">
        <v>281</v>
      </c>
      <c r="J327" s="37" t="s">
        <v>62</v>
      </c>
      <c r="K327" s="37" t="s">
        <v>98</v>
      </c>
      <c r="L327" s="37" t="s">
        <v>56</v>
      </c>
      <c r="M327" s="37" t="s">
        <v>22</v>
      </c>
      <c r="N327" s="37" t="s">
        <v>755</v>
      </c>
      <c r="O327" s="42">
        <v>310.02</v>
      </c>
      <c r="P327" s="43" t="str">
        <f t="shared" si="38"/>
        <v>High</v>
      </c>
      <c r="Q327" s="42">
        <v>619.51</v>
      </c>
      <c r="R327" s="42">
        <v>4.2000000000000003E-2</v>
      </c>
      <c r="S327" s="42">
        <v>4</v>
      </c>
      <c r="T327" s="42">
        <f t="shared" si="35"/>
        <v>5572.5710399999998</v>
      </c>
      <c r="U327" s="37">
        <f t="shared" si="36"/>
        <v>1240.08</v>
      </c>
      <c r="V327" s="42">
        <f t="shared" si="39"/>
        <v>4332.4910399999999</v>
      </c>
      <c r="W327" s="44">
        <f t="shared" si="40"/>
        <v>0.77746717070115634</v>
      </c>
    </row>
    <row r="328" spans="1:23" x14ac:dyDescent="0.3">
      <c r="A328" s="45" t="s">
        <v>756</v>
      </c>
      <c r="B328" s="46">
        <v>45087</v>
      </c>
      <c r="C328" s="47">
        <v>45095</v>
      </c>
      <c r="D328" s="48">
        <f t="shared" si="41"/>
        <v>8</v>
      </c>
      <c r="E328" s="48" t="str">
        <f>TEXT(Data!B328,"MMM-YYYY")</f>
        <v>Jun-2023</v>
      </c>
      <c r="F328" s="48" t="str">
        <f t="shared" si="37"/>
        <v>Q2-2023</v>
      </c>
      <c r="G328" s="38" t="s">
        <v>16</v>
      </c>
      <c r="H328" s="38" t="s">
        <v>17</v>
      </c>
      <c r="I328" s="38" t="s">
        <v>135</v>
      </c>
      <c r="J328" s="38" t="s">
        <v>105</v>
      </c>
      <c r="K328" s="38" t="s">
        <v>98</v>
      </c>
      <c r="L328" s="38" t="s">
        <v>92</v>
      </c>
      <c r="M328" s="38" t="s">
        <v>42</v>
      </c>
      <c r="N328" s="38" t="s">
        <v>757</v>
      </c>
      <c r="O328" s="48">
        <v>894.23</v>
      </c>
      <c r="P328" s="49" t="str">
        <f t="shared" si="38"/>
        <v>High</v>
      </c>
      <c r="Q328" s="48">
        <v>1421.55</v>
      </c>
      <c r="R328" s="48">
        <v>0.109</v>
      </c>
      <c r="S328" s="48">
        <v>3</v>
      </c>
      <c r="T328" s="48">
        <f t="shared" si="35"/>
        <v>5667.829200000001</v>
      </c>
      <c r="U328" s="38">
        <f t="shared" si="36"/>
        <v>2682.69</v>
      </c>
      <c r="V328" s="48">
        <f t="shared" si="39"/>
        <v>2985.139200000001</v>
      </c>
      <c r="W328" s="50">
        <f t="shared" si="40"/>
        <v>0.52668122038681064</v>
      </c>
    </row>
    <row r="329" spans="1:23" x14ac:dyDescent="0.3">
      <c r="A329" s="39" t="s">
        <v>758</v>
      </c>
      <c r="B329" s="40">
        <v>45796</v>
      </c>
      <c r="C329" s="41">
        <v>45794</v>
      </c>
      <c r="D329" s="42">
        <f>DATEDIF(C329,B329, "MD")</f>
        <v>2</v>
      </c>
      <c r="E329" s="42" t="str">
        <f>TEXT(Data!B329,"MMM-YYYY")</f>
        <v>May-2025</v>
      </c>
      <c r="F329" s="42" t="str">
        <f t="shared" si="37"/>
        <v>Q2-2025</v>
      </c>
      <c r="G329" s="37" t="s">
        <v>52</v>
      </c>
      <c r="H329" s="37" t="s">
        <v>73</v>
      </c>
      <c r="I329" s="37" t="s">
        <v>74</v>
      </c>
      <c r="J329" s="37" t="s">
        <v>62</v>
      </c>
      <c r="K329" s="37" t="s">
        <v>55</v>
      </c>
      <c r="L329" s="37" t="s">
        <v>49</v>
      </c>
      <c r="M329" s="37" t="s">
        <v>64</v>
      </c>
      <c r="N329" s="37" t="s">
        <v>759</v>
      </c>
      <c r="O329" s="42">
        <v>383.77</v>
      </c>
      <c r="P329" s="43" t="str">
        <f t="shared" si="38"/>
        <v>High</v>
      </c>
      <c r="Q329" s="42">
        <v>952.56</v>
      </c>
      <c r="R329" s="42">
        <v>0.34599999999999997</v>
      </c>
      <c r="S329" s="42">
        <v>10</v>
      </c>
      <c r="T329" s="42">
        <f t="shared" si="35"/>
        <v>841.56720000000018</v>
      </c>
      <c r="U329" s="37">
        <f t="shared" si="36"/>
        <v>3837.7</v>
      </c>
      <c r="V329" s="42">
        <f t="shared" si="39"/>
        <v>-2996.1327999999994</v>
      </c>
      <c r="W329" s="44">
        <f t="shared" si="40"/>
        <v>-3.5601824785946965</v>
      </c>
    </row>
    <row r="330" spans="1:23" x14ac:dyDescent="0.3">
      <c r="A330" s="45" t="s">
        <v>760</v>
      </c>
      <c r="B330" s="46">
        <v>45221</v>
      </c>
      <c r="C330" s="47">
        <v>45246</v>
      </c>
      <c r="D330" s="48">
        <f t="shared" si="41"/>
        <v>25</v>
      </c>
      <c r="E330" s="48" t="str">
        <f>TEXT(Data!B330,"MMM-YYYY")</f>
        <v>Oct-2023</v>
      </c>
      <c r="F330" s="48" t="str">
        <f t="shared" si="37"/>
        <v>Q4-2023</v>
      </c>
      <c r="G330" s="38" t="s">
        <v>52</v>
      </c>
      <c r="H330" s="38" t="s">
        <v>53</v>
      </c>
      <c r="I330" s="38" t="s">
        <v>54</v>
      </c>
      <c r="J330" s="38" t="s">
        <v>62</v>
      </c>
      <c r="K330" s="38" t="s">
        <v>40</v>
      </c>
      <c r="L330" s="38" t="s">
        <v>34</v>
      </c>
      <c r="M330" s="38" t="s">
        <v>57</v>
      </c>
      <c r="N330" s="38" t="s">
        <v>761</v>
      </c>
      <c r="O330" s="48">
        <v>1373.31</v>
      </c>
      <c r="P330" s="49" t="str">
        <f t="shared" si="38"/>
        <v>High</v>
      </c>
      <c r="Q330" s="48">
        <v>3154.14</v>
      </c>
      <c r="R330" s="48">
        <v>0.2</v>
      </c>
      <c r="S330" s="48">
        <v>11</v>
      </c>
      <c r="T330" s="48">
        <f t="shared" si="35"/>
        <v>11668.448000000002</v>
      </c>
      <c r="U330" s="38">
        <f t="shared" si="36"/>
        <v>15106.41</v>
      </c>
      <c r="V330" s="48">
        <f t="shared" si="39"/>
        <v>-3437.9619999999977</v>
      </c>
      <c r="W330" s="50">
        <f t="shared" si="40"/>
        <v>-0.29463747021026249</v>
      </c>
    </row>
    <row r="331" spans="1:23" x14ac:dyDescent="0.3">
      <c r="A331" s="39" t="s">
        <v>762</v>
      </c>
      <c r="B331" s="40">
        <v>45668</v>
      </c>
      <c r="C331" s="41">
        <v>45680</v>
      </c>
      <c r="D331" s="42">
        <f t="shared" si="41"/>
        <v>12</v>
      </c>
      <c r="E331" s="42" t="str">
        <f>TEXT(Data!B331,"MMM-YYYY")</f>
        <v>Jan-2025</v>
      </c>
      <c r="F331" s="42" t="str">
        <f t="shared" si="37"/>
        <v>Q1-2025</v>
      </c>
      <c r="G331" s="37" t="s">
        <v>52</v>
      </c>
      <c r="H331" s="37" t="s">
        <v>122</v>
      </c>
      <c r="I331" s="37" t="s">
        <v>326</v>
      </c>
      <c r="J331" s="37" t="s">
        <v>48</v>
      </c>
      <c r="K331" s="37" t="s">
        <v>55</v>
      </c>
      <c r="L331" s="37" t="s">
        <v>92</v>
      </c>
      <c r="M331" s="37" t="s">
        <v>42</v>
      </c>
      <c r="N331" s="37" t="s">
        <v>763</v>
      </c>
      <c r="O331" s="42">
        <v>100.69</v>
      </c>
      <c r="P331" s="43" t="str">
        <f t="shared" si="38"/>
        <v>High</v>
      </c>
      <c r="Q331" s="42">
        <v>226.14</v>
      </c>
      <c r="R331" s="42">
        <v>6.5000000000000002E-2</v>
      </c>
      <c r="S331" s="42">
        <v>12</v>
      </c>
      <c r="T331" s="42">
        <f t="shared" si="35"/>
        <v>27369.282600000002</v>
      </c>
      <c r="U331" s="37">
        <f t="shared" si="36"/>
        <v>1208.28</v>
      </c>
      <c r="V331" s="42">
        <f t="shared" si="39"/>
        <v>26161.002600000003</v>
      </c>
      <c r="W331" s="44">
        <f t="shared" si="40"/>
        <v>0.95585269743241286</v>
      </c>
    </row>
    <row r="332" spans="1:23" x14ac:dyDescent="0.3">
      <c r="A332" s="45" t="s">
        <v>764</v>
      </c>
      <c r="B332" s="46">
        <v>45914</v>
      </c>
      <c r="C332" s="47">
        <v>45926</v>
      </c>
      <c r="D332" s="48">
        <f t="shared" si="41"/>
        <v>12</v>
      </c>
      <c r="E332" s="48" t="str">
        <f>TEXT(Data!B332,"MMM-YYYY")</f>
        <v>Sept-2025</v>
      </c>
      <c r="F332" s="48" t="str">
        <f t="shared" si="37"/>
        <v>Q3-2025</v>
      </c>
      <c r="G332" s="38" t="s">
        <v>78</v>
      </c>
      <c r="H332" s="38" t="s">
        <v>108</v>
      </c>
      <c r="I332" s="38" t="s">
        <v>152</v>
      </c>
      <c r="J332" s="38" t="s">
        <v>62</v>
      </c>
      <c r="K332" s="38" t="s">
        <v>98</v>
      </c>
      <c r="L332" s="38" t="s">
        <v>126</v>
      </c>
      <c r="M332" s="38" t="s">
        <v>35</v>
      </c>
      <c r="N332" s="38" t="s">
        <v>765</v>
      </c>
      <c r="O332" s="48">
        <v>425.15</v>
      </c>
      <c r="P332" s="49" t="str">
        <f t="shared" si="38"/>
        <v>High</v>
      </c>
      <c r="Q332" s="48">
        <v>885.92</v>
      </c>
      <c r="R332" s="48">
        <v>0.23899999999999999</v>
      </c>
      <c r="S332" s="48">
        <v>13</v>
      </c>
      <c r="T332" s="48">
        <f t="shared" si="35"/>
        <v>21779.835220000001</v>
      </c>
      <c r="U332" s="38">
        <f t="shared" si="36"/>
        <v>5526.95</v>
      </c>
      <c r="V332" s="48">
        <f t="shared" si="39"/>
        <v>16252.88522</v>
      </c>
      <c r="W332" s="50">
        <f t="shared" si="40"/>
        <v>0.74623545384196899</v>
      </c>
    </row>
    <row r="333" spans="1:23" x14ac:dyDescent="0.3">
      <c r="A333" s="39" t="s">
        <v>766</v>
      </c>
      <c r="B333" s="40">
        <v>45168</v>
      </c>
      <c r="C333" s="41">
        <v>45172</v>
      </c>
      <c r="D333" s="42">
        <f t="shared" si="41"/>
        <v>4</v>
      </c>
      <c r="E333" s="42" t="str">
        <f>TEXT(Data!B333,"MMM-YYYY")</f>
        <v>Aug-2023</v>
      </c>
      <c r="F333" s="42" t="str">
        <f t="shared" si="37"/>
        <v>Q3-2023</v>
      </c>
      <c r="G333" s="37" t="s">
        <v>45</v>
      </c>
      <c r="H333" s="37" t="s">
        <v>60</v>
      </c>
      <c r="I333" s="37" t="s">
        <v>141</v>
      </c>
      <c r="J333" s="37" t="s">
        <v>62</v>
      </c>
      <c r="K333" s="37" t="s">
        <v>40</v>
      </c>
      <c r="L333" s="37" t="s">
        <v>49</v>
      </c>
      <c r="M333" s="37" t="s">
        <v>81</v>
      </c>
      <c r="N333" s="37" t="s">
        <v>767</v>
      </c>
      <c r="O333" s="42">
        <v>1082.25</v>
      </c>
      <c r="P333" s="43" t="str">
        <f t="shared" si="38"/>
        <v>High</v>
      </c>
      <c r="Q333" s="42">
        <v>2433.34</v>
      </c>
      <c r="R333" s="42">
        <v>0.27</v>
      </c>
      <c r="S333" s="42">
        <v>4</v>
      </c>
      <c r="T333" s="42">
        <f t="shared" si="35"/>
        <v>2377.9312</v>
      </c>
      <c r="U333" s="37">
        <f t="shared" si="36"/>
        <v>4329</v>
      </c>
      <c r="V333" s="42">
        <f t="shared" si="39"/>
        <v>-1951.0688</v>
      </c>
      <c r="W333" s="44">
        <f t="shared" si="40"/>
        <v>-0.82049001249489473</v>
      </c>
    </row>
    <row r="334" spans="1:23" x14ac:dyDescent="0.3">
      <c r="A334" s="45" t="s">
        <v>768</v>
      </c>
      <c r="B334" s="46">
        <v>45245</v>
      </c>
      <c r="C334" s="47">
        <v>45266</v>
      </c>
      <c r="D334" s="48">
        <f t="shared" si="41"/>
        <v>21</v>
      </c>
      <c r="E334" s="48" t="str">
        <f>TEXT(Data!B334,"MMM-YYYY")</f>
        <v>Nov-2023</v>
      </c>
      <c r="F334" s="48" t="str">
        <f t="shared" si="37"/>
        <v>Q4-2023</v>
      </c>
      <c r="G334" s="38" t="s">
        <v>78</v>
      </c>
      <c r="H334" s="38" t="s">
        <v>108</v>
      </c>
      <c r="I334" s="38" t="s">
        <v>228</v>
      </c>
      <c r="J334" s="38" t="s">
        <v>27</v>
      </c>
      <c r="K334" s="38" t="s">
        <v>98</v>
      </c>
      <c r="L334" s="38" t="s">
        <v>92</v>
      </c>
      <c r="M334" s="38" t="s">
        <v>81</v>
      </c>
      <c r="N334" s="38" t="s">
        <v>769</v>
      </c>
      <c r="O334" s="48">
        <v>1184.99</v>
      </c>
      <c r="P334" s="49" t="str">
        <f t="shared" si="38"/>
        <v>High</v>
      </c>
      <c r="Q334" s="48">
        <v>1154.3399999999999</v>
      </c>
      <c r="R334" s="48">
        <v>2.8000000000000001E-2</v>
      </c>
      <c r="S334" s="48">
        <v>5</v>
      </c>
      <c r="T334" s="48">
        <f t="shared" si="35"/>
        <v>6720.9426000000003</v>
      </c>
      <c r="U334" s="38">
        <f t="shared" si="36"/>
        <v>5924.95</v>
      </c>
      <c r="V334" s="48">
        <f t="shared" si="39"/>
        <v>795.99260000000049</v>
      </c>
      <c r="W334" s="50">
        <f t="shared" si="40"/>
        <v>0.11843466718492737</v>
      </c>
    </row>
    <row r="335" spans="1:23" x14ac:dyDescent="0.3">
      <c r="A335" s="39" t="s">
        <v>770</v>
      </c>
      <c r="B335" s="40">
        <v>45774</v>
      </c>
      <c r="C335" s="41">
        <v>45804</v>
      </c>
      <c r="D335" s="42">
        <f t="shared" si="41"/>
        <v>0</v>
      </c>
      <c r="E335" s="42" t="str">
        <f>TEXT(Data!B335,"MMM-YYYY")</f>
        <v>Apr-2025</v>
      </c>
      <c r="F335" s="42" t="str">
        <f t="shared" si="37"/>
        <v>Q2-2025</v>
      </c>
      <c r="G335" s="37" t="s">
        <v>45</v>
      </c>
      <c r="H335" s="37" t="s">
        <v>60</v>
      </c>
      <c r="I335" s="37" t="s">
        <v>1364</v>
      </c>
      <c r="J335" s="37" t="s">
        <v>105</v>
      </c>
      <c r="K335" s="37" t="s">
        <v>40</v>
      </c>
      <c r="L335" s="37" t="s">
        <v>92</v>
      </c>
      <c r="M335" s="37" t="s">
        <v>42</v>
      </c>
      <c r="N335" s="37" t="s">
        <v>771</v>
      </c>
      <c r="O335" s="42">
        <v>481.32</v>
      </c>
      <c r="P335" s="43" t="str">
        <f t="shared" si="38"/>
        <v>High</v>
      </c>
      <c r="Q335" s="42">
        <v>1135.99</v>
      </c>
      <c r="R335" s="42">
        <v>0.14499999999999999</v>
      </c>
      <c r="S335" s="42">
        <v>5</v>
      </c>
      <c r="T335" s="42">
        <f t="shared" si="35"/>
        <v>7038.4882499999994</v>
      </c>
      <c r="U335" s="37">
        <f t="shared" si="36"/>
        <v>2406.6</v>
      </c>
      <c r="V335" s="42">
        <f t="shared" si="39"/>
        <v>4631.88825</v>
      </c>
      <c r="W335" s="44">
        <f t="shared" si="40"/>
        <v>0.65807998613906904</v>
      </c>
    </row>
    <row r="336" spans="1:23" x14ac:dyDescent="0.3">
      <c r="A336" s="45" t="s">
        <v>772</v>
      </c>
      <c r="B336" s="46">
        <v>45391</v>
      </c>
      <c r="C336" s="47">
        <v>45400</v>
      </c>
      <c r="D336" s="48">
        <f t="shared" si="41"/>
        <v>9</v>
      </c>
      <c r="E336" s="48" t="str">
        <f>TEXT(Data!B336,"MMM-YYYY")</f>
        <v>Apr-2024</v>
      </c>
      <c r="F336" s="48" t="str">
        <f t="shared" si="37"/>
        <v>Q2-2024</v>
      </c>
      <c r="G336" s="38" t="s">
        <v>78</v>
      </c>
      <c r="H336" s="38" t="s">
        <v>90</v>
      </c>
      <c r="I336" s="38" t="s">
        <v>138</v>
      </c>
      <c r="J336" s="38" t="s">
        <v>48</v>
      </c>
      <c r="K336" s="38" t="s">
        <v>28</v>
      </c>
      <c r="L336" s="38" t="s">
        <v>63</v>
      </c>
      <c r="M336" s="38" t="s">
        <v>30</v>
      </c>
      <c r="N336" s="38" t="s">
        <v>773</v>
      </c>
      <c r="O336" s="48">
        <v>1288.8499999999999</v>
      </c>
      <c r="P336" s="49" t="str">
        <f t="shared" si="38"/>
        <v>High</v>
      </c>
      <c r="Q336" s="48">
        <v>2751.84</v>
      </c>
      <c r="R336" s="48">
        <v>0.158</v>
      </c>
      <c r="S336" s="48">
        <v>7</v>
      </c>
      <c r="T336" s="48">
        <f t="shared" si="35"/>
        <v>2362.5509599999996</v>
      </c>
      <c r="U336" s="38">
        <f t="shared" si="36"/>
        <v>9021.9499999999989</v>
      </c>
      <c r="V336" s="48">
        <f t="shared" si="39"/>
        <v>-6659.3990399999993</v>
      </c>
      <c r="W336" s="50">
        <f t="shared" si="40"/>
        <v>-2.8187324433416667</v>
      </c>
    </row>
    <row r="337" spans="1:23" x14ac:dyDescent="0.3">
      <c r="A337" s="39" t="s">
        <v>774</v>
      </c>
      <c r="B337" s="40">
        <v>45484</v>
      </c>
      <c r="C337" s="41">
        <v>45504</v>
      </c>
      <c r="D337" s="42">
        <f t="shared" si="41"/>
        <v>20</v>
      </c>
      <c r="E337" s="42" t="str">
        <f>TEXT(Data!B337,"MMM-YYYY")</f>
        <v>Jul-2024</v>
      </c>
      <c r="F337" s="42" t="str">
        <f t="shared" si="37"/>
        <v>Q3-2024</v>
      </c>
      <c r="G337" s="37" t="s">
        <v>45</v>
      </c>
      <c r="H337" s="37" t="s">
        <v>116</v>
      </c>
      <c r="I337" s="37" t="s">
        <v>117</v>
      </c>
      <c r="J337" s="37" t="s">
        <v>48</v>
      </c>
      <c r="K337" s="37" t="s">
        <v>28</v>
      </c>
      <c r="L337" s="37" t="s">
        <v>41</v>
      </c>
      <c r="M337" s="37" t="s">
        <v>42</v>
      </c>
      <c r="N337" s="37" t="s">
        <v>775</v>
      </c>
      <c r="O337" s="42">
        <v>647.26</v>
      </c>
      <c r="P337" s="43" t="str">
        <f t="shared" si="38"/>
        <v>High</v>
      </c>
      <c r="Q337" s="42">
        <v>1374.72</v>
      </c>
      <c r="R337" s="42">
        <v>6.6000000000000003E-2</v>
      </c>
      <c r="S337" s="42">
        <v>22</v>
      </c>
      <c r="T337" s="42">
        <f t="shared" si="35"/>
        <v>36586.946879999996</v>
      </c>
      <c r="U337" s="37">
        <f t="shared" si="36"/>
        <v>14239.72</v>
      </c>
      <c r="V337" s="42">
        <f t="shared" si="39"/>
        <v>22347.226879999995</v>
      </c>
      <c r="W337" s="44">
        <f t="shared" si="40"/>
        <v>0.6107978059305067</v>
      </c>
    </row>
    <row r="338" spans="1:23" x14ac:dyDescent="0.3">
      <c r="A338" s="45" t="s">
        <v>776</v>
      </c>
      <c r="B338" s="46">
        <v>45340</v>
      </c>
      <c r="C338" s="47">
        <v>45354</v>
      </c>
      <c r="D338" s="48">
        <f t="shared" si="41"/>
        <v>14</v>
      </c>
      <c r="E338" s="48" t="str">
        <f>TEXT(Data!B338,"MMM-YYYY")</f>
        <v>Feb-2024</v>
      </c>
      <c r="F338" s="48" t="str">
        <f t="shared" si="37"/>
        <v>Q1-2024</v>
      </c>
      <c r="G338" s="38" t="s">
        <v>52</v>
      </c>
      <c r="H338" s="38" t="s">
        <v>73</v>
      </c>
      <c r="I338" s="38" t="s">
        <v>1364</v>
      </c>
      <c r="J338" s="38" t="s">
        <v>105</v>
      </c>
      <c r="K338" s="38" t="s">
        <v>55</v>
      </c>
      <c r="L338" s="38" t="s">
        <v>75</v>
      </c>
      <c r="M338" s="38" t="s">
        <v>30</v>
      </c>
      <c r="N338" s="38" t="s">
        <v>777</v>
      </c>
      <c r="O338" s="48">
        <v>624.23</v>
      </c>
      <c r="P338" s="49" t="str">
        <f t="shared" si="38"/>
        <v>High</v>
      </c>
      <c r="Q338" s="48">
        <v>1318.37</v>
      </c>
      <c r="R338" s="48">
        <v>0.21</v>
      </c>
      <c r="S338" s="48">
        <v>37</v>
      </c>
      <c r="T338" s="48">
        <f t="shared" si="35"/>
        <v>32691.708900000005</v>
      </c>
      <c r="U338" s="38">
        <f t="shared" si="36"/>
        <v>23096.510000000002</v>
      </c>
      <c r="V338" s="48">
        <f t="shared" si="39"/>
        <v>9595.1989000000031</v>
      </c>
      <c r="W338" s="50">
        <f t="shared" si="40"/>
        <v>0.29350557749521627</v>
      </c>
    </row>
    <row r="339" spans="1:23" x14ac:dyDescent="0.3">
      <c r="A339" s="39" t="s">
        <v>778</v>
      </c>
      <c r="B339" s="40">
        <v>45132</v>
      </c>
      <c r="C339" s="41">
        <v>45148</v>
      </c>
      <c r="D339" s="42">
        <f t="shared" si="41"/>
        <v>16</v>
      </c>
      <c r="E339" s="42" t="str">
        <f>TEXT(Data!B339,"MMM-YYYY")</f>
        <v>Jul-2023</v>
      </c>
      <c r="F339" s="42" t="str">
        <f t="shared" si="37"/>
        <v>Q3-2023</v>
      </c>
      <c r="G339" s="37" t="s">
        <v>16</v>
      </c>
      <c r="H339" s="37" t="s">
        <v>25</v>
      </c>
      <c r="I339" s="37" t="s">
        <v>26</v>
      </c>
      <c r="J339" s="37" t="s">
        <v>19</v>
      </c>
      <c r="K339" s="37" t="s">
        <v>55</v>
      </c>
      <c r="L339" s="37" t="s">
        <v>34</v>
      </c>
      <c r="M339" s="37" t="s">
        <v>81</v>
      </c>
      <c r="N339" s="37" t="s">
        <v>779</v>
      </c>
      <c r="O339" s="42">
        <v>506.83</v>
      </c>
      <c r="P339" s="43" t="str">
        <f t="shared" si="38"/>
        <v>High</v>
      </c>
      <c r="Q339" s="42">
        <v>441.74</v>
      </c>
      <c r="R339" s="42">
        <v>0.24</v>
      </c>
      <c r="S339" s="42">
        <v>9</v>
      </c>
      <c r="T339" s="42">
        <f t="shared" si="35"/>
        <v>5274.4607999999998</v>
      </c>
      <c r="U339" s="37">
        <f t="shared" si="36"/>
        <v>4561.47</v>
      </c>
      <c r="V339" s="42">
        <f t="shared" si="39"/>
        <v>712.99079999999958</v>
      </c>
      <c r="W339" s="44">
        <f t="shared" si="40"/>
        <v>0.1351779503224291</v>
      </c>
    </row>
    <row r="340" spans="1:23" x14ac:dyDescent="0.3">
      <c r="A340" s="45" t="s">
        <v>780</v>
      </c>
      <c r="B340" s="46">
        <v>45121</v>
      </c>
      <c r="C340" s="47">
        <v>45128</v>
      </c>
      <c r="D340" s="48">
        <f t="shared" si="41"/>
        <v>7</v>
      </c>
      <c r="E340" s="48" t="str">
        <f>TEXT(Data!B340,"MMM-YYYY")</f>
        <v>Jul-2023</v>
      </c>
      <c r="F340" s="48" t="str">
        <f t="shared" si="37"/>
        <v>Q3-2023</v>
      </c>
      <c r="G340" s="38" t="s">
        <v>16</v>
      </c>
      <c r="H340" s="38" t="s">
        <v>148</v>
      </c>
      <c r="I340" s="38" t="s">
        <v>172</v>
      </c>
      <c r="J340" s="38" t="s">
        <v>105</v>
      </c>
      <c r="K340" s="38" t="s">
        <v>40</v>
      </c>
      <c r="L340" s="38" t="s">
        <v>1364</v>
      </c>
      <c r="M340" s="38" t="s">
        <v>64</v>
      </c>
      <c r="N340" s="38" t="s">
        <v>781</v>
      </c>
      <c r="O340" s="48">
        <v>620.74</v>
      </c>
      <c r="P340" s="49" t="str">
        <f t="shared" si="38"/>
        <v>High</v>
      </c>
      <c r="Q340" s="48">
        <v>1330.07</v>
      </c>
      <c r="R340" s="48">
        <v>0.29899999999999999</v>
      </c>
      <c r="S340" s="48">
        <v>28</v>
      </c>
      <c r="T340" s="48">
        <f t="shared" si="35"/>
        <v>23750.665119999998</v>
      </c>
      <c r="U340" s="38">
        <f t="shared" si="36"/>
        <v>17380.72</v>
      </c>
      <c r="V340" s="48">
        <f t="shared" si="39"/>
        <v>6369.9451199999967</v>
      </c>
      <c r="W340" s="50">
        <f t="shared" si="40"/>
        <v>0.26820070460409901</v>
      </c>
    </row>
    <row r="341" spans="1:23" x14ac:dyDescent="0.3">
      <c r="A341" s="39" t="s">
        <v>782</v>
      </c>
      <c r="B341" s="40">
        <v>45131</v>
      </c>
      <c r="C341" s="41">
        <v>45157</v>
      </c>
      <c r="D341" s="42">
        <f t="shared" si="41"/>
        <v>26</v>
      </c>
      <c r="E341" s="42" t="str">
        <f>TEXT(Data!B341,"MMM-YYYY")</f>
        <v>Jul-2023</v>
      </c>
      <c r="F341" s="42" t="str">
        <f t="shared" si="37"/>
        <v>Q3-2023</v>
      </c>
      <c r="G341" s="37" t="s">
        <v>16</v>
      </c>
      <c r="H341" s="37" t="s">
        <v>17</v>
      </c>
      <c r="I341" s="37" t="s">
        <v>33</v>
      </c>
      <c r="J341" s="37" t="s">
        <v>105</v>
      </c>
      <c r="K341" s="37" t="s">
        <v>55</v>
      </c>
      <c r="L341" s="37" t="s">
        <v>110</v>
      </c>
      <c r="M341" s="37" t="s">
        <v>81</v>
      </c>
      <c r="N341" s="37" t="s">
        <v>783</v>
      </c>
      <c r="O341" s="42">
        <v>661.45</v>
      </c>
      <c r="P341" s="43" t="str">
        <f t="shared" si="38"/>
        <v>High</v>
      </c>
      <c r="Q341" s="42">
        <v>1634.86</v>
      </c>
      <c r="R341" s="42">
        <v>0.56499999999999995</v>
      </c>
      <c r="S341" s="42">
        <v>24</v>
      </c>
      <c r="T341" s="42">
        <f t="shared" si="35"/>
        <v>31570.873200000005</v>
      </c>
      <c r="U341" s="37">
        <f t="shared" si="36"/>
        <v>15874.800000000001</v>
      </c>
      <c r="V341" s="42">
        <f t="shared" si="39"/>
        <v>15696.073200000004</v>
      </c>
      <c r="W341" s="44">
        <f t="shared" si="40"/>
        <v>0.49716943527555019</v>
      </c>
    </row>
    <row r="342" spans="1:23" x14ac:dyDescent="0.3">
      <c r="A342" s="45" t="s">
        <v>784</v>
      </c>
      <c r="B342" s="46">
        <v>45029</v>
      </c>
      <c r="C342" s="47">
        <v>45027</v>
      </c>
      <c r="D342" s="48">
        <f>DATEDIF(C342,B342, "MD")</f>
        <v>2</v>
      </c>
      <c r="E342" s="48" t="str">
        <f>TEXT(Data!B342,"MMM-YYYY")</f>
        <v>Apr-2023</v>
      </c>
      <c r="F342" s="48" t="str">
        <f t="shared" si="37"/>
        <v>Q2-2023</v>
      </c>
      <c r="G342" s="38" t="s">
        <v>52</v>
      </c>
      <c r="H342" s="38" t="s">
        <v>122</v>
      </c>
      <c r="I342" s="38" t="s">
        <v>167</v>
      </c>
      <c r="J342" s="38" t="s">
        <v>27</v>
      </c>
      <c r="K342" s="38" t="s">
        <v>40</v>
      </c>
      <c r="L342" s="38" t="s">
        <v>41</v>
      </c>
      <c r="M342" s="38" t="s">
        <v>35</v>
      </c>
      <c r="N342" s="38" t="s">
        <v>785</v>
      </c>
      <c r="O342" s="48">
        <v>32.1</v>
      </c>
      <c r="P342" s="49" t="str">
        <f t="shared" si="38"/>
        <v>Medium</v>
      </c>
      <c r="Q342" s="48">
        <v>70.599999999999994</v>
      </c>
      <c r="R342" s="48">
        <v>0.28199999999999997</v>
      </c>
      <c r="S342" s="48">
        <v>22</v>
      </c>
      <c r="T342" s="48">
        <f t="shared" si="35"/>
        <v>36385.454160000001</v>
      </c>
      <c r="U342" s="38">
        <f t="shared" si="36"/>
        <v>706.2</v>
      </c>
      <c r="V342" s="48">
        <f t="shared" si="39"/>
        <v>35679.254160000004</v>
      </c>
      <c r="W342" s="50">
        <f t="shared" si="40"/>
        <v>0.98059114510720191</v>
      </c>
    </row>
    <row r="343" spans="1:23" x14ac:dyDescent="0.3">
      <c r="A343" s="39" t="s">
        <v>786</v>
      </c>
      <c r="B343" s="40">
        <v>45594</v>
      </c>
      <c r="C343" s="41">
        <v>45600</v>
      </c>
      <c r="D343" s="42">
        <f t="shared" si="41"/>
        <v>6</v>
      </c>
      <c r="E343" s="42" t="str">
        <f>TEXT(Data!B343,"MMM-YYYY")</f>
        <v>Oct-2024</v>
      </c>
      <c r="F343" s="42" t="str">
        <f t="shared" si="37"/>
        <v>Q4-2024</v>
      </c>
      <c r="G343" s="37" t="s">
        <v>16</v>
      </c>
      <c r="H343" s="37" t="s">
        <v>17</v>
      </c>
      <c r="I343" s="37" t="s">
        <v>33</v>
      </c>
      <c r="J343" s="37" t="s">
        <v>19</v>
      </c>
      <c r="K343" s="37" t="s">
        <v>55</v>
      </c>
      <c r="L343" s="37" t="s">
        <v>110</v>
      </c>
      <c r="M343" s="37" t="s">
        <v>30</v>
      </c>
      <c r="N343" s="37" t="s">
        <v>787</v>
      </c>
      <c r="O343" s="42">
        <v>805.81</v>
      </c>
      <c r="P343" s="43" t="str">
        <f t="shared" si="38"/>
        <v>High</v>
      </c>
      <c r="Q343" s="42">
        <v>1823.04</v>
      </c>
      <c r="R343" s="42">
        <v>0</v>
      </c>
      <c r="S343" s="42">
        <v>11</v>
      </c>
      <c r="T343" s="42">
        <f t="shared" si="35"/>
        <v>33921.800000000003</v>
      </c>
      <c r="U343" s="37">
        <f t="shared" si="36"/>
        <v>8863.91</v>
      </c>
      <c r="V343" s="42">
        <f t="shared" si="39"/>
        <v>25057.890000000003</v>
      </c>
      <c r="W343" s="44">
        <f t="shared" si="40"/>
        <v>0.73869576496530254</v>
      </c>
    </row>
    <row r="344" spans="1:23" x14ac:dyDescent="0.3">
      <c r="A344" s="45" t="s">
        <v>788</v>
      </c>
      <c r="B344" s="46">
        <v>45339</v>
      </c>
      <c r="C344" s="47">
        <v>45355</v>
      </c>
      <c r="D344" s="48">
        <f t="shared" si="41"/>
        <v>16</v>
      </c>
      <c r="E344" s="48" t="str">
        <f>TEXT(Data!B344,"MMM-YYYY")</f>
        <v>Feb-2024</v>
      </c>
      <c r="F344" s="48" t="str">
        <f t="shared" si="37"/>
        <v>Q1-2024</v>
      </c>
      <c r="G344" s="38" t="s">
        <v>45</v>
      </c>
      <c r="H344" s="38" t="s">
        <v>60</v>
      </c>
      <c r="I344" s="38" t="s">
        <v>141</v>
      </c>
      <c r="J344" s="38" t="s">
        <v>62</v>
      </c>
      <c r="K344" s="38" t="s">
        <v>40</v>
      </c>
      <c r="L344" s="38" t="s">
        <v>84</v>
      </c>
      <c r="M344" s="38" t="s">
        <v>42</v>
      </c>
      <c r="N344" s="38" t="s">
        <v>789</v>
      </c>
      <c r="O344" s="48">
        <v>1231.8</v>
      </c>
      <c r="P344" s="49" t="str">
        <f t="shared" si="38"/>
        <v>High</v>
      </c>
      <c r="Q344" s="48">
        <v>2015.99</v>
      </c>
      <c r="R344" s="48">
        <v>0.26100000000000001</v>
      </c>
      <c r="S344" s="48">
        <v>6</v>
      </c>
      <c r="T344" s="48">
        <f t="shared" si="35"/>
        <v>1430.8961399999998</v>
      </c>
      <c r="U344" s="38">
        <f t="shared" si="36"/>
        <v>7390.7999999999993</v>
      </c>
      <c r="V344" s="48">
        <f t="shared" si="39"/>
        <v>-5959.9038599999994</v>
      </c>
      <c r="W344" s="50">
        <f t="shared" si="40"/>
        <v>-4.1651547539991265</v>
      </c>
    </row>
    <row r="345" spans="1:23" x14ac:dyDescent="0.3">
      <c r="A345" s="39" t="s">
        <v>790</v>
      </c>
      <c r="B345" s="40">
        <v>45486</v>
      </c>
      <c r="C345" s="41">
        <v>45485</v>
      </c>
      <c r="D345" s="42">
        <f>DATEDIF(C345,B345, "MD")</f>
        <v>1</v>
      </c>
      <c r="E345" s="42" t="str">
        <f>TEXT(Data!B345,"MMM-YYYY")</f>
        <v>Jul-2024</v>
      </c>
      <c r="F345" s="42" t="str">
        <f t="shared" si="37"/>
        <v>Q3-2024</v>
      </c>
      <c r="G345" s="37" t="s">
        <v>45</v>
      </c>
      <c r="H345" s="37" t="s">
        <v>46</v>
      </c>
      <c r="I345" s="37" t="s">
        <v>231</v>
      </c>
      <c r="J345" s="37" t="s">
        <v>62</v>
      </c>
      <c r="K345" s="37" t="s">
        <v>40</v>
      </c>
      <c r="L345" s="37" t="s">
        <v>84</v>
      </c>
      <c r="M345" s="37" t="s">
        <v>35</v>
      </c>
      <c r="N345" s="37" t="s">
        <v>791</v>
      </c>
      <c r="O345" s="42">
        <v>105.13</v>
      </c>
      <c r="P345" s="43" t="str">
        <f t="shared" si="38"/>
        <v>High</v>
      </c>
      <c r="Q345" s="42">
        <v>244.13</v>
      </c>
      <c r="R345" s="42">
        <v>7.0999999999999994E-2</v>
      </c>
      <c r="S345" s="42">
        <v>14</v>
      </c>
      <c r="T345" s="42">
        <f t="shared" si="35"/>
        <v>9511.1577400000006</v>
      </c>
      <c r="U345" s="37">
        <f t="shared" si="36"/>
        <v>1471.82</v>
      </c>
      <c r="V345" s="42">
        <f t="shared" si="39"/>
        <v>8039.3377400000008</v>
      </c>
      <c r="W345" s="44">
        <f t="shared" si="40"/>
        <v>0.84525332874986048</v>
      </c>
    </row>
    <row r="346" spans="1:23" x14ac:dyDescent="0.3">
      <c r="A346" s="45" t="s">
        <v>792</v>
      </c>
      <c r="B346" s="46">
        <v>45261</v>
      </c>
      <c r="C346" s="47">
        <v>45278</v>
      </c>
      <c r="D346" s="48">
        <f t="shared" si="41"/>
        <v>17</v>
      </c>
      <c r="E346" s="48" t="str">
        <f>TEXT(Data!B346,"MMM-YYYY")</f>
        <v>Dec-2023</v>
      </c>
      <c r="F346" s="48" t="str">
        <f t="shared" si="37"/>
        <v>Q4-2023</v>
      </c>
      <c r="G346" s="38" t="s">
        <v>45</v>
      </c>
      <c r="H346" s="38" t="s">
        <v>46</v>
      </c>
      <c r="I346" s="38" t="s">
        <v>231</v>
      </c>
      <c r="J346" s="38" t="s">
        <v>62</v>
      </c>
      <c r="K346" s="38" t="s">
        <v>98</v>
      </c>
      <c r="L346" s="38" t="s">
        <v>126</v>
      </c>
      <c r="M346" s="38" t="s">
        <v>57</v>
      </c>
      <c r="N346" s="38" t="s">
        <v>793</v>
      </c>
      <c r="O346" s="48">
        <v>1495.79</v>
      </c>
      <c r="P346" s="49" t="str">
        <f t="shared" si="38"/>
        <v>High</v>
      </c>
      <c r="Q346" s="48">
        <v>2783.12</v>
      </c>
      <c r="R346" s="48">
        <v>0.02</v>
      </c>
      <c r="S346" s="48">
        <v>5</v>
      </c>
      <c r="T346" s="48">
        <f t="shared" si="35"/>
        <v>7516.3549999999996</v>
      </c>
      <c r="U346" s="38">
        <f t="shared" si="36"/>
        <v>7478.95</v>
      </c>
      <c r="V346" s="48">
        <f t="shared" si="39"/>
        <v>37.404999999999745</v>
      </c>
      <c r="W346" s="50">
        <f t="shared" si="40"/>
        <v>4.9764812864745937E-3</v>
      </c>
    </row>
    <row r="347" spans="1:23" x14ac:dyDescent="0.3">
      <c r="A347" s="39" t="s">
        <v>794</v>
      </c>
      <c r="B347" s="40">
        <v>45498</v>
      </c>
      <c r="C347" s="41">
        <v>45506</v>
      </c>
      <c r="D347" s="42">
        <f t="shared" si="41"/>
        <v>8</v>
      </c>
      <c r="E347" s="42" t="str">
        <f>TEXT(Data!B347,"MMM-YYYY")</f>
        <v>Jul-2024</v>
      </c>
      <c r="F347" s="42" t="str">
        <f t="shared" si="37"/>
        <v>Q3-2024</v>
      </c>
      <c r="G347" s="37" t="s">
        <v>52</v>
      </c>
      <c r="H347" s="37" t="s">
        <v>53</v>
      </c>
      <c r="I347" s="37" t="s">
        <v>144</v>
      </c>
      <c r="J347" s="37" t="s">
        <v>48</v>
      </c>
      <c r="K347" s="37" t="s">
        <v>98</v>
      </c>
      <c r="L347" s="37" t="s">
        <v>29</v>
      </c>
      <c r="M347" s="37" t="s">
        <v>81</v>
      </c>
      <c r="N347" s="37" t="s">
        <v>795</v>
      </c>
      <c r="O347" s="42">
        <v>986.81</v>
      </c>
      <c r="P347" s="43" t="str">
        <f t="shared" si="38"/>
        <v>High</v>
      </c>
      <c r="Q347" s="42">
        <v>2050.31</v>
      </c>
      <c r="R347" s="42">
        <v>0.10299999999999999</v>
      </c>
      <c r="S347" s="42">
        <v>43</v>
      </c>
      <c r="T347" s="42">
        <f t="shared" si="35"/>
        <v>60620.497860000003</v>
      </c>
      <c r="U347" s="37">
        <f t="shared" si="36"/>
        <v>42432.829999999994</v>
      </c>
      <c r="V347" s="42">
        <f t="shared" si="39"/>
        <v>18187.667860000009</v>
      </c>
      <c r="W347" s="44">
        <f t="shared" si="40"/>
        <v>0.30002504931588508</v>
      </c>
    </row>
    <row r="348" spans="1:23" x14ac:dyDescent="0.3">
      <c r="A348" s="45" t="s">
        <v>796</v>
      </c>
      <c r="B348" s="46">
        <v>45050</v>
      </c>
      <c r="C348" s="47">
        <v>45062</v>
      </c>
      <c r="D348" s="48">
        <f t="shared" si="41"/>
        <v>12</v>
      </c>
      <c r="E348" s="48" t="str">
        <f>TEXT(Data!B348,"MMM-YYYY")</f>
        <v>May-2023</v>
      </c>
      <c r="F348" s="48" t="str">
        <f t="shared" si="37"/>
        <v>Q2-2023</v>
      </c>
      <c r="G348" s="38" t="s">
        <v>16</v>
      </c>
      <c r="H348" s="38" t="s">
        <v>25</v>
      </c>
      <c r="I348" s="38" t="s">
        <v>67</v>
      </c>
      <c r="J348" s="38" t="s">
        <v>62</v>
      </c>
      <c r="K348" s="38" t="s">
        <v>40</v>
      </c>
      <c r="L348" s="38" t="s">
        <v>29</v>
      </c>
      <c r="M348" s="38" t="s">
        <v>42</v>
      </c>
      <c r="N348" s="38" t="s">
        <v>797</v>
      </c>
      <c r="O348" s="48">
        <v>77.739999999999995</v>
      </c>
      <c r="P348" s="49" t="str">
        <f t="shared" si="38"/>
        <v>Medium</v>
      </c>
      <c r="Q348" s="48">
        <v>147.12</v>
      </c>
      <c r="R348" s="48">
        <v>0</v>
      </c>
      <c r="S348" s="48">
        <v>15</v>
      </c>
      <c r="T348" s="48">
        <f t="shared" si="35"/>
        <v>3760.95</v>
      </c>
      <c r="U348" s="38">
        <f t="shared" si="36"/>
        <v>1166.0999999999999</v>
      </c>
      <c r="V348" s="48">
        <f t="shared" si="39"/>
        <v>2594.85</v>
      </c>
      <c r="W348" s="50">
        <f t="shared" si="40"/>
        <v>0.68994535955011371</v>
      </c>
    </row>
    <row r="349" spans="1:23" x14ac:dyDescent="0.3">
      <c r="A349" s="39" t="s">
        <v>798</v>
      </c>
      <c r="B349" s="40">
        <v>45281</v>
      </c>
      <c r="C349" s="41">
        <v>45297</v>
      </c>
      <c r="D349" s="42">
        <f t="shared" si="41"/>
        <v>16</v>
      </c>
      <c r="E349" s="42" t="str">
        <f>TEXT(Data!B349,"MMM-YYYY")</f>
        <v>Dec-2023</v>
      </c>
      <c r="F349" s="42" t="str">
        <f t="shared" si="37"/>
        <v>Q4-2023</v>
      </c>
      <c r="G349" s="37" t="s">
        <v>16</v>
      </c>
      <c r="H349" s="37" t="s">
        <v>25</v>
      </c>
      <c r="I349" s="37" t="s">
        <v>1364</v>
      </c>
      <c r="J349" s="37" t="s">
        <v>19</v>
      </c>
      <c r="K349" s="37" t="s">
        <v>40</v>
      </c>
      <c r="L349" s="37" t="s">
        <v>95</v>
      </c>
      <c r="M349" s="37" t="s">
        <v>22</v>
      </c>
      <c r="N349" s="37" t="s">
        <v>799</v>
      </c>
      <c r="O349" s="42">
        <v>932.61</v>
      </c>
      <c r="P349" s="43" t="str">
        <f t="shared" si="38"/>
        <v>High</v>
      </c>
      <c r="Q349" s="42">
        <v>1982.98</v>
      </c>
      <c r="R349" s="42">
        <v>0.14399999999999999</v>
      </c>
      <c r="S349" s="42">
        <v>16</v>
      </c>
      <c r="T349" s="42">
        <f t="shared" si="35"/>
        <v>47563.605759999999</v>
      </c>
      <c r="U349" s="37">
        <f t="shared" si="36"/>
        <v>14921.76</v>
      </c>
      <c r="V349" s="42">
        <f t="shared" si="39"/>
        <v>32641.845759999997</v>
      </c>
      <c r="W349" s="44">
        <f t="shared" si="40"/>
        <v>0.68627777979463256</v>
      </c>
    </row>
    <row r="350" spans="1:23" x14ac:dyDescent="0.3">
      <c r="A350" s="45" t="s">
        <v>800</v>
      </c>
      <c r="B350" s="46">
        <v>45825</v>
      </c>
      <c r="C350" s="47">
        <v>45843</v>
      </c>
      <c r="D350" s="48">
        <f t="shared" si="41"/>
        <v>18</v>
      </c>
      <c r="E350" s="48" t="str">
        <f>TEXT(Data!B350,"MMM-YYYY")</f>
        <v>Jun-2025</v>
      </c>
      <c r="F350" s="48" t="str">
        <f t="shared" si="37"/>
        <v>Q2-2025</v>
      </c>
      <c r="G350" s="38" t="s">
        <v>45</v>
      </c>
      <c r="H350" s="38" t="s">
        <v>60</v>
      </c>
      <c r="I350" s="38" t="s">
        <v>141</v>
      </c>
      <c r="J350" s="38" t="s">
        <v>48</v>
      </c>
      <c r="K350" s="38" t="s">
        <v>40</v>
      </c>
      <c r="L350" s="38" t="s">
        <v>49</v>
      </c>
      <c r="M350" s="38" t="s">
        <v>57</v>
      </c>
      <c r="N350" s="38" t="s">
        <v>801</v>
      </c>
      <c r="O350" s="48">
        <v>982.93</v>
      </c>
      <c r="P350" s="49" t="str">
        <f t="shared" si="38"/>
        <v>High</v>
      </c>
      <c r="Q350" s="48">
        <v>2299.3000000000002</v>
      </c>
      <c r="R350" s="48">
        <v>0.113</v>
      </c>
      <c r="S350" s="48">
        <v>6</v>
      </c>
      <c r="T350" s="48">
        <f t="shared" si="35"/>
        <v>6418.5448799999995</v>
      </c>
      <c r="U350" s="38">
        <f t="shared" si="36"/>
        <v>5897.58</v>
      </c>
      <c r="V350" s="48">
        <f t="shared" si="39"/>
        <v>520.96487999999954</v>
      </c>
      <c r="W350" s="50">
        <f t="shared" si="40"/>
        <v>8.1165574088811171E-2</v>
      </c>
    </row>
    <row r="351" spans="1:23" x14ac:dyDescent="0.3">
      <c r="A351" s="39" t="s">
        <v>802</v>
      </c>
      <c r="B351" s="40">
        <v>44980</v>
      </c>
      <c r="C351" s="41">
        <v>44993</v>
      </c>
      <c r="D351" s="42">
        <f t="shared" si="41"/>
        <v>13</v>
      </c>
      <c r="E351" s="42" t="str">
        <f>TEXT(Data!B351,"MMM-YYYY")</f>
        <v>Feb-2023</v>
      </c>
      <c r="F351" s="42" t="str">
        <f t="shared" si="37"/>
        <v>Q1-2023</v>
      </c>
      <c r="G351" s="37" t="s">
        <v>78</v>
      </c>
      <c r="H351" s="37" t="s">
        <v>108</v>
      </c>
      <c r="I351" s="37" t="s">
        <v>228</v>
      </c>
      <c r="J351" s="37" t="s">
        <v>62</v>
      </c>
      <c r="K351" s="37" t="s">
        <v>98</v>
      </c>
      <c r="L351" s="37" t="s">
        <v>21</v>
      </c>
      <c r="M351" s="37" t="s">
        <v>30</v>
      </c>
      <c r="N351" s="37" t="s">
        <v>803</v>
      </c>
      <c r="O351" s="42">
        <v>307.37</v>
      </c>
      <c r="P351" s="43" t="str">
        <f t="shared" si="38"/>
        <v>High</v>
      </c>
      <c r="Q351" s="42">
        <v>462.61</v>
      </c>
      <c r="R351" s="42">
        <v>0.188</v>
      </c>
      <c r="S351" s="42">
        <v>11</v>
      </c>
      <c r="T351" s="42">
        <f t="shared" si="35"/>
        <v>19625.658360000001</v>
      </c>
      <c r="U351" s="37">
        <f t="shared" si="36"/>
        <v>3381.07</v>
      </c>
      <c r="V351" s="42">
        <f t="shared" si="39"/>
        <v>16244.588360000002</v>
      </c>
      <c r="W351" s="44">
        <f t="shared" si="40"/>
        <v>0.82772195775652957</v>
      </c>
    </row>
    <row r="352" spans="1:23" x14ac:dyDescent="0.3">
      <c r="A352" s="45" t="s">
        <v>804</v>
      </c>
      <c r="B352" s="46">
        <v>45262</v>
      </c>
      <c r="C352" s="47">
        <v>45276</v>
      </c>
      <c r="D352" s="48">
        <f t="shared" si="41"/>
        <v>14</v>
      </c>
      <c r="E352" s="48" t="str">
        <f>TEXT(Data!B352,"MMM-YYYY")</f>
        <v>Dec-2023</v>
      </c>
      <c r="F352" s="48" t="str">
        <f t="shared" si="37"/>
        <v>Q4-2023</v>
      </c>
      <c r="G352" s="38" t="s">
        <v>78</v>
      </c>
      <c r="H352" s="38" t="s">
        <v>79</v>
      </c>
      <c r="I352" s="38" t="s">
        <v>335</v>
      </c>
      <c r="J352" s="38" t="s">
        <v>27</v>
      </c>
      <c r="K352" s="38" t="s">
        <v>98</v>
      </c>
      <c r="L352" s="38" t="s">
        <v>126</v>
      </c>
      <c r="M352" s="38" t="s">
        <v>64</v>
      </c>
      <c r="N352" s="38" t="s">
        <v>805</v>
      </c>
      <c r="O352" s="48">
        <v>879.08</v>
      </c>
      <c r="P352" s="49" t="str">
        <f t="shared" si="38"/>
        <v>High</v>
      </c>
      <c r="Q352" s="48">
        <v>1093.3900000000001</v>
      </c>
      <c r="R352" s="48">
        <v>0.113</v>
      </c>
      <c r="S352" s="48">
        <v>17</v>
      </c>
      <c r="T352" s="48">
        <f t="shared" si="35"/>
        <v>24437.027399999999</v>
      </c>
      <c r="U352" s="38">
        <f t="shared" si="36"/>
        <v>14944.36</v>
      </c>
      <c r="V352" s="48">
        <f t="shared" si="39"/>
        <v>9492.6673999999985</v>
      </c>
      <c r="W352" s="50">
        <f t="shared" si="40"/>
        <v>0.38845426019369272</v>
      </c>
    </row>
    <row r="353" spans="1:23" x14ac:dyDescent="0.3">
      <c r="A353" s="39" t="s">
        <v>806</v>
      </c>
      <c r="B353" s="40">
        <v>45121</v>
      </c>
      <c r="C353" s="41">
        <v>45121</v>
      </c>
      <c r="D353" s="42">
        <f t="shared" si="41"/>
        <v>0</v>
      </c>
      <c r="E353" s="42" t="str">
        <f>TEXT(Data!B353,"MMM-YYYY")</f>
        <v>Jul-2023</v>
      </c>
      <c r="F353" s="42" t="str">
        <f t="shared" si="37"/>
        <v>Q3-2023</v>
      </c>
      <c r="G353" s="37" t="s">
        <v>16</v>
      </c>
      <c r="H353" s="37" t="s">
        <v>25</v>
      </c>
      <c r="I353" s="37" t="s">
        <v>38</v>
      </c>
      <c r="J353" s="37" t="s">
        <v>27</v>
      </c>
      <c r="K353" s="37" t="s">
        <v>20</v>
      </c>
      <c r="L353" s="37" t="s">
        <v>34</v>
      </c>
      <c r="M353" s="37" t="s">
        <v>81</v>
      </c>
      <c r="N353" s="37" t="s">
        <v>807</v>
      </c>
      <c r="O353" s="42">
        <v>956.38</v>
      </c>
      <c r="P353" s="43" t="str">
        <f t="shared" si="38"/>
        <v>High</v>
      </c>
      <c r="Q353" s="42">
        <v>1454.22</v>
      </c>
      <c r="R353" s="42">
        <v>3.9E-2</v>
      </c>
      <c r="S353" s="42">
        <v>19</v>
      </c>
      <c r="T353" s="42">
        <f t="shared" si="35"/>
        <v>18891.856940000001</v>
      </c>
      <c r="U353" s="37">
        <f t="shared" si="36"/>
        <v>18171.22</v>
      </c>
      <c r="V353" s="42">
        <f t="shared" si="39"/>
        <v>720.63694000000032</v>
      </c>
      <c r="W353" s="44">
        <f t="shared" si="40"/>
        <v>3.8145373548440616E-2</v>
      </c>
    </row>
    <row r="354" spans="1:23" x14ac:dyDescent="0.3">
      <c r="A354" s="45" t="s">
        <v>808</v>
      </c>
      <c r="B354" s="46">
        <v>45512</v>
      </c>
      <c r="C354" s="47">
        <v>45524</v>
      </c>
      <c r="D354" s="48">
        <f t="shared" si="41"/>
        <v>12</v>
      </c>
      <c r="E354" s="48" t="str">
        <f>TEXT(Data!B354,"MMM-YYYY")</f>
        <v>Aug-2024</v>
      </c>
      <c r="F354" s="48" t="str">
        <f t="shared" si="37"/>
        <v>Q3-2024</v>
      </c>
      <c r="G354" s="38" t="s">
        <v>45</v>
      </c>
      <c r="H354" s="38" t="s">
        <v>46</v>
      </c>
      <c r="I354" s="38" t="s">
        <v>47</v>
      </c>
      <c r="J354" s="38" t="s">
        <v>62</v>
      </c>
      <c r="K354" s="38" t="s">
        <v>20</v>
      </c>
      <c r="L354" s="38" t="s">
        <v>92</v>
      </c>
      <c r="M354" s="38" t="s">
        <v>35</v>
      </c>
      <c r="N354" s="38" t="s">
        <v>809</v>
      </c>
      <c r="O354" s="48">
        <v>1233.3599999999999</v>
      </c>
      <c r="P354" s="49" t="str">
        <f t="shared" si="38"/>
        <v>High</v>
      </c>
      <c r="Q354" s="48">
        <v>2120.4</v>
      </c>
      <c r="R354" s="48">
        <v>0.17899999999999999</v>
      </c>
      <c r="S354" s="48">
        <v>20</v>
      </c>
      <c r="T354" s="48">
        <f t="shared" si="35"/>
        <v>31286.9964</v>
      </c>
      <c r="U354" s="38">
        <f t="shared" si="36"/>
        <v>24667.199999999997</v>
      </c>
      <c r="V354" s="48">
        <f t="shared" si="39"/>
        <v>6619.7964000000029</v>
      </c>
      <c r="W354" s="50">
        <f t="shared" si="40"/>
        <v>0.21158299490838958</v>
      </c>
    </row>
    <row r="355" spans="1:23" x14ac:dyDescent="0.3">
      <c r="A355" s="39" t="s">
        <v>810</v>
      </c>
      <c r="B355" s="40">
        <v>45603</v>
      </c>
      <c r="C355" s="41">
        <v>45622</v>
      </c>
      <c r="D355" s="42">
        <f t="shared" si="41"/>
        <v>19</v>
      </c>
      <c r="E355" s="42" t="str">
        <f>TEXT(Data!B355,"MMM-YYYY")</f>
        <v>Nov-2024</v>
      </c>
      <c r="F355" s="42" t="str">
        <f t="shared" si="37"/>
        <v>Q4-2024</v>
      </c>
      <c r="G355" s="37" t="s">
        <v>52</v>
      </c>
      <c r="H355" s="37" t="s">
        <v>73</v>
      </c>
      <c r="I355" s="37" t="s">
        <v>225</v>
      </c>
      <c r="J355" s="37" t="s">
        <v>39</v>
      </c>
      <c r="K355" s="37" t="s">
        <v>55</v>
      </c>
      <c r="L355" s="37" t="s">
        <v>29</v>
      </c>
      <c r="M355" s="37" t="s">
        <v>30</v>
      </c>
      <c r="N355" s="37" t="s">
        <v>811</v>
      </c>
      <c r="O355" s="42">
        <v>55.35</v>
      </c>
      <c r="P355" s="43" t="str">
        <f t="shared" si="38"/>
        <v>Medium</v>
      </c>
      <c r="Q355" s="42">
        <v>128.68</v>
      </c>
      <c r="R355" s="42">
        <v>0.128</v>
      </c>
      <c r="S355" s="42">
        <v>10</v>
      </c>
      <c r="T355" s="42">
        <f t="shared" si="35"/>
        <v>4722.4031999999997</v>
      </c>
      <c r="U355" s="37">
        <f t="shared" si="36"/>
        <v>553.5</v>
      </c>
      <c r="V355" s="42">
        <f t="shared" si="39"/>
        <v>4168.9031999999997</v>
      </c>
      <c r="W355" s="44">
        <f t="shared" si="40"/>
        <v>0.88279272722837387</v>
      </c>
    </row>
    <row r="356" spans="1:23" x14ac:dyDescent="0.3">
      <c r="A356" s="45" t="s">
        <v>812</v>
      </c>
      <c r="B356" s="46">
        <v>45292</v>
      </c>
      <c r="C356" s="47">
        <v>45318</v>
      </c>
      <c r="D356" s="48">
        <f t="shared" si="41"/>
        <v>26</v>
      </c>
      <c r="E356" s="48" t="str">
        <f>TEXT(Data!B356,"MMM-YYYY")</f>
        <v>Jan-2024</v>
      </c>
      <c r="F356" s="48" t="str">
        <f t="shared" si="37"/>
        <v>Q1-2024</v>
      </c>
      <c r="G356" s="38" t="s">
        <v>78</v>
      </c>
      <c r="H356" s="38" t="s">
        <v>108</v>
      </c>
      <c r="I356" s="38" t="s">
        <v>228</v>
      </c>
      <c r="J356" s="38" t="s">
        <v>27</v>
      </c>
      <c r="K356" s="38" t="s">
        <v>55</v>
      </c>
      <c r="L356" s="38" t="s">
        <v>145</v>
      </c>
      <c r="M356" s="38" t="s">
        <v>81</v>
      </c>
      <c r="N356" s="38" t="s">
        <v>813</v>
      </c>
      <c r="O356" s="48">
        <v>657.45</v>
      </c>
      <c r="P356" s="49" t="str">
        <f t="shared" si="38"/>
        <v>High</v>
      </c>
      <c r="Q356" s="48">
        <v>1325.96</v>
      </c>
      <c r="R356" s="48">
        <v>0.16700000000000001</v>
      </c>
      <c r="S356" s="48">
        <v>21</v>
      </c>
      <c r="T356" s="48">
        <f t="shared" si="35"/>
        <v>19532.683799999999</v>
      </c>
      <c r="U356" s="38">
        <f t="shared" si="36"/>
        <v>13806.45</v>
      </c>
      <c r="V356" s="48">
        <f t="shared" si="39"/>
        <v>5726.2337999999982</v>
      </c>
      <c r="W356" s="50">
        <f t="shared" si="40"/>
        <v>0.29316164939914702</v>
      </c>
    </row>
    <row r="357" spans="1:23" x14ac:dyDescent="0.3">
      <c r="A357" s="39" t="s">
        <v>814</v>
      </c>
      <c r="B357" s="40">
        <v>45883</v>
      </c>
      <c r="C357" s="41">
        <v>45911</v>
      </c>
      <c r="D357" s="42">
        <f t="shared" si="41"/>
        <v>28</v>
      </c>
      <c r="E357" s="42" t="str">
        <f>TEXT(Data!B357,"MMM-YYYY")</f>
        <v>Aug-2025</v>
      </c>
      <c r="F357" s="42" t="str">
        <f t="shared" si="37"/>
        <v>Q3-2025</v>
      </c>
      <c r="G357" s="37" t="s">
        <v>52</v>
      </c>
      <c r="H357" s="37" t="s">
        <v>73</v>
      </c>
      <c r="I357" s="37" t="s">
        <v>74</v>
      </c>
      <c r="J357" s="37" t="s">
        <v>39</v>
      </c>
      <c r="K357" s="37" t="s">
        <v>98</v>
      </c>
      <c r="L357" s="37" t="s">
        <v>84</v>
      </c>
      <c r="M357" s="37" t="s">
        <v>30</v>
      </c>
      <c r="N357" s="37" t="s">
        <v>815</v>
      </c>
      <c r="O357" s="42">
        <v>1203.02</v>
      </c>
      <c r="P357" s="43" t="str">
        <f t="shared" si="38"/>
        <v>High</v>
      </c>
      <c r="Q357" s="42">
        <v>2439.33</v>
      </c>
      <c r="R357" s="42">
        <v>0</v>
      </c>
      <c r="S357" s="42">
        <v>18</v>
      </c>
      <c r="T357" s="42">
        <f t="shared" si="35"/>
        <v>26190</v>
      </c>
      <c r="U357" s="37">
        <f t="shared" si="36"/>
        <v>21654.36</v>
      </c>
      <c r="V357" s="42">
        <f t="shared" si="39"/>
        <v>4535.6399999999994</v>
      </c>
      <c r="W357" s="44">
        <f t="shared" si="40"/>
        <v>0.17318213058419241</v>
      </c>
    </row>
    <row r="358" spans="1:23" x14ac:dyDescent="0.3">
      <c r="A358" s="45" t="s">
        <v>816</v>
      </c>
      <c r="B358" s="46">
        <v>45385</v>
      </c>
      <c r="C358" s="47">
        <v>45403</v>
      </c>
      <c r="D358" s="48">
        <f t="shared" si="41"/>
        <v>18</v>
      </c>
      <c r="E358" s="48" t="str">
        <f>TEXT(Data!B358,"MMM-YYYY")</f>
        <v>Apr-2024</v>
      </c>
      <c r="F358" s="48" t="str">
        <f t="shared" si="37"/>
        <v>Q2-2024</v>
      </c>
      <c r="G358" s="38" t="s">
        <v>52</v>
      </c>
      <c r="H358" s="38" t="s">
        <v>73</v>
      </c>
      <c r="I358" s="38" t="s">
        <v>87</v>
      </c>
      <c r="J358" s="38" t="s">
        <v>62</v>
      </c>
      <c r="K358" s="38" t="s">
        <v>55</v>
      </c>
      <c r="L358" s="38" t="s">
        <v>56</v>
      </c>
      <c r="M358" s="38" t="s">
        <v>35</v>
      </c>
      <c r="N358" s="38" t="s">
        <v>817</v>
      </c>
      <c r="O358" s="48">
        <v>1176.69</v>
      </c>
      <c r="P358" s="49" t="str">
        <f t="shared" si="38"/>
        <v>High</v>
      </c>
      <c r="Q358" s="48">
        <v>2201.54</v>
      </c>
      <c r="R358" s="48">
        <v>0.17</v>
      </c>
      <c r="S358" s="48">
        <v>27</v>
      </c>
      <c r="T358" s="48">
        <f t="shared" si="35"/>
        <v>28646.702999999998</v>
      </c>
      <c r="U358" s="38">
        <f t="shared" si="36"/>
        <v>31770.63</v>
      </c>
      <c r="V358" s="48">
        <f t="shared" si="39"/>
        <v>-3123.9270000000033</v>
      </c>
      <c r="W358" s="50">
        <f t="shared" si="40"/>
        <v>-0.1090501409533936</v>
      </c>
    </row>
    <row r="359" spans="1:23" x14ac:dyDescent="0.3">
      <c r="A359" s="39" t="s">
        <v>818</v>
      </c>
      <c r="B359" s="40">
        <v>45621</v>
      </c>
      <c r="C359" s="41">
        <v>45633</v>
      </c>
      <c r="D359" s="42">
        <f t="shared" si="41"/>
        <v>12</v>
      </c>
      <c r="E359" s="42" t="str">
        <f>TEXT(Data!B359,"MMM-YYYY")</f>
        <v>Nov-2024</v>
      </c>
      <c r="F359" s="42" t="str">
        <f t="shared" si="37"/>
        <v>Q4-2024</v>
      </c>
      <c r="G359" s="37" t="s">
        <v>45</v>
      </c>
      <c r="H359" s="37" t="s">
        <v>116</v>
      </c>
      <c r="I359" s="37" t="s">
        <v>162</v>
      </c>
      <c r="J359" s="37" t="s">
        <v>19</v>
      </c>
      <c r="K359" s="37" t="s">
        <v>55</v>
      </c>
      <c r="L359" s="37" t="s">
        <v>75</v>
      </c>
      <c r="M359" s="37" t="s">
        <v>81</v>
      </c>
      <c r="N359" s="37" t="s">
        <v>819</v>
      </c>
      <c r="O359" s="42">
        <v>769.9</v>
      </c>
      <c r="P359" s="43" t="str">
        <f t="shared" si="38"/>
        <v>High</v>
      </c>
      <c r="Q359" s="42">
        <v>814.36</v>
      </c>
      <c r="R359" s="42">
        <v>0</v>
      </c>
      <c r="S359" s="42">
        <v>5</v>
      </c>
      <c r="T359" s="42">
        <f t="shared" si="35"/>
        <v>4499.1500000000005</v>
      </c>
      <c r="U359" s="37">
        <f t="shared" si="36"/>
        <v>3849.5</v>
      </c>
      <c r="V359" s="42">
        <f t="shared" si="39"/>
        <v>649.65000000000055</v>
      </c>
      <c r="W359" s="44">
        <f t="shared" si="40"/>
        <v>0.14439394107775924</v>
      </c>
    </row>
    <row r="360" spans="1:23" x14ac:dyDescent="0.3">
      <c r="A360" s="45" t="s">
        <v>820</v>
      </c>
      <c r="B360" s="46">
        <v>45309</v>
      </c>
      <c r="C360" s="47">
        <v>45325</v>
      </c>
      <c r="D360" s="48">
        <f t="shared" si="41"/>
        <v>16</v>
      </c>
      <c r="E360" s="48" t="str">
        <f>TEXT(Data!B360,"MMM-YYYY")</f>
        <v>Jan-2024</v>
      </c>
      <c r="F360" s="48" t="str">
        <f t="shared" si="37"/>
        <v>Q1-2024</v>
      </c>
      <c r="G360" s="38" t="s">
        <v>16</v>
      </c>
      <c r="H360" s="38" t="s">
        <v>148</v>
      </c>
      <c r="I360" s="38" t="s">
        <v>258</v>
      </c>
      <c r="J360" s="38" t="s">
        <v>39</v>
      </c>
      <c r="K360" s="38" t="s">
        <v>55</v>
      </c>
      <c r="L360" s="38" t="s">
        <v>49</v>
      </c>
      <c r="M360" s="38" t="s">
        <v>30</v>
      </c>
      <c r="N360" s="38" t="s">
        <v>821</v>
      </c>
      <c r="O360" s="48">
        <v>666.23</v>
      </c>
      <c r="P360" s="49" t="str">
        <f t="shared" si="38"/>
        <v>High</v>
      </c>
      <c r="Q360" s="48">
        <v>1382.91</v>
      </c>
      <c r="R360" s="48">
        <v>0.17599999999999999</v>
      </c>
      <c r="S360" s="48">
        <v>13</v>
      </c>
      <c r="T360" s="48">
        <f t="shared" si="35"/>
        <v>9412.9557600000007</v>
      </c>
      <c r="U360" s="38">
        <f t="shared" si="36"/>
        <v>8660.99</v>
      </c>
      <c r="V360" s="48">
        <f t="shared" si="39"/>
        <v>751.96576000000096</v>
      </c>
      <c r="W360" s="50">
        <f t="shared" si="40"/>
        <v>7.9886252434697616E-2</v>
      </c>
    </row>
    <row r="361" spans="1:23" x14ac:dyDescent="0.3">
      <c r="A361" s="39" t="s">
        <v>822</v>
      </c>
      <c r="B361" s="40">
        <v>45466</v>
      </c>
      <c r="C361" s="41">
        <v>45468</v>
      </c>
      <c r="D361" s="42">
        <f t="shared" si="41"/>
        <v>2</v>
      </c>
      <c r="E361" s="42" t="str">
        <f>TEXT(Data!B361,"MMM-YYYY")</f>
        <v>Jun-2024</v>
      </c>
      <c r="F361" s="42" t="str">
        <f t="shared" si="37"/>
        <v>Q2-2024</v>
      </c>
      <c r="G361" s="37" t="s">
        <v>78</v>
      </c>
      <c r="H361" s="37" t="s">
        <v>108</v>
      </c>
      <c r="I361" s="37" t="s">
        <v>109</v>
      </c>
      <c r="J361" s="37" t="s">
        <v>62</v>
      </c>
      <c r="K361" s="37" t="s">
        <v>40</v>
      </c>
      <c r="L361" s="37" t="s">
        <v>49</v>
      </c>
      <c r="M361" s="37" t="s">
        <v>81</v>
      </c>
      <c r="N361" s="37" t="s">
        <v>823</v>
      </c>
      <c r="O361" s="42">
        <v>951.44</v>
      </c>
      <c r="P361" s="43" t="str">
        <f t="shared" si="38"/>
        <v>High</v>
      </c>
      <c r="Q361" s="42">
        <v>1646.43</v>
      </c>
      <c r="R361" s="42">
        <v>0.11</v>
      </c>
      <c r="S361" s="42">
        <v>24</v>
      </c>
      <c r="T361" s="42">
        <f t="shared" si="35"/>
        <v>12696.811199999998</v>
      </c>
      <c r="U361" s="37">
        <f t="shared" si="36"/>
        <v>22834.560000000001</v>
      </c>
      <c r="V361" s="42">
        <f t="shared" si="39"/>
        <v>-10137.748800000003</v>
      </c>
      <c r="W361" s="44">
        <f t="shared" si="40"/>
        <v>-0.79844841671741995</v>
      </c>
    </row>
    <row r="362" spans="1:23" x14ac:dyDescent="0.3">
      <c r="A362" s="45" t="s">
        <v>824</v>
      </c>
      <c r="B362" s="46">
        <v>45833</v>
      </c>
      <c r="C362" s="47">
        <v>45848</v>
      </c>
      <c r="D362" s="48">
        <f t="shared" si="41"/>
        <v>15</v>
      </c>
      <c r="E362" s="48" t="str">
        <f>TEXT(Data!B362,"MMM-YYYY")</f>
        <v>Jun-2025</v>
      </c>
      <c r="F362" s="48" t="str">
        <f t="shared" si="37"/>
        <v>Q2-2025</v>
      </c>
      <c r="G362" s="38" t="s">
        <v>78</v>
      </c>
      <c r="H362" s="38" t="s">
        <v>108</v>
      </c>
      <c r="I362" s="38" t="s">
        <v>109</v>
      </c>
      <c r="J362" s="38" t="s">
        <v>39</v>
      </c>
      <c r="K362" s="38" t="s">
        <v>40</v>
      </c>
      <c r="L362" s="38" t="s">
        <v>145</v>
      </c>
      <c r="M362" s="38" t="s">
        <v>42</v>
      </c>
      <c r="N362" s="38" t="s">
        <v>825</v>
      </c>
      <c r="O362" s="48">
        <v>546.83000000000004</v>
      </c>
      <c r="P362" s="49" t="str">
        <f t="shared" si="38"/>
        <v>High</v>
      </c>
      <c r="Q362" s="48">
        <v>400.84</v>
      </c>
      <c r="R362" s="48">
        <v>7.8E-2</v>
      </c>
      <c r="S362" s="48">
        <v>13</v>
      </c>
      <c r="T362" s="48">
        <f t="shared" si="35"/>
        <v>19391.5501</v>
      </c>
      <c r="U362" s="38">
        <f t="shared" si="36"/>
        <v>7108.7900000000009</v>
      </c>
      <c r="V362" s="48">
        <f t="shared" si="39"/>
        <v>12282.7601</v>
      </c>
      <c r="W362" s="50">
        <f t="shared" si="40"/>
        <v>0.63340785221703344</v>
      </c>
    </row>
    <row r="363" spans="1:23" x14ac:dyDescent="0.3">
      <c r="A363" s="39" t="s">
        <v>826</v>
      </c>
      <c r="B363" s="40">
        <v>45108</v>
      </c>
      <c r="C363" s="41">
        <v>45115</v>
      </c>
      <c r="D363" s="42">
        <f t="shared" si="41"/>
        <v>7</v>
      </c>
      <c r="E363" s="42" t="str">
        <f>TEXT(Data!B363,"MMM-YYYY")</f>
        <v>Jul-2023</v>
      </c>
      <c r="F363" s="42" t="str">
        <f t="shared" si="37"/>
        <v>Q3-2023</v>
      </c>
      <c r="G363" s="37" t="s">
        <v>16</v>
      </c>
      <c r="H363" s="37" t="s">
        <v>25</v>
      </c>
      <c r="I363" s="37" t="s">
        <v>26</v>
      </c>
      <c r="J363" s="37" t="s">
        <v>19</v>
      </c>
      <c r="K363" s="37" t="s">
        <v>20</v>
      </c>
      <c r="L363" s="37" t="s">
        <v>75</v>
      </c>
      <c r="M363" s="37" t="s">
        <v>57</v>
      </c>
      <c r="N363" s="37" t="s">
        <v>827</v>
      </c>
      <c r="O363" s="42">
        <v>834.26</v>
      </c>
      <c r="P363" s="43" t="str">
        <f t="shared" si="38"/>
        <v>High</v>
      </c>
      <c r="Q363" s="42">
        <v>1780.56</v>
      </c>
      <c r="R363" s="42">
        <v>1.4E-2</v>
      </c>
      <c r="S363" s="42">
        <v>47</v>
      </c>
      <c r="T363" s="42">
        <f t="shared" si="35"/>
        <v>45086.595219999996</v>
      </c>
      <c r="U363" s="37">
        <f t="shared" si="36"/>
        <v>39210.22</v>
      </c>
      <c r="V363" s="42">
        <f t="shared" si="39"/>
        <v>5876.3752199999944</v>
      </c>
      <c r="W363" s="44">
        <f t="shared" si="40"/>
        <v>0.13033530678744376</v>
      </c>
    </row>
    <row r="364" spans="1:23" x14ac:dyDescent="0.3">
      <c r="A364" s="45" t="s">
        <v>828</v>
      </c>
      <c r="B364" s="46">
        <v>45360</v>
      </c>
      <c r="C364" s="47">
        <v>45377</v>
      </c>
      <c r="D364" s="48">
        <f t="shared" si="41"/>
        <v>17</v>
      </c>
      <c r="E364" s="48" t="str">
        <f>TEXT(Data!B364,"MMM-YYYY")</f>
        <v>Mar-2024</v>
      </c>
      <c r="F364" s="48" t="str">
        <f t="shared" si="37"/>
        <v>Q1-2024</v>
      </c>
      <c r="G364" s="38" t="s">
        <v>45</v>
      </c>
      <c r="H364" s="38" t="s">
        <v>116</v>
      </c>
      <c r="I364" s="38" t="s">
        <v>117</v>
      </c>
      <c r="J364" s="38" t="s">
        <v>105</v>
      </c>
      <c r="K364" s="38" t="s">
        <v>28</v>
      </c>
      <c r="L364" s="38" t="s">
        <v>95</v>
      </c>
      <c r="M364" s="38" t="s">
        <v>64</v>
      </c>
      <c r="N364" s="38" t="s">
        <v>829</v>
      </c>
      <c r="O364" s="48">
        <v>1029.67</v>
      </c>
      <c r="P364" s="49" t="str">
        <f t="shared" si="38"/>
        <v>High</v>
      </c>
      <c r="Q364" s="48">
        <v>1118.43</v>
      </c>
      <c r="R364" s="48">
        <v>0.27200000000000002</v>
      </c>
      <c r="S364" s="48">
        <v>9</v>
      </c>
      <c r="T364" s="48">
        <f t="shared" si="35"/>
        <v>278.85311999999999</v>
      </c>
      <c r="U364" s="38">
        <f t="shared" si="36"/>
        <v>9267.0300000000007</v>
      </c>
      <c r="V364" s="48">
        <f t="shared" si="39"/>
        <v>-8988.1768800000009</v>
      </c>
      <c r="W364" s="50">
        <f t="shared" si="40"/>
        <v>-32.232656676030743</v>
      </c>
    </row>
    <row r="365" spans="1:23" x14ac:dyDescent="0.3">
      <c r="A365" s="39" t="s">
        <v>830</v>
      </c>
      <c r="B365" s="40">
        <v>45082</v>
      </c>
      <c r="C365" s="41">
        <v>45105</v>
      </c>
      <c r="D365" s="42">
        <f t="shared" si="41"/>
        <v>23</v>
      </c>
      <c r="E365" s="42" t="str">
        <f>TEXT(Data!B365,"MMM-YYYY")</f>
        <v>Jun-2023</v>
      </c>
      <c r="F365" s="42" t="str">
        <f t="shared" si="37"/>
        <v>Q2-2023</v>
      </c>
      <c r="G365" s="37" t="s">
        <v>78</v>
      </c>
      <c r="H365" s="37" t="s">
        <v>108</v>
      </c>
      <c r="I365" s="37" t="s">
        <v>109</v>
      </c>
      <c r="J365" s="37" t="s">
        <v>19</v>
      </c>
      <c r="K365" s="37" t="s">
        <v>98</v>
      </c>
      <c r="L365" s="37" t="s">
        <v>95</v>
      </c>
      <c r="M365" s="37" t="s">
        <v>30</v>
      </c>
      <c r="N365" s="37" t="s">
        <v>831</v>
      </c>
      <c r="O365" s="42">
        <v>605.82000000000005</v>
      </c>
      <c r="P365" s="43" t="str">
        <f t="shared" si="38"/>
        <v>High</v>
      </c>
      <c r="Q365" s="42">
        <v>771.12</v>
      </c>
      <c r="R365" s="42">
        <v>0.13200000000000001</v>
      </c>
      <c r="S365" s="42">
        <v>19</v>
      </c>
      <c r="T365" s="42">
        <f t="shared" si="35"/>
        <v>24421.848359999996</v>
      </c>
      <c r="U365" s="37">
        <f t="shared" si="36"/>
        <v>11510.580000000002</v>
      </c>
      <c r="V365" s="42">
        <f t="shared" si="39"/>
        <v>12911.268359999995</v>
      </c>
      <c r="W365" s="44">
        <f t="shared" si="40"/>
        <v>0.52867695227962652</v>
      </c>
    </row>
    <row r="366" spans="1:23" x14ac:dyDescent="0.3">
      <c r="A366" s="45" t="s">
        <v>832</v>
      </c>
      <c r="B366" s="46">
        <v>45737</v>
      </c>
      <c r="C366" s="47">
        <v>45756</v>
      </c>
      <c r="D366" s="48">
        <f t="shared" si="41"/>
        <v>19</v>
      </c>
      <c r="E366" s="48" t="str">
        <f>TEXT(Data!B366,"MMM-YYYY")</f>
        <v>Mar-2025</v>
      </c>
      <c r="F366" s="48" t="str">
        <f t="shared" si="37"/>
        <v>Q1-2025</v>
      </c>
      <c r="G366" s="38" t="s">
        <v>45</v>
      </c>
      <c r="H366" s="38" t="s">
        <v>46</v>
      </c>
      <c r="I366" s="38" t="s">
        <v>214</v>
      </c>
      <c r="J366" s="38" t="s">
        <v>62</v>
      </c>
      <c r="K366" s="38" t="s">
        <v>55</v>
      </c>
      <c r="L366" s="38" t="s">
        <v>63</v>
      </c>
      <c r="M366" s="38" t="s">
        <v>22</v>
      </c>
      <c r="N366" s="38" t="s">
        <v>833</v>
      </c>
      <c r="O366" s="48">
        <v>1055.45</v>
      </c>
      <c r="P366" s="49" t="str">
        <f t="shared" si="38"/>
        <v>High</v>
      </c>
      <c r="Q366" s="48">
        <v>1210.04</v>
      </c>
      <c r="R366" s="48">
        <v>8.9999999999999993E-3</v>
      </c>
      <c r="S366" s="48">
        <v>18</v>
      </c>
      <c r="T366" s="48">
        <f t="shared" si="35"/>
        <v>10065.26988</v>
      </c>
      <c r="U366" s="38">
        <f t="shared" si="36"/>
        <v>18998.100000000002</v>
      </c>
      <c r="V366" s="48">
        <f t="shared" si="39"/>
        <v>-8932.8301200000024</v>
      </c>
      <c r="W366" s="50">
        <f t="shared" si="40"/>
        <v>-0.887490372985409</v>
      </c>
    </row>
    <row r="367" spans="1:23" x14ac:dyDescent="0.3">
      <c r="A367" s="39" t="s">
        <v>834</v>
      </c>
      <c r="B367" s="40">
        <v>45445</v>
      </c>
      <c r="C367" s="41">
        <v>45458</v>
      </c>
      <c r="D367" s="42">
        <f t="shared" si="41"/>
        <v>13</v>
      </c>
      <c r="E367" s="42" t="str">
        <f>TEXT(Data!B367,"MMM-YYYY")</f>
        <v>Jun-2024</v>
      </c>
      <c r="F367" s="42" t="str">
        <f t="shared" si="37"/>
        <v>Q2-2024</v>
      </c>
      <c r="G367" s="37" t="s">
        <v>16</v>
      </c>
      <c r="H367" s="37" t="s">
        <v>17</v>
      </c>
      <c r="I367" s="37" t="s">
        <v>113</v>
      </c>
      <c r="J367" s="37" t="s">
        <v>27</v>
      </c>
      <c r="K367" s="37" t="s">
        <v>28</v>
      </c>
      <c r="L367" s="37" t="s">
        <v>68</v>
      </c>
      <c r="M367" s="37" t="s">
        <v>42</v>
      </c>
      <c r="N367" s="37" t="s">
        <v>835</v>
      </c>
      <c r="O367" s="42">
        <v>1295.18</v>
      </c>
      <c r="P367" s="43" t="str">
        <f t="shared" si="38"/>
        <v>High</v>
      </c>
      <c r="Q367" s="42">
        <v>3024.03</v>
      </c>
      <c r="R367" s="42">
        <v>0.192</v>
      </c>
      <c r="S367" s="42">
        <v>8</v>
      </c>
      <c r="T367" s="42">
        <f t="shared" si="35"/>
        <v>13814.925440000001</v>
      </c>
      <c r="U367" s="37">
        <f t="shared" si="36"/>
        <v>10361.44</v>
      </c>
      <c r="V367" s="42">
        <f t="shared" si="39"/>
        <v>3453.4854400000004</v>
      </c>
      <c r="W367" s="44">
        <f t="shared" si="40"/>
        <v>0.24998219896292109</v>
      </c>
    </row>
    <row r="368" spans="1:23" x14ac:dyDescent="0.3">
      <c r="A368" s="45" t="s">
        <v>836</v>
      </c>
      <c r="B368" s="46">
        <v>45731</v>
      </c>
      <c r="C368" s="47">
        <v>45745</v>
      </c>
      <c r="D368" s="48">
        <f t="shared" si="41"/>
        <v>14</v>
      </c>
      <c r="E368" s="48" t="str">
        <f>TEXT(Data!B368,"MMM-YYYY")</f>
        <v>Mar-2025</v>
      </c>
      <c r="F368" s="48" t="str">
        <f t="shared" si="37"/>
        <v>Q1-2025</v>
      </c>
      <c r="G368" s="38" t="s">
        <v>45</v>
      </c>
      <c r="H368" s="38" t="s">
        <v>60</v>
      </c>
      <c r="I368" s="38" t="s">
        <v>220</v>
      </c>
      <c r="J368" s="38" t="s">
        <v>105</v>
      </c>
      <c r="K368" s="38" t="s">
        <v>98</v>
      </c>
      <c r="L368" s="38" t="s">
        <v>21</v>
      </c>
      <c r="M368" s="38" t="s">
        <v>22</v>
      </c>
      <c r="N368" s="38" t="s">
        <v>837</v>
      </c>
      <c r="O368" s="48">
        <v>935.83</v>
      </c>
      <c r="P368" s="49" t="str">
        <f t="shared" si="38"/>
        <v>High</v>
      </c>
      <c r="Q368" s="48">
        <v>2303.46</v>
      </c>
      <c r="R368" s="48">
        <v>0.105</v>
      </c>
      <c r="S368" s="48">
        <v>9</v>
      </c>
      <c r="T368" s="48">
        <f t="shared" si="35"/>
        <v>13539.891150000001</v>
      </c>
      <c r="U368" s="38">
        <f t="shared" si="36"/>
        <v>8422.4700000000012</v>
      </c>
      <c r="V368" s="48">
        <f t="shared" si="39"/>
        <v>5117.4211500000001</v>
      </c>
      <c r="W368" s="50">
        <f t="shared" si="40"/>
        <v>0.37795142466858012</v>
      </c>
    </row>
    <row r="369" spans="1:23" x14ac:dyDescent="0.3">
      <c r="A369" s="39" t="s">
        <v>838</v>
      </c>
      <c r="B369" s="40">
        <v>45194</v>
      </c>
      <c r="C369" s="41">
        <v>45208</v>
      </c>
      <c r="D369" s="42">
        <f t="shared" si="41"/>
        <v>14</v>
      </c>
      <c r="E369" s="42" t="str">
        <f>TEXT(Data!B369,"MMM-YYYY")</f>
        <v>Sept-2023</v>
      </c>
      <c r="F369" s="42" t="str">
        <f t="shared" si="37"/>
        <v>Q3-2023</v>
      </c>
      <c r="G369" s="37" t="s">
        <v>52</v>
      </c>
      <c r="H369" s="37" t="s">
        <v>122</v>
      </c>
      <c r="I369" s="37" t="s">
        <v>387</v>
      </c>
      <c r="J369" s="37" t="s">
        <v>62</v>
      </c>
      <c r="K369" s="37" t="s">
        <v>40</v>
      </c>
      <c r="L369" s="37" t="s">
        <v>29</v>
      </c>
      <c r="M369" s="37" t="s">
        <v>57</v>
      </c>
      <c r="N369" s="37" t="s">
        <v>839</v>
      </c>
      <c r="O369" s="42">
        <v>1279.56</v>
      </c>
      <c r="P369" s="43" t="str">
        <f t="shared" si="38"/>
        <v>High</v>
      </c>
      <c r="Q369" s="42">
        <v>3083.8</v>
      </c>
      <c r="R369" s="42">
        <v>0.106</v>
      </c>
      <c r="S369" s="42">
        <v>5</v>
      </c>
      <c r="T369" s="42">
        <f t="shared" si="35"/>
        <v>12985.618199999999</v>
      </c>
      <c r="U369" s="37">
        <f t="shared" si="36"/>
        <v>6397.7999999999993</v>
      </c>
      <c r="V369" s="42">
        <f t="shared" si="39"/>
        <v>6587.8181999999997</v>
      </c>
      <c r="W369" s="44">
        <f t="shared" si="40"/>
        <v>0.50731648648040495</v>
      </c>
    </row>
    <row r="370" spans="1:23" x14ac:dyDescent="0.3">
      <c r="A370" s="45" t="s">
        <v>840</v>
      </c>
      <c r="B370" s="46">
        <v>45832</v>
      </c>
      <c r="C370" s="47">
        <v>45861</v>
      </c>
      <c r="D370" s="48">
        <f t="shared" si="41"/>
        <v>29</v>
      </c>
      <c r="E370" s="48" t="str">
        <f>TEXT(Data!B370,"MMM-YYYY")</f>
        <v>Jun-2025</v>
      </c>
      <c r="F370" s="48" t="str">
        <f t="shared" si="37"/>
        <v>Q2-2025</v>
      </c>
      <c r="G370" s="38" t="s">
        <v>52</v>
      </c>
      <c r="H370" s="38" t="s">
        <v>53</v>
      </c>
      <c r="I370" s="38" t="s">
        <v>179</v>
      </c>
      <c r="J370" s="38" t="s">
        <v>39</v>
      </c>
      <c r="K370" s="38" t="s">
        <v>40</v>
      </c>
      <c r="L370" s="38" t="s">
        <v>34</v>
      </c>
      <c r="M370" s="38" t="s">
        <v>30</v>
      </c>
      <c r="N370" s="38" t="s">
        <v>841</v>
      </c>
      <c r="O370" s="48">
        <v>255.4</v>
      </c>
      <c r="P370" s="49" t="str">
        <f t="shared" si="38"/>
        <v>High</v>
      </c>
      <c r="Q370" s="48">
        <v>322.70999999999998</v>
      </c>
      <c r="R370" s="48">
        <v>0.115</v>
      </c>
      <c r="S370" s="48">
        <v>16</v>
      </c>
      <c r="T370" s="48">
        <f t="shared" si="35"/>
        <v>11923.994400000001</v>
      </c>
      <c r="U370" s="38">
        <f t="shared" si="36"/>
        <v>4086.4</v>
      </c>
      <c r="V370" s="48">
        <f t="shared" si="39"/>
        <v>7837.5944000000018</v>
      </c>
      <c r="W370" s="50">
        <f t="shared" si="40"/>
        <v>0.65729604837788258</v>
      </c>
    </row>
    <row r="371" spans="1:23" x14ac:dyDescent="0.3">
      <c r="A371" s="39" t="s">
        <v>842</v>
      </c>
      <c r="B371" s="40">
        <v>45286</v>
      </c>
      <c r="C371" s="41">
        <v>45294</v>
      </c>
      <c r="D371" s="42">
        <f t="shared" si="41"/>
        <v>8</v>
      </c>
      <c r="E371" s="42" t="str">
        <f>TEXT(Data!B371,"MMM-YYYY")</f>
        <v>Dec-2023</v>
      </c>
      <c r="F371" s="42" t="str">
        <f t="shared" si="37"/>
        <v>Q4-2023</v>
      </c>
      <c r="G371" s="37" t="s">
        <v>78</v>
      </c>
      <c r="H371" s="37" t="s">
        <v>90</v>
      </c>
      <c r="I371" s="37" t="s">
        <v>138</v>
      </c>
      <c r="J371" s="37" t="s">
        <v>62</v>
      </c>
      <c r="K371" s="37" t="s">
        <v>20</v>
      </c>
      <c r="L371" s="37" t="s">
        <v>110</v>
      </c>
      <c r="M371" s="37" t="s">
        <v>57</v>
      </c>
      <c r="N371" s="37" t="s">
        <v>843</v>
      </c>
      <c r="O371" s="42">
        <v>492.75</v>
      </c>
      <c r="P371" s="43" t="str">
        <f t="shared" si="38"/>
        <v>High</v>
      </c>
      <c r="Q371" s="42">
        <v>731.29</v>
      </c>
      <c r="R371" s="42">
        <v>5.8000000000000003E-2</v>
      </c>
      <c r="S371" s="42">
        <v>6</v>
      </c>
      <c r="T371" s="42">
        <f t="shared" si="35"/>
        <v>17698.503240000002</v>
      </c>
      <c r="U371" s="37">
        <f t="shared" si="36"/>
        <v>2956.5</v>
      </c>
      <c r="V371" s="42">
        <f t="shared" si="39"/>
        <v>14742.003240000002</v>
      </c>
      <c r="W371" s="44">
        <f t="shared" si="40"/>
        <v>0.83295197566096557</v>
      </c>
    </row>
    <row r="372" spans="1:23" x14ac:dyDescent="0.3">
      <c r="A372" s="45" t="s">
        <v>844</v>
      </c>
      <c r="B372" s="46">
        <v>44962</v>
      </c>
      <c r="C372" s="47">
        <v>44985</v>
      </c>
      <c r="D372" s="48">
        <f t="shared" si="41"/>
        <v>23</v>
      </c>
      <c r="E372" s="48" t="str">
        <f>TEXT(Data!B372,"MMM-YYYY")</f>
        <v>Feb-2023</v>
      </c>
      <c r="F372" s="48" t="str">
        <f t="shared" si="37"/>
        <v>Q1-2023</v>
      </c>
      <c r="G372" s="38" t="s">
        <v>52</v>
      </c>
      <c r="H372" s="38" t="s">
        <v>122</v>
      </c>
      <c r="I372" s="38" t="s">
        <v>326</v>
      </c>
      <c r="J372" s="38" t="s">
        <v>39</v>
      </c>
      <c r="K372" s="38" t="s">
        <v>55</v>
      </c>
      <c r="L372" s="38" t="s">
        <v>49</v>
      </c>
      <c r="M372" s="38" t="s">
        <v>42</v>
      </c>
      <c r="N372" s="38" t="s">
        <v>845</v>
      </c>
      <c r="O372" s="48">
        <v>1214.49</v>
      </c>
      <c r="P372" s="49" t="str">
        <f t="shared" si="38"/>
        <v>High</v>
      </c>
      <c r="Q372" s="48">
        <v>1533.95</v>
      </c>
      <c r="R372" s="48">
        <v>0</v>
      </c>
      <c r="S372" s="48">
        <v>11</v>
      </c>
      <c r="T372" s="48">
        <f t="shared" si="35"/>
        <v>15891.92</v>
      </c>
      <c r="U372" s="38">
        <f t="shared" si="36"/>
        <v>13359.39</v>
      </c>
      <c r="V372" s="48">
        <f t="shared" si="39"/>
        <v>2532.5300000000007</v>
      </c>
      <c r="W372" s="50">
        <f t="shared" si="40"/>
        <v>0.15935959909186559</v>
      </c>
    </row>
    <row r="373" spans="1:23" x14ac:dyDescent="0.3">
      <c r="A373" s="39" t="s">
        <v>846</v>
      </c>
      <c r="B373" s="40">
        <v>45022</v>
      </c>
      <c r="C373" s="41">
        <v>45024</v>
      </c>
      <c r="D373" s="42">
        <f t="shared" si="41"/>
        <v>2</v>
      </c>
      <c r="E373" s="42" t="str">
        <f>TEXT(Data!B373,"MMM-YYYY")</f>
        <v>Apr-2023</v>
      </c>
      <c r="F373" s="42" t="str">
        <f t="shared" si="37"/>
        <v>Q2-2023</v>
      </c>
      <c r="G373" s="37" t="s">
        <v>16</v>
      </c>
      <c r="H373" s="37" t="s">
        <v>25</v>
      </c>
      <c r="I373" s="37" t="s">
        <v>67</v>
      </c>
      <c r="J373" s="37" t="s">
        <v>62</v>
      </c>
      <c r="K373" s="37" t="s">
        <v>40</v>
      </c>
      <c r="L373" s="37" t="s">
        <v>95</v>
      </c>
      <c r="M373" s="37" t="s">
        <v>64</v>
      </c>
      <c r="N373" s="37" t="s">
        <v>847</v>
      </c>
      <c r="O373" s="42">
        <v>720.35</v>
      </c>
      <c r="P373" s="43" t="str">
        <f t="shared" si="38"/>
        <v>High</v>
      </c>
      <c r="Q373" s="42">
        <v>1571.66</v>
      </c>
      <c r="R373" s="42">
        <v>0.107</v>
      </c>
      <c r="S373" s="42">
        <v>23</v>
      </c>
      <c r="T373" s="42">
        <f t="shared" si="35"/>
        <v>59066.056200000006</v>
      </c>
      <c r="U373" s="37">
        <f t="shared" si="36"/>
        <v>16568.05</v>
      </c>
      <c r="V373" s="42">
        <f t="shared" si="39"/>
        <v>42498.006200000003</v>
      </c>
      <c r="W373" s="44">
        <f t="shared" si="40"/>
        <v>0.71949964047201787</v>
      </c>
    </row>
    <row r="374" spans="1:23" x14ac:dyDescent="0.3">
      <c r="A374" s="45" t="s">
        <v>848</v>
      </c>
      <c r="B374" s="46">
        <v>45751</v>
      </c>
      <c r="C374" s="47">
        <v>45757</v>
      </c>
      <c r="D374" s="48">
        <f t="shared" si="41"/>
        <v>6</v>
      </c>
      <c r="E374" s="48" t="str">
        <f>TEXT(Data!B374,"MMM-YYYY")</f>
        <v>Apr-2025</v>
      </c>
      <c r="F374" s="48" t="str">
        <f t="shared" si="37"/>
        <v>Q2-2025</v>
      </c>
      <c r="G374" s="38" t="s">
        <v>78</v>
      </c>
      <c r="H374" s="38" t="s">
        <v>108</v>
      </c>
      <c r="I374" s="38" t="s">
        <v>109</v>
      </c>
      <c r="J374" s="38" t="s">
        <v>39</v>
      </c>
      <c r="K374" s="38" t="s">
        <v>98</v>
      </c>
      <c r="L374" s="38" t="s">
        <v>126</v>
      </c>
      <c r="M374" s="38" t="s">
        <v>30</v>
      </c>
      <c r="N374" s="38" t="s">
        <v>849</v>
      </c>
      <c r="O374" s="48">
        <v>290.14</v>
      </c>
      <c r="P374" s="49" t="str">
        <f t="shared" si="38"/>
        <v>High</v>
      </c>
      <c r="Q374" s="48">
        <v>250.73</v>
      </c>
      <c r="R374" s="48">
        <v>3.4000000000000002E-2</v>
      </c>
      <c r="S374" s="48">
        <v>17</v>
      </c>
      <c r="T374" s="48">
        <f t="shared" si="35"/>
        <v>26958.519419999997</v>
      </c>
      <c r="U374" s="38">
        <f t="shared" si="36"/>
        <v>4932.38</v>
      </c>
      <c r="V374" s="48">
        <f t="shared" si="39"/>
        <v>22026.139419999996</v>
      </c>
      <c r="W374" s="50">
        <f t="shared" si="40"/>
        <v>0.81703817174986382</v>
      </c>
    </row>
    <row r="375" spans="1:23" x14ac:dyDescent="0.3">
      <c r="A375" s="39" t="s">
        <v>850</v>
      </c>
      <c r="B375" s="40">
        <v>45429</v>
      </c>
      <c r="C375" s="41">
        <v>45439</v>
      </c>
      <c r="D375" s="42">
        <f t="shared" si="41"/>
        <v>10</v>
      </c>
      <c r="E375" s="42" t="str">
        <f>TEXT(Data!B375,"MMM-YYYY")</f>
        <v>May-2024</v>
      </c>
      <c r="F375" s="42" t="str">
        <f t="shared" si="37"/>
        <v>Q2-2024</v>
      </c>
      <c r="G375" s="37" t="s">
        <v>52</v>
      </c>
      <c r="H375" s="37" t="s">
        <v>122</v>
      </c>
      <c r="I375" s="37" t="s">
        <v>326</v>
      </c>
      <c r="J375" s="37" t="s">
        <v>39</v>
      </c>
      <c r="K375" s="37" t="s">
        <v>28</v>
      </c>
      <c r="L375" s="37" t="s">
        <v>21</v>
      </c>
      <c r="M375" s="37" t="s">
        <v>42</v>
      </c>
      <c r="N375" s="37" t="s">
        <v>851</v>
      </c>
      <c r="O375" s="42">
        <v>1484.23</v>
      </c>
      <c r="P375" s="43" t="str">
        <f t="shared" si="38"/>
        <v>High</v>
      </c>
      <c r="Q375" s="42">
        <v>3472.81</v>
      </c>
      <c r="R375" s="42">
        <v>0.25600000000000001</v>
      </c>
      <c r="S375" s="42">
        <v>12</v>
      </c>
      <c r="T375" s="42">
        <f t="shared" si="35"/>
        <v>11597.65056</v>
      </c>
      <c r="U375" s="37">
        <f t="shared" si="36"/>
        <v>17810.760000000002</v>
      </c>
      <c r="V375" s="42">
        <f t="shared" si="39"/>
        <v>-6213.109440000002</v>
      </c>
      <c r="W375" s="44">
        <f t="shared" si="40"/>
        <v>-0.53572138665988589</v>
      </c>
    </row>
    <row r="376" spans="1:23" x14ac:dyDescent="0.3">
      <c r="A376" s="45" t="s">
        <v>852</v>
      </c>
      <c r="B376" s="46">
        <v>45354</v>
      </c>
      <c r="C376" s="47">
        <v>45370</v>
      </c>
      <c r="D376" s="48">
        <f t="shared" si="41"/>
        <v>16</v>
      </c>
      <c r="E376" s="48" t="str">
        <f>TEXT(Data!B376,"MMM-YYYY")</f>
        <v>Mar-2024</v>
      </c>
      <c r="F376" s="48" t="str">
        <f t="shared" si="37"/>
        <v>Q1-2024</v>
      </c>
      <c r="G376" s="38" t="s">
        <v>45</v>
      </c>
      <c r="H376" s="38" t="s">
        <v>116</v>
      </c>
      <c r="I376" s="38" t="s">
        <v>338</v>
      </c>
      <c r="J376" s="38" t="s">
        <v>48</v>
      </c>
      <c r="K376" s="38" t="s">
        <v>55</v>
      </c>
      <c r="L376" s="38" t="s">
        <v>41</v>
      </c>
      <c r="M376" s="38" t="s">
        <v>42</v>
      </c>
      <c r="N376" s="38" t="s">
        <v>853</v>
      </c>
      <c r="O376" s="48">
        <v>988.83</v>
      </c>
      <c r="P376" s="49" t="str">
        <f t="shared" si="38"/>
        <v>High</v>
      </c>
      <c r="Q376" s="48">
        <v>1206.04</v>
      </c>
      <c r="R376" s="48">
        <v>6.3E-2</v>
      </c>
      <c r="S376" s="48">
        <v>34</v>
      </c>
      <c r="T376" s="48">
        <f t="shared" si="35"/>
        <v>35635.084480000005</v>
      </c>
      <c r="U376" s="38">
        <f t="shared" si="36"/>
        <v>33620.22</v>
      </c>
      <c r="V376" s="48">
        <f t="shared" si="39"/>
        <v>2014.8644800000038</v>
      </c>
      <c r="W376" s="50">
        <f t="shared" si="40"/>
        <v>5.6541594033005182E-2</v>
      </c>
    </row>
    <row r="377" spans="1:23" x14ac:dyDescent="0.3">
      <c r="A377" s="39" t="s">
        <v>854</v>
      </c>
      <c r="B377" s="40">
        <v>45835</v>
      </c>
      <c r="C377" s="41">
        <v>45849</v>
      </c>
      <c r="D377" s="42">
        <f t="shared" si="41"/>
        <v>14</v>
      </c>
      <c r="E377" s="42" t="str">
        <f>TEXT(Data!B377,"MMM-YYYY")</f>
        <v>Jun-2025</v>
      </c>
      <c r="F377" s="42" t="str">
        <f t="shared" si="37"/>
        <v>Q2-2025</v>
      </c>
      <c r="G377" s="37" t="s">
        <v>45</v>
      </c>
      <c r="H377" s="37" t="s">
        <v>116</v>
      </c>
      <c r="I377" s="37" t="s">
        <v>162</v>
      </c>
      <c r="J377" s="37" t="s">
        <v>62</v>
      </c>
      <c r="K377" s="37" t="s">
        <v>40</v>
      </c>
      <c r="L377" s="37" t="s">
        <v>49</v>
      </c>
      <c r="M377" s="37" t="s">
        <v>35</v>
      </c>
      <c r="N377" s="37" t="s">
        <v>855</v>
      </c>
      <c r="O377" s="42">
        <v>1227.7</v>
      </c>
      <c r="P377" s="43" t="str">
        <f t="shared" si="38"/>
        <v>High</v>
      </c>
      <c r="Q377" s="42">
        <v>2197.23</v>
      </c>
      <c r="R377" s="42">
        <v>9.9000000000000005E-2</v>
      </c>
      <c r="S377" s="42">
        <v>22</v>
      </c>
      <c r="T377" s="42">
        <f t="shared" si="35"/>
        <v>23483.321620000002</v>
      </c>
      <c r="U377" s="37">
        <f t="shared" si="36"/>
        <v>27009.4</v>
      </c>
      <c r="V377" s="42">
        <f t="shared" si="39"/>
        <v>-3526.078379999999</v>
      </c>
      <c r="W377" s="44">
        <f t="shared" si="40"/>
        <v>-0.15015245445503542</v>
      </c>
    </row>
    <row r="378" spans="1:23" x14ac:dyDescent="0.3">
      <c r="A378" s="45" t="s">
        <v>856</v>
      </c>
      <c r="B378" s="46">
        <v>44998</v>
      </c>
      <c r="C378" s="47">
        <v>45020</v>
      </c>
      <c r="D378" s="48">
        <f t="shared" si="41"/>
        <v>22</v>
      </c>
      <c r="E378" s="48" t="str">
        <f>TEXT(Data!B378,"MMM-YYYY")</f>
        <v>Mar-2023</v>
      </c>
      <c r="F378" s="48" t="str">
        <f t="shared" si="37"/>
        <v>Q1-2023</v>
      </c>
      <c r="G378" s="38" t="s">
        <v>16</v>
      </c>
      <c r="H378" s="38" t="s">
        <v>148</v>
      </c>
      <c r="I378" s="38" t="s">
        <v>172</v>
      </c>
      <c r="J378" s="38" t="s">
        <v>62</v>
      </c>
      <c r="K378" s="38" t="s">
        <v>20</v>
      </c>
      <c r="L378" s="38" t="s">
        <v>75</v>
      </c>
      <c r="M378" s="38" t="s">
        <v>22</v>
      </c>
      <c r="N378" s="38" t="s">
        <v>857</v>
      </c>
      <c r="O378" s="48">
        <v>1113.7</v>
      </c>
      <c r="P378" s="49" t="str">
        <f t="shared" si="38"/>
        <v>High</v>
      </c>
      <c r="Q378" s="48">
        <v>1620.6</v>
      </c>
      <c r="R378" s="48">
        <v>0.13900000000000001</v>
      </c>
      <c r="S378" s="48">
        <v>11</v>
      </c>
      <c r="T378" s="48">
        <f t="shared" si="35"/>
        <v>11379.122369999999</v>
      </c>
      <c r="U378" s="38">
        <f t="shared" si="36"/>
        <v>12250.7</v>
      </c>
      <c r="V378" s="48">
        <f t="shared" si="39"/>
        <v>-871.57763000000159</v>
      </c>
      <c r="W378" s="50">
        <f t="shared" si="40"/>
        <v>-7.6594450930401736E-2</v>
      </c>
    </row>
    <row r="379" spans="1:23" x14ac:dyDescent="0.3">
      <c r="A379" s="39" t="s">
        <v>858</v>
      </c>
      <c r="B379" s="40">
        <v>45664</v>
      </c>
      <c r="C379" s="41">
        <v>45677</v>
      </c>
      <c r="D379" s="42">
        <f t="shared" si="41"/>
        <v>13</v>
      </c>
      <c r="E379" s="42" t="str">
        <f>TEXT(Data!B379,"MMM-YYYY")</f>
        <v>Jan-2025</v>
      </c>
      <c r="F379" s="42" t="str">
        <f t="shared" si="37"/>
        <v>Q1-2025</v>
      </c>
      <c r="G379" s="37" t="s">
        <v>16</v>
      </c>
      <c r="H379" s="37" t="s">
        <v>148</v>
      </c>
      <c r="I379" s="37" t="s">
        <v>258</v>
      </c>
      <c r="J379" s="37" t="s">
        <v>19</v>
      </c>
      <c r="K379" s="37" t="s">
        <v>98</v>
      </c>
      <c r="L379" s="37" t="s">
        <v>95</v>
      </c>
      <c r="M379" s="37" t="s">
        <v>35</v>
      </c>
      <c r="N379" s="37" t="s">
        <v>859</v>
      </c>
      <c r="O379" s="42">
        <v>432.13</v>
      </c>
      <c r="P379" s="43" t="str">
        <f t="shared" si="38"/>
        <v>High</v>
      </c>
      <c r="Q379" s="42">
        <v>1034.6600000000001</v>
      </c>
      <c r="R379" s="42">
        <v>9.1999999999999998E-2</v>
      </c>
      <c r="S379" s="42">
        <v>7</v>
      </c>
      <c r="T379" s="42">
        <f t="shared" si="35"/>
        <v>5599.5724400000008</v>
      </c>
      <c r="U379" s="37">
        <f t="shared" si="36"/>
        <v>3024.91</v>
      </c>
      <c r="V379" s="42">
        <f t="shared" si="39"/>
        <v>2574.662440000001</v>
      </c>
      <c r="W379" s="44">
        <f t="shared" si="40"/>
        <v>0.45979625544410324</v>
      </c>
    </row>
    <row r="380" spans="1:23" x14ac:dyDescent="0.3">
      <c r="A380" s="45" t="s">
        <v>860</v>
      </c>
      <c r="B380" s="46">
        <v>45694</v>
      </c>
      <c r="C380" s="47">
        <v>45703</v>
      </c>
      <c r="D380" s="48">
        <f t="shared" si="41"/>
        <v>9</v>
      </c>
      <c r="E380" s="48" t="str">
        <f>TEXT(Data!B380,"MMM-YYYY")</f>
        <v>Feb-2025</v>
      </c>
      <c r="F380" s="48" t="str">
        <f t="shared" si="37"/>
        <v>Q1-2025</v>
      </c>
      <c r="G380" s="38" t="s">
        <v>52</v>
      </c>
      <c r="H380" s="38" t="s">
        <v>73</v>
      </c>
      <c r="I380" s="38" t="s">
        <v>74</v>
      </c>
      <c r="J380" s="38" t="s">
        <v>39</v>
      </c>
      <c r="K380" s="38" t="s">
        <v>55</v>
      </c>
      <c r="L380" s="38" t="s">
        <v>84</v>
      </c>
      <c r="M380" s="38" t="s">
        <v>35</v>
      </c>
      <c r="N380" s="38" t="s">
        <v>861</v>
      </c>
      <c r="O380" s="48">
        <v>837.39</v>
      </c>
      <c r="P380" s="49" t="str">
        <f t="shared" si="38"/>
        <v>High</v>
      </c>
      <c r="Q380" s="48">
        <v>1905.42</v>
      </c>
      <c r="R380" s="48">
        <v>3.2000000000000001E-2</v>
      </c>
      <c r="S380" s="48">
        <v>18</v>
      </c>
      <c r="T380" s="48">
        <f t="shared" si="35"/>
        <v>35734.358879999992</v>
      </c>
      <c r="U380" s="38">
        <f t="shared" si="36"/>
        <v>15073.02</v>
      </c>
      <c r="V380" s="48">
        <f t="shared" si="39"/>
        <v>20661.338879999992</v>
      </c>
      <c r="W380" s="50">
        <f t="shared" si="40"/>
        <v>0.57819251632254265</v>
      </c>
    </row>
    <row r="381" spans="1:23" x14ac:dyDescent="0.3">
      <c r="A381" s="39" t="s">
        <v>862</v>
      </c>
      <c r="B381" s="40">
        <v>45688</v>
      </c>
      <c r="C381" s="41">
        <v>45705</v>
      </c>
      <c r="D381" s="42">
        <f t="shared" si="41"/>
        <v>17</v>
      </c>
      <c r="E381" s="42" t="str">
        <f>TEXT(Data!B381,"MMM-YYYY")</f>
        <v>Jan-2025</v>
      </c>
      <c r="F381" s="42" t="str">
        <f t="shared" si="37"/>
        <v>Q1-2025</v>
      </c>
      <c r="G381" s="37" t="s">
        <v>78</v>
      </c>
      <c r="H381" s="37" t="s">
        <v>108</v>
      </c>
      <c r="I381" s="37" t="s">
        <v>152</v>
      </c>
      <c r="J381" s="37" t="s">
        <v>105</v>
      </c>
      <c r="K381" s="37" t="s">
        <v>20</v>
      </c>
      <c r="L381" s="37" t="s">
        <v>92</v>
      </c>
      <c r="M381" s="37" t="s">
        <v>22</v>
      </c>
      <c r="N381" s="37" t="s">
        <v>254</v>
      </c>
      <c r="O381" s="42">
        <v>378.26</v>
      </c>
      <c r="P381" s="43" t="str">
        <f t="shared" si="38"/>
        <v>High</v>
      </c>
      <c r="Q381" s="42">
        <v>541.55999999999995</v>
      </c>
      <c r="R381" s="42">
        <v>0.16300000000000001</v>
      </c>
      <c r="S381" s="42">
        <v>25</v>
      </c>
      <c r="T381" s="42">
        <f t="shared" si="35"/>
        <v>36365.557499999995</v>
      </c>
      <c r="U381" s="37">
        <f t="shared" si="36"/>
        <v>9456.5</v>
      </c>
      <c r="V381" s="42">
        <f t="shared" si="39"/>
        <v>26909.057499999995</v>
      </c>
      <c r="W381" s="44">
        <f t="shared" si="40"/>
        <v>0.73995998823887132</v>
      </c>
    </row>
    <row r="382" spans="1:23" x14ac:dyDescent="0.3">
      <c r="A382" s="45" t="s">
        <v>863</v>
      </c>
      <c r="B382" s="46">
        <v>45876</v>
      </c>
      <c r="C382" s="47">
        <v>45906</v>
      </c>
      <c r="D382" s="48">
        <f t="shared" si="41"/>
        <v>30</v>
      </c>
      <c r="E382" s="48" t="str">
        <f>TEXT(Data!B382,"MMM-YYYY")</f>
        <v>Aug-2025</v>
      </c>
      <c r="F382" s="48" t="str">
        <f t="shared" si="37"/>
        <v>Q3-2025</v>
      </c>
      <c r="G382" s="38" t="s">
        <v>52</v>
      </c>
      <c r="H382" s="38" t="s">
        <v>53</v>
      </c>
      <c r="I382" s="38" t="s">
        <v>144</v>
      </c>
      <c r="J382" s="38" t="s">
        <v>27</v>
      </c>
      <c r="K382" s="38" t="s">
        <v>98</v>
      </c>
      <c r="L382" s="38" t="s">
        <v>110</v>
      </c>
      <c r="M382" s="38" t="s">
        <v>35</v>
      </c>
      <c r="N382" s="38" t="s">
        <v>864</v>
      </c>
      <c r="O382" s="48">
        <v>833.73</v>
      </c>
      <c r="P382" s="49" t="str">
        <f t="shared" si="38"/>
        <v>High</v>
      </c>
      <c r="Q382" s="48">
        <v>1116.5999999999999</v>
      </c>
      <c r="R382" s="48">
        <v>0.17599999999999999</v>
      </c>
      <c r="S382" s="48">
        <v>14</v>
      </c>
      <c r="T382" s="48">
        <f t="shared" si="35"/>
        <v>16015.544160000001</v>
      </c>
      <c r="U382" s="38">
        <f t="shared" si="36"/>
        <v>11672.220000000001</v>
      </c>
      <c r="V382" s="48">
        <f t="shared" si="39"/>
        <v>4343.3241600000001</v>
      </c>
      <c r="W382" s="50">
        <f t="shared" si="40"/>
        <v>0.27119429203334666</v>
      </c>
    </row>
    <row r="383" spans="1:23" x14ac:dyDescent="0.3">
      <c r="A383" s="39" t="s">
        <v>865</v>
      </c>
      <c r="B383" s="40">
        <v>45861</v>
      </c>
      <c r="C383" s="41">
        <v>45886</v>
      </c>
      <c r="D383" s="42">
        <f t="shared" si="41"/>
        <v>25</v>
      </c>
      <c r="E383" s="42" t="str">
        <f>TEXT(Data!B383,"MMM-YYYY")</f>
        <v>Jul-2025</v>
      </c>
      <c r="F383" s="42" t="str">
        <f t="shared" si="37"/>
        <v>Q3-2025</v>
      </c>
      <c r="G383" s="37" t="s">
        <v>78</v>
      </c>
      <c r="H383" s="37" t="s">
        <v>108</v>
      </c>
      <c r="I383" s="37" t="s">
        <v>109</v>
      </c>
      <c r="J383" s="37" t="s">
        <v>27</v>
      </c>
      <c r="K383" s="37" t="s">
        <v>28</v>
      </c>
      <c r="L383" s="37" t="s">
        <v>34</v>
      </c>
      <c r="M383" s="37" t="s">
        <v>30</v>
      </c>
      <c r="N383" s="37" t="s">
        <v>866</v>
      </c>
      <c r="O383" s="42">
        <v>1142.06</v>
      </c>
      <c r="P383" s="43" t="str">
        <f t="shared" si="38"/>
        <v>High</v>
      </c>
      <c r="Q383" s="42">
        <v>1455</v>
      </c>
      <c r="R383" s="42">
        <v>7.8E-2</v>
      </c>
      <c r="S383" s="42">
        <v>28</v>
      </c>
      <c r="T383" s="42">
        <f t="shared" si="35"/>
        <v>13660.278240000001</v>
      </c>
      <c r="U383" s="37">
        <f t="shared" si="36"/>
        <v>31977.68</v>
      </c>
      <c r="V383" s="42">
        <f t="shared" si="39"/>
        <v>-18317.401760000001</v>
      </c>
      <c r="W383" s="44">
        <f t="shared" si="40"/>
        <v>-1.3409244993533893</v>
      </c>
    </row>
    <row r="384" spans="1:23" x14ac:dyDescent="0.3">
      <c r="A384" s="45" t="s">
        <v>867</v>
      </c>
      <c r="B384" s="46">
        <v>45097</v>
      </c>
      <c r="C384" s="47">
        <v>45115</v>
      </c>
      <c r="D384" s="48">
        <f t="shared" si="41"/>
        <v>18</v>
      </c>
      <c r="E384" s="48" t="str">
        <f>TEXT(Data!B384,"MMM-YYYY")</f>
        <v>Jun-2023</v>
      </c>
      <c r="F384" s="48" t="str">
        <f t="shared" si="37"/>
        <v>Q2-2023</v>
      </c>
      <c r="G384" s="38" t="s">
        <v>52</v>
      </c>
      <c r="H384" s="38" t="s">
        <v>122</v>
      </c>
      <c r="I384" s="38" t="s">
        <v>387</v>
      </c>
      <c r="J384" s="38" t="s">
        <v>48</v>
      </c>
      <c r="K384" s="38" t="s">
        <v>40</v>
      </c>
      <c r="L384" s="38" t="s">
        <v>68</v>
      </c>
      <c r="M384" s="38" t="s">
        <v>35</v>
      </c>
      <c r="N384" s="38" t="s">
        <v>868</v>
      </c>
      <c r="O384" s="48">
        <v>1145.53</v>
      </c>
      <c r="P384" s="49" t="str">
        <f t="shared" si="38"/>
        <v>High</v>
      </c>
      <c r="Q384" s="48">
        <v>1278.3</v>
      </c>
      <c r="R384" s="48">
        <v>0.09</v>
      </c>
      <c r="S384" s="48">
        <v>41</v>
      </c>
      <c r="T384" s="48">
        <f t="shared" si="35"/>
        <v>73589.497799999997</v>
      </c>
      <c r="U384" s="38">
        <f t="shared" si="36"/>
        <v>46966.729999999996</v>
      </c>
      <c r="V384" s="48">
        <f t="shared" si="39"/>
        <v>26622.767800000001</v>
      </c>
      <c r="W384" s="50">
        <f t="shared" si="40"/>
        <v>0.36177401118234026</v>
      </c>
    </row>
    <row r="385" spans="1:23" x14ac:dyDescent="0.3">
      <c r="A385" s="39" t="s">
        <v>869</v>
      </c>
      <c r="B385" s="40">
        <v>45491</v>
      </c>
      <c r="C385" s="41">
        <v>45511</v>
      </c>
      <c r="D385" s="42">
        <f t="shared" si="41"/>
        <v>20</v>
      </c>
      <c r="E385" s="42" t="str">
        <f>TEXT(Data!B385,"MMM-YYYY")</f>
        <v>Jul-2024</v>
      </c>
      <c r="F385" s="42" t="str">
        <f t="shared" si="37"/>
        <v>Q3-2024</v>
      </c>
      <c r="G385" s="37" t="s">
        <v>78</v>
      </c>
      <c r="H385" s="37" t="s">
        <v>90</v>
      </c>
      <c r="I385" s="37" t="s">
        <v>91</v>
      </c>
      <c r="J385" s="37" t="s">
        <v>19</v>
      </c>
      <c r="K385" s="37" t="s">
        <v>20</v>
      </c>
      <c r="L385" s="37" t="s">
        <v>84</v>
      </c>
      <c r="M385" s="37" t="s">
        <v>64</v>
      </c>
      <c r="N385" s="37" t="s">
        <v>870</v>
      </c>
      <c r="O385" s="42">
        <v>941.35</v>
      </c>
      <c r="P385" s="43" t="str">
        <f t="shared" si="38"/>
        <v>High</v>
      </c>
      <c r="Q385" s="42">
        <v>899.83</v>
      </c>
      <c r="R385" s="42">
        <v>5.8000000000000003E-2</v>
      </c>
      <c r="S385" s="42">
        <v>18</v>
      </c>
      <c r="T385" s="42">
        <f t="shared" ref="T385:T448" si="42">(Q411*S385)*(1-R385)</f>
        <v>14867.190359999997</v>
      </c>
      <c r="U385" s="37">
        <f t="shared" ref="U385:U448" si="43">(O385*S385)</f>
        <v>16944.3</v>
      </c>
      <c r="V385" s="42">
        <f t="shared" si="39"/>
        <v>-2077.1096400000024</v>
      </c>
      <c r="W385" s="44">
        <f t="shared" si="40"/>
        <v>-0.13971097360725546</v>
      </c>
    </row>
    <row r="386" spans="1:23" x14ac:dyDescent="0.3">
      <c r="A386" s="45" t="s">
        <v>871</v>
      </c>
      <c r="B386" s="46">
        <v>45066</v>
      </c>
      <c r="C386" s="47">
        <v>45096</v>
      </c>
      <c r="D386" s="48">
        <f t="shared" si="41"/>
        <v>30</v>
      </c>
      <c r="E386" s="48" t="str">
        <f>TEXT(Data!B386,"MMM-YYYY")</f>
        <v>May-2023</v>
      </c>
      <c r="F386" s="48" t="str">
        <f t="shared" ref="F386:F449" si="44">"Q"&amp;ROUNDUP(MONTH(B386)/3,0)&amp;"-"&amp;YEAR(B386)</f>
        <v>Q2-2023</v>
      </c>
      <c r="G386" s="38" t="s">
        <v>45</v>
      </c>
      <c r="H386" s="38" t="s">
        <v>60</v>
      </c>
      <c r="I386" s="38" t="s">
        <v>141</v>
      </c>
      <c r="J386" s="38" t="s">
        <v>39</v>
      </c>
      <c r="K386" s="38" t="s">
        <v>40</v>
      </c>
      <c r="L386" s="38" t="s">
        <v>92</v>
      </c>
      <c r="M386" s="38" t="s">
        <v>57</v>
      </c>
      <c r="N386" s="38" t="s">
        <v>872</v>
      </c>
      <c r="O386" s="48">
        <v>1161.2</v>
      </c>
      <c r="P386" s="49" t="str">
        <f t="shared" ref="P386:P449" si="45">IF(Q386&lt;50, "Low", IF(Q386&lt;200, "Medium", "High"))</f>
        <v>High</v>
      </c>
      <c r="Q386" s="48">
        <v>878.73</v>
      </c>
      <c r="R386" s="48">
        <v>0.19</v>
      </c>
      <c r="S386" s="48">
        <v>31</v>
      </c>
      <c r="T386" s="48">
        <f t="shared" si="42"/>
        <v>20697.168600000001</v>
      </c>
      <c r="U386" s="38">
        <f t="shared" si="43"/>
        <v>35997.200000000004</v>
      </c>
      <c r="V386" s="48">
        <f t="shared" ref="V386:V449" si="46">(T386-U386)</f>
        <v>-15300.031400000003</v>
      </c>
      <c r="W386" s="50">
        <f t="shared" ref="W386:W449" si="47">IF(T386=0, 0, V386/T386)</f>
        <v>-0.73923306591801174</v>
      </c>
    </row>
    <row r="387" spans="1:23" x14ac:dyDescent="0.3">
      <c r="A387" s="39" t="s">
        <v>873</v>
      </c>
      <c r="B387" s="40">
        <v>45789</v>
      </c>
      <c r="C387" s="41">
        <v>45803</v>
      </c>
      <c r="D387" s="42">
        <f t="shared" si="41"/>
        <v>14</v>
      </c>
      <c r="E387" s="42" t="str">
        <f>TEXT(Data!B387,"MMM-YYYY")</f>
        <v>May-2025</v>
      </c>
      <c r="F387" s="42" t="str">
        <f t="shared" si="44"/>
        <v>Q2-2025</v>
      </c>
      <c r="G387" s="37" t="s">
        <v>45</v>
      </c>
      <c r="H387" s="37" t="s">
        <v>60</v>
      </c>
      <c r="I387" s="37" t="s">
        <v>281</v>
      </c>
      <c r="J387" s="37" t="s">
        <v>19</v>
      </c>
      <c r="K387" s="37" t="s">
        <v>40</v>
      </c>
      <c r="L387" s="37" t="s">
        <v>41</v>
      </c>
      <c r="M387" s="37" t="s">
        <v>30</v>
      </c>
      <c r="N387" s="37" t="s">
        <v>874</v>
      </c>
      <c r="O387" s="42">
        <v>320.12</v>
      </c>
      <c r="P387" s="43" t="str">
        <f t="shared" si="45"/>
        <v>High</v>
      </c>
      <c r="Q387" s="42">
        <v>594.41999999999996</v>
      </c>
      <c r="R387" s="42">
        <v>0.104</v>
      </c>
      <c r="S387" s="42">
        <v>18</v>
      </c>
      <c r="T387" s="42">
        <f t="shared" si="42"/>
        <v>18697.996800000001</v>
      </c>
      <c r="U387" s="37">
        <f t="shared" si="43"/>
        <v>5762.16</v>
      </c>
      <c r="V387" s="42">
        <f t="shared" si="46"/>
        <v>12935.836800000001</v>
      </c>
      <c r="W387" s="44">
        <f t="shared" si="47"/>
        <v>0.69183008952060576</v>
      </c>
    </row>
    <row r="388" spans="1:23" x14ac:dyDescent="0.3">
      <c r="A388" s="45" t="s">
        <v>875</v>
      </c>
      <c r="B388" s="46">
        <v>45419</v>
      </c>
      <c r="C388" s="47">
        <v>45424</v>
      </c>
      <c r="D388" s="48">
        <f t="shared" ref="D388:D450" si="48">DATEDIF(B388,C388, "MD")</f>
        <v>5</v>
      </c>
      <c r="E388" s="48" t="str">
        <f>TEXT(Data!B388,"MMM-YYYY")</f>
        <v>May-2024</v>
      </c>
      <c r="F388" s="48" t="str">
        <f t="shared" si="44"/>
        <v>Q2-2024</v>
      </c>
      <c r="G388" s="38" t="s">
        <v>16</v>
      </c>
      <c r="H388" s="38" t="s">
        <v>25</v>
      </c>
      <c r="I388" s="38" t="s">
        <v>67</v>
      </c>
      <c r="J388" s="38" t="s">
        <v>39</v>
      </c>
      <c r="K388" s="38" t="s">
        <v>55</v>
      </c>
      <c r="L388" s="38" t="s">
        <v>49</v>
      </c>
      <c r="M388" s="38" t="s">
        <v>57</v>
      </c>
      <c r="N388" s="38" t="s">
        <v>876</v>
      </c>
      <c r="O388" s="48">
        <v>1163.99</v>
      </c>
      <c r="P388" s="49" t="str">
        <f t="shared" si="45"/>
        <v>High</v>
      </c>
      <c r="Q388" s="48">
        <v>1617.85</v>
      </c>
      <c r="R388" s="48">
        <v>0.127</v>
      </c>
      <c r="S388" s="48">
        <v>14</v>
      </c>
      <c r="T388" s="48">
        <f t="shared" si="42"/>
        <v>30720.11922</v>
      </c>
      <c r="U388" s="38">
        <f t="shared" si="43"/>
        <v>16295.86</v>
      </c>
      <c r="V388" s="48">
        <f t="shared" si="46"/>
        <v>14424.25922</v>
      </c>
      <c r="W388" s="50">
        <f t="shared" si="47"/>
        <v>0.4695378659406127</v>
      </c>
    </row>
    <row r="389" spans="1:23" x14ac:dyDescent="0.3">
      <c r="A389" s="39" t="s">
        <v>877</v>
      </c>
      <c r="B389" s="40">
        <v>45199</v>
      </c>
      <c r="C389" s="41">
        <v>45202</v>
      </c>
      <c r="D389" s="42">
        <f t="shared" si="48"/>
        <v>3</v>
      </c>
      <c r="E389" s="42" t="str">
        <f>TEXT(Data!B389,"MMM-YYYY")</f>
        <v>Sept-2023</v>
      </c>
      <c r="F389" s="42" t="str">
        <f t="shared" si="44"/>
        <v>Q3-2023</v>
      </c>
      <c r="G389" s="37" t="s">
        <v>45</v>
      </c>
      <c r="H389" s="37" t="s">
        <v>116</v>
      </c>
      <c r="I389" s="37" t="s">
        <v>338</v>
      </c>
      <c r="J389" s="37" t="s">
        <v>39</v>
      </c>
      <c r="K389" s="37" t="s">
        <v>20</v>
      </c>
      <c r="L389" s="37" t="s">
        <v>29</v>
      </c>
      <c r="M389" s="37" t="s">
        <v>57</v>
      </c>
      <c r="N389" s="37" t="s">
        <v>878</v>
      </c>
      <c r="O389" s="42">
        <v>1019.36</v>
      </c>
      <c r="P389" s="43" t="str">
        <f t="shared" si="45"/>
        <v>High</v>
      </c>
      <c r="Q389" s="42">
        <v>972.91</v>
      </c>
      <c r="R389" s="42">
        <v>0.14699999999999999</v>
      </c>
      <c r="S389" s="42">
        <v>17</v>
      </c>
      <c r="T389" s="42">
        <f t="shared" si="42"/>
        <v>44766.472129999995</v>
      </c>
      <c r="U389" s="37">
        <f t="shared" si="43"/>
        <v>17329.12</v>
      </c>
      <c r="V389" s="42">
        <f t="shared" si="46"/>
        <v>27437.352129999996</v>
      </c>
      <c r="W389" s="44">
        <f t="shared" si="47"/>
        <v>0.61289958365097552</v>
      </c>
    </row>
    <row r="390" spans="1:23" x14ac:dyDescent="0.3">
      <c r="A390" s="45" t="s">
        <v>879</v>
      </c>
      <c r="B390" s="46">
        <v>45225</v>
      </c>
      <c r="C390" s="47">
        <v>45235</v>
      </c>
      <c r="D390" s="48">
        <f t="shared" si="48"/>
        <v>10</v>
      </c>
      <c r="E390" s="48" t="str">
        <f>TEXT(Data!B390,"MMM-YYYY")</f>
        <v>Oct-2023</v>
      </c>
      <c r="F390" s="48" t="str">
        <f t="shared" si="44"/>
        <v>Q4-2023</v>
      </c>
      <c r="G390" s="38" t="s">
        <v>16</v>
      </c>
      <c r="H390" s="38" t="s">
        <v>148</v>
      </c>
      <c r="I390" s="38" t="s">
        <v>258</v>
      </c>
      <c r="J390" s="38" t="s">
        <v>39</v>
      </c>
      <c r="K390" s="38" t="s">
        <v>28</v>
      </c>
      <c r="L390" s="38" t="s">
        <v>34</v>
      </c>
      <c r="M390" s="38" t="s">
        <v>57</v>
      </c>
      <c r="N390" s="38" t="s">
        <v>880</v>
      </c>
      <c r="O390" s="48">
        <v>20.38</v>
      </c>
      <c r="P390" s="49" t="str">
        <f t="shared" si="45"/>
        <v>Low</v>
      </c>
      <c r="Q390" s="48">
        <v>42.56</v>
      </c>
      <c r="R390" s="48">
        <v>7.1999999999999995E-2</v>
      </c>
      <c r="S390" s="48">
        <v>11</v>
      </c>
      <c r="T390" s="48">
        <f t="shared" si="42"/>
        <v>27736.667200000004</v>
      </c>
      <c r="U390" s="38">
        <f t="shared" si="43"/>
        <v>224.17999999999998</v>
      </c>
      <c r="V390" s="48">
        <f t="shared" si="46"/>
        <v>27512.487200000003</v>
      </c>
      <c r="W390" s="50">
        <f t="shared" si="47"/>
        <v>0.99191755814123195</v>
      </c>
    </row>
    <row r="391" spans="1:23" x14ac:dyDescent="0.3">
      <c r="A391" s="39" t="s">
        <v>881</v>
      </c>
      <c r="B391" s="40">
        <v>45823</v>
      </c>
      <c r="C391" s="41">
        <v>45838</v>
      </c>
      <c r="D391" s="42">
        <f t="shared" si="48"/>
        <v>15</v>
      </c>
      <c r="E391" s="42" t="str">
        <f>TEXT(Data!B391,"MMM-YYYY")</f>
        <v>Jun-2025</v>
      </c>
      <c r="F391" s="42" t="str">
        <f t="shared" si="44"/>
        <v>Q2-2025</v>
      </c>
      <c r="G391" s="37" t="s">
        <v>16</v>
      </c>
      <c r="H391" s="37" t="s">
        <v>148</v>
      </c>
      <c r="I391" s="37" t="s">
        <v>149</v>
      </c>
      <c r="J391" s="37" t="s">
        <v>62</v>
      </c>
      <c r="K391" s="37" t="s">
        <v>98</v>
      </c>
      <c r="L391" s="37" t="s">
        <v>21</v>
      </c>
      <c r="M391" s="37" t="s">
        <v>64</v>
      </c>
      <c r="N391" s="37" t="s">
        <v>882</v>
      </c>
      <c r="O391" s="42">
        <v>1487.59</v>
      </c>
      <c r="P391" s="43" t="str">
        <f t="shared" si="45"/>
        <v>High</v>
      </c>
      <c r="Q391" s="42">
        <v>1480.83</v>
      </c>
      <c r="R391" s="42">
        <v>8.9999999999999993E-3</v>
      </c>
      <c r="S391" s="42">
        <v>11</v>
      </c>
      <c r="T391" s="42">
        <f t="shared" si="42"/>
        <v>9830.4127899999985</v>
      </c>
      <c r="U391" s="37">
        <f t="shared" si="43"/>
        <v>16363.49</v>
      </c>
      <c r="V391" s="42">
        <f t="shared" si="46"/>
        <v>-6533.0772100000013</v>
      </c>
      <c r="W391" s="44">
        <f t="shared" si="47"/>
        <v>-0.66457811584939586</v>
      </c>
    </row>
    <row r="392" spans="1:23" x14ac:dyDescent="0.3">
      <c r="A392" s="45" t="s">
        <v>883</v>
      </c>
      <c r="B392" s="46">
        <v>45514</v>
      </c>
      <c r="C392" s="47">
        <v>45542</v>
      </c>
      <c r="D392" s="48">
        <f t="shared" si="48"/>
        <v>28</v>
      </c>
      <c r="E392" s="48" t="str">
        <f>TEXT(Data!B392,"MMM-YYYY")</f>
        <v>Aug-2024</v>
      </c>
      <c r="F392" s="48" t="str">
        <f t="shared" si="44"/>
        <v>Q3-2024</v>
      </c>
      <c r="G392" s="38" t="s">
        <v>78</v>
      </c>
      <c r="H392" s="38" t="s">
        <v>90</v>
      </c>
      <c r="I392" s="38" t="s">
        <v>91</v>
      </c>
      <c r="J392" s="38" t="s">
        <v>39</v>
      </c>
      <c r="K392" s="38" t="s">
        <v>98</v>
      </c>
      <c r="L392" s="38" t="s">
        <v>84</v>
      </c>
      <c r="M392" s="38" t="s">
        <v>30</v>
      </c>
      <c r="N392" s="38" t="s">
        <v>884</v>
      </c>
      <c r="O392" s="48">
        <v>229.96</v>
      </c>
      <c r="P392" s="49" t="str">
        <f t="shared" si="45"/>
        <v>High</v>
      </c>
      <c r="Q392" s="48">
        <v>564.26</v>
      </c>
      <c r="R392" s="48">
        <v>0.105</v>
      </c>
      <c r="S392" s="48">
        <v>5</v>
      </c>
      <c r="T392" s="48">
        <f t="shared" si="42"/>
        <v>3562.7712500000002</v>
      </c>
      <c r="U392" s="38">
        <f t="shared" si="43"/>
        <v>1149.8</v>
      </c>
      <c r="V392" s="48">
        <f t="shared" si="46"/>
        <v>2412.9712500000005</v>
      </c>
      <c r="W392" s="50">
        <f t="shared" si="47"/>
        <v>0.67727369530109471</v>
      </c>
    </row>
    <row r="393" spans="1:23" x14ac:dyDescent="0.3">
      <c r="A393" s="39" t="s">
        <v>885</v>
      </c>
      <c r="B393" s="40">
        <v>45208</v>
      </c>
      <c r="C393" s="41">
        <v>45225</v>
      </c>
      <c r="D393" s="42">
        <f t="shared" si="48"/>
        <v>17</v>
      </c>
      <c r="E393" s="42" t="str">
        <f>TEXT(Data!B393,"MMM-YYYY")</f>
        <v>Oct-2023</v>
      </c>
      <c r="F393" s="42" t="str">
        <f t="shared" si="44"/>
        <v>Q4-2023</v>
      </c>
      <c r="G393" s="37" t="s">
        <v>45</v>
      </c>
      <c r="H393" s="37" t="s">
        <v>116</v>
      </c>
      <c r="I393" s="37" t="s">
        <v>162</v>
      </c>
      <c r="J393" s="37" t="s">
        <v>48</v>
      </c>
      <c r="K393" s="37" t="s">
        <v>40</v>
      </c>
      <c r="L393" s="37" t="s">
        <v>21</v>
      </c>
      <c r="M393" s="37" t="s">
        <v>22</v>
      </c>
      <c r="N393" s="37" t="s">
        <v>886</v>
      </c>
      <c r="O393" s="42">
        <v>1132.03</v>
      </c>
      <c r="P393" s="43" t="str">
        <f t="shared" si="45"/>
        <v>High</v>
      </c>
      <c r="Q393" s="42">
        <v>2137.21</v>
      </c>
      <c r="R393" s="42">
        <v>0.35699999999999998</v>
      </c>
      <c r="S393" s="42">
        <v>35</v>
      </c>
      <c r="T393" s="42">
        <f t="shared" si="42"/>
        <v>3551.7390999999998</v>
      </c>
      <c r="U393" s="37">
        <f t="shared" si="43"/>
        <v>39621.049999999996</v>
      </c>
      <c r="V393" s="42">
        <f t="shared" si="46"/>
        <v>-36069.310899999997</v>
      </c>
      <c r="W393" s="44">
        <f t="shared" si="47"/>
        <v>-10.155394268683755</v>
      </c>
    </row>
    <row r="394" spans="1:23" x14ac:dyDescent="0.3">
      <c r="A394" s="45" t="s">
        <v>887</v>
      </c>
      <c r="B394" s="46">
        <v>45360</v>
      </c>
      <c r="C394" s="47">
        <v>45377</v>
      </c>
      <c r="D394" s="48">
        <f t="shared" si="48"/>
        <v>17</v>
      </c>
      <c r="E394" s="48" t="str">
        <f>TEXT(Data!B394,"MMM-YYYY")</f>
        <v>Mar-2024</v>
      </c>
      <c r="F394" s="48" t="str">
        <f t="shared" si="44"/>
        <v>Q1-2024</v>
      </c>
      <c r="G394" s="38" t="s">
        <v>52</v>
      </c>
      <c r="H394" s="38" t="s">
        <v>122</v>
      </c>
      <c r="I394" s="38" t="s">
        <v>167</v>
      </c>
      <c r="J394" s="38" t="s">
        <v>27</v>
      </c>
      <c r="K394" s="38" t="s">
        <v>98</v>
      </c>
      <c r="L394" s="38" t="s">
        <v>34</v>
      </c>
      <c r="M394" s="38" t="s">
        <v>42</v>
      </c>
      <c r="N394" s="38" t="s">
        <v>888</v>
      </c>
      <c r="O394" s="48">
        <v>1137.4100000000001</v>
      </c>
      <c r="P394" s="49" t="str">
        <f t="shared" si="45"/>
        <v>High</v>
      </c>
      <c r="Q394" s="48">
        <v>1680.93</v>
      </c>
      <c r="R394" s="48">
        <v>0.254</v>
      </c>
      <c r="S394" s="48">
        <v>9</v>
      </c>
      <c r="T394" s="48">
        <f t="shared" si="42"/>
        <v>5499.1688399999994</v>
      </c>
      <c r="U394" s="38">
        <f t="shared" si="43"/>
        <v>10236.69</v>
      </c>
      <c r="V394" s="48">
        <f t="shared" si="46"/>
        <v>-4737.5211600000011</v>
      </c>
      <c r="W394" s="50">
        <f t="shared" si="47"/>
        <v>-0.86149767316473258</v>
      </c>
    </row>
    <row r="395" spans="1:23" x14ac:dyDescent="0.3">
      <c r="A395" s="39" t="s">
        <v>889</v>
      </c>
      <c r="B395" s="40">
        <v>45075</v>
      </c>
      <c r="C395" s="41">
        <v>45097</v>
      </c>
      <c r="D395" s="42">
        <f t="shared" si="48"/>
        <v>22</v>
      </c>
      <c r="E395" s="42" t="str">
        <f>TEXT(Data!B395,"MMM-YYYY")</f>
        <v>May-2023</v>
      </c>
      <c r="F395" s="42" t="str">
        <f t="shared" si="44"/>
        <v>Q2-2023</v>
      </c>
      <c r="G395" s="37" t="s">
        <v>78</v>
      </c>
      <c r="H395" s="37" t="s">
        <v>108</v>
      </c>
      <c r="I395" s="37" t="s">
        <v>152</v>
      </c>
      <c r="J395" s="37" t="s">
        <v>62</v>
      </c>
      <c r="K395" s="37" t="s">
        <v>98</v>
      </c>
      <c r="L395" s="37" t="s">
        <v>95</v>
      </c>
      <c r="M395" s="37" t="s">
        <v>22</v>
      </c>
      <c r="N395" s="37" t="s">
        <v>890</v>
      </c>
      <c r="O395" s="42">
        <v>1295.3900000000001</v>
      </c>
      <c r="P395" s="43" t="str">
        <f t="shared" si="45"/>
        <v>High</v>
      </c>
      <c r="Q395" s="42">
        <v>2905.06</v>
      </c>
      <c r="R395" s="42">
        <v>0.14799999999999999</v>
      </c>
      <c r="S395" s="42">
        <v>8</v>
      </c>
      <c r="T395" s="42">
        <f t="shared" si="42"/>
        <v>11663.26656</v>
      </c>
      <c r="U395" s="37">
        <f t="shared" si="43"/>
        <v>10363.120000000001</v>
      </c>
      <c r="V395" s="42">
        <f t="shared" si="46"/>
        <v>1300.1465599999992</v>
      </c>
      <c r="W395" s="44">
        <f t="shared" si="47"/>
        <v>0.11147362133168971</v>
      </c>
    </row>
    <row r="396" spans="1:23" x14ac:dyDescent="0.3">
      <c r="A396" s="45" t="s">
        <v>891</v>
      </c>
      <c r="B396" s="46">
        <v>45804</v>
      </c>
      <c r="C396" s="47">
        <v>45816</v>
      </c>
      <c r="D396" s="48">
        <f t="shared" si="48"/>
        <v>12</v>
      </c>
      <c r="E396" s="48" t="str">
        <f>TEXT(Data!B396,"MMM-YYYY")</f>
        <v>May-2025</v>
      </c>
      <c r="F396" s="48" t="str">
        <f t="shared" si="44"/>
        <v>Q2-2025</v>
      </c>
      <c r="G396" s="38" t="s">
        <v>45</v>
      </c>
      <c r="H396" s="38" t="s">
        <v>46</v>
      </c>
      <c r="I396" s="38" t="s">
        <v>47</v>
      </c>
      <c r="J396" s="38" t="s">
        <v>19</v>
      </c>
      <c r="K396" s="38" t="s">
        <v>20</v>
      </c>
      <c r="L396" s="38" t="s">
        <v>92</v>
      </c>
      <c r="M396" s="38" t="s">
        <v>81</v>
      </c>
      <c r="N396" s="38" t="s">
        <v>892</v>
      </c>
      <c r="O396" s="48">
        <v>653.6</v>
      </c>
      <c r="P396" s="49" t="str">
        <f t="shared" si="45"/>
        <v>High</v>
      </c>
      <c r="Q396" s="48">
        <v>842.09</v>
      </c>
      <c r="R396" s="48">
        <v>9.8000000000000004E-2</v>
      </c>
      <c r="S396" s="48">
        <v>19</v>
      </c>
      <c r="T396" s="48">
        <f t="shared" si="42"/>
        <v>29072.046299999998</v>
      </c>
      <c r="U396" s="38">
        <f t="shared" si="43"/>
        <v>12418.4</v>
      </c>
      <c r="V396" s="48">
        <f t="shared" si="46"/>
        <v>16653.6463</v>
      </c>
      <c r="W396" s="50">
        <f t="shared" si="47"/>
        <v>0.5728405261930255</v>
      </c>
    </row>
    <row r="397" spans="1:23" x14ac:dyDescent="0.3">
      <c r="A397" s="39" t="s">
        <v>893</v>
      </c>
      <c r="B397" s="40">
        <v>45890</v>
      </c>
      <c r="C397" s="41">
        <v>45914</v>
      </c>
      <c r="D397" s="42">
        <f t="shared" si="48"/>
        <v>24</v>
      </c>
      <c r="E397" s="42" t="str">
        <f>TEXT(Data!B397,"MMM-YYYY")</f>
        <v>Aug-2025</v>
      </c>
      <c r="F397" s="42" t="str">
        <f t="shared" si="44"/>
        <v>Q3-2025</v>
      </c>
      <c r="G397" s="37" t="s">
        <v>78</v>
      </c>
      <c r="H397" s="37" t="s">
        <v>79</v>
      </c>
      <c r="I397" s="37" t="s">
        <v>80</v>
      </c>
      <c r="J397" s="37" t="s">
        <v>39</v>
      </c>
      <c r="K397" s="37" t="s">
        <v>28</v>
      </c>
      <c r="L397" s="37" t="s">
        <v>75</v>
      </c>
      <c r="M397" s="37" t="s">
        <v>64</v>
      </c>
      <c r="N397" s="37" t="s">
        <v>894</v>
      </c>
      <c r="O397" s="42">
        <v>1397.67</v>
      </c>
      <c r="P397" s="43" t="str">
        <f t="shared" si="45"/>
        <v>High</v>
      </c>
      <c r="Q397" s="42">
        <v>3131.37</v>
      </c>
      <c r="R397" s="42">
        <v>0.10299999999999999</v>
      </c>
      <c r="S397" s="42">
        <v>20</v>
      </c>
      <c r="T397" s="42">
        <f t="shared" si="42"/>
        <v>51745.059600000001</v>
      </c>
      <c r="U397" s="37">
        <f t="shared" si="43"/>
        <v>27953.4</v>
      </c>
      <c r="V397" s="42">
        <f t="shared" si="46"/>
        <v>23791.659599999999</v>
      </c>
      <c r="W397" s="44">
        <f t="shared" si="47"/>
        <v>0.45978610873993464</v>
      </c>
    </row>
    <row r="398" spans="1:23" x14ac:dyDescent="0.3">
      <c r="A398" s="45" t="s">
        <v>895</v>
      </c>
      <c r="B398" s="46">
        <v>45638</v>
      </c>
      <c r="C398" s="47">
        <v>45646</v>
      </c>
      <c r="D398" s="48">
        <f t="shared" si="48"/>
        <v>8</v>
      </c>
      <c r="E398" s="48" t="str">
        <f>TEXT(Data!B398,"MMM-YYYY")</f>
        <v>Dec-2024</v>
      </c>
      <c r="F398" s="48" t="str">
        <f t="shared" si="44"/>
        <v>Q4-2024</v>
      </c>
      <c r="G398" s="38" t="s">
        <v>45</v>
      </c>
      <c r="H398" s="38" t="s">
        <v>46</v>
      </c>
      <c r="I398" s="38" t="s">
        <v>214</v>
      </c>
      <c r="J398" s="38" t="s">
        <v>19</v>
      </c>
      <c r="K398" s="38" t="s">
        <v>20</v>
      </c>
      <c r="L398" s="38" t="s">
        <v>56</v>
      </c>
      <c r="M398" s="38" t="s">
        <v>57</v>
      </c>
      <c r="N398" s="38" t="s">
        <v>896</v>
      </c>
      <c r="O398" s="48">
        <v>1202.47</v>
      </c>
      <c r="P398" s="49" t="str">
        <f t="shared" si="45"/>
        <v>High</v>
      </c>
      <c r="Q398" s="48">
        <v>1444.72</v>
      </c>
      <c r="R398" s="48">
        <v>0.24099999999999999</v>
      </c>
      <c r="S398" s="48">
        <v>17</v>
      </c>
      <c r="T398" s="48">
        <f t="shared" si="42"/>
        <v>19144.697220000002</v>
      </c>
      <c r="U398" s="38">
        <f t="shared" si="43"/>
        <v>20441.990000000002</v>
      </c>
      <c r="V398" s="48">
        <f t="shared" si="46"/>
        <v>-1297.2927799999998</v>
      </c>
      <c r="W398" s="50">
        <f t="shared" si="47"/>
        <v>-6.7762512255599913E-2</v>
      </c>
    </row>
    <row r="399" spans="1:23" x14ac:dyDescent="0.3">
      <c r="A399" s="39" t="s">
        <v>897</v>
      </c>
      <c r="B399" s="40">
        <v>45914</v>
      </c>
      <c r="C399" s="41">
        <v>45923</v>
      </c>
      <c r="D399" s="42">
        <f t="shared" si="48"/>
        <v>9</v>
      </c>
      <c r="E399" s="42" t="str">
        <f>TEXT(Data!B399,"MMM-YYYY")</f>
        <v>Sept-2025</v>
      </c>
      <c r="F399" s="42" t="str">
        <f t="shared" si="44"/>
        <v>Q3-2025</v>
      </c>
      <c r="G399" s="37" t="s">
        <v>16</v>
      </c>
      <c r="H399" s="37" t="s">
        <v>148</v>
      </c>
      <c r="I399" s="37" t="s">
        <v>172</v>
      </c>
      <c r="J399" s="37" t="s">
        <v>39</v>
      </c>
      <c r="K399" s="37" t="s">
        <v>28</v>
      </c>
      <c r="L399" s="37" t="s">
        <v>145</v>
      </c>
      <c r="M399" s="37" t="s">
        <v>22</v>
      </c>
      <c r="N399" s="37" t="s">
        <v>898</v>
      </c>
      <c r="O399" s="42">
        <v>1310.3</v>
      </c>
      <c r="P399" s="43" t="str">
        <f t="shared" si="45"/>
        <v>High</v>
      </c>
      <c r="Q399" s="42">
        <v>2875.8</v>
      </c>
      <c r="R399" s="42">
        <v>8.3000000000000004E-2</v>
      </c>
      <c r="S399" s="42">
        <v>5</v>
      </c>
      <c r="T399" s="42">
        <f t="shared" si="42"/>
        <v>14660.399949999999</v>
      </c>
      <c r="U399" s="37">
        <f t="shared" si="43"/>
        <v>6551.5</v>
      </c>
      <c r="V399" s="42">
        <f t="shared" si="46"/>
        <v>8108.8999499999991</v>
      </c>
      <c r="W399" s="44">
        <f t="shared" si="47"/>
        <v>0.55311587525959682</v>
      </c>
    </row>
    <row r="400" spans="1:23" x14ac:dyDescent="0.3">
      <c r="A400" s="45" t="s">
        <v>899</v>
      </c>
      <c r="B400" s="46">
        <v>45541</v>
      </c>
      <c r="C400" s="47">
        <v>45569</v>
      </c>
      <c r="D400" s="48">
        <f t="shared" si="48"/>
        <v>28</v>
      </c>
      <c r="E400" s="48" t="str">
        <f>TEXT(Data!B400,"MMM-YYYY")</f>
        <v>Sept-2024</v>
      </c>
      <c r="F400" s="48" t="str">
        <f t="shared" si="44"/>
        <v>Q3-2024</v>
      </c>
      <c r="G400" s="38" t="s">
        <v>16</v>
      </c>
      <c r="H400" s="38" t="s">
        <v>148</v>
      </c>
      <c r="I400" s="38" t="s">
        <v>258</v>
      </c>
      <c r="J400" s="38" t="s">
        <v>19</v>
      </c>
      <c r="K400" s="38" t="s">
        <v>40</v>
      </c>
      <c r="L400" s="38" t="s">
        <v>145</v>
      </c>
      <c r="M400" s="38" t="s">
        <v>64</v>
      </c>
      <c r="N400" s="38" t="s">
        <v>900</v>
      </c>
      <c r="O400" s="48">
        <v>1174.17</v>
      </c>
      <c r="P400" s="49" t="str">
        <f t="shared" si="45"/>
        <v>High</v>
      </c>
      <c r="Q400" s="48">
        <v>1641.61</v>
      </c>
      <c r="R400" s="48">
        <v>0.122</v>
      </c>
      <c r="S400" s="48">
        <v>9</v>
      </c>
      <c r="T400" s="48">
        <f t="shared" si="42"/>
        <v>18353.975399999999</v>
      </c>
      <c r="U400" s="38">
        <f t="shared" si="43"/>
        <v>10567.53</v>
      </c>
      <c r="V400" s="48">
        <f t="shared" si="46"/>
        <v>7786.4453999999987</v>
      </c>
      <c r="W400" s="50">
        <f t="shared" si="47"/>
        <v>0.42423754147561943</v>
      </c>
    </row>
    <row r="401" spans="1:23" x14ac:dyDescent="0.3">
      <c r="A401" s="39" t="s">
        <v>901</v>
      </c>
      <c r="B401" s="40">
        <v>45759</v>
      </c>
      <c r="C401" s="41">
        <v>45777</v>
      </c>
      <c r="D401" s="42">
        <f t="shared" si="48"/>
        <v>18</v>
      </c>
      <c r="E401" s="42" t="str">
        <f>TEXT(Data!B401,"MMM-YYYY")</f>
        <v>Apr-2025</v>
      </c>
      <c r="F401" s="42" t="str">
        <f t="shared" si="44"/>
        <v>Q2-2025</v>
      </c>
      <c r="G401" s="37" t="s">
        <v>16</v>
      </c>
      <c r="H401" s="37" t="s">
        <v>17</v>
      </c>
      <c r="I401" s="37" t="s">
        <v>18</v>
      </c>
      <c r="J401" s="37" t="s">
        <v>19</v>
      </c>
      <c r="K401" s="37" t="s">
        <v>40</v>
      </c>
      <c r="L401" s="37" t="s">
        <v>84</v>
      </c>
      <c r="M401" s="37" t="s">
        <v>35</v>
      </c>
      <c r="N401" s="37" t="s">
        <v>902</v>
      </c>
      <c r="O401" s="42">
        <v>1119.04</v>
      </c>
      <c r="P401" s="43" t="str">
        <f t="shared" si="45"/>
        <v>High</v>
      </c>
      <c r="Q401" s="42">
        <v>1299.02</v>
      </c>
      <c r="R401" s="42">
        <v>2.5000000000000001E-2</v>
      </c>
      <c r="S401" s="42">
        <v>14</v>
      </c>
      <c r="T401" s="42">
        <f t="shared" si="42"/>
        <v>26377.532999999999</v>
      </c>
      <c r="U401" s="37">
        <f t="shared" si="43"/>
        <v>15666.56</v>
      </c>
      <c r="V401" s="42">
        <f t="shared" si="46"/>
        <v>10710.973</v>
      </c>
      <c r="W401" s="44">
        <f t="shared" si="47"/>
        <v>0.40606424414292269</v>
      </c>
    </row>
    <row r="402" spans="1:23" x14ac:dyDescent="0.3">
      <c r="A402" s="45" t="s">
        <v>903</v>
      </c>
      <c r="B402" s="46">
        <v>45516</v>
      </c>
      <c r="C402" s="47">
        <v>45519</v>
      </c>
      <c r="D402" s="48">
        <f t="shared" si="48"/>
        <v>3</v>
      </c>
      <c r="E402" s="48" t="str">
        <f>TEXT(Data!B402,"MMM-YYYY")</f>
        <v>Aug-2024</v>
      </c>
      <c r="F402" s="48" t="str">
        <f t="shared" si="44"/>
        <v>Q3-2024</v>
      </c>
      <c r="G402" s="38" t="s">
        <v>52</v>
      </c>
      <c r="H402" s="38" t="s">
        <v>122</v>
      </c>
      <c r="I402" s="38" t="s">
        <v>123</v>
      </c>
      <c r="J402" s="38" t="s">
        <v>19</v>
      </c>
      <c r="K402" s="38" t="s">
        <v>40</v>
      </c>
      <c r="L402" s="38" t="s">
        <v>145</v>
      </c>
      <c r="M402" s="38" t="s">
        <v>30</v>
      </c>
      <c r="N402" s="38" t="s">
        <v>904</v>
      </c>
      <c r="O402" s="48">
        <v>850.7</v>
      </c>
      <c r="P402" s="49" t="str">
        <f t="shared" si="45"/>
        <v>High</v>
      </c>
      <c r="Q402" s="48">
        <v>1118.56</v>
      </c>
      <c r="R402" s="48">
        <v>0.18</v>
      </c>
      <c r="S402" s="48">
        <v>19</v>
      </c>
      <c r="T402" s="48">
        <f t="shared" si="42"/>
        <v>24777.808799999999</v>
      </c>
      <c r="U402" s="38">
        <f t="shared" si="43"/>
        <v>16163.300000000001</v>
      </c>
      <c r="V402" s="48">
        <f t="shared" si="46"/>
        <v>8614.5087999999978</v>
      </c>
      <c r="W402" s="50">
        <f t="shared" si="47"/>
        <v>0.34767032345491333</v>
      </c>
    </row>
    <row r="403" spans="1:23" x14ac:dyDescent="0.3">
      <c r="A403" s="39" t="s">
        <v>905</v>
      </c>
      <c r="B403" s="40">
        <v>45601</v>
      </c>
      <c r="C403" s="41">
        <v>45604</v>
      </c>
      <c r="D403" s="42">
        <f t="shared" si="48"/>
        <v>3</v>
      </c>
      <c r="E403" s="42" t="str">
        <f>TEXT(Data!B403,"MMM-YYYY")</f>
        <v>Nov-2024</v>
      </c>
      <c r="F403" s="42" t="str">
        <f t="shared" si="44"/>
        <v>Q4-2024</v>
      </c>
      <c r="G403" s="37" t="s">
        <v>52</v>
      </c>
      <c r="H403" s="37" t="s">
        <v>53</v>
      </c>
      <c r="I403" s="37" t="s">
        <v>54</v>
      </c>
      <c r="J403" s="37" t="s">
        <v>27</v>
      </c>
      <c r="K403" s="37" t="s">
        <v>40</v>
      </c>
      <c r="L403" s="37" t="s">
        <v>68</v>
      </c>
      <c r="M403" s="37" t="s">
        <v>22</v>
      </c>
      <c r="N403" s="37" t="s">
        <v>906</v>
      </c>
      <c r="O403" s="42">
        <v>1020.4</v>
      </c>
      <c r="P403" s="43" t="str">
        <f t="shared" si="45"/>
        <v>High</v>
      </c>
      <c r="Q403" s="42">
        <v>1184.71</v>
      </c>
      <c r="R403" s="42">
        <v>0.106</v>
      </c>
      <c r="S403" s="42">
        <v>16</v>
      </c>
      <c r="T403" s="42">
        <f t="shared" si="42"/>
        <v>5658.8054400000001</v>
      </c>
      <c r="U403" s="37">
        <f t="shared" si="43"/>
        <v>16326.4</v>
      </c>
      <c r="V403" s="42">
        <f t="shared" si="46"/>
        <v>-10667.59456</v>
      </c>
      <c r="W403" s="44">
        <f t="shared" si="47"/>
        <v>-1.8851318839475772</v>
      </c>
    </row>
    <row r="404" spans="1:23" x14ac:dyDescent="0.3">
      <c r="A404" s="45" t="s">
        <v>907</v>
      </c>
      <c r="B404" s="46">
        <v>45497</v>
      </c>
      <c r="C404" s="47">
        <v>45512</v>
      </c>
      <c r="D404" s="48">
        <f t="shared" si="48"/>
        <v>15</v>
      </c>
      <c r="E404" s="48" t="str">
        <f>TEXT(Data!B404,"MMM-YYYY")</f>
        <v>Jul-2024</v>
      </c>
      <c r="F404" s="48" t="str">
        <f t="shared" si="44"/>
        <v>Q3-2024</v>
      </c>
      <c r="G404" s="38" t="s">
        <v>78</v>
      </c>
      <c r="H404" s="38" t="s">
        <v>90</v>
      </c>
      <c r="I404" s="38" t="s">
        <v>91</v>
      </c>
      <c r="J404" s="38" t="s">
        <v>105</v>
      </c>
      <c r="K404" s="38" t="s">
        <v>40</v>
      </c>
      <c r="L404" s="38" t="s">
        <v>92</v>
      </c>
      <c r="M404" s="38" t="s">
        <v>57</v>
      </c>
      <c r="N404" s="38" t="s">
        <v>908</v>
      </c>
      <c r="O404" s="48">
        <v>501.5</v>
      </c>
      <c r="P404" s="49" t="str">
        <f t="shared" si="45"/>
        <v>High</v>
      </c>
      <c r="Q404" s="48">
        <v>1201.47</v>
      </c>
      <c r="R404" s="48">
        <v>0.126</v>
      </c>
      <c r="S404" s="48">
        <v>5</v>
      </c>
      <c r="T404" s="48">
        <f t="shared" si="42"/>
        <v>9079.5053000000007</v>
      </c>
      <c r="U404" s="38">
        <f t="shared" si="43"/>
        <v>2507.5</v>
      </c>
      <c r="V404" s="48">
        <f t="shared" si="46"/>
        <v>6572.0053000000007</v>
      </c>
      <c r="W404" s="50">
        <f t="shared" si="47"/>
        <v>0.72382856585809807</v>
      </c>
    </row>
    <row r="405" spans="1:23" x14ac:dyDescent="0.3">
      <c r="A405" s="39" t="s">
        <v>909</v>
      </c>
      <c r="B405" s="40">
        <v>45677</v>
      </c>
      <c r="C405" s="41">
        <v>45691</v>
      </c>
      <c r="D405" s="42">
        <f t="shared" si="48"/>
        <v>14</v>
      </c>
      <c r="E405" s="42" t="str">
        <f>TEXT(Data!B405,"MMM-YYYY")</f>
        <v>Jan-2025</v>
      </c>
      <c r="F405" s="42" t="str">
        <f t="shared" si="44"/>
        <v>Q1-2025</v>
      </c>
      <c r="G405" s="37" t="s">
        <v>52</v>
      </c>
      <c r="H405" s="37" t="s">
        <v>73</v>
      </c>
      <c r="I405" s="37" t="s">
        <v>87</v>
      </c>
      <c r="J405" s="37" t="s">
        <v>105</v>
      </c>
      <c r="K405" s="37" t="s">
        <v>40</v>
      </c>
      <c r="L405" s="37" t="s">
        <v>84</v>
      </c>
      <c r="M405" s="37" t="s">
        <v>22</v>
      </c>
      <c r="N405" s="37" t="s">
        <v>910</v>
      </c>
      <c r="O405" s="42">
        <v>974.11</v>
      </c>
      <c r="P405" s="43" t="str">
        <f t="shared" si="45"/>
        <v>High</v>
      </c>
      <c r="Q405" s="42">
        <v>880.99</v>
      </c>
      <c r="R405" s="42">
        <v>0.111</v>
      </c>
      <c r="S405" s="42">
        <v>10</v>
      </c>
      <c r="T405" s="42">
        <f t="shared" si="42"/>
        <v>11831.2565</v>
      </c>
      <c r="U405" s="37">
        <f t="shared" si="43"/>
        <v>9741.1</v>
      </c>
      <c r="V405" s="42">
        <f t="shared" si="46"/>
        <v>2090.1564999999991</v>
      </c>
      <c r="W405" s="44">
        <f t="shared" si="47"/>
        <v>0.17666394942920891</v>
      </c>
    </row>
    <row r="406" spans="1:23" x14ac:dyDescent="0.3">
      <c r="A406" s="45" t="s">
        <v>911</v>
      </c>
      <c r="B406" s="46">
        <v>44991</v>
      </c>
      <c r="C406" s="47">
        <v>45020</v>
      </c>
      <c r="D406" s="48">
        <f t="shared" si="48"/>
        <v>29</v>
      </c>
      <c r="E406" s="48" t="str">
        <f>TEXT(Data!B406,"MMM-YYYY")</f>
        <v>Mar-2023</v>
      </c>
      <c r="F406" s="48" t="str">
        <f t="shared" si="44"/>
        <v>Q1-2023</v>
      </c>
      <c r="G406" s="38" t="s">
        <v>45</v>
      </c>
      <c r="H406" s="38" t="s">
        <v>116</v>
      </c>
      <c r="I406" s="38" t="s">
        <v>338</v>
      </c>
      <c r="J406" s="38" t="s">
        <v>62</v>
      </c>
      <c r="K406" s="38" t="s">
        <v>98</v>
      </c>
      <c r="L406" s="38" t="s">
        <v>21</v>
      </c>
      <c r="M406" s="38" t="s">
        <v>64</v>
      </c>
      <c r="N406" s="38" t="s">
        <v>912</v>
      </c>
      <c r="O406" s="48">
        <v>1126.29</v>
      </c>
      <c r="P406" s="49" t="str">
        <f t="shared" si="45"/>
        <v>High</v>
      </c>
      <c r="Q406" s="48">
        <v>2050.87</v>
      </c>
      <c r="R406" s="48">
        <v>6.4000000000000001E-2</v>
      </c>
      <c r="S406" s="48">
        <v>7</v>
      </c>
      <c r="T406" s="48">
        <f t="shared" si="42"/>
        <v>18113.986799999999</v>
      </c>
      <c r="U406" s="38">
        <f t="shared" si="43"/>
        <v>7884.03</v>
      </c>
      <c r="V406" s="48">
        <f t="shared" si="46"/>
        <v>10229.9568</v>
      </c>
      <c r="W406" s="50">
        <f t="shared" si="47"/>
        <v>0.56475456855251771</v>
      </c>
    </row>
    <row r="407" spans="1:23" x14ac:dyDescent="0.3">
      <c r="A407" s="39" t="s">
        <v>913</v>
      </c>
      <c r="B407" s="40">
        <v>45646</v>
      </c>
      <c r="C407" s="41">
        <v>45671</v>
      </c>
      <c r="D407" s="42">
        <f t="shared" si="48"/>
        <v>25</v>
      </c>
      <c r="E407" s="42" t="str">
        <f>TEXT(Data!B407,"MMM-YYYY")</f>
        <v>Dec-2024</v>
      </c>
      <c r="F407" s="42" t="str">
        <f t="shared" si="44"/>
        <v>Q4-2024</v>
      </c>
      <c r="G407" s="37" t="s">
        <v>45</v>
      </c>
      <c r="H407" s="37" t="s">
        <v>60</v>
      </c>
      <c r="I407" s="37" t="s">
        <v>141</v>
      </c>
      <c r="J407" s="37" t="s">
        <v>62</v>
      </c>
      <c r="K407" s="37" t="s">
        <v>20</v>
      </c>
      <c r="L407" s="37" t="s">
        <v>110</v>
      </c>
      <c r="M407" s="37" t="s">
        <v>30</v>
      </c>
      <c r="N407" s="37" t="s">
        <v>914</v>
      </c>
      <c r="O407" s="42">
        <v>1361.34</v>
      </c>
      <c r="P407" s="43" t="str">
        <f t="shared" si="45"/>
        <v>High</v>
      </c>
      <c r="Q407" s="42">
        <v>1737.9</v>
      </c>
      <c r="R407" s="42">
        <v>7.6999999999999999E-2</v>
      </c>
      <c r="S407" s="42">
        <v>14</v>
      </c>
      <c r="T407" s="42">
        <f t="shared" si="42"/>
        <v>3596.8387000000007</v>
      </c>
      <c r="U407" s="37">
        <f t="shared" si="43"/>
        <v>19058.759999999998</v>
      </c>
      <c r="V407" s="42">
        <f t="shared" si="46"/>
        <v>-15461.921299999998</v>
      </c>
      <c r="W407" s="44">
        <f t="shared" si="47"/>
        <v>-4.2987530411080135</v>
      </c>
    </row>
    <row r="408" spans="1:23" x14ac:dyDescent="0.3">
      <c r="A408" s="45" t="s">
        <v>915</v>
      </c>
      <c r="B408" s="46">
        <v>45709</v>
      </c>
      <c r="C408" s="47">
        <v>45737</v>
      </c>
      <c r="D408" s="48">
        <f t="shared" si="48"/>
        <v>0</v>
      </c>
      <c r="E408" s="48" t="str">
        <f>TEXT(Data!B408,"MMM-YYYY")</f>
        <v>Feb-2025</v>
      </c>
      <c r="F408" s="48" t="str">
        <f t="shared" si="44"/>
        <v>Q1-2025</v>
      </c>
      <c r="G408" s="38" t="s">
        <v>16</v>
      </c>
      <c r="H408" s="38" t="s">
        <v>25</v>
      </c>
      <c r="I408" s="38" t="s">
        <v>67</v>
      </c>
      <c r="J408" s="38" t="s">
        <v>105</v>
      </c>
      <c r="K408" s="38" t="s">
        <v>40</v>
      </c>
      <c r="L408" s="38" t="s">
        <v>34</v>
      </c>
      <c r="M408" s="38" t="s">
        <v>42</v>
      </c>
      <c r="N408" s="38" t="s">
        <v>916</v>
      </c>
      <c r="O408" s="48">
        <v>1437.39</v>
      </c>
      <c r="P408" s="49" t="str">
        <f t="shared" si="45"/>
        <v>High</v>
      </c>
      <c r="Q408" s="48">
        <v>1388.31</v>
      </c>
      <c r="R408" s="48">
        <v>0.13800000000000001</v>
      </c>
      <c r="S408" s="48">
        <v>18</v>
      </c>
      <c r="T408" s="48">
        <f t="shared" si="42"/>
        <v>15273.329759999999</v>
      </c>
      <c r="U408" s="38">
        <f t="shared" si="43"/>
        <v>25873.02</v>
      </c>
      <c r="V408" s="48">
        <f t="shared" si="46"/>
        <v>-10599.690240000002</v>
      </c>
      <c r="W408" s="50">
        <f t="shared" si="47"/>
        <v>-0.69399995983587026</v>
      </c>
    </row>
    <row r="409" spans="1:23" x14ac:dyDescent="0.3">
      <c r="A409" s="39" t="s">
        <v>917</v>
      </c>
      <c r="B409" s="40">
        <v>45724</v>
      </c>
      <c r="C409" s="41">
        <v>45731</v>
      </c>
      <c r="D409" s="42">
        <f t="shared" si="48"/>
        <v>7</v>
      </c>
      <c r="E409" s="42" t="str">
        <f>TEXT(Data!B409,"MMM-YYYY")</f>
        <v>Mar-2025</v>
      </c>
      <c r="F409" s="42" t="str">
        <f t="shared" si="44"/>
        <v>Q1-2025</v>
      </c>
      <c r="G409" s="37" t="s">
        <v>45</v>
      </c>
      <c r="H409" s="37" t="s">
        <v>60</v>
      </c>
      <c r="I409" s="37" t="s">
        <v>61</v>
      </c>
      <c r="J409" s="37" t="s">
        <v>19</v>
      </c>
      <c r="K409" s="37" t="s">
        <v>55</v>
      </c>
      <c r="L409" s="37" t="s">
        <v>95</v>
      </c>
      <c r="M409" s="37" t="s">
        <v>57</v>
      </c>
      <c r="N409" s="37" t="s">
        <v>918</v>
      </c>
      <c r="O409" s="42">
        <v>475.66</v>
      </c>
      <c r="P409" s="43" t="str">
        <f t="shared" si="45"/>
        <v>High</v>
      </c>
      <c r="Q409" s="42">
        <v>529.14</v>
      </c>
      <c r="R409" s="42">
        <v>0.19600000000000001</v>
      </c>
      <c r="S409" s="42">
        <v>11</v>
      </c>
      <c r="T409" s="42">
        <f t="shared" si="42"/>
        <v>1687.7889600000003</v>
      </c>
      <c r="U409" s="37">
        <f t="shared" si="43"/>
        <v>5232.26</v>
      </c>
      <c r="V409" s="42">
        <f t="shared" si="46"/>
        <v>-3544.4710399999999</v>
      </c>
      <c r="W409" s="44">
        <f t="shared" si="47"/>
        <v>-2.1000676767076372</v>
      </c>
    </row>
    <row r="410" spans="1:23" x14ac:dyDescent="0.3">
      <c r="A410" s="45" t="s">
        <v>919</v>
      </c>
      <c r="B410" s="46">
        <v>45276</v>
      </c>
      <c r="C410" s="47">
        <v>45279</v>
      </c>
      <c r="D410" s="48">
        <f t="shared" si="48"/>
        <v>3</v>
      </c>
      <c r="E410" s="48" t="str">
        <f>TEXT(Data!B410,"MMM-YYYY")</f>
        <v>Dec-2023</v>
      </c>
      <c r="F410" s="48" t="str">
        <f t="shared" si="44"/>
        <v>Q4-2023</v>
      </c>
      <c r="G410" s="38" t="s">
        <v>45</v>
      </c>
      <c r="H410" s="38" t="s">
        <v>116</v>
      </c>
      <c r="I410" s="38" t="s">
        <v>338</v>
      </c>
      <c r="J410" s="38" t="s">
        <v>27</v>
      </c>
      <c r="K410" s="38" t="s">
        <v>20</v>
      </c>
      <c r="L410" s="38" t="s">
        <v>75</v>
      </c>
      <c r="M410" s="38" t="s">
        <v>81</v>
      </c>
      <c r="N410" s="38" t="s">
        <v>920</v>
      </c>
      <c r="O410" s="48">
        <v>1415.05</v>
      </c>
      <c r="P410" s="49" t="str">
        <f t="shared" si="45"/>
        <v>High</v>
      </c>
      <c r="Q410" s="48">
        <v>1972.38</v>
      </c>
      <c r="R410" s="48">
        <v>0</v>
      </c>
      <c r="S410" s="48">
        <v>12</v>
      </c>
      <c r="T410" s="48">
        <f t="shared" si="42"/>
        <v>10899.599999999999</v>
      </c>
      <c r="U410" s="38">
        <f t="shared" si="43"/>
        <v>16980.599999999999</v>
      </c>
      <c r="V410" s="48">
        <f t="shared" si="46"/>
        <v>-6081</v>
      </c>
      <c r="W410" s="50">
        <f t="shared" si="47"/>
        <v>-0.5579103820323682</v>
      </c>
    </row>
    <row r="411" spans="1:23" x14ac:dyDescent="0.3">
      <c r="A411" s="39" t="s">
        <v>921</v>
      </c>
      <c r="B411" s="40">
        <v>45534</v>
      </c>
      <c r="C411" s="41">
        <v>45540</v>
      </c>
      <c r="D411" s="42">
        <f t="shared" si="48"/>
        <v>6</v>
      </c>
      <c r="E411" s="42" t="str">
        <f>TEXT(Data!B411,"MMM-YYYY")</f>
        <v>Aug-2024</v>
      </c>
      <c r="F411" s="42" t="str">
        <f t="shared" si="44"/>
        <v>Q3-2024</v>
      </c>
      <c r="G411" s="37" t="s">
        <v>45</v>
      </c>
      <c r="H411" s="37" t="s">
        <v>46</v>
      </c>
      <c r="I411" s="37" t="s">
        <v>231</v>
      </c>
      <c r="J411" s="37" t="s">
        <v>27</v>
      </c>
      <c r="K411" s="37" t="s">
        <v>28</v>
      </c>
      <c r="L411" s="37" t="s">
        <v>126</v>
      </c>
      <c r="M411" s="37" t="s">
        <v>57</v>
      </c>
      <c r="N411" s="37" t="s">
        <v>922</v>
      </c>
      <c r="O411" s="42">
        <v>466.16</v>
      </c>
      <c r="P411" s="43" t="str">
        <f t="shared" si="45"/>
        <v>High</v>
      </c>
      <c r="Q411" s="42">
        <v>876.81</v>
      </c>
      <c r="R411" s="42">
        <v>0.24099999999999999</v>
      </c>
      <c r="S411" s="42">
        <v>8</v>
      </c>
      <c r="T411" s="42">
        <f t="shared" si="42"/>
        <v>1725.8445600000002</v>
      </c>
      <c r="U411" s="37">
        <f t="shared" si="43"/>
        <v>3729.28</v>
      </c>
      <c r="V411" s="42">
        <f t="shared" si="46"/>
        <v>-2003.43544</v>
      </c>
      <c r="W411" s="44">
        <f t="shared" si="47"/>
        <v>-1.1608435002976165</v>
      </c>
    </row>
    <row r="412" spans="1:23" x14ac:dyDescent="0.3">
      <c r="A412" s="45" t="s">
        <v>923</v>
      </c>
      <c r="B412" s="46">
        <v>45430</v>
      </c>
      <c r="C412" s="47">
        <v>45433</v>
      </c>
      <c r="D412" s="48">
        <f t="shared" si="48"/>
        <v>3</v>
      </c>
      <c r="E412" s="48" t="str">
        <f>TEXT(Data!B412,"MMM-YYYY")</f>
        <v>May-2024</v>
      </c>
      <c r="F412" s="48" t="str">
        <f t="shared" si="44"/>
        <v>Q2-2024</v>
      </c>
      <c r="G412" s="38" t="s">
        <v>78</v>
      </c>
      <c r="H412" s="38" t="s">
        <v>90</v>
      </c>
      <c r="I412" s="38" t="s">
        <v>91</v>
      </c>
      <c r="J412" s="38" t="s">
        <v>39</v>
      </c>
      <c r="K412" s="38" t="s">
        <v>40</v>
      </c>
      <c r="L412" s="38" t="s">
        <v>145</v>
      </c>
      <c r="M412" s="38" t="s">
        <v>30</v>
      </c>
      <c r="N412" s="38" t="s">
        <v>924</v>
      </c>
      <c r="O412" s="48">
        <v>663.66</v>
      </c>
      <c r="P412" s="49" t="str">
        <f t="shared" si="45"/>
        <v>High</v>
      </c>
      <c r="Q412" s="48">
        <v>824.26</v>
      </c>
      <c r="R412" s="48">
        <v>0.23899999999999999</v>
      </c>
      <c r="S412" s="48">
        <v>11</v>
      </c>
      <c r="T412" s="48">
        <f t="shared" si="42"/>
        <v>10290.80514</v>
      </c>
      <c r="U412" s="38">
        <f t="shared" si="43"/>
        <v>7300.2599999999993</v>
      </c>
      <c r="V412" s="48">
        <f t="shared" si="46"/>
        <v>2990.5451400000011</v>
      </c>
      <c r="W412" s="50">
        <f t="shared" si="47"/>
        <v>0.29060361160429093</v>
      </c>
    </row>
    <row r="413" spans="1:23" x14ac:dyDescent="0.3">
      <c r="A413" s="39" t="s">
        <v>925</v>
      </c>
      <c r="B413" s="40">
        <v>45002</v>
      </c>
      <c r="C413" s="41">
        <v>45022</v>
      </c>
      <c r="D413" s="42">
        <f t="shared" si="48"/>
        <v>20</v>
      </c>
      <c r="E413" s="42" t="str">
        <f>TEXT(Data!B413,"MMM-YYYY")</f>
        <v>Mar-2023</v>
      </c>
      <c r="F413" s="42" t="str">
        <f t="shared" si="44"/>
        <v>Q1-2023</v>
      </c>
      <c r="G413" s="37" t="s">
        <v>78</v>
      </c>
      <c r="H413" s="37" t="s">
        <v>79</v>
      </c>
      <c r="I413" s="37" t="s">
        <v>159</v>
      </c>
      <c r="J413" s="37" t="s">
        <v>48</v>
      </c>
      <c r="K413" s="37" t="s">
        <v>20</v>
      </c>
      <c r="L413" s="37" t="s">
        <v>68</v>
      </c>
      <c r="M413" s="37" t="s">
        <v>42</v>
      </c>
      <c r="N413" s="37" t="s">
        <v>926</v>
      </c>
      <c r="O413" s="42">
        <v>692.18</v>
      </c>
      <c r="P413" s="43" t="str">
        <f t="shared" si="45"/>
        <v>High</v>
      </c>
      <c r="Q413" s="42">
        <v>1159.3499999999999</v>
      </c>
      <c r="R413" s="42">
        <v>0.112</v>
      </c>
      <c r="S413" s="42">
        <v>2</v>
      </c>
      <c r="T413" s="42">
        <f t="shared" si="42"/>
        <v>2175.1027199999999</v>
      </c>
      <c r="U413" s="37">
        <f t="shared" si="43"/>
        <v>1384.36</v>
      </c>
      <c r="V413" s="42">
        <f t="shared" si="46"/>
        <v>790.74271999999996</v>
      </c>
      <c r="W413" s="44">
        <f t="shared" si="47"/>
        <v>0.36354270202006828</v>
      </c>
    </row>
    <row r="414" spans="1:23" x14ac:dyDescent="0.3">
      <c r="A414" s="45" t="s">
        <v>927</v>
      </c>
      <c r="B414" s="46">
        <v>45163</v>
      </c>
      <c r="C414" s="47">
        <v>45185</v>
      </c>
      <c r="D414" s="48">
        <f t="shared" si="48"/>
        <v>22</v>
      </c>
      <c r="E414" s="48" t="str">
        <f>TEXT(Data!B414,"MMM-YYYY")</f>
        <v>Aug-2023</v>
      </c>
      <c r="F414" s="48" t="str">
        <f t="shared" si="44"/>
        <v>Q3-2023</v>
      </c>
      <c r="G414" s="38" t="s">
        <v>16</v>
      </c>
      <c r="H414" s="38" t="s">
        <v>25</v>
      </c>
      <c r="I414" s="38" t="s">
        <v>67</v>
      </c>
      <c r="J414" s="38" t="s">
        <v>19</v>
      </c>
      <c r="K414" s="38" t="s">
        <v>40</v>
      </c>
      <c r="L414" s="38" t="s">
        <v>49</v>
      </c>
      <c r="M414" s="38" t="s">
        <v>42</v>
      </c>
      <c r="N414" s="38" t="s">
        <v>928</v>
      </c>
      <c r="O414" s="48">
        <v>1196.83</v>
      </c>
      <c r="P414" s="49" t="str">
        <f t="shared" si="45"/>
        <v>High</v>
      </c>
      <c r="Q414" s="48">
        <v>2513.5100000000002</v>
      </c>
      <c r="R414" s="48">
        <v>8.3000000000000004E-2</v>
      </c>
      <c r="S414" s="48">
        <v>7</v>
      </c>
      <c r="T414" s="48">
        <f t="shared" si="42"/>
        <v>3118.7353400000002</v>
      </c>
      <c r="U414" s="38">
        <f t="shared" si="43"/>
        <v>8377.81</v>
      </c>
      <c r="V414" s="48">
        <f t="shared" si="46"/>
        <v>-5259.0746599999993</v>
      </c>
      <c r="W414" s="50">
        <f t="shared" si="47"/>
        <v>-1.6862843706385162</v>
      </c>
    </row>
    <row r="415" spans="1:23" x14ac:dyDescent="0.3">
      <c r="A415" s="39" t="s">
        <v>929</v>
      </c>
      <c r="B415" s="40">
        <v>45449</v>
      </c>
      <c r="C415" s="41">
        <v>45467</v>
      </c>
      <c r="D415" s="42">
        <f t="shared" si="48"/>
        <v>18</v>
      </c>
      <c r="E415" s="42" t="str">
        <f>TEXT(Data!B415,"MMM-YYYY")</f>
        <v>Jun-2024</v>
      </c>
      <c r="F415" s="42" t="str">
        <f t="shared" si="44"/>
        <v>Q2-2024</v>
      </c>
      <c r="G415" s="37" t="s">
        <v>45</v>
      </c>
      <c r="H415" s="37" t="s">
        <v>60</v>
      </c>
      <c r="I415" s="37" t="s">
        <v>61</v>
      </c>
      <c r="J415" s="37" t="s">
        <v>62</v>
      </c>
      <c r="K415" s="37" t="s">
        <v>98</v>
      </c>
      <c r="L415" s="37" t="s">
        <v>92</v>
      </c>
      <c r="M415" s="37" t="s">
        <v>35</v>
      </c>
      <c r="N415" s="37" t="s">
        <v>930</v>
      </c>
      <c r="O415" s="42">
        <v>1253.25</v>
      </c>
      <c r="P415" s="43" t="str">
        <f t="shared" si="45"/>
        <v>High</v>
      </c>
      <c r="Q415" s="42">
        <v>3087.13</v>
      </c>
      <c r="R415" s="42">
        <v>7.1999999999999995E-2</v>
      </c>
      <c r="S415" s="42">
        <v>11</v>
      </c>
      <c r="T415" s="42">
        <f t="shared" si="42"/>
        <v>22569.275520000003</v>
      </c>
      <c r="U415" s="37">
        <f t="shared" si="43"/>
        <v>13785.75</v>
      </c>
      <c r="V415" s="42">
        <f t="shared" si="46"/>
        <v>8783.5255200000029</v>
      </c>
      <c r="W415" s="44">
        <f t="shared" si="47"/>
        <v>0.38918065899884063</v>
      </c>
    </row>
    <row r="416" spans="1:23" x14ac:dyDescent="0.3">
      <c r="A416" s="45" t="s">
        <v>931</v>
      </c>
      <c r="B416" s="46">
        <v>45167</v>
      </c>
      <c r="C416" s="47">
        <v>45182</v>
      </c>
      <c r="D416" s="48">
        <f t="shared" si="48"/>
        <v>15</v>
      </c>
      <c r="E416" s="48" t="str">
        <f>TEXT(Data!B416,"MMM-YYYY")</f>
        <v>Aug-2023</v>
      </c>
      <c r="F416" s="48" t="str">
        <f t="shared" si="44"/>
        <v>Q3-2023</v>
      </c>
      <c r="G416" s="38" t="s">
        <v>52</v>
      </c>
      <c r="H416" s="38" t="s">
        <v>53</v>
      </c>
      <c r="I416" s="38" t="s">
        <v>179</v>
      </c>
      <c r="J416" s="38" t="s">
        <v>62</v>
      </c>
      <c r="K416" s="38" t="s">
        <v>40</v>
      </c>
      <c r="L416" s="38" t="s">
        <v>68</v>
      </c>
      <c r="M416" s="38" t="s">
        <v>30</v>
      </c>
      <c r="N416" s="38" t="s">
        <v>932</v>
      </c>
      <c r="O416" s="48">
        <v>1287.6400000000001</v>
      </c>
      <c r="P416" s="49" t="str">
        <f t="shared" si="45"/>
        <v>High</v>
      </c>
      <c r="Q416" s="48">
        <v>2717.15</v>
      </c>
      <c r="R416" s="48">
        <v>3.2000000000000001E-2</v>
      </c>
      <c r="S416" s="48">
        <v>7</v>
      </c>
      <c r="T416" s="48">
        <f t="shared" si="42"/>
        <v>3875.12664</v>
      </c>
      <c r="U416" s="38">
        <f t="shared" si="43"/>
        <v>9013.4800000000014</v>
      </c>
      <c r="V416" s="48">
        <f t="shared" si="46"/>
        <v>-5138.353360000001</v>
      </c>
      <c r="W416" s="50">
        <f t="shared" si="47"/>
        <v>-1.3259833387019324</v>
      </c>
    </row>
    <row r="417" spans="1:23" x14ac:dyDescent="0.3">
      <c r="A417" s="39" t="s">
        <v>933</v>
      </c>
      <c r="B417" s="40">
        <v>45626</v>
      </c>
      <c r="C417" s="41">
        <v>45636</v>
      </c>
      <c r="D417" s="42">
        <f t="shared" si="48"/>
        <v>10</v>
      </c>
      <c r="E417" s="42" t="str">
        <f>TEXT(Data!B417,"MMM-YYYY")</f>
        <v>Nov-2024</v>
      </c>
      <c r="F417" s="42" t="str">
        <f t="shared" si="44"/>
        <v>Q4-2024</v>
      </c>
      <c r="G417" s="37" t="s">
        <v>45</v>
      </c>
      <c r="H417" s="37" t="s">
        <v>60</v>
      </c>
      <c r="I417" s="37" t="s">
        <v>281</v>
      </c>
      <c r="J417" s="37" t="s">
        <v>62</v>
      </c>
      <c r="K417" s="37" t="s">
        <v>20</v>
      </c>
      <c r="L417" s="37" t="s">
        <v>84</v>
      </c>
      <c r="M417" s="37" t="s">
        <v>81</v>
      </c>
      <c r="N417" s="37" t="s">
        <v>934</v>
      </c>
      <c r="O417" s="42">
        <v>851.49</v>
      </c>
      <c r="P417" s="43" t="str">
        <f t="shared" si="45"/>
        <v>High</v>
      </c>
      <c r="Q417" s="42">
        <v>901.79</v>
      </c>
      <c r="R417" s="42">
        <v>0.245</v>
      </c>
      <c r="S417" s="42">
        <v>16</v>
      </c>
      <c r="T417" s="42">
        <f t="shared" si="42"/>
        <v>41052.309600000001</v>
      </c>
      <c r="U417" s="37">
        <f t="shared" si="43"/>
        <v>13623.84</v>
      </c>
      <c r="V417" s="42">
        <f t="shared" si="46"/>
        <v>27428.4696</v>
      </c>
      <c r="W417" s="44">
        <f t="shared" si="47"/>
        <v>0.66813462792358946</v>
      </c>
    </row>
    <row r="418" spans="1:23" x14ac:dyDescent="0.3">
      <c r="A418" s="45" t="s">
        <v>935</v>
      </c>
      <c r="B418" s="46">
        <v>45813</v>
      </c>
      <c r="C418" s="47">
        <v>45822</v>
      </c>
      <c r="D418" s="48">
        <f t="shared" si="48"/>
        <v>9</v>
      </c>
      <c r="E418" s="48" t="str">
        <f>TEXT(Data!B418,"MMM-YYYY")</f>
        <v>Jun-2025</v>
      </c>
      <c r="F418" s="48" t="str">
        <f t="shared" si="44"/>
        <v>Q2-2025</v>
      </c>
      <c r="G418" s="38" t="s">
        <v>45</v>
      </c>
      <c r="H418" s="38" t="s">
        <v>60</v>
      </c>
      <c r="I418" s="38" t="s">
        <v>141</v>
      </c>
      <c r="J418" s="38" t="s">
        <v>39</v>
      </c>
      <c r="K418" s="38" t="s">
        <v>20</v>
      </c>
      <c r="L418" s="38" t="s">
        <v>75</v>
      </c>
      <c r="M418" s="38" t="s">
        <v>81</v>
      </c>
      <c r="N418" s="38" t="s">
        <v>936</v>
      </c>
      <c r="O418" s="48">
        <v>618.69000000000005</v>
      </c>
      <c r="P418" s="49" t="str">
        <f t="shared" si="45"/>
        <v>High</v>
      </c>
      <c r="Q418" s="48">
        <v>796.15</v>
      </c>
      <c r="R418" s="48">
        <v>0.09</v>
      </c>
      <c r="S418" s="48">
        <v>11</v>
      </c>
      <c r="T418" s="48">
        <f t="shared" si="42"/>
        <v>1948.1462000000001</v>
      </c>
      <c r="U418" s="38">
        <f t="shared" si="43"/>
        <v>6805.59</v>
      </c>
      <c r="V418" s="48">
        <f t="shared" si="46"/>
        <v>-4857.4438</v>
      </c>
      <c r="W418" s="50">
        <f t="shared" si="47"/>
        <v>-2.4933671815801093</v>
      </c>
    </row>
    <row r="419" spans="1:23" x14ac:dyDescent="0.3">
      <c r="A419" s="39" t="s">
        <v>937</v>
      </c>
      <c r="B419" s="40">
        <v>45730</v>
      </c>
      <c r="C419" s="41">
        <v>45755</v>
      </c>
      <c r="D419" s="42">
        <f t="shared" si="48"/>
        <v>25</v>
      </c>
      <c r="E419" s="42" t="str">
        <f>TEXT(Data!B419,"MMM-YYYY")</f>
        <v>Mar-2025</v>
      </c>
      <c r="F419" s="42" t="str">
        <f t="shared" si="44"/>
        <v>Q1-2025</v>
      </c>
      <c r="G419" s="37" t="s">
        <v>45</v>
      </c>
      <c r="H419" s="37" t="s">
        <v>116</v>
      </c>
      <c r="I419" s="37" t="s">
        <v>1364</v>
      </c>
      <c r="J419" s="37" t="s">
        <v>19</v>
      </c>
      <c r="K419" s="37" t="s">
        <v>55</v>
      </c>
      <c r="L419" s="37" t="s">
        <v>145</v>
      </c>
      <c r="M419" s="37" t="s">
        <v>30</v>
      </c>
      <c r="N419" s="37" t="s">
        <v>938</v>
      </c>
      <c r="O419" s="42">
        <v>80.59</v>
      </c>
      <c r="P419" s="43" t="str">
        <f t="shared" si="45"/>
        <v>Medium</v>
      </c>
      <c r="Q419" s="42">
        <v>157.82</v>
      </c>
      <c r="R419" s="42">
        <v>0.217</v>
      </c>
      <c r="S419" s="42">
        <v>6</v>
      </c>
      <c r="T419" s="42">
        <f t="shared" si="42"/>
        <v>4846.6447200000002</v>
      </c>
      <c r="U419" s="37">
        <f t="shared" si="43"/>
        <v>483.54</v>
      </c>
      <c r="V419" s="42">
        <f t="shared" si="46"/>
        <v>4363.1047200000003</v>
      </c>
      <c r="W419" s="44">
        <f t="shared" si="47"/>
        <v>0.90023201040409662</v>
      </c>
    </row>
    <row r="420" spans="1:23" x14ac:dyDescent="0.3">
      <c r="A420" s="45" t="s">
        <v>939</v>
      </c>
      <c r="B420" s="46">
        <v>45307</v>
      </c>
      <c r="C420" s="47">
        <v>45333</v>
      </c>
      <c r="D420" s="48">
        <f t="shared" si="48"/>
        <v>26</v>
      </c>
      <c r="E420" s="48" t="str">
        <f>TEXT(Data!B420,"MMM-YYYY")</f>
        <v>Jan-2024</v>
      </c>
      <c r="F420" s="48" t="str">
        <f t="shared" si="44"/>
        <v>Q1-2024</v>
      </c>
      <c r="G420" s="38" t="s">
        <v>78</v>
      </c>
      <c r="H420" s="38" t="s">
        <v>79</v>
      </c>
      <c r="I420" s="38" t="s">
        <v>335</v>
      </c>
      <c r="J420" s="38" t="s">
        <v>39</v>
      </c>
      <c r="K420" s="38" t="s">
        <v>55</v>
      </c>
      <c r="L420" s="38" t="s">
        <v>63</v>
      </c>
      <c r="M420" s="38" t="s">
        <v>64</v>
      </c>
      <c r="N420" s="38" t="s">
        <v>940</v>
      </c>
      <c r="O420" s="48">
        <v>504.93</v>
      </c>
      <c r="P420" s="49" t="str">
        <f t="shared" si="45"/>
        <v>High</v>
      </c>
      <c r="Q420" s="48">
        <v>819.06</v>
      </c>
      <c r="R420" s="48">
        <v>0.22600000000000001</v>
      </c>
      <c r="S420" s="48">
        <v>15</v>
      </c>
      <c r="T420" s="48">
        <f t="shared" si="42"/>
        <v>5749.1559000000007</v>
      </c>
      <c r="U420" s="38">
        <f t="shared" si="43"/>
        <v>7573.95</v>
      </c>
      <c r="V420" s="48">
        <f t="shared" si="46"/>
        <v>-1824.7940999999992</v>
      </c>
      <c r="W420" s="50">
        <f t="shared" si="47"/>
        <v>-0.31740209027902672</v>
      </c>
    </row>
    <row r="421" spans="1:23" x14ac:dyDescent="0.3">
      <c r="A421" s="39" t="s">
        <v>941</v>
      </c>
      <c r="B421" s="40">
        <v>45211</v>
      </c>
      <c r="C421" s="41">
        <v>45228</v>
      </c>
      <c r="D421" s="42">
        <f t="shared" si="48"/>
        <v>17</v>
      </c>
      <c r="E421" s="42" t="str">
        <f>TEXT(Data!B421,"MMM-YYYY")</f>
        <v>Oct-2023</v>
      </c>
      <c r="F421" s="42" t="str">
        <f t="shared" si="44"/>
        <v>Q4-2023</v>
      </c>
      <c r="G421" s="37" t="s">
        <v>45</v>
      </c>
      <c r="H421" s="37" t="s">
        <v>46</v>
      </c>
      <c r="I421" s="37" t="s">
        <v>231</v>
      </c>
      <c r="J421" s="37" t="s">
        <v>39</v>
      </c>
      <c r="K421" s="37" t="s">
        <v>98</v>
      </c>
      <c r="L421" s="37" t="s">
        <v>92</v>
      </c>
      <c r="M421" s="37" t="s">
        <v>42</v>
      </c>
      <c r="N421" s="37" t="s">
        <v>942</v>
      </c>
      <c r="O421" s="42">
        <v>1102.19</v>
      </c>
      <c r="P421" s="43" t="str">
        <f t="shared" si="45"/>
        <v>High</v>
      </c>
      <c r="Q421" s="42">
        <v>1711.16</v>
      </c>
      <c r="R421" s="42">
        <v>0.151</v>
      </c>
      <c r="S421" s="42">
        <v>10</v>
      </c>
      <c r="T421" s="42">
        <f t="shared" si="42"/>
        <v>11198.649599999999</v>
      </c>
      <c r="U421" s="37">
        <f t="shared" si="43"/>
        <v>11021.900000000001</v>
      </c>
      <c r="V421" s="42">
        <f t="shared" si="46"/>
        <v>176.74959999999737</v>
      </c>
      <c r="W421" s="44">
        <f t="shared" si="47"/>
        <v>1.5783117278711657E-2</v>
      </c>
    </row>
    <row r="422" spans="1:23" x14ac:dyDescent="0.3">
      <c r="A422" s="45" t="s">
        <v>943</v>
      </c>
      <c r="B422" s="46">
        <v>45713</v>
      </c>
      <c r="C422" s="47">
        <v>45733</v>
      </c>
      <c r="D422" s="48">
        <f t="shared" si="48"/>
        <v>20</v>
      </c>
      <c r="E422" s="48" t="str">
        <f>TEXT(Data!B422,"MMM-YYYY")</f>
        <v>Feb-2025</v>
      </c>
      <c r="F422" s="48" t="str">
        <f t="shared" si="44"/>
        <v>Q1-2025</v>
      </c>
      <c r="G422" s="38" t="s">
        <v>52</v>
      </c>
      <c r="H422" s="38" t="s">
        <v>122</v>
      </c>
      <c r="I422" s="38" t="s">
        <v>167</v>
      </c>
      <c r="J422" s="38" t="s">
        <v>39</v>
      </c>
      <c r="K422" s="38" t="s">
        <v>40</v>
      </c>
      <c r="L422" s="38" t="s">
        <v>92</v>
      </c>
      <c r="M422" s="38" t="s">
        <v>42</v>
      </c>
      <c r="N422" s="38" t="s">
        <v>944</v>
      </c>
      <c r="O422" s="48">
        <v>1205.26</v>
      </c>
      <c r="P422" s="49" t="str">
        <f t="shared" si="45"/>
        <v>High</v>
      </c>
      <c r="Q422" s="48">
        <v>1696.35</v>
      </c>
      <c r="R422" s="48">
        <v>1.9E-2</v>
      </c>
      <c r="S422" s="48">
        <v>6</v>
      </c>
      <c r="T422" s="48">
        <f t="shared" si="42"/>
        <v>1853.32482</v>
      </c>
      <c r="U422" s="38">
        <f t="shared" si="43"/>
        <v>7231.5599999999995</v>
      </c>
      <c r="V422" s="48">
        <f t="shared" si="46"/>
        <v>-5378.2351799999997</v>
      </c>
      <c r="W422" s="50">
        <f t="shared" si="47"/>
        <v>-2.9019387869634206</v>
      </c>
    </row>
    <row r="423" spans="1:23" x14ac:dyDescent="0.3">
      <c r="A423" s="39" t="s">
        <v>945</v>
      </c>
      <c r="B423" s="40">
        <v>45841</v>
      </c>
      <c r="C423" s="41">
        <v>45844</v>
      </c>
      <c r="D423" s="42">
        <f t="shared" si="48"/>
        <v>3</v>
      </c>
      <c r="E423" s="42" t="str">
        <f>TEXT(Data!B423,"MMM-YYYY")</f>
        <v>Jul-2025</v>
      </c>
      <c r="F423" s="42" t="str">
        <f t="shared" si="44"/>
        <v>Q3-2025</v>
      </c>
      <c r="G423" s="37" t="s">
        <v>16</v>
      </c>
      <c r="H423" s="37" t="s">
        <v>25</v>
      </c>
      <c r="I423" s="37" t="s">
        <v>38</v>
      </c>
      <c r="J423" s="37" t="s">
        <v>48</v>
      </c>
      <c r="K423" s="37" t="s">
        <v>28</v>
      </c>
      <c r="L423" s="37" t="s">
        <v>1364</v>
      </c>
      <c r="M423" s="37" t="s">
        <v>57</v>
      </c>
      <c r="N423" s="37" t="s">
        <v>946</v>
      </c>
      <c r="O423" s="42">
        <v>1313.3</v>
      </c>
      <c r="P423" s="43" t="str">
        <f t="shared" si="45"/>
        <v>High</v>
      </c>
      <c r="Q423" s="42">
        <v>2884.34</v>
      </c>
      <c r="R423" s="42">
        <v>0.157</v>
      </c>
      <c r="S423" s="42">
        <v>42</v>
      </c>
      <c r="T423" s="42">
        <f t="shared" si="42"/>
        <v>78253.279020000002</v>
      </c>
      <c r="U423" s="37">
        <f t="shared" si="43"/>
        <v>55158.6</v>
      </c>
      <c r="V423" s="42">
        <f t="shared" si="46"/>
        <v>23094.679020000003</v>
      </c>
      <c r="W423" s="44">
        <f t="shared" si="47"/>
        <v>0.29512730085211453</v>
      </c>
    </row>
    <row r="424" spans="1:23" x14ac:dyDescent="0.3">
      <c r="A424" s="45" t="s">
        <v>947</v>
      </c>
      <c r="B424" s="46">
        <v>45915</v>
      </c>
      <c r="C424" s="47">
        <v>45925</v>
      </c>
      <c r="D424" s="48">
        <f t="shared" si="48"/>
        <v>10</v>
      </c>
      <c r="E424" s="48" t="str">
        <f>TEXT(Data!B424,"MMM-YYYY")</f>
        <v>Sept-2025</v>
      </c>
      <c r="F424" s="48" t="str">
        <f t="shared" si="44"/>
        <v>Q3-2025</v>
      </c>
      <c r="G424" s="38" t="s">
        <v>45</v>
      </c>
      <c r="H424" s="38" t="s">
        <v>60</v>
      </c>
      <c r="I424" s="38" t="s">
        <v>141</v>
      </c>
      <c r="J424" s="38" t="s">
        <v>48</v>
      </c>
      <c r="K424" s="38" t="s">
        <v>20</v>
      </c>
      <c r="L424" s="38" t="s">
        <v>75</v>
      </c>
      <c r="M424" s="38" t="s">
        <v>42</v>
      </c>
      <c r="N424" s="38" t="s">
        <v>948</v>
      </c>
      <c r="O424" s="48">
        <v>1488.91</v>
      </c>
      <c r="P424" s="49" t="str">
        <f t="shared" si="45"/>
        <v>High</v>
      </c>
      <c r="Q424" s="48">
        <v>1483.74</v>
      </c>
      <c r="R424" s="48">
        <v>0.16800000000000001</v>
      </c>
      <c r="S424" s="48">
        <v>24</v>
      </c>
      <c r="T424" s="48">
        <f t="shared" si="42"/>
        <v>20866.559999999998</v>
      </c>
      <c r="U424" s="38">
        <f t="shared" si="43"/>
        <v>35733.840000000004</v>
      </c>
      <c r="V424" s="48">
        <f t="shared" si="46"/>
        <v>-14867.280000000006</v>
      </c>
      <c r="W424" s="50">
        <f t="shared" si="47"/>
        <v>-0.71249309900625724</v>
      </c>
    </row>
    <row r="425" spans="1:23" x14ac:dyDescent="0.3">
      <c r="A425" s="39" t="s">
        <v>949</v>
      </c>
      <c r="B425" s="40">
        <v>45341</v>
      </c>
      <c r="C425" s="41">
        <v>45357</v>
      </c>
      <c r="D425" s="42">
        <f t="shared" si="48"/>
        <v>16</v>
      </c>
      <c r="E425" s="42" t="str">
        <f>TEXT(Data!B425,"MMM-YYYY")</f>
        <v>Feb-2024</v>
      </c>
      <c r="F425" s="42" t="str">
        <f t="shared" si="44"/>
        <v>Q1-2024</v>
      </c>
      <c r="G425" s="37" t="s">
        <v>45</v>
      </c>
      <c r="H425" s="37" t="s">
        <v>116</v>
      </c>
      <c r="I425" s="37" t="s">
        <v>338</v>
      </c>
      <c r="J425" s="37" t="s">
        <v>27</v>
      </c>
      <c r="K425" s="37" t="s">
        <v>40</v>
      </c>
      <c r="L425" s="37" t="s">
        <v>68</v>
      </c>
      <c r="M425" s="37" t="s">
        <v>30</v>
      </c>
      <c r="N425" s="37" t="s">
        <v>950</v>
      </c>
      <c r="O425" s="42">
        <v>1477.84</v>
      </c>
      <c r="P425" s="43" t="str">
        <f t="shared" si="45"/>
        <v>High</v>
      </c>
      <c r="Q425" s="42">
        <v>3197.47</v>
      </c>
      <c r="R425" s="42">
        <v>0.24299999999999999</v>
      </c>
      <c r="S425" s="42">
        <v>24</v>
      </c>
      <c r="T425" s="42">
        <f t="shared" si="42"/>
        <v>38737.627919999999</v>
      </c>
      <c r="U425" s="37">
        <f t="shared" si="43"/>
        <v>35468.159999999996</v>
      </c>
      <c r="V425" s="42">
        <f t="shared" si="46"/>
        <v>3269.4679200000028</v>
      </c>
      <c r="W425" s="44">
        <f t="shared" si="47"/>
        <v>8.4400312965781696E-2</v>
      </c>
    </row>
    <row r="426" spans="1:23" x14ac:dyDescent="0.3">
      <c r="A426" s="45" t="s">
        <v>951</v>
      </c>
      <c r="B426" s="46">
        <v>45349</v>
      </c>
      <c r="C426" s="47">
        <v>45377</v>
      </c>
      <c r="D426" s="48">
        <f t="shared" si="48"/>
        <v>28</v>
      </c>
      <c r="E426" s="48" t="str">
        <f>TEXT(Data!B426,"MMM-YYYY")</f>
        <v>Feb-2024</v>
      </c>
      <c r="F426" s="48" t="str">
        <f t="shared" si="44"/>
        <v>Q1-2024</v>
      </c>
      <c r="G426" s="38" t="s">
        <v>45</v>
      </c>
      <c r="H426" s="38" t="s">
        <v>60</v>
      </c>
      <c r="I426" s="38" t="s">
        <v>220</v>
      </c>
      <c r="J426" s="38" t="s">
        <v>27</v>
      </c>
      <c r="K426" s="38" t="s">
        <v>40</v>
      </c>
      <c r="L426" s="38" t="s">
        <v>41</v>
      </c>
      <c r="M426" s="38" t="s">
        <v>57</v>
      </c>
      <c r="N426" s="38" t="s">
        <v>952</v>
      </c>
      <c r="O426" s="48">
        <v>1035.19</v>
      </c>
      <c r="P426" s="49" t="str">
        <f t="shared" si="45"/>
        <v>High</v>
      </c>
      <c r="Q426" s="48">
        <v>2322.6999999999998</v>
      </c>
      <c r="R426" s="48">
        <v>0.17299999999999999</v>
      </c>
      <c r="S426" s="48">
        <v>8</v>
      </c>
      <c r="T426" s="48">
        <f t="shared" si="42"/>
        <v>13903.854800000001</v>
      </c>
      <c r="U426" s="38">
        <f t="shared" si="43"/>
        <v>8281.52</v>
      </c>
      <c r="V426" s="48">
        <f t="shared" si="46"/>
        <v>5622.3348000000005</v>
      </c>
      <c r="W426" s="50">
        <f t="shared" si="47"/>
        <v>0.40437237592555986</v>
      </c>
    </row>
    <row r="427" spans="1:23" x14ac:dyDescent="0.3">
      <c r="A427" s="39" t="s">
        <v>953</v>
      </c>
      <c r="B427" s="40">
        <v>45897</v>
      </c>
      <c r="C427" s="41">
        <v>45905</v>
      </c>
      <c r="D427" s="42">
        <f t="shared" si="48"/>
        <v>8</v>
      </c>
      <c r="E427" s="42" t="str">
        <f>TEXT(Data!B427,"MMM-YYYY")</f>
        <v>Aug-2025</v>
      </c>
      <c r="F427" s="42" t="str">
        <f t="shared" si="44"/>
        <v>Q3-2025</v>
      </c>
      <c r="G427" s="37" t="s">
        <v>16</v>
      </c>
      <c r="H427" s="37" t="s">
        <v>25</v>
      </c>
      <c r="I427" s="37" t="s">
        <v>26</v>
      </c>
      <c r="J427" s="37" t="s">
        <v>62</v>
      </c>
      <c r="K427" s="37" t="s">
        <v>40</v>
      </c>
      <c r="L427" s="37" t="s">
        <v>63</v>
      </c>
      <c r="M427" s="37" t="s">
        <v>57</v>
      </c>
      <c r="N427" s="37" t="s">
        <v>954</v>
      </c>
      <c r="O427" s="42">
        <v>1271.0999999999999</v>
      </c>
      <c r="P427" s="43" t="str">
        <f t="shared" si="45"/>
        <v>High</v>
      </c>
      <c r="Q427" s="42">
        <v>1932.42</v>
      </c>
      <c r="R427" s="42">
        <v>0.25</v>
      </c>
      <c r="S427" s="42">
        <v>21</v>
      </c>
      <c r="T427" s="42">
        <f t="shared" si="42"/>
        <v>33475.68</v>
      </c>
      <c r="U427" s="37">
        <f t="shared" si="43"/>
        <v>26693.1</v>
      </c>
      <c r="V427" s="42">
        <f t="shared" si="46"/>
        <v>6782.5800000000017</v>
      </c>
      <c r="W427" s="44">
        <f t="shared" si="47"/>
        <v>0.20261216501053905</v>
      </c>
    </row>
    <row r="428" spans="1:23" x14ac:dyDescent="0.3">
      <c r="A428" s="45" t="s">
        <v>955</v>
      </c>
      <c r="B428" s="46">
        <v>45522</v>
      </c>
      <c r="C428" s="47">
        <v>45547</v>
      </c>
      <c r="D428" s="48">
        <f t="shared" si="48"/>
        <v>25</v>
      </c>
      <c r="E428" s="48" t="str">
        <f>TEXT(Data!B428,"MMM-YYYY")</f>
        <v>Aug-2024</v>
      </c>
      <c r="F428" s="48" t="str">
        <f t="shared" si="44"/>
        <v>Q3-2024</v>
      </c>
      <c r="G428" s="38" t="s">
        <v>45</v>
      </c>
      <c r="H428" s="38" t="s">
        <v>60</v>
      </c>
      <c r="I428" s="38" t="s">
        <v>220</v>
      </c>
      <c r="J428" s="38" t="s">
        <v>48</v>
      </c>
      <c r="K428" s="38" t="s">
        <v>40</v>
      </c>
      <c r="L428" s="38" t="s">
        <v>21</v>
      </c>
      <c r="M428" s="38" t="s">
        <v>42</v>
      </c>
      <c r="N428" s="38" t="s">
        <v>956</v>
      </c>
      <c r="O428" s="48">
        <v>1154.03</v>
      </c>
      <c r="P428" s="49" t="str">
        <f t="shared" si="45"/>
        <v>High</v>
      </c>
      <c r="Q428" s="48">
        <v>1590.36</v>
      </c>
      <c r="R428" s="48">
        <v>0.314</v>
      </c>
      <c r="S428" s="48">
        <v>18</v>
      </c>
      <c r="T428" s="48">
        <f t="shared" si="42"/>
        <v>8801.0369999999984</v>
      </c>
      <c r="U428" s="38">
        <f t="shared" si="43"/>
        <v>20772.54</v>
      </c>
      <c r="V428" s="48">
        <f t="shared" si="46"/>
        <v>-11971.503000000002</v>
      </c>
      <c r="W428" s="50">
        <f t="shared" si="47"/>
        <v>-1.360237776525653</v>
      </c>
    </row>
    <row r="429" spans="1:23" x14ac:dyDescent="0.3">
      <c r="A429" s="39" t="s">
        <v>957</v>
      </c>
      <c r="B429" s="40">
        <v>45347</v>
      </c>
      <c r="C429" s="41">
        <v>45360</v>
      </c>
      <c r="D429" s="42">
        <f t="shared" si="48"/>
        <v>13</v>
      </c>
      <c r="E429" s="42" t="str">
        <f>TEXT(Data!B429,"MMM-YYYY")</f>
        <v>Feb-2024</v>
      </c>
      <c r="F429" s="42" t="str">
        <f t="shared" si="44"/>
        <v>Q1-2024</v>
      </c>
      <c r="G429" s="37" t="s">
        <v>78</v>
      </c>
      <c r="H429" s="37" t="s">
        <v>90</v>
      </c>
      <c r="I429" s="37" t="s">
        <v>91</v>
      </c>
      <c r="J429" s="37" t="s">
        <v>62</v>
      </c>
      <c r="K429" s="37" t="s">
        <v>55</v>
      </c>
      <c r="L429" s="37" t="s">
        <v>63</v>
      </c>
      <c r="M429" s="37" t="s">
        <v>64</v>
      </c>
      <c r="N429" s="37" t="s">
        <v>958</v>
      </c>
      <c r="O429" s="42">
        <v>322.44</v>
      </c>
      <c r="P429" s="43" t="str">
        <f t="shared" si="45"/>
        <v>High</v>
      </c>
      <c r="Q429" s="42">
        <v>395.61</v>
      </c>
      <c r="R429" s="42">
        <v>0</v>
      </c>
      <c r="S429" s="42">
        <v>34</v>
      </c>
      <c r="T429" s="42">
        <f t="shared" si="42"/>
        <v>53340.22</v>
      </c>
      <c r="U429" s="37">
        <f t="shared" si="43"/>
        <v>10962.96</v>
      </c>
      <c r="V429" s="42">
        <f t="shared" si="46"/>
        <v>42377.26</v>
      </c>
      <c r="W429" s="44">
        <f t="shared" si="47"/>
        <v>0.79447103892709858</v>
      </c>
    </row>
    <row r="430" spans="1:23" x14ac:dyDescent="0.3">
      <c r="A430" s="45" t="s">
        <v>959</v>
      </c>
      <c r="B430" s="46">
        <v>45784</v>
      </c>
      <c r="C430" s="47">
        <v>45790</v>
      </c>
      <c r="D430" s="48">
        <f t="shared" si="48"/>
        <v>6</v>
      </c>
      <c r="E430" s="48" t="str">
        <f>TEXT(Data!B430,"MMM-YYYY")</f>
        <v>May-2025</v>
      </c>
      <c r="F430" s="48" t="str">
        <f t="shared" si="44"/>
        <v>Q2-2025</v>
      </c>
      <c r="G430" s="38" t="s">
        <v>45</v>
      </c>
      <c r="H430" s="38" t="s">
        <v>60</v>
      </c>
      <c r="I430" s="38" t="s">
        <v>61</v>
      </c>
      <c r="J430" s="38" t="s">
        <v>105</v>
      </c>
      <c r="K430" s="38" t="s">
        <v>98</v>
      </c>
      <c r="L430" s="38" t="s">
        <v>29</v>
      </c>
      <c r="M430" s="38" t="s">
        <v>42</v>
      </c>
      <c r="N430" s="38" t="s">
        <v>960</v>
      </c>
      <c r="O430" s="48">
        <v>935.98</v>
      </c>
      <c r="P430" s="49" t="str">
        <f t="shared" si="45"/>
        <v>High</v>
      </c>
      <c r="Q430" s="48">
        <v>2077.69</v>
      </c>
      <c r="R430" s="48">
        <v>0.17499999999999999</v>
      </c>
      <c r="S430" s="48">
        <v>24</v>
      </c>
      <c r="T430" s="48">
        <f t="shared" si="42"/>
        <v>41071.932000000001</v>
      </c>
      <c r="U430" s="38">
        <f t="shared" si="43"/>
        <v>22463.52</v>
      </c>
      <c r="V430" s="48">
        <f t="shared" si="46"/>
        <v>18608.412</v>
      </c>
      <c r="W430" s="50">
        <f t="shared" si="47"/>
        <v>0.4530688256885505</v>
      </c>
    </row>
    <row r="431" spans="1:23" x14ac:dyDescent="0.3">
      <c r="A431" s="39" t="s">
        <v>961</v>
      </c>
      <c r="B431" s="40">
        <v>45597</v>
      </c>
      <c r="C431" s="41">
        <v>45608</v>
      </c>
      <c r="D431" s="42">
        <f t="shared" si="48"/>
        <v>11</v>
      </c>
      <c r="E431" s="42" t="str">
        <f>TEXT(Data!B431,"MMM-YYYY")</f>
        <v>Nov-2024</v>
      </c>
      <c r="F431" s="42" t="str">
        <f t="shared" si="44"/>
        <v>Q4-2024</v>
      </c>
      <c r="G431" s="37" t="s">
        <v>78</v>
      </c>
      <c r="H431" s="37" t="s">
        <v>79</v>
      </c>
      <c r="I431" s="37" t="s">
        <v>335</v>
      </c>
      <c r="J431" s="37" t="s">
        <v>48</v>
      </c>
      <c r="K431" s="37" t="s">
        <v>28</v>
      </c>
      <c r="L431" s="37" t="s">
        <v>56</v>
      </c>
      <c r="M431" s="37" t="s">
        <v>30</v>
      </c>
      <c r="N431" s="37" t="s">
        <v>962</v>
      </c>
      <c r="O431" s="42">
        <v>599.84</v>
      </c>
      <c r="P431" s="43" t="str">
        <f t="shared" si="45"/>
        <v>High</v>
      </c>
      <c r="Q431" s="42">
        <v>1330.85</v>
      </c>
      <c r="R431" s="42">
        <v>0.115</v>
      </c>
      <c r="S431" s="42">
        <v>11</v>
      </c>
      <c r="T431" s="42">
        <f t="shared" si="42"/>
        <v>4820.6746499999999</v>
      </c>
      <c r="U431" s="37">
        <f t="shared" si="43"/>
        <v>6598.2400000000007</v>
      </c>
      <c r="V431" s="42">
        <f t="shared" si="46"/>
        <v>-1777.5653500000008</v>
      </c>
      <c r="W431" s="44">
        <f t="shared" si="47"/>
        <v>-0.36873787987330792</v>
      </c>
    </row>
    <row r="432" spans="1:23" x14ac:dyDescent="0.3">
      <c r="A432" s="45" t="s">
        <v>963</v>
      </c>
      <c r="B432" s="46">
        <v>45654</v>
      </c>
      <c r="C432" s="47">
        <v>45665</v>
      </c>
      <c r="D432" s="48">
        <f t="shared" si="48"/>
        <v>11</v>
      </c>
      <c r="E432" s="48" t="str">
        <f>TEXT(Data!B432,"MMM-YYYY")</f>
        <v>Dec-2024</v>
      </c>
      <c r="F432" s="48" t="str">
        <f t="shared" si="44"/>
        <v>Q4-2024</v>
      </c>
      <c r="G432" s="38" t="s">
        <v>45</v>
      </c>
      <c r="H432" s="38" t="s">
        <v>116</v>
      </c>
      <c r="I432" s="38" t="s">
        <v>117</v>
      </c>
      <c r="J432" s="38" t="s">
        <v>105</v>
      </c>
      <c r="K432" s="38" t="s">
        <v>28</v>
      </c>
      <c r="L432" s="38" t="s">
        <v>95</v>
      </c>
      <c r="M432" s="38" t="s">
        <v>57</v>
      </c>
      <c r="N432" s="38" t="s">
        <v>964</v>
      </c>
      <c r="O432" s="48">
        <v>1201.31</v>
      </c>
      <c r="P432" s="49" t="str">
        <f t="shared" si="45"/>
        <v>High</v>
      </c>
      <c r="Q432" s="48">
        <v>2764.65</v>
      </c>
      <c r="R432" s="48">
        <v>0</v>
      </c>
      <c r="S432" s="48">
        <v>21</v>
      </c>
      <c r="T432" s="48">
        <f t="shared" si="42"/>
        <v>15909.390000000001</v>
      </c>
      <c r="U432" s="38">
        <f t="shared" si="43"/>
        <v>25227.51</v>
      </c>
      <c r="V432" s="48">
        <f t="shared" si="46"/>
        <v>-9318.1199999999972</v>
      </c>
      <c r="W432" s="50">
        <f t="shared" si="47"/>
        <v>-0.58569938885148942</v>
      </c>
    </row>
    <row r="433" spans="1:23" x14ac:dyDescent="0.3">
      <c r="A433" s="39" t="s">
        <v>965</v>
      </c>
      <c r="B433" s="40">
        <v>45220</v>
      </c>
      <c r="C433" s="41">
        <v>45220</v>
      </c>
      <c r="D433" s="42">
        <f t="shared" si="48"/>
        <v>0</v>
      </c>
      <c r="E433" s="42" t="str">
        <f>TEXT(Data!B433,"MMM-YYYY")</f>
        <v>Oct-2023</v>
      </c>
      <c r="F433" s="42" t="str">
        <f t="shared" si="44"/>
        <v>Q4-2023</v>
      </c>
      <c r="G433" s="37" t="s">
        <v>78</v>
      </c>
      <c r="H433" s="37" t="s">
        <v>108</v>
      </c>
      <c r="I433" s="37" t="s">
        <v>228</v>
      </c>
      <c r="J433" s="37" t="s">
        <v>105</v>
      </c>
      <c r="K433" s="37" t="s">
        <v>55</v>
      </c>
      <c r="L433" s="37" t="s">
        <v>29</v>
      </c>
      <c r="M433" s="37" t="s">
        <v>64</v>
      </c>
      <c r="N433" s="37" t="s">
        <v>966</v>
      </c>
      <c r="O433" s="42">
        <v>384.19</v>
      </c>
      <c r="P433" s="43" t="str">
        <f t="shared" si="45"/>
        <v>High</v>
      </c>
      <c r="Q433" s="42">
        <v>278.35000000000002</v>
      </c>
      <c r="R433" s="42">
        <v>5.6000000000000001E-2</v>
      </c>
      <c r="S433" s="42">
        <v>10</v>
      </c>
      <c r="T433" s="42">
        <f t="shared" si="42"/>
        <v>3926.6623999999993</v>
      </c>
      <c r="U433" s="37">
        <f t="shared" si="43"/>
        <v>3841.9</v>
      </c>
      <c r="V433" s="42">
        <f t="shared" si="46"/>
        <v>84.762399999999161</v>
      </c>
      <c r="W433" s="44">
        <f t="shared" si="47"/>
        <v>2.1586373200812775E-2</v>
      </c>
    </row>
    <row r="434" spans="1:23" x14ac:dyDescent="0.3">
      <c r="A434" s="45" t="s">
        <v>967</v>
      </c>
      <c r="B434" s="46">
        <v>45636</v>
      </c>
      <c r="C434" s="47">
        <v>45645</v>
      </c>
      <c r="D434" s="48">
        <f t="shared" si="48"/>
        <v>9</v>
      </c>
      <c r="E434" s="48" t="str">
        <f>TEXT(Data!B434,"MMM-YYYY")</f>
        <v>Dec-2024</v>
      </c>
      <c r="F434" s="48" t="str">
        <f t="shared" si="44"/>
        <v>Q4-2024</v>
      </c>
      <c r="G434" s="38" t="s">
        <v>16</v>
      </c>
      <c r="H434" s="38" t="s">
        <v>25</v>
      </c>
      <c r="I434" s="38" t="s">
        <v>38</v>
      </c>
      <c r="J434" s="38" t="s">
        <v>19</v>
      </c>
      <c r="K434" s="38" t="s">
        <v>20</v>
      </c>
      <c r="L434" s="38" t="s">
        <v>68</v>
      </c>
      <c r="M434" s="38" t="s">
        <v>64</v>
      </c>
      <c r="N434" s="38" t="s">
        <v>968</v>
      </c>
      <c r="O434" s="48">
        <v>488.68</v>
      </c>
      <c r="P434" s="49" t="str">
        <f t="shared" si="45"/>
        <v>High</v>
      </c>
      <c r="Q434" s="48">
        <v>984.36</v>
      </c>
      <c r="R434" s="48">
        <v>5.8999999999999997E-2</v>
      </c>
      <c r="S434" s="48">
        <v>14</v>
      </c>
      <c r="T434" s="48">
        <f t="shared" si="42"/>
        <v>24647.104860000003</v>
      </c>
      <c r="U434" s="38">
        <f t="shared" si="43"/>
        <v>6841.52</v>
      </c>
      <c r="V434" s="48">
        <f t="shared" si="46"/>
        <v>17805.584860000003</v>
      </c>
      <c r="W434" s="50">
        <f t="shared" si="47"/>
        <v>0.72242094806424251</v>
      </c>
    </row>
    <row r="435" spans="1:23" x14ac:dyDescent="0.3">
      <c r="A435" s="39" t="s">
        <v>969</v>
      </c>
      <c r="B435" s="40">
        <v>45542</v>
      </c>
      <c r="C435" s="41">
        <v>45553</v>
      </c>
      <c r="D435" s="42">
        <f t="shared" si="48"/>
        <v>11</v>
      </c>
      <c r="E435" s="42" t="str">
        <f>TEXT(Data!B435,"MMM-YYYY")</f>
        <v>Sept-2024</v>
      </c>
      <c r="F435" s="42" t="str">
        <f t="shared" si="44"/>
        <v>Q3-2024</v>
      </c>
      <c r="G435" s="37" t="s">
        <v>45</v>
      </c>
      <c r="H435" s="37" t="s">
        <v>116</v>
      </c>
      <c r="I435" s="37" t="s">
        <v>338</v>
      </c>
      <c r="J435" s="37" t="s">
        <v>48</v>
      </c>
      <c r="K435" s="37" t="s">
        <v>55</v>
      </c>
      <c r="L435" s="37" t="s">
        <v>68</v>
      </c>
      <c r="M435" s="37" t="s">
        <v>35</v>
      </c>
      <c r="N435" s="37" t="s">
        <v>970</v>
      </c>
      <c r="O435" s="42">
        <v>181.74</v>
      </c>
      <c r="P435" s="43" t="str">
        <f t="shared" si="45"/>
        <v>Medium</v>
      </c>
      <c r="Q435" s="42">
        <v>190.84</v>
      </c>
      <c r="R435" s="42">
        <v>0.214</v>
      </c>
      <c r="S435" s="42">
        <v>13</v>
      </c>
      <c r="T435" s="42">
        <f t="shared" si="42"/>
        <v>2113.89984</v>
      </c>
      <c r="U435" s="37">
        <f t="shared" si="43"/>
        <v>2362.62</v>
      </c>
      <c r="V435" s="42">
        <f t="shared" si="46"/>
        <v>-248.72015999999985</v>
      </c>
      <c r="W435" s="44">
        <f t="shared" si="47"/>
        <v>-0.11765938730569177</v>
      </c>
    </row>
    <row r="436" spans="1:23" x14ac:dyDescent="0.3">
      <c r="A436" s="45" t="s">
        <v>971</v>
      </c>
      <c r="B436" s="46">
        <v>45217</v>
      </c>
      <c r="C436" s="47">
        <v>45219</v>
      </c>
      <c r="D436" s="48">
        <f t="shared" si="48"/>
        <v>2</v>
      </c>
      <c r="E436" s="48" t="str">
        <f>TEXT(Data!B436,"MMM-YYYY")</f>
        <v>Oct-2023</v>
      </c>
      <c r="F436" s="48" t="str">
        <f t="shared" si="44"/>
        <v>Q4-2023</v>
      </c>
      <c r="G436" s="38" t="s">
        <v>16</v>
      </c>
      <c r="H436" s="38" t="s">
        <v>17</v>
      </c>
      <c r="I436" s="38" t="s">
        <v>18</v>
      </c>
      <c r="J436" s="38" t="s">
        <v>48</v>
      </c>
      <c r="K436" s="38" t="s">
        <v>20</v>
      </c>
      <c r="L436" s="38" t="s">
        <v>29</v>
      </c>
      <c r="M436" s="38" t="s">
        <v>42</v>
      </c>
      <c r="N436" s="38" t="s">
        <v>972</v>
      </c>
      <c r="O436" s="48">
        <v>774.12</v>
      </c>
      <c r="P436" s="49" t="str">
        <f t="shared" si="45"/>
        <v>High</v>
      </c>
      <c r="Q436" s="48">
        <v>908.3</v>
      </c>
      <c r="R436" s="48">
        <v>0</v>
      </c>
      <c r="S436" s="48">
        <v>30</v>
      </c>
      <c r="T436" s="48">
        <f t="shared" si="42"/>
        <v>1884.6</v>
      </c>
      <c r="U436" s="38">
        <f t="shared" si="43"/>
        <v>23223.599999999999</v>
      </c>
      <c r="V436" s="48">
        <f t="shared" si="46"/>
        <v>-21339</v>
      </c>
      <c r="W436" s="50">
        <f t="shared" si="47"/>
        <v>-11.322827125119389</v>
      </c>
    </row>
    <row r="437" spans="1:23" x14ac:dyDescent="0.3">
      <c r="A437" s="39" t="s">
        <v>973</v>
      </c>
      <c r="B437" s="40">
        <v>45650</v>
      </c>
      <c r="C437" s="41">
        <v>45670</v>
      </c>
      <c r="D437" s="42">
        <f t="shared" si="48"/>
        <v>20</v>
      </c>
      <c r="E437" s="42" t="str">
        <f>TEXT(Data!B437,"MMM-YYYY")</f>
        <v>Dec-2024</v>
      </c>
      <c r="F437" s="42" t="str">
        <f t="shared" si="44"/>
        <v>Q4-2024</v>
      </c>
      <c r="G437" s="37" t="s">
        <v>45</v>
      </c>
      <c r="H437" s="37" t="s">
        <v>60</v>
      </c>
      <c r="I437" s="37" t="s">
        <v>61</v>
      </c>
      <c r="J437" s="37" t="s">
        <v>19</v>
      </c>
      <c r="K437" s="37" t="s">
        <v>40</v>
      </c>
      <c r="L437" s="37" t="s">
        <v>145</v>
      </c>
      <c r="M437" s="37" t="s">
        <v>35</v>
      </c>
      <c r="N437" s="37" t="s">
        <v>974</v>
      </c>
      <c r="O437" s="42">
        <v>126.15</v>
      </c>
      <c r="P437" s="43" t="str">
        <f t="shared" si="45"/>
        <v>High</v>
      </c>
      <c r="Q437" s="42">
        <v>284.23</v>
      </c>
      <c r="R437" s="42">
        <v>0.113</v>
      </c>
      <c r="S437" s="42">
        <v>22</v>
      </c>
      <c r="T437" s="42">
        <f t="shared" si="42"/>
        <v>18664.94586</v>
      </c>
      <c r="U437" s="37">
        <f t="shared" si="43"/>
        <v>2775.3</v>
      </c>
      <c r="V437" s="42">
        <f t="shared" si="46"/>
        <v>15889.645860000001</v>
      </c>
      <c r="W437" s="44">
        <f t="shared" si="47"/>
        <v>0.85130950709331443</v>
      </c>
    </row>
    <row r="438" spans="1:23" x14ac:dyDescent="0.3">
      <c r="A438" s="45" t="s">
        <v>975</v>
      </c>
      <c r="B438" s="46">
        <v>45037</v>
      </c>
      <c r="C438" s="47">
        <v>45035</v>
      </c>
      <c r="D438" s="48">
        <f>DATEDIF(C438,B438, "MD")</f>
        <v>2</v>
      </c>
      <c r="E438" s="48" t="str">
        <f>TEXT(Data!B438,"MMM-YYYY")</f>
        <v>Apr-2023</v>
      </c>
      <c r="F438" s="48" t="str">
        <f t="shared" si="44"/>
        <v>Q2-2023</v>
      </c>
      <c r="G438" s="38" t="s">
        <v>45</v>
      </c>
      <c r="H438" s="38" t="s">
        <v>46</v>
      </c>
      <c r="I438" s="38" t="s">
        <v>231</v>
      </c>
      <c r="J438" s="38" t="s">
        <v>62</v>
      </c>
      <c r="K438" s="38" t="s">
        <v>98</v>
      </c>
      <c r="L438" s="38" t="s">
        <v>110</v>
      </c>
      <c r="M438" s="38" t="s">
        <v>22</v>
      </c>
      <c r="N438" s="38" t="s">
        <v>976</v>
      </c>
      <c r="O438" s="48">
        <v>607.04</v>
      </c>
      <c r="P438" s="49" t="str">
        <f t="shared" si="45"/>
        <v>High</v>
      </c>
      <c r="Q438" s="48">
        <v>1229.3399999999999</v>
      </c>
      <c r="R438" s="48">
        <v>0.14699999999999999</v>
      </c>
      <c r="S438" s="48">
        <v>7</v>
      </c>
      <c r="T438" s="48">
        <f t="shared" si="42"/>
        <v>989.39469999999983</v>
      </c>
      <c r="U438" s="38">
        <f t="shared" si="43"/>
        <v>4249.28</v>
      </c>
      <c r="V438" s="48">
        <f t="shared" si="46"/>
        <v>-3259.8852999999999</v>
      </c>
      <c r="W438" s="50">
        <f t="shared" si="47"/>
        <v>-3.2948279387387061</v>
      </c>
    </row>
    <row r="439" spans="1:23" x14ac:dyDescent="0.3">
      <c r="A439" s="39" t="s">
        <v>977</v>
      </c>
      <c r="B439" s="40">
        <v>45290</v>
      </c>
      <c r="C439" s="41">
        <v>45299</v>
      </c>
      <c r="D439" s="42">
        <f t="shared" si="48"/>
        <v>9</v>
      </c>
      <c r="E439" s="42" t="str">
        <f>TEXT(Data!B439,"MMM-YYYY")</f>
        <v>Dec-2023</v>
      </c>
      <c r="F439" s="42" t="str">
        <f t="shared" si="44"/>
        <v>Q4-2023</v>
      </c>
      <c r="G439" s="37" t="s">
        <v>78</v>
      </c>
      <c r="H439" s="37" t="s">
        <v>90</v>
      </c>
      <c r="I439" s="37" t="s">
        <v>91</v>
      </c>
      <c r="J439" s="37" t="s">
        <v>48</v>
      </c>
      <c r="K439" s="37" t="s">
        <v>40</v>
      </c>
      <c r="L439" s="37" t="s">
        <v>49</v>
      </c>
      <c r="M439" s="37" t="s">
        <v>81</v>
      </c>
      <c r="N439" s="37" t="s">
        <v>978</v>
      </c>
      <c r="O439" s="42">
        <v>861.1</v>
      </c>
      <c r="P439" s="43" t="str">
        <f t="shared" si="45"/>
        <v>High</v>
      </c>
      <c r="Q439" s="42">
        <v>1224.72</v>
      </c>
      <c r="R439" s="42">
        <v>0.17399999999999999</v>
      </c>
      <c r="S439" s="42">
        <v>24</v>
      </c>
      <c r="T439" s="42">
        <f t="shared" si="42"/>
        <v>12060.128640000001</v>
      </c>
      <c r="U439" s="37">
        <f t="shared" si="43"/>
        <v>20666.400000000001</v>
      </c>
      <c r="V439" s="42">
        <f t="shared" si="46"/>
        <v>-8606.2713600000006</v>
      </c>
      <c r="W439" s="44">
        <f t="shared" si="47"/>
        <v>-0.71361356225135586</v>
      </c>
    </row>
    <row r="440" spans="1:23" x14ac:dyDescent="0.3">
      <c r="A440" s="45" t="s">
        <v>979</v>
      </c>
      <c r="B440" s="46">
        <v>44978</v>
      </c>
      <c r="C440" s="47">
        <v>44997</v>
      </c>
      <c r="D440" s="48">
        <f t="shared" si="48"/>
        <v>19</v>
      </c>
      <c r="E440" s="48" t="str">
        <f>TEXT(Data!B440,"MMM-YYYY")</f>
        <v>Feb-2023</v>
      </c>
      <c r="F440" s="48" t="str">
        <f t="shared" si="44"/>
        <v>Q1-2023</v>
      </c>
      <c r="G440" s="38" t="s">
        <v>16</v>
      </c>
      <c r="H440" s="38" t="s">
        <v>17</v>
      </c>
      <c r="I440" s="38" t="s">
        <v>135</v>
      </c>
      <c r="J440" s="38" t="s">
        <v>19</v>
      </c>
      <c r="K440" s="38" t="s">
        <v>28</v>
      </c>
      <c r="L440" s="38" t="s">
        <v>84</v>
      </c>
      <c r="M440" s="38" t="s">
        <v>35</v>
      </c>
      <c r="N440" s="38" t="s">
        <v>980</v>
      </c>
      <c r="O440" s="48">
        <v>352.65</v>
      </c>
      <c r="P440" s="49" t="str">
        <f t="shared" si="45"/>
        <v>High</v>
      </c>
      <c r="Q440" s="48">
        <v>485.86</v>
      </c>
      <c r="R440" s="48">
        <v>4.1000000000000002E-2</v>
      </c>
      <c r="S440" s="48">
        <v>6</v>
      </c>
      <c r="T440" s="48">
        <f t="shared" si="42"/>
        <v>15339.646139999999</v>
      </c>
      <c r="U440" s="38">
        <f t="shared" si="43"/>
        <v>2115.8999999999996</v>
      </c>
      <c r="V440" s="48">
        <f t="shared" si="46"/>
        <v>13223.746139999999</v>
      </c>
      <c r="W440" s="50">
        <f t="shared" si="47"/>
        <v>0.86206331093371624</v>
      </c>
    </row>
    <row r="441" spans="1:23" x14ac:dyDescent="0.3">
      <c r="A441" s="39" t="s">
        <v>981</v>
      </c>
      <c r="B441" s="40">
        <v>45063</v>
      </c>
      <c r="C441" s="41">
        <v>45080</v>
      </c>
      <c r="D441" s="42">
        <f t="shared" si="48"/>
        <v>17</v>
      </c>
      <c r="E441" s="42" t="str">
        <f>TEXT(Data!B441,"MMM-YYYY")</f>
        <v>May-2023</v>
      </c>
      <c r="F441" s="42" t="str">
        <f t="shared" si="44"/>
        <v>Q2-2023</v>
      </c>
      <c r="G441" s="37" t="s">
        <v>45</v>
      </c>
      <c r="H441" s="37" t="s">
        <v>116</v>
      </c>
      <c r="I441" s="37" t="s">
        <v>338</v>
      </c>
      <c r="J441" s="37" t="s">
        <v>39</v>
      </c>
      <c r="K441" s="37" t="s">
        <v>55</v>
      </c>
      <c r="L441" s="37" t="s">
        <v>110</v>
      </c>
      <c r="M441" s="37" t="s">
        <v>30</v>
      </c>
      <c r="N441" s="37" t="s">
        <v>982</v>
      </c>
      <c r="O441" s="42">
        <v>979.59</v>
      </c>
      <c r="P441" s="43" t="str">
        <f t="shared" si="45"/>
        <v>High</v>
      </c>
      <c r="Q441" s="42">
        <v>2210.94</v>
      </c>
      <c r="R441" s="42">
        <v>0.15</v>
      </c>
      <c r="S441" s="42">
        <v>11</v>
      </c>
      <c r="T441" s="42">
        <f t="shared" si="42"/>
        <v>5497.3325000000004</v>
      </c>
      <c r="U441" s="37">
        <f t="shared" si="43"/>
        <v>10775.49</v>
      </c>
      <c r="V441" s="42">
        <f t="shared" si="46"/>
        <v>-5278.1574999999993</v>
      </c>
      <c r="W441" s="44">
        <f t="shared" si="47"/>
        <v>-0.96013066337173514</v>
      </c>
    </row>
    <row r="442" spans="1:23" x14ac:dyDescent="0.3">
      <c r="A442" s="45" t="s">
        <v>983</v>
      </c>
      <c r="B442" s="46">
        <v>45374</v>
      </c>
      <c r="C442" s="47">
        <v>45377</v>
      </c>
      <c r="D442" s="48">
        <f t="shared" si="48"/>
        <v>3</v>
      </c>
      <c r="E442" s="48" t="str">
        <f>TEXT(Data!B442,"MMM-YYYY")</f>
        <v>Mar-2024</v>
      </c>
      <c r="F442" s="48" t="str">
        <f t="shared" si="44"/>
        <v>Q1-2024</v>
      </c>
      <c r="G442" s="38" t="s">
        <v>45</v>
      </c>
      <c r="H442" s="38" t="s">
        <v>60</v>
      </c>
      <c r="I442" s="38" t="s">
        <v>61</v>
      </c>
      <c r="J442" s="38" t="s">
        <v>27</v>
      </c>
      <c r="K442" s="38" t="s">
        <v>98</v>
      </c>
      <c r="L442" s="38" t="s">
        <v>41</v>
      </c>
      <c r="M442" s="38" t="s">
        <v>42</v>
      </c>
      <c r="N442" s="38" t="s">
        <v>984</v>
      </c>
      <c r="O442" s="48">
        <v>382.21</v>
      </c>
      <c r="P442" s="49" t="str">
        <f t="shared" si="45"/>
        <v>High</v>
      </c>
      <c r="Q442" s="48">
        <v>571.89</v>
      </c>
      <c r="R442" s="48">
        <v>0.14799999999999999</v>
      </c>
      <c r="S442" s="48">
        <v>26</v>
      </c>
      <c r="T442" s="48">
        <f t="shared" si="42"/>
        <v>48582.215760000006</v>
      </c>
      <c r="U442" s="38">
        <f t="shared" si="43"/>
        <v>9937.4599999999991</v>
      </c>
      <c r="V442" s="48">
        <f t="shared" si="46"/>
        <v>38644.755760000007</v>
      </c>
      <c r="W442" s="50">
        <f t="shared" si="47"/>
        <v>0.79545066348781124</v>
      </c>
    </row>
    <row r="443" spans="1:23" x14ac:dyDescent="0.3">
      <c r="A443" s="39" t="s">
        <v>985</v>
      </c>
      <c r="B443" s="40">
        <v>45189</v>
      </c>
      <c r="C443" s="41">
        <v>45197</v>
      </c>
      <c r="D443" s="42">
        <f t="shared" si="48"/>
        <v>8</v>
      </c>
      <c r="E443" s="42" t="str">
        <f>TEXT(Data!B443,"MMM-YYYY")</f>
        <v>Sept-2023</v>
      </c>
      <c r="F443" s="42" t="str">
        <f t="shared" si="44"/>
        <v>Q3-2023</v>
      </c>
      <c r="G443" s="37" t="s">
        <v>45</v>
      </c>
      <c r="H443" s="37" t="s">
        <v>60</v>
      </c>
      <c r="I443" s="37" t="s">
        <v>1364</v>
      </c>
      <c r="J443" s="37" t="s">
        <v>19</v>
      </c>
      <c r="K443" s="37" t="s">
        <v>1364</v>
      </c>
      <c r="L443" s="37" t="s">
        <v>56</v>
      </c>
      <c r="M443" s="37" t="s">
        <v>81</v>
      </c>
      <c r="N443" s="37" t="s">
        <v>986</v>
      </c>
      <c r="O443" s="42">
        <v>1362.06</v>
      </c>
      <c r="P443" s="43" t="str">
        <f t="shared" si="45"/>
        <v>High</v>
      </c>
      <c r="Q443" s="42">
        <v>3398.37</v>
      </c>
      <c r="R443" s="42">
        <v>0.157</v>
      </c>
      <c r="S443" s="42">
        <v>11</v>
      </c>
      <c r="T443" s="42">
        <f t="shared" si="42"/>
        <v>20287.469400000002</v>
      </c>
      <c r="U443" s="37">
        <f t="shared" si="43"/>
        <v>14982.66</v>
      </c>
      <c r="V443" s="42">
        <f t="shared" si="46"/>
        <v>5304.8094000000019</v>
      </c>
      <c r="W443" s="44">
        <f t="shared" si="47"/>
        <v>0.26148206537775487</v>
      </c>
    </row>
    <row r="444" spans="1:23" x14ac:dyDescent="0.3">
      <c r="A444" s="45" t="s">
        <v>987</v>
      </c>
      <c r="B444" s="46">
        <v>45526</v>
      </c>
      <c r="C444" s="47">
        <v>45539</v>
      </c>
      <c r="D444" s="48">
        <f t="shared" si="48"/>
        <v>13</v>
      </c>
      <c r="E444" s="48" t="str">
        <f>TEXT(Data!B444,"MMM-YYYY")</f>
        <v>Aug-2024</v>
      </c>
      <c r="F444" s="48" t="str">
        <f t="shared" si="44"/>
        <v>Q3-2024</v>
      </c>
      <c r="G444" s="38" t="s">
        <v>78</v>
      </c>
      <c r="H444" s="38" t="s">
        <v>79</v>
      </c>
      <c r="I444" s="38" t="s">
        <v>335</v>
      </c>
      <c r="J444" s="38" t="s">
        <v>39</v>
      </c>
      <c r="K444" s="38" t="s">
        <v>20</v>
      </c>
      <c r="L444" s="38" t="s">
        <v>49</v>
      </c>
      <c r="M444" s="38" t="s">
        <v>30</v>
      </c>
      <c r="N444" s="38" t="s">
        <v>988</v>
      </c>
      <c r="O444" s="48">
        <v>90.04</v>
      </c>
      <c r="P444" s="49" t="str">
        <f t="shared" si="45"/>
        <v>Medium</v>
      </c>
      <c r="Q444" s="48">
        <v>194.62</v>
      </c>
      <c r="R444" s="48">
        <v>4.2999999999999997E-2</v>
      </c>
      <c r="S444" s="48">
        <v>32</v>
      </c>
      <c r="T444" s="48">
        <f t="shared" si="42"/>
        <v>30688.61664</v>
      </c>
      <c r="U444" s="38">
        <f t="shared" si="43"/>
        <v>2881.28</v>
      </c>
      <c r="V444" s="48">
        <f t="shared" si="46"/>
        <v>27807.336640000001</v>
      </c>
      <c r="W444" s="50">
        <f t="shared" si="47"/>
        <v>0.90611241836673417</v>
      </c>
    </row>
    <row r="445" spans="1:23" x14ac:dyDescent="0.3">
      <c r="A445" s="39" t="s">
        <v>989</v>
      </c>
      <c r="B445" s="40">
        <v>45560</v>
      </c>
      <c r="C445" s="41">
        <v>45568</v>
      </c>
      <c r="D445" s="42">
        <f t="shared" si="48"/>
        <v>8</v>
      </c>
      <c r="E445" s="42" t="str">
        <f>TEXT(Data!B445,"MMM-YYYY")</f>
        <v>Sept-2024</v>
      </c>
      <c r="F445" s="42" t="str">
        <f t="shared" si="44"/>
        <v>Q3-2024</v>
      </c>
      <c r="G445" s="37" t="s">
        <v>52</v>
      </c>
      <c r="H445" s="37" t="s">
        <v>53</v>
      </c>
      <c r="I445" s="37" t="s">
        <v>54</v>
      </c>
      <c r="J445" s="37" t="s">
        <v>48</v>
      </c>
      <c r="K445" s="37" t="s">
        <v>28</v>
      </c>
      <c r="L445" s="37" t="s">
        <v>63</v>
      </c>
      <c r="M445" s="37" t="s">
        <v>30</v>
      </c>
      <c r="N445" s="37" t="s">
        <v>990</v>
      </c>
      <c r="O445" s="42">
        <v>558.19000000000005</v>
      </c>
      <c r="P445" s="43" t="str">
        <f t="shared" si="45"/>
        <v>High</v>
      </c>
      <c r="Q445" s="42">
        <v>1031.6400000000001</v>
      </c>
      <c r="R445" s="42">
        <v>0</v>
      </c>
      <c r="S445" s="42">
        <v>21</v>
      </c>
      <c r="T445" s="42">
        <f t="shared" si="42"/>
        <v>19189.38</v>
      </c>
      <c r="U445" s="37">
        <f t="shared" si="43"/>
        <v>11721.990000000002</v>
      </c>
      <c r="V445" s="42">
        <f t="shared" si="46"/>
        <v>7467.3899999999994</v>
      </c>
      <c r="W445" s="44">
        <f t="shared" si="47"/>
        <v>0.3891418065617544</v>
      </c>
    </row>
    <row r="446" spans="1:23" x14ac:dyDescent="0.3">
      <c r="A446" s="45" t="s">
        <v>991</v>
      </c>
      <c r="B446" s="46">
        <v>45090</v>
      </c>
      <c r="C446" s="47">
        <v>45101</v>
      </c>
      <c r="D446" s="48">
        <f t="shared" si="48"/>
        <v>11</v>
      </c>
      <c r="E446" s="48" t="str">
        <f>TEXT(Data!B446,"MMM-YYYY")</f>
        <v>Jun-2023</v>
      </c>
      <c r="F446" s="48" t="str">
        <f t="shared" si="44"/>
        <v>Q2-2023</v>
      </c>
      <c r="G446" s="38" t="s">
        <v>52</v>
      </c>
      <c r="H446" s="38" t="s">
        <v>53</v>
      </c>
      <c r="I446" s="38" t="s">
        <v>54</v>
      </c>
      <c r="J446" s="38" t="s">
        <v>19</v>
      </c>
      <c r="K446" s="38" t="s">
        <v>28</v>
      </c>
      <c r="L446" s="38" t="s">
        <v>21</v>
      </c>
      <c r="M446" s="38" t="s">
        <v>30</v>
      </c>
      <c r="N446" s="38" t="s">
        <v>992</v>
      </c>
      <c r="O446" s="48">
        <v>247.07</v>
      </c>
      <c r="P446" s="49" t="str">
        <f t="shared" si="45"/>
        <v>High</v>
      </c>
      <c r="Q446" s="48">
        <v>495.19</v>
      </c>
      <c r="R446" s="48">
        <v>2.8000000000000001E-2</v>
      </c>
      <c r="S446" s="48">
        <v>4</v>
      </c>
      <c r="T446" s="48">
        <f t="shared" si="42"/>
        <v>7167.5668799999994</v>
      </c>
      <c r="U446" s="38">
        <f t="shared" si="43"/>
        <v>988.28</v>
      </c>
      <c r="V446" s="48">
        <f t="shared" si="46"/>
        <v>6179.2868799999997</v>
      </c>
      <c r="W446" s="50">
        <f t="shared" si="47"/>
        <v>0.86211778466167588</v>
      </c>
    </row>
    <row r="447" spans="1:23" x14ac:dyDescent="0.3">
      <c r="A447" s="39" t="s">
        <v>993</v>
      </c>
      <c r="B447" s="40">
        <v>45284</v>
      </c>
      <c r="C447" s="41">
        <v>45304</v>
      </c>
      <c r="D447" s="42">
        <f t="shared" si="48"/>
        <v>20</v>
      </c>
      <c r="E447" s="42" t="str">
        <f>TEXT(Data!B447,"MMM-YYYY")</f>
        <v>Dec-2023</v>
      </c>
      <c r="F447" s="42" t="str">
        <f t="shared" si="44"/>
        <v>Q4-2023</v>
      </c>
      <c r="G447" s="37" t="s">
        <v>45</v>
      </c>
      <c r="H447" s="37" t="s">
        <v>46</v>
      </c>
      <c r="I447" s="37" t="s">
        <v>231</v>
      </c>
      <c r="J447" s="37" t="s">
        <v>27</v>
      </c>
      <c r="K447" s="37" t="s">
        <v>98</v>
      </c>
      <c r="L447" s="37" t="s">
        <v>56</v>
      </c>
      <c r="M447" s="37" t="s">
        <v>57</v>
      </c>
      <c r="N447" s="37" t="s">
        <v>994</v>
      </c>
      <c r="O447" s="42">
        <v>625.37</v>
      </c>
      <c r="P447" s="43" t="str">
        <f t="shared" si="45"/>
        <v>High</v>
      </c>
      <c r="Q447" s="42">
        <v>1319.04</v>
      </c>
      <c r="R447" s="42">
        <v>7.3999999999999996E-2</v>
      </c>
      <c r="S447" s="42">
        <v>8</v>
      </c>
      <c r="T447" s="42">
        <f t="shared" si="42"/>
        <v>10249.7088</v>
      </c>
      <c r="U447" s="37">
        <f t="shared" si="43"/>
        <v>5002.96</v>
      </c>
      <c r="V447" s="42">
        <f t="shared" si="46"/>
        <v>5246.7488000000003</v>
      </c>
      <c r="W447" s="44">
        <f t="shared" si="47"/>
        <v>0.51189247444766428</v>
      </c>
    </row>
    <row r="448" spans="1:23" x14ac:dyDescent="0.3">
      <c r="A448" s="45" t="s">
        <v>995</v>
      </c>
      <c r="B448" s="46">
        <v>45746</v>
      </c>
      <c r="C448" s="47">
        <v>45776</v>
      </c>
      <c r="D448" s="48">
        <f t="shared" si="48"/>
        <v>30</v>
      </c>
      <c r="E448" s="48" t="str">
        <f>TEXT(Data!B448,"MMM-YYYY")</f>
        <v>Mar-2025</v>
      </c>
      <c r="F448" s="48" t="str">
        <f t="shared" si="44"/>
        <v>Q1-2025</v>
      </c>
      <c r="G448" s="38" t="s">
        <v>16</v>
      </c>
      <c r="H448" s="38" t="s">
        <v>148</v>
      </c>
      <c r="I448" s="38" t="s">
        <v>172</v>
      </c>
      <c r="J448" s="38" t="s">
        <v>48</v>
      </c>
      <c r="K448" s="38" t="s">
        <v>40</v>
      </c>
      <c r="L448" s="38" t="s">
        <v>29</v>
      </c>
      <c r="M448" s="38" t="s">
        <v>64</v>
      </c>
      <c r="N448" s="38" t="s">
        <v>996</v>
      </c>
      <c r="O448" s="48">
        <v>194.6</v>
      </c>
      <c r="P448" s="49" t="str">
        <f t="shared" si="45"/>
        <v>High</v>
      </c>
      <c r="Q448" s="48">
        <v>314.87</v>
      </c>
      <c r="R448" s="48">
        <v>0.29299999999999998</v>
      </c>
      <c r="S448" s="48">
        <v>25</v>
      </c>
      <c r="T448" s="48">
        <f t="shared" si="42"/>
        <v>28077.267750000003</v>
      </c>
      <c r="U448" s="38">
        <f t="shared" si="43"/>
        <v>4865</v>
      </c>
      <c r="V448" s="48">
        <f t="shared" si="46"/>
        <v>23212.267750000003</v>
      </c>
      <c r="W448" s="50">
        <f t="shared" si="47"/>
        <v>0.82672815448718295</v>
      </c>
    </row>
    <row r="449" spans="1:23" x14ac:dyDescent="0.3">
      <c r="A449" s="39" t="s">
        <v>997</v>
      </c>
      <c r="B449" s="40">
        <v>45446</v>
      </c>
      <c r="C449" s="41">
        <v>45467</v>
      </c>
      <c r="D449" s="42">
        <f t="shared" si="48"/>
        <v>21</v>
      </c>
      <c r="E449" s="42" t="str">
        <f>TEXT(Data!B449,"MMM-YYYY")</f>
        <v>Jun-2024</v>
      </c>
      <c r="F449" s="42" t="str">
        <f t="shared" si="44"/>
        <v>Q2-2024</v>
      </c>
      <c r="G449" s="37" t="s">
        <v>52</v>
      </c>
      <c r="H449" s="37" t="s">
        <v>53</v>
      </c>
      <c r="I449" s="37" t="s">
        <v>54</v>
      </c>
      <c r="J449" s="37" t="s">
        <v>62</v>
      </c>
      <c r="K449" s="37" t="s">
        <v>98</v>
      </c>
      <c r="L449" s="37" t="s">
        <v>41</v>
      </c>
      <c r="M449" s="37" t="s">
        <v>64</v>
      </c>
      <c r="N449" s="37" t="s">
        <v>998</v>
      </c>
      <c r="O449" s="42">
        <v>1205.5</v>
      </c>
      <c r="P449" s="43" t="str">
        <f t="shared" si="45"/>
        <v>High</v>
      </c>
      <c r="Q449" s="42">
        <v>2210.17</v>
      </c>
      <c r="R449" s="42">
        <v>0.104</v>
      </c>
      <c r="S449" s="42">
        <v>23</v>
      </c>
      <c r="T449" s="42">
        <f t="shared" ref="T449:T512" si="49">(Q475*S449)*(1-R449)</f>
        <v>27698.182399999998</v>
      </c>
      <c r="U449" s="37">
        <f t="shared" ref="U449:U512" si="50">(O449*S449)</f>
        <v>27726.5</v>
      </c>
      <c r="V449" s="42">
        <f t="shared" si="46"/>
        <v>-28.31760000000213</v>
      </c>
      <c r="W449" s="44">
        <f t="shared" si="47"/>
        <v>-1.0223631136172362E-3</v>
      </c>
    </row>
    <row r="450" spans="1:23" x14ac:dyDescent="0.3">
      <c r="A450" s="45" t="s">
        <v>999</v>
      </c>
      <c r="B450" s="46">
        <v>45454</v>
      </c>
      <c r="C450" s="47">
        <v>45482</v>
      </c>
      <c r="D450" s="48">
        <f t="shared" si="48"/>
        <v>28</v>
      </c>
      <c r="E450" s="48" t="str">
        <f>TEXT(Data!B450,"MMM-YYYY")</f>
        <v>Jun-2024</v>
      </c>
      <c r="F450" s="48" t="str">
        <f t="shared" ref="F450:F513" si="51">"Q"&amp;ROUNDUP(MONTH(B450)/3,0)&amp;"-"&amp;YEAR(B450)</f>
        <v>Q2-2024</v>
      </c>
      <c r="G450" s="38" t="s">
        <v>16</v>
      </c>
      <c r="H450" s="38" t="s">
        <v>25</v>
      </c>
      <c r="I450" s="38" t="s">
        <v>26</v>
      </c>
      <c r="J450" s="38" t="s">
        <v>19</v>
      </c>
      <c r="K450" s="38" t="s">
        <v>40</v>
      </c>
      <c r="L450" s="38" t="s">
        <v>34</v>
      </c>
      <c r="M450" s="38" t="s">
        <v>42</v>
      </c>
      <c r="N450" s="38" t="s">
        <v>1000</v>
      </c>
      <c r="O450" s="48">
        <v>895.54</v>
      </c>
      <c r="P450" s="49" t="str">
        <f t="shared" ref="P450:P513" si="52">IF(Q450&lt;50, "Low", IF(Q450&lt;200, "Medium", "High"))</f>
        <v>High</v>
      </c>
      <c r="Q450" s="48">
        <v>1045</v>
      </c>
      <c r="R450" s="48">
        <v>0.216</v>
      </c>
      <c r="S450" s="48">
        <v>15</v>
      </c>
      <c r="T450" s="48">
        <f t="shared" si="49"/>
        <v>15173.8104</v>
      </c>
      <c r="U450" s="38">
        <f t="shared" si="50"/>
        <v>13433.099999999999</v>
      </c>
      <c r="V450" s="48">
        <f t="shared" ref="V450:V513" si="53">(T450-U450)</f>
        <v>1740.7104000000018</v>
      </c>
      <c r="W450" s="50">
        <f t="shared" ref="W450:W513" si="54">IF(T450=0, 0, V450/T450)</f>
        <v>0.11471808030499721</v>
      </c>
    </row>
    <row r="451" spans="1:23" x14ac:dyDescent="0.3">
      <c r="A451" s="39" t="s">
        <v>1001</v>
      </c>
      <c r="B451" s="40">
        <v>45129</v>
      </c>
      <c r="C451" s="41">
        <v>45128</v>
      </c>
      <c r="D451" s="42">
        <f>DATEDIF(C451,B451, "MD")</f>
        <v>1</v>
      </c>
      <c r="E451" s="42" t="str">
        <f>TEXT(Data!B451,"MMM-YYYY")</f>
        <v>Jul-2023</v>
      </c>
      <c r="F451" s="42" t="str">
        <f t="shared" si="51"/>
        <v>Q3-2023</v>
      </c>
      <c r="G451" s="37" t="s">
        <v>45</v>
      </c>
      <c r="H451" s="37" t="s">
        <v>60</v>
      </c>
      <c r="I451" s="37" t="s">
        <v>141</v>
      </c>
      <c r="J451" s="37" t="s">
        <v>62</v>
      </c>
      <c r="K451" s="37" t="s">
        <v>55</v>
      </c>
      <c r="L451" s="37" t="s">
        <v>63</v>
      </c>
      <c r="M451" s="37" t="s">
        <v>30</v>
      </c>
      <c r="N451" s="37" t="s">
        <v>1002</v>
      </c>
      <c r="O451" s="42">
        <v>946.99</v>
      </c>
      <c r="P451" s="43" t="str">
        <f t="shared" si="52"/>
        <v>High</v>
      </c>
      <c r="Q451" s="42">
        <v>2132.19</v>
      </c>
      <c r="R451" s="42">
        <v>0.16500000000000001</v>
      </c>
      <c r="S451" s="42">
        <v>7</v>
      </c>
      <c r="T451" s="42">
        <f t="shared" si="49"/>
        <v>1295.1351000000002</v>
      </c>
      <c r="U451" s="37">
        <f t="shared" si="50"/>
        <v>6628.93</v>
      </c>
      <c r="V451" s="42">
        <f t="shared" si="53"/>
        <v>-5333.7948999999999</v>
      </c>
      <c r="W451" s="44">
        <f t="shared" si="54"/>
        <v>-4.1183308984522151</v>
      </c>
    </row>
    <row r="452" spans="1:23" x14ac:dyDescent="0.3">
      <c r="A452" s="45" t="s">
        <v>1003</v>
      </c>
      <c r="B452" s="46">
        <v>44945</v>
      </c>
      <c r="C452" s="47">
        <v>44960</v>
      </c>
      <c r="D452" s="48">
        <f t="shared" ref="D452:D515" si="55">DATEDIF(B452,C452, "MD")</f>
        <v>15</v>
      </c>
      <c r="E452" s="48" t="str">
        <f>TEXT(Data!B452,"MMM-YYYY")</f>
        <v>Jan-2023</v>
      </c>
      <c r="F452" s="48" t="str">
        <f t="shared" si="51"/>
        <v>Q1-2023</v>
      </c>
      <c r="G452" s="38" t="s">
        <v>78</v>
      </c>
      <c r="H452" s="38" t="s">
        <v>108</v>
      </c>
      <c r="I452" s="38" t="s">
        <v>152</v>
      </c>
      <c r="J452" s="38" t="s">
        <v>105</v>
      </c>
      <c r="K452" s="38" t="s">
        <v>55</v>
      </c>
      <c r="L452" s="38" t="s">
        <v>41</v>
      </c>
      <c r="M452" s="38" t="s">
        <v>81</v>
      </c>
      <c r="N452" s="38" t="s">
        <v>1004</v>
      </c>
      <c r="O452" s="48">
        <v>873.06</v>
      </c>
      <c r="P452" s="49" t="str">
        <f t="shared" si="52"/>
        <v>High</v>
      </c>
      <c r="Q452" s="48">
        <v>2101.5500000000002</v>
      </c>
      <c r="R452" s="48">
        <v>6.6000000000000003E-2</v>
      </c>
      <c r="S452" s="48">
        <v>10</v>
      </c>
      <c r="T452" s="48">
        <f t="shared" si="49"/>
        <v>3365.5755999999997</v>
      </c>
      <c r="U452" s="38">
        <f t="shared" si="50"/>
        <v>8730.5999999999985</v>
      </c>
      <c r="V452" s="48">
        <f t="shared" si="53"/>
        <v>-5365.0243999999984</v>
      </c>
      <c r="W452" s="50">
        <f t="shared" si="54"/>
        <v>-1.5940882148064062</v>
      </c>
    </row>
    <row r="453" spans="1:23" x14ac:dyDescent="0.3">
      <c r="A453" s="39" t="s">
        <v>1005</v>
      </c>
      <c r="B453" s="40">
        <v>45413</v>
      </c>
      <c r="C453" s="41">
        <v>45428</v>
      </c>
      <c r="D453" s="42">
        <f t="shared" si="55"/>
        <v>15</v>
      </c>
      <c r="E453" s="42" t="str">
        <f>TEXT(Data!B453,"MMM-YYYY")</f>
        <v>May-2024</v>
      </c>
      <c r="F453" s="42" t="str">
        <f t="shared" si="51"/>
        <v>Q2-2024</v>
      </c>
      <c r="G453" s="37" t="s">
        <v>45</v>
      </c>
      <c r="H453" s="37" t="s">
        <v>60</v>
      </c>
      <c r="I453" s="37" t="s">
        <v>61</v>
      </c>
      <c r="J453" s="37" t="s">
        <v>62</v>
      </c>
      <c r="K453" s="37" t="s">
        <v>20</v>
      </c>
      <c r="L453" s="37" t="s">
        <v>49</v>
      </c>
      <c r="M453" s="37" t="s">
        <v>22</v>
      </c>
      <c r="N453" s="37" t="s">
        <v>1006</v>
      </c>
      <c r="O453" s="42">
        <v>901.19</v>
      </c>
      <c r="P453" s="43" t="str">
        <f t="shared" si="52"/>
        <v>High</v>
      </c>
      <c r="Q453" s="42">
        <v>2125.44</v>
      </c>
      <c r="R453" s="42">
        <v>7.0999999999999994E-2</v>
      </c>
      <c r="S453" s="42">
        <v>12</v>
      </c>
      <c r="T453" s="42">
        <f t="shared" si="49"/>
        <v>28380.689880000002</v>
      </c>
      <c r="U453" s="37">
        <f t="shared" si="50"/>
        <v>10814.28</v>
      </c>
      <c r="V453" s="42">
        <f t="shared" si="53"/>
        <v>17566.409879999999</v>
      </c>
      <c r="W453" s="44">
        <f t="shared" si="54"/>
        <v>0.61895640853956568</v>
      </c>
    </row>
    <row r="454" spans="1:23" x14ac:dyDescent="0.3">
      <c r="A454" s="45" t="s">
        <v>1007</v>
      </c>
      <c r="B454" s="46">
        <v>45817</v>
      </c>
      <c r="C454" s="47">
        <v>45832</v>
      </c>
      <c r="D454" s="48">
        <f t="shared" si="55"/>
        <v>15</v>
      </c>
      <c r="E454" s="48" t="str">
        <f>TEXT(Data!B454,"MMM-YYYY")</f>
        <v>Jun-2025</v>
      </c>
      <c r="F454" s="48" t="str">
        <f t="shared" si="51"/>
        <v>Q2-2025</v>
      </c>
      <c r="G454" s="38" t="s">
        <v>45</v>
      </c>
      <c r="H454" s="38" t="s">
        <v>46</v>
      </c>
      <c r="I454" s="38" t="s">
        <v>231</v>
      </c>
      <c r="J454" s="38" t="s">
        <v>19</v>
      </c>
      <c r="K454" s="38" t="s">
        <v>98</v>
      </c>
      <c r="L454" s="38" t="s">
        <v>56</v>
      </c>
      <c r="M454" s="38" t="s">
        <v>42</v>
      </c>
      <c r="N454" s="38" t="s">
        <v>1008</v>
      </c>
      <c r="O454" s="48">
        <v>400.39</v>
      </c>
      <c r="P454" s="49" t="str">
        <f t="shared" si="52"/>
        <v>High</v>
      </c>
      <c r="Q454" s="48">
        <v>712.75</v>
      </c>
      <c r="R454" s="48">
        <v>0.115</v>
      </c>
      <c r="S454" s="48">
        <v>19</v>
      </c>
      <c r="T454" s="48">
        <f t="shared" si="49"/>
        <v>11761.58805</v>
      </c>
      <c r="U454" s="38">
        <f t="shared" si="50"/>
        <v>7607.41</v>
      </c>
      <c r="V454" s="48">
        <f t="shared" si="53"/>
        <v>4154.1780500000004</v>
      </c>
      <c r="W454" s="50">
        <f t="shared" si="54"/>
        <v>0.35319873747831187</v>
      </c>
    </row>
    <row r="455" spans="1:23" x14ac:dyDescent="0.3">
      <c r="A455" s="39" t="s">
        <v>1009</v>
      </c>
      <c r="B455" s="40">
        <v>45070</v>
      </c>
      <c r="C455" s="41">
        <v>45098</v>
      </c>
      <c r="D455" s="42">
        <f t="shared" si="55"/>
        <v>28</v>
      </c>
      <c r="E455" s="42" t="str">
        <f>TEXT(Data!B455,"MMM-YYYY")</f>
        <v>May-2023</v>
      </c>
      <c r="F455" s="42" t="str">
        <f t="shared" si="51"/>
        <v>Q2-2023</v>
      </c>
      <c r="G455" s="37" t="s">
        <v>52</v>
      </c>
      <c r="H455" s="37" t="s">
        <v>122</v>
      </c>
      <c r="I455" s="37" t="s">
        <v>326</v>
      </c>
      <c r="J455" s="37" t="s">
        <v>62</v>
      </c>
      <c r="K455" s="37" t="s">
        <v>40</v>
      </c>
      <c r="L455" s="37" t="s">
        <v>41</v>
      </c>
      <c r="M455" s="37" t="s">
        <v>64</v>
      </c>
      <c r="N455" s="37" t="s">
        <v>1010</v>
      </c>
      <c r="O455" s="42">
        <v>813.97</v>
      </c>
      <c r="P455" s="43" t="str">
        <f t="shared" si="52"/>
        <v>High</v>
      </c>
      <c r="Q455" s="42">
        <v>1568.83</v>
      </c>
      <c r="R455" s="42">
        <v>1.7000000000000001E-2</v>
      </c>
      <c r="S455" s="42">
        <v>15</v>
      </c>
      <c r="T455" s="42">
        <f t="shared" si="49"/>
        <v>40381.984049999999</v>
      </c>
      <c r="U455" s="37">
        <f t="shared" si="50"/>
        <v>12209.550000000001</v>
      </c>
      <c r="V455" s="42">
        <f t="shared" si="53"/>
        <v>28172.434049999996</v>
      </c>
      <c r="W455" s="44">
        <f t="shared" si="54"/>
        <v>0.69764858544636066</v>
      </c>
    </row>
    <row r="456" spans="1:23" x14ac:dyDescent="0.3">
      <c r="A456" s="45" t="s">
        <v>1011</v>
      </c>
      <c r="B456" s="46">
        <v>45653</v>
      </c>
      <c r="C456" s="47">
        <v>45655</v>
      </c>
      <c r="D456" s="48">
        <f t="shared" si="55"/>
        <v>2</v>
      </c>
      <c r="E456" s="48" t="str">
        <f>TEXT(Data!B456,"MMM-YYYY")</f>
        <v>Dec-2024</v>
      </c>
      <c r="F456" s="48" t="str">
        <f t="shared" si="51"/>
        <v>Q4-2024</v>
      </c>
      <c r="G456" s="38" t="s">
        <v>52</v>
      </c>
      <c r="H456" s="38" t="s">
        <v>53</v>
      </c>
      <c r="I456" s="38" t="s">
        <v>179</v>
      </c>
      <c r="J456" s="38" t="s">
        <v>105</v>
      </c>
      <c r="K456" s="38" t="s">
        <v>40</v>
      </c>
      <c r="L456" s="38" t="s">
        <v>21</v>
      </c>
      <c r="M456" s="38" t="s">
        <v>81</v>
      </c>
      <c r="N456" s="38" t="s">
        <v>1012</v>
      </c>
      <c r="O456" s="48">
        <v>1146.72</v>
      </c>
      <c r="P456" s="49" t="str">
        <f t="shared" si="52"/>
        <v>High</v>
      </c>
      <c r="Q456" s="48">
        <v>2074.34</v>
      </c>
      <c r="R456" s="48">
        <v>0.111</v>
      </c>
      <c r="S456" s="48">
        <v>8</v>
      </c>
      <c r="T456" s="48">
        <f t="shared" si="49"/>
        <v>674.07536000000005</v>
      </c>
      <c r="U456" s="38">
        <f t="shared" si="50"/>
        <v>9173.76</v>
      </c>
      <c r="V456" s="48">
        <f t="shared" si="53"/>
        <v>-8499.6846399999995</v>
      </c>
      <c r="W456" s="50">
        <f t="shared" si="54"/>
        <v>-12.60939821327989</v>
      </c>
    </row>
    <row r="457" spans="1:23" x14ac:dyDescent="0.3">
      <c r="A457" s="39" t="s">
        <v>1013</v>
      </c>
      <c r="B457" s="40">
        <v>45265</v>
      </c>
      <c r="C457" s="41">
        <v>45272</v>
      </c>
      <c r="D457" s="42">
        <f t="shared" si="55"/>
        <v>7</v>
      </c>
      <c r="E457" s="42" t="str">
        <f>TEXT(Data!B457,"MMM-YYYY")</f>
        <v>Dec-2023</v>
      </c>
      <c r="F457" s="42" t="str">
        <f t="shared" si="51"/>
        <v>Q4-2023</v>
      </c>
      <c r="G457" s="37" t="s">
        <v>52</v>
      </c>
      <c r="H457" s="37" t="s">
        <v>73</v>
      </c>
      <c r="I457" s="37" t="s">
        <v>87</v>
      </c>
      <c r="J457" s="37" t="s">
        <v>19</v>
      </c>
      <c r="K457" s="37" t="s">
        <v>98</v>
      </c>
      <c r="L457" s="37" t="s">
        <v>84</v>
      </c>
      <c r="M457" s="37" t="s">
        <v>42</v>
      </c>
      <c r="N457" s="37" t="s">
        <v>1014</v>
      </c>
      <c r="O457" s="42">
        <v>307.43</v>
      </c>
      <c r="P457" s="43" t="str">
        <f t="shared" si="52"/>
        <v>High</v>
      </c>
      <c r="Q457" s="42">
        <v>495.19</v>
      </c>
      <c r="R457" s="42">
        <v>0</v>
      </c>
      <c r="S457" s="42">
        <v>42</v>
      </c>
      <c r="T457" s="42">
        <f t="shared" si="49"/>
        <v>116648.7</v>
      </c>
      <c r="U457" s="37">
        <f t="shared" si="50"/>
        <v>12912.06</v>
      </c>
      <c r="V457" s="42">
        <f t="shared" si="53"/>
        <v>103736.64</v>
      </c>
      <c r="W457" s="44">
        <f t="shared" si="54"/>
        <v>0.88930815345563219</v>
      </c>
    </row>
    <row r="458" spans="1:23" x14ac:dyDescent="0.3">
      <c r="A458" s="45" t="s">
        <v>1015</v>
      </c>
      <c r="B458" s="46">
        <v>45048</v>
      </c>
      <c r="C458" s="47">
        <v>45065</v>
      </c>
      <c r="D458" s="48">
        <f t="shared" si="55"/>
        <v>17</v>
      </c>
      <c r="E458" s="48" t="str">
        <f>TEXT(Data!B458,"MMM-YYYY")</f>
        <v>May-2023</v>
      </c>
      <c r="F458" s="48" t="str">
        <f t="shared" si="51"/>
        <v>Q2-2023</v>
      </c>
      <c r="G458" s="38" t="s">
        <v>45</v>
      </c>
      <c r="H458" s="38" t="s">
        <v>116</v>
      </c>
      <c r="I458" s="38" t="s">
        <v>162</v>
      </c>
      <c r="J458" s="38" t="s">
        <v>39</v>
      </c>
      <c r="K458" s="38" t="s">
        <v>98</v>
      </c>
      <c r="L458" s="38" t="s">
        <v>29</v>
      </c>
      <c r="M458" s="38" t="s">
        <v>64</v>
      </c>
      <c r="N458" s="38" t="s">
        <v>1016</v>
      </c>
      <c r="O458" s="48">
        <v>714.28</v>
      </c>
      <c r="P458" s="49" t="str">
        <f t="shared" si="52"/>
        <v>High</v>
      </c>
      <c r="Q458" s="48">
        <v>757.59</v>
      </c>
      <c r="R458" s="48">
        <v>0.13600000000000001</v>
      </c>
      <c r="S458" s="48">
        <v>12</v>
      </c>
      <c r="T458" s="48">
        <f t="shared" si="49"/>
        <v>5102.9222399999999</v>
      </c>
      <c r="U458" s="38">
        <f t="shared" si="50"/>
        <v>8571.36</v>
      </c>
      <c r="V458" s="48">
        <f t="shared" si="53"/>
        <v>-3468.4377600000007</v>
      </c>
      <c r="W458" s="50">
        <f t="shared" si="54"/>
        <v>-0.67969637726637211</v>
      </c>
    </row>
    <row r="459" spans="1:23" x14ac:dyDescent="0.3">
      <c r="A459" s="39" t="s">
        <v>1017</v>
      </c>
      <c r="B459" s="40">
        <v>45260</v>
      </c>
      <c r="C459" s="41">
        <v>45270</v>
      </c>
      <c r="D459" s="42">
        <f t="shared" si="55"/>
        <v>10</v>
      </c>
      <c r="E459" s="42" t="str">
        <f>TEXT(Data!B459,"MMM-YYYY")</f>
        <v>Nov-2023</v>
      </c>
      <c r="F459" s="42" t="str">
        <f t="shared" si="51"/>
        <v>Q4-2023</v>
      </c>
      <c r="G459" s="37" t="s">
        <v>78</v>
      </c>
      <c r="H459" s="37" t="s">
        <v>79</v>
      </c>
      <c r="I459" s="37" t="s">
        <v>159</v>
      </c>
      <c r="J459" s="37" t="s">
        <v>62</v>
      </c>
      <c r="K459" s="37" t="s">
        <v>98</v>
      </c>
      <c r="L459" s="37" t="s">
        <v>84</v>
      </c>
      <c r="M459" s="37" t="s">
        <v>57</v>
      </c>
      <c r="N459" s="37" t="s">
        <v>1018</v>
      </c>
      <c r="O459" s="42">
        <v>174.74</v>
      </c>
      <c r="P459" s="43" t="str">
        <f t="shared" si="52"/>
        <v>High</v>
      </c>
      <c r="Q459" s="42">
        <v>415.96</v>
      </c>
      <c r="R459" s="42">
        <v>0.125</v>
      </c>
      <c r="S459" s="42">
        <v>21</v>
      </c>
      <c r="T459" s="42">
        <f t="shared" si="49"/>
        <v>35310.318749999999</v>
      </c>
      <c r="U459" s="37">
        <f t="shared" si="50"/>
        <v>3669.54</v>
      </c>
      <c r="V459" s="42">
        <f t="shared" si="53"/>
        <v>31640.778749999998</v>
      </c>
      <c r="W459" s="44">
        <f t="shared" si="54"/>
        <v>0.89607740371927391</v>
      </c>
    </row>
    <row r="460" spans="1:23" x14ac:dyDescent="0.3">
      <c r="A460" s="45" t="s">
        <v>1019</v>
      </c>
      <c r="B460" s="46">
        <v>45417</v>
      </c>
      <c r="C460" s="47">
        <v>45430</v>
      </c>
      <c r="D460" s="48">
        <f t="shared" si="55"/>
        <v>13</v>
      </c>
      <c r="E460" s="48" t="str">
        <f>TEXT(Data!B460,"MMM-YYYY")</f>
        <v>May-2024</v>
      </c>
      <c r="F460" s="48" t="str">
        <f t="shared" si="51"/>
        <v>Q2-2024</v>
      </c>
      <c r="G460" s="38" t="s">
        <v>78</v>
      </c>
      <c r="H460" s="38" t="s">
        <v>90</v>
      </c>
      <c r="I460" s="38" t="s">
        <v>91</v>
      </c>
      <c r="J460" s="38" t="s">
        <v>19</v>
      </c>
      <c r="K460" s="38" t="s">
        <v>40</v>
      </c>
      <c r="L460" s="38" t="s">
        <v>75</v>
      </c>
      <c r="M460" s="38" t="s">
        <v>22</v>
      </c>
      <c r="N460" s="38" t="s">
        <v>1020</v>
      </c>
      <c r="O460" s="48">
        <v>1264.04</v>
      </c>
      <c r="P460" s="49" t="str">
        <f t="shared" si="52"/>
        <v>High</v>
      </c>
      <c r="Q460" s="48">
        <v>1870.89</v>
      </c>
      <c r="R460" s="48">
        <v>0</v>
      </c>
      <c r="S460" s="48">
        <v>13</v>
      </c>
      <c r="T460" s="48">
        <f t="shared" si="49"/>
        <v>3774.29</v>
      </c>
      <c r="U460" s="38">
        <f t="shared" si="50"/>
        <v>16432.52</v>
      </c>
      <c r="V460" s="48">
        <f t="shared" si="53"/>
        <v>-12658.23</v>
      </c>
      <c r="W460" s="50">
        <f t="shared" si="54"/>
        <v>-3.3538042916681019</v>
      </c>
    </row>
    <row r="461" spans="1:23" x14ac:dyDescent="0.3">
      <c r="A461" s="39" t="s">
        <v>1021</v>
      </c>
      <c r="B461" s="40">
        <v>45116</v>
      </c>
      <c r="C461" s="41">
        <v>45126</v>
      </c>
      <c r="D461" s="42">
        <f t="shared" si="55"/>
        <v>10</v>
      </c>
      <c r="E461" s="42" t="str">
        <f>TEXT(Data!B461,"MMM-YYYY")</f>
        <v>Jul-2023</v>
      </c>
      <c r="F461" s="42" t="str">
        <f t="shared" si="51"/>
        <v>Q3-2023</v>
      </c>
      <c r="G461" s="37" t="s">
        <v>45</v>
      </c>
      <c r="H461" s="37" t="s">
        <v>46</v>
      </c>
      <c r="I461" s="37" t="s">
        <v>214</v>
      </c>
      <c r="J461" s="37" t="s">
        <v>105</v>
      </c>
      <c r="K461" s="37" t="s">
        <v>55</v>
      </c>
      <c r="L461" s="37" t="s">
        <v>126</v>
      </c>
      <c r="M461" s="37" t="s">
        <v>22</v>
      </c>
      <c r="N461" s="37" t="s">
        <v>1022</v>
      </c>
      <c r="O461" s="42">
        <v>141.26</v>
      </c>
      <c r="P461" s="43" t="str">
        <f t="shared" si="52"/>
        <v>High</v>
      </c>
      <c r="Q461" s="42">
        <v>206.88</v>
      </c>
      <c r="R461" s="42">
        <v>0.107</v>
      </c>
      <c r="S461" s="42">
        <v>9</v>
      </c>
      <c r="T461" s="42">
        <f t="shared" si="49"/>
        <v>4845.6680399999996</v>
      </c>
      <c r="U461" s="37">
        <f t="shared" si="50"/>
        <v>1271.3399999999999</v>
      </c>
      <c r="V461" s="42">
        <f t="shared" si="53"/>
        <v>3574.3280399999994</v>
      </c>
      <c r="W461" s="44">
        <f t="shared" si="54"/>
        <v>0.737633698902742</v>
      </c>
    </row>
    <row r="462" spans="1:23" x14ac:dyDescent="0.3">
      <c r="A462" s="45" t="s">
        <v>1023</v>
      </c>
      <c r="B462" s="46">
        <v>45063</v>
      </c>
      <c r="C462" s="47">
        <v>45092</v>
      </c>
      <c r="D462" s="48">
        <f t="shared" si="55"/>
        <v>29</v>
      </c>
      <c r="E462" s="48" t="str">
        <f>TEXT(Data!B462,"MMM-YYYY")</f>
        <v>May-2023</v>
      </c>
      <c r="F462" s="48" t="str">
        <f t="shared" si="51"/>
        <v>Q2-2023</v>
      </c>
      <c r="G462" s="38" t="s">
        <v>16</v>
      </c>
      <c r="H462" s="38" t="s">
        <v>148</v>
      </c>
      <c r="I462" s="38" t="s">
        <v>172</v>
      </c>
      <c r="J462" s="38" t="s">
        <v>105</v>
      </c>
      <c r="K462" s="38" t="s">
        <v>20</v>
      </c>
      <c r="L462" s="38" t="s">
        <v>95</v>
      </c>
      <c r="M462" s="38" t="s">
        <v>81</v>
      </c>
      <c r="N462" s="38" t="s">
        <v>1024</v>
      </c>
      <c r="O462" s="48">
        <v>40.89</v>
      </c>
      <c r="P462" s="49" t="str">
        <f t="shared" si="52"/>
        <v>Medium</v>
      </c>
      <c r="Q462" s="48">
        <v>62.82</v>
      </c>
      <c r="R462" s="48">
        <v>0.129</v>
      </c>
      <c r="S462" s="48">
        <v>17</v>
      </c>
      <c r="T462" s="48">
        <f t="shared" si="49"/>
        <v>30761.5425</v>
      </c>
      <c r="U462" s="38">
        <f t="shared" si="50"/>
        <v>695.13</v>
      </c>
      <c r="V462" s="48">
        <f t="shared" si="53"/>
        <v>30066.412499999999</v>
      </c>
      <c r="W462" s="50">
        <f t="shared" si="54"/>
        <v>0.97740262862306071</v>
      </c>
    </row>
    <row r="463" spans="1:23" x14ac:dyDescent="0.3">
      <c r="A463" s="39" t="s">
        <v>1025</v>
      </c>
      <c r="B463" s="40">
        <v>45358</v>
      </c>
      <c r="C463" s="41">
        <v>45385</v>
      </c>
      <c r="D463" s="42">
        <f t="shared" si="55"/>
        <v>27</v>
      </c>
      <c r="E463" s="42" t="str">
        <f>TEXT(Data!B463,"MMM-YYYY")</f>
        <v>Mar-2024</v>
      </c>
      <c r="F463" s="42" t="str">
        <f t="shared" si="51"/>
        <v>Q1-2024</v>
      </c>
      <c r="G463" s="37" t="s">
        <v>78</v>
      </c>
      <c r="H463" s="37" t="s">
        <v>79</v>
      </c>
      <c r="I463" s="37" t="s">
        <v>335</v>
      </c>
      <c r="J463" s="37" t="s">
        <v>19</v>
      </c>
      <c r="K463" s="37" t="s">
        <v>98</v>
      </c>
      <c r="L463" s="37" t="s">
        <v>110</v>
      </c>
      <c r="M463" s="37" t="s">
        <v>30</v>
      </c>
      <c r="N463" s="37" t="s">
        <v>1026</v>
      </c>
      <c r="O463" s="42">
        <v>738.16</v>
      </c>
      <c r="P463" s="43" t="str">
        <f t="shared" si="52"/>
        <v>High</v>
      </c>
      <c r="Q463" s="42">
        <v>956.49</v>
      </c>
      <c r="R463" s="42">
        <v>0.152</v>
      </c>
      <c r="S463" s="42">
        <v>5</v>
      </c>
      <c r="T463" s="42">
        <f t="shared" si="49"/>
        <v>733.01119999999992</v>
      </c>
      <c r="U463" s="37">
        <f t="shared" si="50"/>
        <v>3690.7999999999997</v>
      </c>
      <c r="V463" s="42">
        <f t="shared" si="53"/>
        <v>-2957.7887999999998</v>
      </c>
      <c r="W463" s="44">
        <f t="shared" si="54"/>
        <v>-4.0351208821911593</v>
      </c>
    </row>
    <row r="464" spans="1:23" x14ac:dyDescent="0.3">
      <c r="A464" s="45" t="s">
        <v>1027</v>
      </c>
      <c r="B464" s="46">
        <v>45757</v>
      </c>
      <c r="C464" s="47">
        <v>45766</v>
      </c>
      <c r="D464" s="48">
        <f t="shared" si="55"/>
        <v>9</v>
      </c>
      <c r="E464" s="48" t="str">
        <f>TEXT(Data!B464,"MMM-YYYY")</f>
        <v>Apr-2025</v>
      </c>
      <c r="F464" s="48" t="str">
        <f t="shared" si="51"/>
        <v>Q2-2025</v>
      </c>
      <c r="G464" s="38" t="s">
        <v>16</v>
      </c>
      <c r="H464" s="38" t="s">
        <v>148</v>
      </c>
      <c r="I464" s="38" t="s">
        <v>172</v>
      </c>
      <c r="J464" s="38" t="s">
        <v>105</v>
      </c>
      <c r="K464" s="38" t="s">
        <v>1364</v>
      </c>
      <c r="L464" s="38" t="s">
        <v>41</v>
      </c>
      <c r="M464" s="38" t="s">
        <v>35</v>
      </c>
      <c r="N464" s="38" t="s">
        <v>1028</v>
      </c>
      <c r="O464" s="48">
        <v>113.74</v>
      </c>
      <c r="P464" s="49" t="str">
        <f t="shared" si="52"/>
        <v>Medium</v>
      </c>
      <c r="Q464" s="48">
        <v>165.7</v>
      </c>
      <c r="R464" s="48">
        <v>0.124</v>
      </c>
      <c r="S464" s="48">
        <v>13</v>
      </c>
      <c r="T464" s="48">
        <f t="shared" si="49"/>
        <v>31644.291119999994</v>
      </c>
      <c r="U464" s="38">
        <f t="shared" si="50"/>
        <v>1478.62</v>
      </c>
      <c r="V464" s="48">
        <f t="shared" si="53"/>
        <v>30165.671119999995</v>
      </c>
      <c r="W464" s="50">
        <f t="shared" si="54"/>
        <v>0.95327372022988777</v>
      </c>
    </row>
    <row r="465" spans="1:23" x14ac:dyDescent="0.3">
      <c r="A465" s="39" t="s">
        <v>1029</v>
      </c>
      <c r="B465" s="40">
        <v>45865</v>
      </c>
      <c r="C465" s="41">
        <v>45884</v>
      </c>
      <c r="D465" s="42">
        <f t="shared" si="55"/>
        <v>19</v>
      </c>
      <c r="E465" s="42" t="str">
        <f>TEXT(Data!B465,"MMM-YYYY")</f>
        <v>Jul-2025</v>
      </c>
      <c r="F465" s="42" t="str">
        <f t="shared" si="51"/>
        <v>Q3-2025</v>
      </c>
      <c r="G465" s="37" t="s">
        <v>45</v>
      </c>
      <c r="H465" s="37" t="s">
        <v>46</v>
      </c>
      <c r="I465" s="37" t="s">
        <v>214</v>
      </c>
      <c r="J465" s="37" t="s">
        <v>62</v>
      </c>
      <c r="K465" s="37" t="s">
        <v>40</v>
      </c>
      <c r="L465" s="37" t="s">
        <v>29</v>
      </c>
      <c r="M465" s="37" t="s">
        <v>22</v>
      </c>
      <c r="N465" s="37" t="s">
        <v>1030</v>
      </c>
      <c r="O465" s="42">
        <v>275.43</v>
      </c>
      <c r="P465" s="43" t="str">
        <f t="shared" si="52"/>
        <v>High</v>
      </c>
      <c r="Q465" s="42">
        <v>608.36</v>
      </c>
      <c r="R465" s="42">
        <v>0.25700000000000001</v>
      </c>
      <c r="S465" s="42">
        <v>4</v>
      </c>
      <c r="T465" s="42">
        <f t="shared" si="49"/>
        <v>919.74484000000007</v>
      </c>
      <c r="U465" s="37">
        <f t="shared" si="50"/>
        <v>1101.72</v>
      </c>
      <c r="V465" s="42">
        <f t="shared" si="53"/>
        <v>-181.97515999999996</v>
      </c>
      <c r="W465" s="44">
        <f t="shared" si="54"/>
        <v>-0.19785396132257718</v>
      </c>
    </row>
    <row r="466" spans="1:23" x14ac:dyDescent="0.3">
      <c r="A466" s="45" t="s">
        <v>1031</v>
      </c>
      <c r="B466" s="46">
        <v>45618</v>
      </c>
      <c r="C466" s="47">
        <v>45641</v>
      </c>
      <c r="D466" s="48">
        <f t="shared" si="55"/>
        <v>23</v>
      </c>
      <c r="E466" s="48" t="str">
        <f>TEXT(Data!B466,"MMM-YYYY")</f>
        <v>Nov-2024</v>
      </c>
      <c r="F466" s="48" t="str">
        <f t="shared" si="51"/>
        <v>Q4-2024</v>
      </c>
      <c r="G466" s="38" t="s">
        <v>16</v>
      </c>
      <c r="H466" s="38" t="s">
        <v>17</v>
      </c>
      <c r="I466" s="38" t="s">
        <v>113</v>
      </c>
      <c r="J466" s="38" t="s">
        <v>39</v>
      </c>
      <c r="K466" s="38" t="s">
        <v>55</v>
      </c>
      <c r="L466" s="38" t="s">
        <v>21</v>
      </c>
      <c r="M466" s="38" t="s">
        <v>22</v>
      </c>
      <c r="N466" s="38" t="s">
        <v>1032</v>
      </c>
      <c r="O466" s="48">
        <v>1335.76</v>
      </c>
      <c r="P466" s="49" t="str">
        <f t="shared" si="52"/>
        <v>High</v>
      </c>
      <c r="Q466" s="48">
        <v>2665.91</v>
      </c>
      <c r="R466" s="48">
        <v>0.21099999999999999</v>
      </c>
      <c r="S466" s="48">
        <v>40</v>
      </c>
      <c r="T466" s="48">
        <f t="shared" si="49"/>
        <v>21031.899600000001</v>
      </c>
      <c r="U466" s="38">
        <f t="shared" si="50"/>
        <v>53430.400000000001</v>
      </c>
      <c r="V466" s="48">
        <f t="shared" si="53"/>
        <v>-32398.500400000001</v>
      </c>
      <c r="W466" s="50">
        <f t="shared" si="54"/>
        <v>-1.5404457522229709</v>
      </c>
    </row>
    <row r="467" spans="1:23" x14ac:dyDescent="0.3">
      <c r="A467" s="39" t="s">
        <v>1033</v>
      </c>
      <c r="B467" s="40">
        <v>45466</v>
      </c>
      <c r="C467" s="41">
        <v>45471</v>
      </c>
      <c r="D467" s="42">
        <f t="shared" si="55"/>
        <v>5</v>
      </c>
      <c r="E467" s="42" t="str">
        <f>TEXT(Data!B467,"MMM-YYYY")</f>
        <v>Jun-2024</v>
      </c>
      <c r="F467" s="42" t="str">
        <f t="shared" si="51"/>
        <v>Q2-2024</v>
      </c>
      <c r="G467" s="37" t="s">
        <v>16</v>
      </c>
      <c r="H467" s="37" t="s">
        <v>25</v>
      </c>
      <c r="I467" s="37" t="s">
        <v>26</v>
      </c>
      <c r="J467" s="37" t="s">
        <v>39</v>
      </c>
      <c r="K467" s="37" t="s">
        <v>98</v>
      </c>
      <c r="L467" s="37" t="s">
        <v>110</v>
      </c>
      <c r="M467" s="37" t="s">
        <v>81</v>
      </c>
      <c r="N467" s="37" t="s">
        <v>1034</v>
      </c>
      <c r="O467" s="42">
        <v>242.31</v>
      </c>
      <c r="P467" s="43" t="str">
        <f t="shared" si="52"/>
        <v>High</v>
      </c>
      <c r="Q467" s="42">
        <v>587.95000000000005</v>
      </c>
      <c r="R467" s="42">
        <v>0.22900000000000001</v>
      </c>
      <c r="S467" s="42">
        <v>6</v>
      </c>
      <c r="T467" s="42">
        <f t="shared" si="49"/>
        <v>3442.9930199999999</v>
      </c>
      <c r="U467" s="37">
        <f t="shared" si="50"/>
        <v>1453.8600000000001</v>
      </c>
      <c r="V467" s="42">
        <f t="shared" si="53"/>
        <v>1989.1330199999998</v>
      </c>
      <c r="W467" s="44">
        <f t="shared" si="54"/>
        <v>0.57773367777550699</v>
      </c>
    </row>
    <row r="468" spans="1:23" x14ac:dyDescent="0.3">
      <c r="A468" s="45" t="s">
        <v>1035</v>
      </c>
      <c r="B468" s="46">
        <v>45278</v>
      </c>
      <c r="C468" s="47">
        <v>45305</v>
      </c>
      <c r="D468" s="48">
        <f t="shared" si="55"/>
        <v>27</v>
      </c>
      <c r="E468" s="48" t="str">
        <f>TEXT(Data!B468,"MMM-YYYY")</f>
        <v>Dec-2023</v>
      </c>
      <c r="F468" s="48" t="str">
        <f t="shared" si="51"/>
        <v>Q4-2023</v>
      </c>
      <c r="G468" s="38" t="s">
        <v>45</v>
      </c>
      <c r="H468" s="38" t="s">
        <v>60</v>
      </c>
      <c r="I468" s="38" t="s">
        <v>220</v>
      </c>
      <c r="J468" s="38" t="s">
        <v>48</v>
      </c>
      <c r="K468" s="38" t="s">
        <v>55</v>
      </c>
      <c r="L468" s="38" t="s">
        <v>145</v>
      </c>
      <c r="M468" s="38" t="s">
        <v>35</v>
      </c>
      <c r="N468" s="38" t="s">
        <v>1036</v>
      </c>
      <c r="O468" s="48">
        <v>1408.3</v>
      </c>
      <c r="P468" s="49" t="str">
        <f t="shared" si="52"/>
        <v>High</v>
      </c>
      <c r="Q468" s="48">
        <v>2193.13</v>
      </c>
      <c r="R468" s="48">
        <v>7.0999999999999994E-2</v>
      </c>
      <c r="S468" s="48">
        <v>7</v>
      </c>
      <c r="T468" s="48">
        <f t="shared" si="49"/>
        <v>82.523070000000004</v>
      </c>
      <c r="U468" s="38">
        <f t="shared" si="50"/>
        <v>9858.1</v>
      </c>
      <c r="V468" s="48">
        <f t="shared" si="53"/>
        <v>-9775.5769300000011</v>
      </c>
      <c r="W468" s="50">
        <f t="shared" si="54"/>
        <v>-118.45871621111527</v>
      </c>
    </row>
    <row r="469" spans="1:23" x14ac:dyDescent="0.3">
      <c r="A469" s="39" t="s">
        <v>1037</v>
      </c>
      <c r="B469" s="40">
        <v>45809</v>
      </c>
      <c r="C469" s="41">
        <v>45813</v>
      </c>
      <c r="D469" s="42">
        <f t="shared" si="55"/>
        <v>4</v>
      </c>
      <c r="E469" s="42" t="str">
        <f>TEXT(Data!B469,"MMM-YYYY")</f>
        <v>Jun-2025</v>
      </c>
      <c r="F469" s="42" t="str">
        <f t="shared" si="51"/>
        <v>Q2-2025</v>
      </c>
      <c r="G469" s="37" t="s">
        <v>78</v>
      </c>
      <c r="H469" s="37" t="s">
        <v>79</v>
      </c>
      <c r="I469" s="37" t="s">
        <v>159</v>
      </c>
      <c r="J469" s="37" t="s">
        <v>105</v>
      </c>
      <c r="K469" s="37" t="s">
        <v>98</v>
      </c>
      <c r="L469" s="37" t="s">
        <v>110</v>
      </c>
      <c r="M469" s="37" t="s">
        <v>22</v>
      </c>
      <c r="N469" s="37" t="s">
        <v>1038</v>
      </c>
      <c r="O469" s="42">
        <v>1171.42</v>
      </c>
      <c r="P469" s="43" t="str">
        <f t="shared" si="52"/>
        <v>High</v>
      </c>
      <c r="Q469" s="42">
        <v>2187.8000000000002</v>
      </c>
      <c r="R469" s="42">
        <v>0.23</v>
      </c>
      <c r="S469" s="42">
        <v>15</v>
      </c>
      <c r="T469" s="42">
        <f t="shared" si="49"/>
        <v>7525.518</v>
      </c>
      <c r="U469" s="37">
        <f t="shared" si="50"/>
        <v>17571.300000000003</v>
      </c>
      <c r="V469" s="42">
        <f t="shared" si="53"/>
        <v>-10045.782000000003</v>
      </c>
      <c r="W469" s="44">
        <f t="shared" si="54"/>
        <v>-1.3348957506978261</v>
      </c>
    </row>
    <row r="470" spans="1:23" x14ac:dyDescent="0.3">
      <c r="A470" s="45" t="s">
        <v>1039</v>
      </c>
      <c r="B470" s="46">
        <v>45739</v>
      </c>
      <c r="C470" s="47">
        <v>45749</v>
      </c>
      <c r="D470" s="48">
        <f t="shared" si="55"/>
        <v>10</v>
      </c>
      <c r="E470" s="48" t="str">
        <f>TEXT(Data!B470,"MMM-YYYY")</f>
        <v>Mar-2025</v>
      </c>
      <c r="F470" s="48" t="str">
        <f t="shared" si="51"/>
        <v>Q1-2025</v>
      </c>
      <c r="G470" s="38" t="s">
        <v>78</v>
      </c>
      <c r="H470" s="38" t="s">
        <v>79</v>
      </c>
      <c r="I470" s="38" t="s">
        <v>80</v>
      </c>
      <c r="J470" s="38" t="s">
        <v>105</v>
      </c>
      <c r="K470" s="38" t="s">
        <v>28</v>
      </c>
      <c r="L470" s="38" t="s">
        <v>63</v>
      </c>
      <c r="M470" s="38" t="s">
        <v>30</v>
      </c>
      <c r="N470" s="38" t="s">
        <v>1040</v>
      </c>
      <c r="O470" s="48">
        <v>663.61</v>
      </c>
      <c r="P470" s="49" t="str">
        <f t="shared" si="52"/>
        <v>High</v>
      </c>
      <c r="Q470" s="48">
        <v>1002.11</v>
      </c>
      <c r="R470" s="48">
        <v>4.5999999999999999E-2</v>
      </c>
      <c r="S470" s="48">
        <v>17</v>
      </c>
      <c r="T470" s="48">
        <f t="shared" si="49"/>
        <v>12231.93996</v>
      </c>
      <c r="U470" s="38">
        <f t="shared" si="50"/>
        <v>11281.37</v>
      </c>
      <c r="V470" s="48">
        <f t="shared" si="53"/>
        <v>950.5699599999989</v>
      </c>
      <c r="W470" s="50">
        <f t="shared" si="54"/>
        <v>7.7712117874064429E-2</v>
      </c>
    </row>
    <row r="471" spans="1:23" x14ac:dyDescent="0.3">
      <c r="A471" s="39" t="s">
        <v>1041</v>
      </c>
      <c r="B471" s="40">
        <v>45060</v>
      </c>
      <c r="C471" s="41">
        <v>45068</v>
      </c>
      <c r="D471" s="42">
        <f t="shared" si="55"/>
        <v>8</v>
      </c>
      <c r="E471" s="42" t="str">
        <f>TEXT(Data!B471,"MMM-YYYY")</f>
        <v>May-2023</v>
      </c>
      <c r="F471" s="42" t="str">
        <f t="shared" si="51"/>
        <v>Q2-2023</v>
      </c>
      <c r="G471" s="37" t="s">
        <v>16</v>
      </c>
      <c r="H471" s="37" t="s">
        <v>17</v>
      </c>
      <c r="I471" s="37" t="s">
        <v>113</v>
      </c>
      <c r="J471" s="37" t="s">
        <v>62</v>
      </c>
      <c r="K471" s="37" t="s">
        <v>55</v>
      </c>
      <c r="L471" s="37" t="s">
        <v>84</v>
      </c>
      <c r="M471" s="37" t="s">
        <v>30</v>
      </c>
      <c r="N471" s="37" t="s">
        <v>1042</v>
      </c>
      <c r="O471" s="42">
        <v>432.01</v>
      </c>
      <c r="P471" s="43" t="str">
        <f t="shared" si="52"/>
        <v>High</v>
      </c>
      <c r="Q471" s="42">
        <v>913.78</v>
      </c>
      <c r="R471" s="42">
        <v>4.9000000000000002E-2</v>
      </c>
      <c r="S471" s="42">
        <v>12</v>
      </c>
      <c r="T471" s="42">
        <f t="shared" si="49"/>
        <v>34019.286120000004</v>
      </c>
      <c r="U471" s="37">
        <f t="shared" si="50"/>
        <v>5184.12</v>
      </c>
      <c r="V471" s="42">
        <f t="shared" si="53"/>
        <v>28835.166120000005</v>
      </c>
      <c r="W471" s="44">
        <f t="shared" si="54"/>
        <v>0.84761232255981278</v>
      </c>
    </row>
    <row r="472" spans="1:23" x14ac:dyDescent="0.3">
      <c r="A472" s="45" t="s">
        <v>1043</v>
      </c>
      <c r="B472" s="46">
        <v>45167</v>
      </c>
      <c r="C472" s="47">
        <v>45188</v>
      </c>
      <c r="D472" s="48">
        <f t="shared" si="55"/>
        <v>21</v>
      </c>
      <c r="E472" s="48" t="str">
        <f>TEXT(Data!B472,"MMM-YYYY")</f>
        <v>Aug-2023</v>
      </c>
      <c r="F472" s="48" t="str">
        <f t="shared" si="51"/>
        <v>Q3-2023</v>
      </c>
      <c r="G472" s="38" t="s">
        <v>78</v>
      </c>
      <c r="H472" s="38" t="s">
        <v>90</v>
      </c>
      <c r="I472" s="38" t="s">
        <v>138</v>
      </c>
      <c r="J472" s="38" t="s">
        <v>62</v>
      </c>
      <c r="K472" s="38" t="s">
        <v>98</v>
      </c>
      <c r="L472" s="38" t="s">
        <v>56</v>
      </c>
      <c r="M472" s="38" t="s">
        <v>30</v>
      </c>
      <c r="N472" s="38" t="s">
        <v>1044</v>
      </c>
      <c r="O472" s="48">
        <v>784.46</v>
      </c>
      <c r="P472" s="49" t="str">
        <f t="shared" si="52"/>
        <v>High</v>
      </c>
      <c r="Q472" s="48">
        <v>1843.51</v>
      </c>
      <c r="R472" s="48">
        <v>0.13800000000000001</v>
      </c>
      <c r="S472" s="48">
        <v>23</v>
      </c>
      <c r="T472" s="48">
        <f t="shared" si="49"/>
        <v>19353.546419999999</v>
      </c>
      <c r="U472" s="38">
        <f t="shared" si="50"/>
        <v>18042.580000000002</v>
      </c>
      <c r="V472" s="48">
        <f t="shared" si="53"/>
        <v>1310.966419999997</v>
      </c>
      <c r="W472" s="50">
        <f t="shared" si="54"/>
        <v>6.7737787770268371E-2</v>
      </c>
    </row>
    <row r="473" spans="1:23" x14ac:dyDescent="0.3">
      <c r="A473" s="39" t="s">
        <v>1045</v>
      </c>
      <c r="B473" s="40">
        <v>45841</v>
      </c>
      <c r="C473" s="41">
        <v>45861</v>
      </c>
      <c r="D473" s="42">
        <f t="shared" si="55"/>
        <v>20</v>
      </c>
      <c r="E473" s="42" t="str">
        <f>TEXT(Data!B473,"MMM-YYYY")</f>
        <v>Jul-2025</v>
      </c>
      <c r="F473" s="42" t="str">
        <f t="shared" si="51"/>
        <v>Q3-2025</v>
      </c>
      <c r="G473" s="37" t="s">
        <v>45</v>
      </c>
      <c r="H473" s="37" t="s">
        <v>116</v>
      </c>
      <c r="I473" s="37" t="s">
        <v>338</v>
      </c>
      <c r="J473" s="37" t="s">
        <v>62</v>
      </c>
      <c r="K473" s="37" t="s">
        <v>28</v>
      </c>
      <c r="L473" s="37" t="s">
        <v>110</v>
      </c>
      <c r="M473" s="37" t="s">
        <v>22</v>
      </c>
      <c r="N473" s="37" t="s">
        <v>1046</v>
      </c>
      <c r="O473" s="42">
        <v>647.36</v>
      </c>
      <c r="P473" s="43" t="str">
        <f t="shared" si="52"/>
        <v>High</v>
      </c>
      <c r="Q473" s="42">
        <v>1383.6</v>
      </c>
      <c r="R473" s="42">
        <v>7.3999999999999996E-2</v>
      </c>
      <c r="S473" s="42">
        <v>12</v>
      </c>
      <c r="T473" s="42">
        <f t="shared" si="49"/>
        <v>12733.240800000001</v>
      </c>
      <c r="U473" s="37">
        <f t="shared" si="50"/>
        <v>7768.32</v>
      </c>
      <c r="V473" s="42">
        <f t="shared" si="53"/>
        <v>4964.9208000000017</v>
      </c>
      <c r="W473" s="44">
        <f t="shared" si="54"/>
        <v>0.38991807961410746</v>
      </c>
    </row>
    <row r="474" spans="1:23" x14ac:dyDescent="0.3">
      <c r="A474" s="45" t="s">
        <v>1047</v>
      </c>
      <c r="B474" s="46">
        <v>45328</v>
      </c>
      <c r="C474" s="47">
        <v>45350</v>
      </c>
      <c r="D474" s="48">
        <f t="shared" si="55"/>
        <v>22</v>
      </c>
      <c r="E474" s="48" t="str">
        <f>TEXT(Data!B474,"MMM-YYYY")</f>
        <v>Feb-2024</v>
      </c>
      <c r="F474" s="48" t="str">
        <f t="shared" si="51"/>
        <v>Q1-2024</v>
      </c>
      <c r="G474" s="38" t="s">
        <v>16</v>
      </c>
      <c r="H474" s="38" t="s">
        <v>17</v>
      </c>
      <c r="I474" s="38" t="s">
        <v>18</v>
      </c>
      <c r="J474" s="38" t="s">
        <v>39</v>
      </c>
      <c r="K474" s="38" t="s">
        <v>28</v>
      </c>
      <c r="L474" s="38" t="s">
        <v>95</v>
      </c>
      <c r="M474" s="38" t="s">
        <v>64</v>
      </c>
      <c r="N474" s="38" t="s">
        <v>1048</v>
      </c>
      <c r="O474" s="48">
        <v>834.93</v>
      </c>
      <c r="P474" s="49" t="str">
        <f t="shared" si="52"/>
        <v>High</v>
      </c>
      <c r="Q474" s="48">
        <v>1588.53</v>
      </c>
      <c r="R474" s="48">
        <v>0.126</v>
      </c>
      <c r="S474" s="48">
        <v>6</v>
      </c>
      <c r="T474" s="48">
        <f t="shared" si="49"/>
        <v>8549.7651600000008</v>
      </c>
      <c r="U474" s="38">
        <f t="shared" si="50"/>
        <v>5009.58</v>
      </c>
      <c r="V474" s="48">
        <f t="shared" si="53"/>
        <v>3540.1851600000009</v>
      </c>
      <c r="W474" s="50">
        <f t="shared" si="54"/>
        <v>0.4140681169305942</v>
      </c>
    </row>
    <row r="475" spans="1:23" x14ac:dyDescent="0.3">
      <c r="A475" s="39" t="s">
        <v>1049</v>
      </c>
      <c r="B475" s="40">
        <v>45882</v>
      </c>
      <c r="C475" s="41">
        <v>45903</v>
      </c>
      <c r="D475" s="42">
        <f t="shared" si="55"/>
        <v>21</v>
      </c>
      <c r="E475" s="42" t="str">
        <f>TEXT(Data!B475,"MMM-YYYY")</f>
        <v>Aug-2025</v>
      </c>
      <c r="F475" s="42" t="str">
        <f t="shared" si="51"/>
        <v>Q3-2025</v>
      </c>
      <c r="G475" s="37" t="s">
        <v>78</v>
      </c>
      <c r="H475" s="37" t="s">
        <v>90</v>
      </c>
      <c r="I475" s="37" t="s">
        <v>217</v>
      </c>
      <c r="J475" s="37" t="s">
        <v>27</v>
      </c>
      <c r="K475" s="37" t="s">
        <v>20</v>
      </c>
      <c r="L475" s="37" t="s">
        <v>34</v>
      </c>
      <c r="M475" s="37" t="s">
        <v>42</v>
      </c>
      <c r="N475" s="37" t="s">
        <v>1050</v>
      </c>
      <c r="O475" s="42">
        <v>603.47</v>
      </c>
      <c r="P475" s="43" t="str">
        <f t="shared" si="52"/>
        <v>High</v>
      </c>
      <c r="Q475" s="42">
        <v>1344.05</v>
      </c>
      <c r="R475" s="42">
        <v>0.20499999999999999</v>
      </c>
      <c r="S475" s="42">
        <v>18</v>
      </c>
      <c r="T475" s="42">
        <f t="shared" si="49"/>
        <v>13790.9763</v>
      </c>
      <c r="U475" s="37">
        <f t="shared" si="50"/>
        <v>10862.460000000001</v>
      </c>
      <c r="V475" s="42">
        <f t="shared" si="53"/>
        <v>2928.5162999999993</v>
      </c>
      <c r="W475" s="44">
        <f t="shared" si="54"/>
        <v>0.21235018002315031</v>
      </c>
    </row>
    <row r="476" spans="1:23" x14ac:dyDescent="0.3">
      <c r="A476" s="45" t="s">
        <v>1051</v>
      </c>
      <c r="B476" s="46">
        <v>45069</v>
      </c>
      <c r="C476" s="47">
        <v>45071</v>
      </c>
      <c r="D476" s="48">
        <f t="shared" si="55"/>
        <v>2</v>
      </c>
      <c r="E476" s="48" t="str">
        <f>TEXT(Data!B476,"MMM-YYYY")</f>
        <v>May-2023</v>
      </c>
      <c r="F476" s="48" t="str">
        <f t="shared" si="51"/>
        <v>Q2-2023</v>
      </c>
      <c r="G476" s="38" t="s">
        <v>52</v>
      </c>
      <c r="H476" s="38" t="s">
        <v>73</v>
      </c>
      <c r="I476" s="38" t="s">
        <v>225</v>
      </c>
      <c r="J476" s="38" t="s">
        <v>105</v>
      </c>
      <c r="K476" s="38" t="s">
        <v>20</v>
      </c>
      <c r="L476" s="38" t="s">
        <v>110</v>
      </c>
      <c r="M476" s="38" t="s">
        <v>30</v>
      </c>
      <c r="N476" s="38" t="s">
        <v>1052</v>
      </c>
      <c r="O476" s="48">
        <v>690.49</v>
      </c>
      <c r="P476" s="49" t="str">
        <f t="shared" si="52"/>
        <v>High</v>
      </c>
      <c r="Q476" s="48">
        <v>1290.29</v>
      </c>
      <c r="R476" s="48">
        <v>4.2000000000000003E-2</v>
      </c>
      <c r="S476" s="48">
        <v>22</v>
      </c>
      <c r="T476" s="48">
        <f t="shared" si="49"/>
        <v>18794.101480000001</v>
      </c>
      <c r="U476" s="38">
        <f t="shared" si="50"/>
        <v>15190.78</v>
      </c>
      <c r="V476" s="48">
        <f t="shared" si="53"/>
        <v>3603.3214800000005</v>
      </c>
      <c r="W476" s="50">
        <f t="shared" si="54"/>
        <v>0.19172619046643566</v>
      </c>
    </row>
    <row r="477" spans="1:23" x14ac:dyDescent="0.3">
      <c r="A477" s="39" t="s">
        <v>1053</v>
      </c>
      <c r="B477" s="40">
        <v>45422</v>
      </c>
      <c r="C477" s="41">
        <v>45428</v>
      </c>
      <c r="D477" s="42">
        <f t="shared" si="55"/>
        <v>6</v>
      </c>
      <c r="E477" s="42" t="str">
        <f>TEXT(Data!B477,"MMM-YYYY")</f>
        <v>May-2024</v>
      </c>
      <c r="F477" s="42" t="str">
        <f t="shared" si="51"/>
        <v>Q2-2024</v>
      </c>
      <c r="G477" s="37" t="s">
        <v>78</v>
      </c>
      <c r="H477" s="37" t="s">
        <v>108</v>
      </c>
      <c r="I477" s="37" t="s">
        <v>109</v>
      </c>
      <c r="J477" s="37" t="s">
        <v>39</v>
      </c>
      <c r="K477" s="37" t="s">
        <v>98</v>
      </c>
      <c r="L477" s="37" t="s">
        <v>41</v>
      </c>
      <c r="M477" s="37" t="s">
        <v>57</v>
      </c>
      <c r="N477" s="37" t="s">
        <v>1054</v>
      </c>
      <c r="O477" s="42">
        <v>210.76</v>
      </c>
      <c r="P477" s="43" t="str">
        <f t="shared" si="52"/>
        <v>High</v>
      </c>
      <c r="Q477" s="42">
        <v>221.58</v>
      </c>
      <c r="R477" s="42">
        <v>8.8999999999999996E-2</v>
      </c>
      <c r="S477" s="42">
        <v>5</v>
      </c>
      <c r="T477" s="42">
        <f t="shared" si="49"/>
        <v>7596.9201000000003</v>
      </c>
      <c r="U477" s="37">
        <f t="shared" si="50"/>
        <v>1053.8</v>
      </c>
      <c r="V477" s="42">
        <f t="shared" si="53"/>
        <v>6543.1201000000001</v>
      </c>
      <c r="W477" s="44">
        <f t="shared" si="54"/>
        <v>0.86128589137063583</v>
      </c>
    </row>
    <row r="478" spans="1:23" x14ac:dyDescent="0.3">
      <c r="A478" s="45" t="s">
        <v>1055</v>
      </c>
      <c r="B478" s="46">
        <v>44999</v>
      </c>
      <c r="C478" s="47">
        <v>45003</v>
      </c>
      <c r="D478" s="48">
        <f t="shared" si="55"/>
        <v>4</v>
      </c>
      <c r="E478" s="48" t="str">
        <f>TEXT(Data!B478,"MMM-YYYY")</f>
        <v>Mar-2023</v>
      </c>
      <c r="F478" s="48" t="str">
        <f t="shared" si="51"/>
        <v>Q1-2023</v>
      </c>
      <c r="G478" s="38" t="s">
        <v>78</v>
      </c>
      <c r="H478" s="38" t="s">
        <v>79</v>
      </c>
      <c r="I478" s="38" t="s">
        <v>335</v>
      </c>
      <c r="J478" s="38" t="s">
        <v>105</v>
      </c>
      <c r="K478" s="38" t="s">
        <v>98</v>
      </c>
      <c r="L478" s="38" t="s">
        <v>75</v>
      </c>
      <c r="M478" s="38" t="s">
        <v>22</v>
      </c>
      <c r="N478" s="38" t="s">
        <v>1056</v>
      </c>
      <c r="O478" s="48">
        <v>472.33</v>
      </c>
      <c r="P478" s="49" t="str">
        <f t="shared" si="52"/>
        <v>High</v>
      </c>
      <c r="Q478" s="48">
        <v>360.34</v>
      </c>
      <c r="R478" s="48">
        <v>0.16500000000000001</v>
      </c>
      <c r="S478" s="48">
        <v>14</v>
      </c>
      <c r="T478" s="48">
        <f t="shared" si="49"/>
        <v>22462.4519</v>
      </c>
      <c r="U478" s="38">
        <f t="shared" si="50"/>
        <v>6612.62</v>
      </c>
      <c r="V478" s="48">
        <f t="shared" si="53"/>
        <v>15849.831900000001</v>
      </c>
      <c r="W478" s="50">
        <f t="shared" si="54"/>
        <v>0.70561450595693875</v>
      </c>
    </row>
    <row r="479" spans="1:23" x14ac:dyDescent="0.3">
      <c r="A479" s="39" t="s">
        <v>1057</v>
      </c>
      <c r="B479" s="40">
        <v>45123</v>
      </c>
      <c r="C479" s="41">
        <v>45151</v>
      </c>
      <c r="D479" s="42">
        <f t="shared" si="55"/>
        <v>28</v>
      </c>
      <c r="E479" s="42" t="str">
        <f>TEXT(Data!B479,"MMM-YYYY")</f>
        <v>Jul-2023</v>
      </c>
      <c r="F479" s="42" t="str">
        <f t="shared" si="51"/>
        <v>Q3-2023</v>
      </c>
      <c r="G479" s="37" t="s">
        <v>78</v>
      </c>
      <c r="H479" s="37" t="s">
        <v>108</v>
      </c>
      <c r="I479" s="37" t="s">
        <v>228</v>
      </c>
      <c r="J479" s="37" t="s">
        <v>39</v>
      </c>
      <c r="K479" s="37" t="s">
        <v>28</v>
      </c>
      <c r="L479" s="37" t="s">
        <v>29</v>
      </c>
      <c r="M479" s="37" t="s">
        <v>57</v>
      </c>
      <c r="N479" s="37" t="s">
        <v>1058</v>
      </c>
      <c r="O479" s="42">
        <v>1039.03</v>
      </c>
      <c r="P479" s="43" t="str">
        <f t="shared" si="52"/>
        <v>High</v>
      </c>
      <c r="Q479" s="42">
        <v>2545.81</v>
      </c>
      <c r="R479" s="42">
        <v>0.216</v>
      </c>
      <c r="S479" s="42">
        <v>21</v>
      </c>
      <c r="T479" s="42">
        <f t="shared" si="49"/>
        <v>20043.767520000001</v>
      </c>
      <c r="U479" s="37">
        <f t="shared" si="50"/>
        <v>21819.63</v>
      </c>
      <c r="V479" s="42">
        <f t="shared" si="53"/>
        <v>-1775.8624799999998</v>
      </c>
      <c r="W479" s="44">
        <f t="shared" si="54"/>
        <v>-8.8599235559283701E-2</v>
      </c>
    </row>
    <row r="480" spans="1:23" x14ac:dyDescent="0.3">
      <c r="A480" s="45" t="s">
        <v>1059</v>
      </c>
      <c r="B480" s="46">
        <v>45032</v>
      </c>
      <c r="C480" s="47">
        <v>45035</v>
      </c>
      <c r="D480" s="48">
        <f t="shared" si="55"/>
        <v>3</v>
      </c>
      <c r="E480" s="48" t="str">
        <f>TEXT(Data!B480,"MMM-YYYY")</f>
        <v>Apr-2023</v>
      </c>
      <c r="F480" s="48" t="str">
        <f t="shared" si="51"/>
        <v>Q2-2023</v>
      </c>
      <c r="G480" s="38" t="s">
        <v>78</v>
      </c>
      <c r="H480" s="38" t="s">
        <v>79</v>
      </c>
      <c r="I480" s="38" t="s">
        <v>159</v>
      </c>
      <c r="J480" s="38" t="s">
        <v>19</v>
      </c>
      <c r="K480" s="38" t="s">
        <v>98</v>
      </c>
      <c r="L480" s="38" t="s">
        <v>56</v>
      </c>
      <c r="M480" s="38" t="s">
        <v>81</v>
      </c>
      <c r="N480" s="38" t="s">
        <v>1060</v>
      </c>
      <c r="O480" s="48">
        <v>553.61</v>
      </c>
      <c r="P480" s="49" t="str">
        <f t="shared" si="52"/>
        <v>High</v>
      </c>
      <c r="Q480" s="48">
        <v>699.47</v>
      </c>
      <c r="R480" s="48">
        <v>0.02</v>
      </c>
      <c r="S480" s="48">
        <v>33</v>
      </c>
      <c r="T480" s="48">
        <f t="shared" si="49"/>
        <v>31378.531800000001</v>
      </c>
      <c r="U480" s="38">
        <f t="shared" si="50"/>
        <v>18269.13</v>
      </c>
      <c r="V480" s="48">
        <f t="shared" si="53"/>
        <v>13109.4018</v>
      </c>
      <c r="W480" s="50">
        <f t="shared" si="54"/>
        <v>0.41778251078018885</v>
      </c>
    </row>
    <row r="481" spans="1:23" x14ac:dyDescent="0.3">
      <c r="A481" s="39" t="s">
        <v>1061</v>
      </c>
      <c r="B481" s="40">
        <v>45293</v>
      </c>
      <c r="C481" s="41">
        <v>45306</v>
      </c>
      <c r="D481" s="42">
        <f t="shared" si="55"/>
        <v>13</v>
      </c>
      <c r="E481" s="42" t="str">
        <f>TEXT(Data!B481,"MMM-YYYY")</f>
        <v>Jan-2024</v>
      </c>
      <c r="F481" s="42" t="str">
        <f t="shared" si="51"/>
        <v>Q1-2024</v>
      </c>
      <c r="G481" s="37" t="s">
        <v>45</v>
      </c>
      <c r="H481" s="37" t="s">
        <v>46</v>
      </c>
      <c r="I481" s="37" t="s">
        <v>231</v>
      </c>
      <c r="J481" s="37" t="s">
        <v>62</v>
      </c>
      <c r="K481" s="37" t="s">
        <v>40</v>
      </c>
      <c r="L481" s="37" t="s">
        <v>41</v>
      </c>
      <c r="M481" s="37" t="s">
        <v>35</v>
      </c>
      <c r="N481" s="37" t="s">
        <v>1062</v>
      </c>
      <c r="O481" s="42">
        <v>1219.06</v>
      </c>
      <c r="P481" s="43" t="str">
        <f t="shared" si="52"/>
        <v>High</v>
      </c>
      <c r="Q481" s="42">
        <v>2738.69</v>
      </c>
      <c r="R481" s="42">
        <v>7.5999999999999998E-2</v>
      </c>
      <c r="S481" s="42">
        <v>16</v>
      </c>
      <c r="T481" s="42">
        <f t="shared" si="49"/>
        <v>24019.121280000003</v>
      </c>
      <c r="U481" s="37">
        <f t="shared" si="50"/>
        <v>19504.96</v>
      </c>
      <c r="V481" s="42">
        <f t="shared" si="53"/>
        <v>4514.1612800000039</v>
      </c>
      <c r="W481" s="44">
        <f t="shared" si="54"/>
        <v>0.18794031752355611</v>
      </c>
    </row>
    <row r="482" spans="1:23" x14ac:dyDescent="0.3">
      <c r="A482" s="45" t="s">
        <v>1063</v>
      </c>
      <c r="B482" s="46">
        <v>45538</v>
      </c>
      <c r="C482" s="47">
        <v>45542</v>
      </c>
      <c r="D482" s="48">
        <f t="shared" si="55"/>
        <v>4</v>
      </c>
      <c r="E482" s="48" t="str">
        <f>TEXT(Data!B482,"MMM-YYYY")</f>
        <v>Sept-2024</v>
      </c>
      <c r="F482" s="48" t="str">
        <f t="shared" si="51"/>
        <v>Q3-2024</v>
      </c>
      <c r="G482" s="38" t="s">
        <v>45</v>
      </c>
      <c r="H482" s="38" t="s">
        <v>46</v>
      </c>
      <c r="I482" s="38" t="s">
        <v>214</v>
      </c>
      <c r="J482" s="38" t="s">
        <v>62</v>
      </c>
      <c r="K482" s="38" t="s">
        <v>55</v>
      </c>
      <c r="L482" s="38" t="s">
        <v>126</v>
      </c>
      <c r="M482" s="38" t="s">
        <v>30</v>
      </c>
      <c r="N482" s="38" t="s">
        <v>1064</v>
      </c>
      <c r="O482" s="48">
        <v>43.23</v>
      </c>
      <c r="P482" s="49" t="str">
        <f t="shared" si="52"/>
        <v>Medium</v>
      </c>
      <c r="Q482" s="48">
        <v>94.78</v>
      </c>
      <c r="R482" s="48">
        <v>9.0999999999999998E-2</v>
      </c>
      <c r="S482" s="48">
        <v>55</v>
      </c>
      <c r="T482" s="48">
        <f t="shared" si="49"/>
        <v>130292.46945000002</v>
      </c>
      <c r="U482" s="38">
        <f t="shared" si="50"/>
        <v>2377.6499999999996</v>
      </c>
      <c r="V482" s="48">
        <f t="shared" si="53"/>
        <v>127914.81945000002</v>
      </c>
      <c r="W482" s="50">
        <f t="shared" si="54"/>
        <v>0.98175143958790023</v>
      </c>
    </row>
    <row r="483" spans="1:23" x14ac:dyDescent="0.3">
      <c r="A483" s="39" t="s">
        <v>1065</v>
      </c>
      <c r="B483" s="40">
        <v>45899</v>
      </c>
      <c r="C483" s="41">
        <v>45903</v>
      </c>
      <c r="D483" s="42">
        <f t="shared" si="55"/>
        <v>4</v>
      </c>
      <c r="E483" s="42" t="str">
        <f>TEXT(Data!B483,"MMM-YYYY")</f>
        <v>Aug-2025</v>
      </c>
      <c r="F483" s="42" t="str">
        <f t="shared" si="51"/>
        <v>Q3-2025</v>
      </c>
      <c r="G483" s="37" t="s">
        <v>78</v>
      </c>
      <c r="H483" s="37" t="s">
        <v>90</v>
      </c>
      <c r="I483" s="37" t="s">
        <v>91</v>
      </c>
      <c r="J483" s="37" t="s">
        <v>62</v>
      </c>
      <c r="K483" s="37" t="s">
        <v>40</v>
      </c>
      <c r="L483" s="37" t="s">
        <v>29</v>
      </c>
      <c r="M483" s="37" t="s">
        <v>57</v>
      </c>
      <c r="N483" s="37" t="s">
        <v>1066</v>
      </c>
      <c r="O483" s="42">
        <v>1286.56</v>
      </c>
      <c r="P483" s="43" t="str">
        <f t="shared" si="52"/>
        <v>High</v>
      </c>
      <c r="Q483" s="42">
        <v>2777.35</v>
      </c>
      <c r="R483" s="42">
        <v>0.13200000000000001</v>
      </c>
      <c r="S483" s="42">
        <v>15</v>
      </c>
      <c r="T483" s="42">
        <f t="shared" si="49"/>
        <v>5660.0544</v>
      </c>
      <c r="U483" s="37">
        <f t="shared" si="50"/>
        <v>19298.399999999998</v>
      </c>
      <c r="V483" s="42">
        <f t="shared" si="53"/>
        <v>-13638.345599999997</v>
      </c>
      <c r="W483" s="44">
        <f t="shared" si="54"/>
        <v>-2.4095785369130014</v>
      </c>
    </row>
    <row r="484" spans="1:23" x14ac:dyDescent="0.3">
      <c r="A484" s="45" t="s">
        <v>1067</v>
      </c>
      <c r="B484" s="46">
        <v>45775</v>
      </c>
      <c r="C484" s="47">
        <v>45796</v>
      </c>
      <c r="D484" s="48">
        <f t="shared" si="55"/>
        <v>21</v>
      </c>
      <c r="E484" s="48" t="str">
        <f>TEXT(Data!B484,"MMM-YYYY")</f>
        <v>Apr-2025</v>
      </c>
      <c r="F484" s="48" t="str">
        <f t="shared" si="51"/>
        <v>Q2-2025</v>
      </c>
      <c r="G484" s="38" t="s">
        <v>78</v>
      </c>
      <c r="H484" s="38" t="s">
        <v>79</v>
      </c>
      <c r="I484" s="38" t="s">
        <v>80</v>
      </c>
      <c r="J484" s="38" t="s">
        <v>19</v>
      </c>
      <c r="K484" s="38" t="s">
        <v>55</v>
      </c>
      <c r="L484" s="38" t="s">
        <v>56</v>
      </c>
      <c r="M484" s="38" t="s">
        <v>42</v>
      </c>
      <c r="N484" s="38" t="s">
        <v>1068</v>
      </c>
      <c r="O484" s="48">
        <v>350.76</v>
      </c>
      <c r="P484" s="49" t="str">
        <f t="shared" si="52"/>
        <v>High</v>
      </c>
      <c r="Q484" s="48">
        <v>492.18</v>
      </c>
      <c r="R484" s="48">
        <v>5.2999999999999999E-2</v>
      </c>
      <c r="S484" s="48">
        <v>11</v>
      </c>
      <c r="T484" s="48">
        <f t="shared" si="49"/>
        <v>19379.89097</v>
      </c>
      <c r="U484" s="38">
        <f t="shared" si="50"/>
        <v>3858.3599999999997</v>
      </c>
      <c r="V484" s="48">
        <f t="shared" si="53"/>
        <v>15521.53097</v>
      </c>
      <c r="W484" s="50">
        <f t="shared" si="54"/>
        <v>0.80090909665215726</v>
      </c>
    </row>
    <row r="485" spans="1:23" x14ac:dyDescent="0.3">
      <c r="A485" s="39" t="s">
        <v>1069</v>
      </c>
      <c r="B485" s="40">
        <v>45148</v>
      </c>
      <c r="C485" s="41">
        <v>45153</v>
      </c>
      <c r="D485" s="42">
        <f t="shared" si="55"/>
        <v>5</v>
      </c>
      <c r="E485" s="42" t="str">
        <f>TEXT(Data!B485,"MMM-YYYY")</f>
        <v>Aug-2023</v>
      </c>
      <c r="F485" s="42" t="str">
        <f t="shared" si="51"/>
        <v>Q3-2023</v>
      </c>
      <c r="G485" s="37" t="s">
        <v>52</v>
      </c>
      <c r="H485" s="37" t="s">
        <v>73</v>
      </c>
      <c r="I485" s="37" t="s">
        <v>74</v>
      </c>
      <c r="J485" s="37" t="s">
        <v>27</v>
      </c>
      <c r="K485" s="37" t="s">
        <v>98</v>
      </c>
      <c r="L485" s="37" t="s">
        <v>41</v>
      </c>
      <c r="M485" s="37" t="s">
        <v>35</v>
      </c>
      <c r="N485" s="37" t="s">
        <v>1070</v>
      </c>
      <c r="O485" s="42">
        <v>1307.52</v>
      </c>
      <c r="P485" s="43" t="str">
        <f t="shared" si="52"/>
        <v>High</v>
      </c>
      <c r="Q485" s="42">
        <v>1921.65</v>
      </c>
      <c r="R485" s="42">
        <v>0.123</v>
      </c>
      <c r="S485" s="42">
        <v>13</v>
      </c>
      <c r="T485" s="42">
        <f t="shared" si="49"/>
        <v>9504.8996900000002</v>
      </c>
      <c r="U485" s="37">
        <f t="shared" si="50"/>
        <v>16997.759999999998</v>
      </c>
      <c r="V485" s="42">
        <f t="shared" si="53"/>
        <v>-7492.8603099999982</v>
      </c>
      <c r="W485" s="44">
        <f t="shared" si="54"/>
        <v>-0.78831555875157244</v>
      </c>
    </row>
    <row r="486" spans="1:23" x14ac:dyDescent="0.3">
      <c r="A486" s="45" t="s">
        <v>1071</v>
      </c>
      <c r="B486" s="46">
        <v>45634</v>
      </c>
      <c r="C486" s="47">
        <v>45634</v>
      </c>
      <c r="D486" s="48">
        <f t="shared" si="55"/>
        <v>0</v>
      </c>
      <c r="E486" s="48" t="str">
        <f>TEXT(Data!B486,"MMM-YYYY")</f>
        <v>Dec-2024</v>
      </c>
      <c r="F486" s="48" t="str">
        <f t="shared" si="51"/>
        <v>Q4-2024</v>
      </c>
      <c r="G486" s="38" t="s">
        <v>78</v>
      </c>
      <c r="H486" s="38" t="s">
        <v>90</v>
      </c>
      <c r="I486" s="38" t="s">
        <v>138</v>
      </c>
      <c r="J486" s="38" t="s">
        <v>105</v>
      </c>
      <c r="K486" s="38" t="s">
        <v>20</v>
      </c>
      <c r="L486" s="38" t="s">
        <v>92</v>
      </c>
      <c r="M486" s="38" t="s">
        <v>22</v>
      </c>
      <c r="N486" s="38" t="s">
        <v>1072</v>
      </c>
      <c r="O486" s="48">
        <v>257.44</v>
      </c>
      <c r="P486" s="49" t="str">
        <f t="shared" si="52"/>
        <v>High</v>
      </c>
      <c r="Q486" s="48">
        <v>290.33</v>
      </c>
      <c r="R486" s="48">
        <v>9.1999999999999998E-2</v>
      </c>
      <c r="S486" s="48">
        <v>23</v>
      </c>
      <c r="T486" s="48">
        <f t="shared" si="49"/>
        <v>6964.3963200000007</v>
      </c>
      <c r="U486" s="38">
        <f t="shared" si="50"/>
        <v>5921.12</v>
      </c>
      <c r="V486" s="48">
        <f t="shared" si="53"/>
        <v>1043.2763200000009</v>
      </c>
      <c r="W486" s="50">
        <f t="shared" si="54"/>
        <v>0.14980140015926044</v>
      </c>
    </row>
    <row r="487" spans="1:23" x14ac:dyDescent="0.3">
      <c r="A487" s="39" t="s">
        <v>1073</v>
      </c>
      <c r="B487" s="40">
        <v>45224</v>
      </c>
      <c r="C487" s="41">
        <v>45254</v>
      </c>
      <c r="D487" s="42">
        <f t="shared" si="55"/>
        <v>30</v>
      </c>
      <c r="E487" s="42" t="str">
        <f>TEXT(Data!B487,"MMM-YYYY")</f>
        <v>Oct-2023</v>
      </c>
      <c r="F487" s="42" t="str">
        <f t="shared" si="51"/>
        <v>Q4-2023</v>
      </c>
      <c r="G487" s="37" t="s">
        <v>78</v>
      </c>
      <c r="H487" s="37" t="s">
        <v>90</v>
      </c>
      <c r="I487" s="37" t="s">
        <v>217</v>
      </c>
      <c r="J487" s="37" t="s">
        <v>105</v>
      </c>
      <c r="K487" s="37" t="s">
        <v>55</v>
      </c>
      <c r="L487" s="37" t="s">
        <v>21</v>
      </c>
      <c r="M487" s="37" t="s">
        <v>42</v>
      </c>
      <c r="N487" s="37" t="s">
        <v>1074</v>
      </c>
      <c r="O487" s="42">
        <v>287.85000000000002</v>
      </c>
      <c r="P487" s="43" t="str">
        <f t="shared" si="52"/>
        <v>High</v>
      </c>
      <c r="Q487" s="42">
        <v>602.91999999999996</v>
      </c>
      <c r="R487" s="42">
        <v>0.222</v>
      </c>
      <c r="S487" s="42">
        <v>11</v>
      </c>
      <c r="T487" s="42">
        <f t="shared" si="49"/>
        <v>15273.462600000001</v>
      </c>
      <c r="U487" s="37">
        <f t="shared" si="50"/>
        <v>3166.3500000000004</v>
      </c>
      <c r="V487" s="42">
        <f t="shared" si="53"/>
        <v>12107.1126</v>
      </c>
      <c r="W487" s="44">
        <f t="shared" si="54"/>
        <v>0.79268944554851628</v>
      </c>
    </row>
    <row r="488" spans="1:23" x14ac:dyDescent="0.3">
      <c r="A488" s="45" t="s">
        <v>1075</v>
      </c>
      <c r="B488" s="46">
        <v>45613</v>
      </c>
      <c r="C488" s="47">
        <v>45624</v>
      </c>
      <c r="D488" s="48">
        <f t="shared" si="55"/>
        <v>11</v>
      </c>
      <c r="E488" s="48" t="str">
        <f>TEXT(Data!B488,"MMM-YYYY")</f>
        <v>Nov-2024</v>
      </c>
      <c r="F488" s="48" t="str">
        <f t="shared" si="51"/>
        <v>Q4-2024</v>
      </c>
      <c r="G488" s="38" t="s">
        <v>52</v>
      </c>
      <c r="H488" s="38" t="s">
        <v>53</v>
      </c>
      <c r="I488" s="38" t="s">
        <v>1364</v>
      </c>
      <c r="J488" s="38" t="s">
        <v>48</v>
      </c>
      <c r="K488" s="38" t="s">
        <v>55</v>
      </c>
      <c r="L488" s="38" t="s">
        <v>75</v>
      </c>
      <c r="M488" s="38" t="s">
        <v>30</v>
      </c>
      <c r="N488" s="38" t="s">
        <v>1076</v>
      </c>
      <c r="O488" s="48">
        <v>1008.16</v>
      </c>
      <c r="P488" s="49" t="str">
        <f t="shared" si="52"/>
        <v>High</v>
      </c>
      <c r="Q488" s="48">
        <v>2077.5</v>
      </c>
      <c r="R488" s="48">
        <v>7.3999999999999996E-2</v>
      </c>
      <c r="S488" s="48">
        <v>15</v>
      </c>
      <c r="T488" s="48">
        <f t="shared" si="49"/>
        <v>14894.108099999999</v>
      </c>
      <c r="U488" s="38">
        <f t="shared" si="50"/>
        <v>15122.4</v>
      </c>
      <c r="V488" s="48">
        <f t="shared" si="53"/>
        <v>-228.29190000000017</v>
      </c>
      <c r="W488" s="50">
        <f t="shared" si="54"/>
        <v>-1.5327665038230801E-2</v>
      </c>
    </row>
    <row r="489" spans="1:23" x14ac:dyDescent="0.3">
      <c r="A489" s="39" t="s">
        <v>1077</v>
      </c>
      <c r="B489" s="40">
        <v>45424</v>
      </c>
      <c r="C489" s="41">
        <v>45436</v>
      </c>
      <c r="D489" s="42">
        <f t="shared" si="55"/>
        <v>12</v>
      </c>
      <c r="E489" s="42" t="str">
        <f>TEXT(Data!B489,"MMM-YYYY")</f>
        <v>May-2024</v>
      </c>
      <c r="F489" s="42" t="str">
        <f t="shared" si="51"/>
        <v>Q2-2024</v>
      </c>
      <c r="G489" s="37" t="s">
        <v>78</v>
      </c>
      <c r="H489" s="37" t="s">
        <v>108</v>
      </c>
      <c r="I489" s="37" t="s">
        <v>228</v>
      </c>
      <c r="J489" s="37" t="s">
        <v>27</v>
      </c>
      <c r="K489" s="37" t="s">
        <v>40</v>
      </c>
      <c r="L489" s="37" t="s">
        <v>95</v>
      </c>
      <c r="M489" s="37" t="s">
        <v>30</v>
      </c>
      <c r="N489" s="37" t="s">
        <v>1078</v>
      </c>
      <c r="O489" s="42">
        <v>111.02</v>
      </c>
      <c r="P489" s="43" t="str">
        <f t="shared" si="52"/>
        <v>Medium</v>
      </c>
      <c r="Q489" s="42">
        <v>172.88</v>
      </c>
      <c r="R489" s="42">
        <v>0.19700000000000001</v>
      </c>
      <c r="S489" s="42">
        <v>29</v>
      </c>
      <c r="T489" s="42">
        <f t="shared" si="49"/>
        <v>70514.200349999999</v>
      </c>
      <c r="U489" s="37">
        <f t="shared" si="50"/>
        <v>3219.58</v>
      </c>
      <c r="V489" s="42">
        <f t="shared" si="53"/>
        <v>67294.620349999997</v>
      </c>
      <c r="W489" s="44">
        <f t="shared" si="54"/>
        <v>0.95434139529315387</v>
      </c>
    </row>
    <row r="490" spans="1:23" x14ac:dyDescent="0.3">
      <c r="A490" s="45" t="s">
        <v>1079</v>
      </c>
      <c r="B490" s="46">
        <v>45792</v>
      </c>
      <c r="C490" s="47">
        <v>45813</v>
      </c>
      <c r="D490" s="48">
        <f t="shared" si="55"/>
        <v>21</v>
      </c>
      <c r="E490" s="48" t="str">
        <f>TEXT(Data!B490,"MMM-YYYY")</f>
        <v>May-2025</v>
      </c>
      <c r="F490" s="48" t="str">
        <f t="shared" si="51"/>
        <v>Q2-2025</v>
      </c>
      <c r="G490" s="38" t="s">
        <v>45</v>
      </c>
      <c r="H490" s="38" t="s">
        <v>46</v>
      </c>
      <c r="I490" s="38" t="s">
        <v>47</v>
      </c>
      <c r="J490" s="38" t="s">
        <v>105</v>
      </c>
      <c r="K490" s="38" t="s">
        <v>98</v>
      </c>
      <c r="L490" s="38" t="s">
        <v>92</v>
      </c>
      <c r="M490" s="38" t="s">
        <v>42</v>
      </c>
      <c r="N490" s="38" t="s">
        <v>1080</v>
      </c>
      <c r="O490" s="48">
        <v>1466.5</v>
      </c>
      <c r="P490" s="49" t="str">
        <f t="shared" si="52"/>
        <v>High</v>
      </c>
      <c r="Q490" s="48">
        <v>2778.74</v>
      </c>
      <c r="R490" s="48">
        <v>0.13500000000000001</v>
      </c>
      <c r="S490" s="48">
        <v>4</v>
      </c>
      <c r="T490" s="48">
        <f t="shared" si="49"/>
        <v>3415.8503999999998</v>
      </c>
      <c r="U490" s="38">
        <f t="shared" si="50"/>
        <v>5866</v>
      </c>
      <c r="V490" s="48">
        <f t="shared" si="53"/>
        <v>-2450.1496000000002</v>
      </c>
      <c r="W490" s="50">
        <f t="shared" si="54"/>
        <v>-0.71728832152602473</v>
      </c>
    </row>
    <row r="491" spans="1:23" x14ac:dyDescent="0.3">
      <c r="A491" s="39" t="s">
        <v>1081</v>
      </c>
      <c r="B491" s="40">
        <v>45403</v>
      </c>
      <c r="C491" s="41">
        <v>45431</v>
      </c>
      <c r="D491" s="42">
        <f t="shared" si="55"/>
        <v>28</v>
      </c>
      <c r="E491" s="42" t="str">
        <f>TEXT(Data!B491,"MMM-YYYY")</f>
        <v>Apr-2024</v>
      </c>
      <c r="F491" s="42" t="str">
        <f t="shared" si="51"/>
        <v>Q2-2024</v>
      </c>
      <c r="G491" s="37" t="s">
        <v>16</v>
      </c>
      <c r="H491" s="37" t="s">
        <v>25</v>
      </c>
      <c r="I491" s="37" t="s">
        <v>38</v>
      </c>
      <c r="J491" s="37" t="s">
        <v>19</v>
      </c>
      <c r="K491" s="37" t="s">
        <v>55</v>
      </c>
      <c r="L491" s="37" t="s">
        <v>75</v>
      </c>
      <c r="M491" s="37" t="s">
        <v>81</v>
      </c>
      <c r="N491" s="37" t="s">
        <v>1082</v>
      </c>
      <c r="O491" s="42">
        <v>187.22</v>
      </c>
      <c r="P491" s="43" t="str">
        <f t="shared" si="52"/>
        <v>High</v>
      </c>
      <c r="Q491" s="42">
        <v>309.47000000000003</v>
      </c>
      <c r="R491" s="42">
        <v>0</v>
      </c>
      <c r="S491" s="42">
        <v>5</v>
      </c>
      <c r="T491" s="42">
        <f t="shared" si="49"/>
        <v>4877.1499999999996</v>
      </c>
      <c r="U491" s="37">
        <f t="shared" si="50"/>
        <v>936.1</v>
      </c>
      <c r="V491" s="42">
        <f t="shared" si="53"/>
        <v>3941.0499999999997</v>
      </c>
      <c r="W491" s="44">
        <f t="shared" si="54"/>
        <v>0.8080641358170243</v>
      </c>
    </row>
    <row r="492" spans="1:23" x14ac:dyDescent="0.3">
      <c r="A492" s="45" t="s">
        <v>1083</v>
      </c>
      <c r="B492" s="46">
        <v>45523</v>
      </c>
      <c r="C492" s="47">
        <v>45542</v>
      </c>
      <c r="D492" s="48">
        <f t="shared" si="55"/>
        <v>19</v>
      </c>
      <c r="E492" s="48" t="str">
        <f>TEXT(Data!B492,"MMM-YYYY")</f>
        <v>Aug-2024</v>
      </c>
      <c r="F492" s="48" t="str">
        <f t="shared" si="51"/>
        <v>Q3-2024</v>
      </c>
      <c r="G492" s="38" t="s">
        <v>78</v>
      </c>
      <c r="H492" s="38" t="s">
        <v>90</v>
      </c>
      <c r="I492" s="38" t="s">
        <v>138</v>
      </c>
      <c r="J492" s="38" t="s">
        <v>19</v>
      </c>
      <c r="K492" s="38" t="s">
        <v>98</v>
      </c>
      <c r="L492" s="38" t="s">
        <v>29</v>
      </c>
      <c r="M492" s="38" t="s">
        <v>22</v>
      </c>
      <c r="N492" s="38" t="s">
        <v>1084</v>
      </c>
      <c r="O492" s="48">
        <v>297.58999999999997</v>
      </c>
      <c r="P492" s="49" t="str">
        <f t="shared" si="52"/>
        <v>High</v>
      </c>
      <c r="Q492" s="48">
        <v>666.41</v>
      </c>
      <c r="R492" s="48">
        <v>0</v>
      </c>
      <c r="S492" s="48">
        <v>10</v>
      </c>
      <c r="T492" s="48">
        <f t="shared" si="49"/>
        <v>1414.3000000000002</v>
      </c>
      <c r="U492" s="38">
        <f t="shared" si="50"/>
        <v>2975.8999999999996</v>
      </c>
      <c r="V492" s="48">
        <f t="shared" si="53"/>
        <v>-1561.5999999999995</v>
      </c>
      <c r="W492" s="50">
        <f t="shared" si="54"/>
        <v>-1.1041504631266346</v>
      </c>
    </row>
    <row r="493" spans="1:23" x14ac:dyDescent="0.3">
      <c r="A493" s="39" t="s">
        <v>1085</v>
      </c>
      <c r="B493" s="40">
        <v>45861</v>
      </c>
      <c r="C493" s="41">
        <v>45888</v>
      </c>
      <c r="D493" s="42">
        <f t="shared" si="55"/>
        <v>27</v>
      </c>
      <c r="E493" s="42" t="str">
        <f>TEXT(Data!B493,"MMM-YYYY")</f>
        <v>Jul-2025</v>
      </c>
      <c r="F493" s="42" t="str">
        <f t="shared" si="51"/>
        <v>Q3-2025</v>
      </c>
      <c r="G493" s="37" t="s">
        <v>45</v>
      </c>
      <c r="H493" s="37" t="s">
        <v>46</v>
      </c>
      <c r="I493" s="37" t="s">
        <v>231</v>
      </c>
      <c r="J493" s="37" t="s">
        <v>48</v>
      </c>
      <c r="K493" s="37" t="s">
        <v>40</v>
      </c>
      <c r="L493" s="37" t="s">
        <v>56</v>
      </c>
      <c r="M493" s="37" t="s">
        <v>81</v>
      </c>
      <c r="N493" s="37" t="s">
        <v>1086</v>
      </c>
      <c r="O493" s="42">
        <v>896.09</v>
      </c>
      <c r="P493" s="43" t="str">
        <f t="shared" si="52"/>
        <v>High</v>
      </c>
      <c r="Q493" s="42">
        <v>744.27</v>
      </c>
      <c r="R493" s="42">
        <v>8.3000000000000004E-2</v>
      </c>
      <c r="S493" s="42">
        <v>11</v>
      </c>
      <c r="T493" s="42">
        <f t="shared" si="49"/>
        <v>16395.611540000002</v>
      </c>
      <c r="U493" s="37">
        <f t="shared" si="50"/>
        <v>9856.99</v>
      </c>
      <c r="V493" s="42">
        <f t="shared" si="53"/>
        <v>6538.6215400000019</v>
      </c>
      <c r="W493" s="44">
        <f t="shared" si="54"/>
        <v>0.3988031507118765</v>
      </c>
    </row>
    <row r="494" spans="1:23" x14ac:dyDescent="0.3">
      <c r="A494" s="45" t="s">
        <v>1087</v>
      </c>
      <c r="B494" s="46">
        <v>45352</v>
      </c>
      <c r="C494" s="47">
        <v>45351</v>
      </c>
      <c r="D494" s="48">
        <f>DATEDIF(C494,B494, "MD")</f>
        <v>1</v>
      </c>
      <c r="E494" s="48" t="str">
        <f>TEXT(Data!B494,"MMM-YYYY")</f>
        <v>Mar-2024</v>
      </c>
      <c r="F494" s="48" t="str">
        <f t="shared" si="51"/>
        <v>Q1-2024</v>
      </c>
      <c r="G494" s="38" t="s">
        <v>52</v>
      </c>
      <c r="H494" s="38" t="s">
        <v>73</v>
      </c>
      <c r="I494" s="38" t="s">
        <v>74</v>
      </c>
      <c r="J494" s="38" t="s">
        <v>39</v>
      </c>
      <c r="K494" s="38" t="s">
        <v>98</v>
      </c>
      <c r="L494" s="38" t="s">
        <v>34</v>
      </c>
      <c r="M494" s="38" t="s">
        <v>42</v>
      </c>
      <c r="N494" s="38" t="s">
        <v>1088</v>
      </c>
      <c r="O494" s="48">
        <v>5.34</v>
      </c>
      <c r="P494" s="49" t="str">
        <f t="shared" si="52"/>
        <v>Low</v>
      </c>
      <c r="Q494" s="48">
        <v>12.69</v>
      </c>
      <c r="R494" s="48">
        <v>0.13200000000000001</v>
      </c>
      <c r="S494" s="48">
        <v>10</v>
      </c>
      <c r="T494" s="48">
        <f t="shared" si="49"/>
        <v>2603.4792000000002</v>
      </c>
      <c r="U494" s="38">
        <f t="shared" si="50"/>
        <v>53.4</v>
      </c>
      <c r="V494" s="48">
        <f t="shared" si="53"/>
        <v>2550.0792000000001</v>
      </c>
      <c r="W494" s="50">
        <f t="shared" si="54"/>
        <v>0.97948898535467455</v>
      </c>
    </row>
    <row r="495" spans="1:23" x14ac:dyDescent="0.3">
      <c r="A495" s="39" t="s">
        <v>1089</v>
      </c>
      <c r="B495" s="40">
        <v>45439</v>
      </c>
      <c r="C495" s="41">
        <v>45460</v>
      </c>
      <c r="D495" s="42">
        <f t="shared" si="55"/>
        <v>21</v>
      </c>
      <c r="E495" s="42" t="str">
        <f>TEXT(Data!B495,"MMM-YYYY")</f>
        <v>May-2024</v>
      </c>
      <c r="F495" s="42" t="str">
        <f t="shared" si="51"/>
        <v>Q2-2024</v>
      </c>
      <c r="G495" s="37" t="s">
        <v>45</v>
      </c>
      <c r="H495" s="37" t="s">
        <v>60</v>
      </c>
      <c r="I495" s="37" t="s">
        <v>141</v>
      </c>
      <c r="J495" s="37" t="s">
        <v>62</v>
      </c>
      <c r="K495" s="37" t="s">
        <v>28</v>
      </c>
      <c r="L495" s="37" t="s">
        <v>92</v>
      </c>
      <c r="M495" s="37" t="s">
        <v>81</v>
      </c>
      <c r="N495" s="37" t="s">
        <v>1090</v>
      </c>
      <c r="O495" s="42">
        <v>465.02</v>
      </c>
      <c r="P495" s="43" t="str">
        <f t="shared" si="52"/>
        <v>High</v>
      </c>
      <c r="Q495" s="42">
        <v>651.55999999999995</v>
      </c>
      <c r="R495" s="42">
        <v>4.2000000000000003E-2</v>
      </c>
      <c r="S495" s="42">
        <v>19</v>
      </c>
      <c r="T495" s="42">
        <f t="shared" si="49"/>
        <v>27375.07992</v>
      </c>
      <c r="U495" s="37">
        <f t="shared" si="50"/>
        <v>8835.3799999999992</v>
      </c>
      <c r="V495" s="42">
        <f t="shared" si="53"/>
        <v>18539.699919999999</v>
      </c>
      <c r="W495" s="44">
        <f t="shared" si="54"/>
        <v>0.67724733495499501</v>
      </c>
    </row>
    <row r="496" spans="1:23" x14ac:dyDescent="0.3">
      <c r="A496" s="45" t="s">
        <v>1091</v>
      </c>
      <c r="B496" s="46">
        <v>45508</v>
      </c>
      <c r="C496" s="47">
        <v>45521</v>
      </c>
      <c r="D496" s="48">
        <f t="shared" si="55"/>
        <v>13</v>
      </c>
      <c r="E496" s="48" t="str">
        <f>TEXT(Data!B496,"MMM-YYYY")</f>
        <v>Aug-2024</v>
      </c>
      <c r="F496" s="48" t="str">
        <f t="shared" si="51"/>
        <v>Q3-2024</v>
      </c>
      <c r="G496" s="38" t="s">
        <v>52</v>
      </c>
      <c r="H496" s="38" t="s">
        <v>122</v>
      </c>
      <c r="I496" s="38" t="s">
        <v>326</v>
      </c>
      <c r="J496" s="38" t="s">
        <v>48</v>
      </c>
      <c r="K496" s="38" t="s">
        <v>20</v>
      </c>
      <c r="L496" s="38" t="s">
        <v>145</v>
      </c>
      <c r="M496" s="38" t="s">
        <v>64</v>
      </c>
      <c r="N496" s="38" t="s">
        <v>1092</v>
      </c>
      <c r="O496" s="48">
        <v>352.79</v>
      </c>
      <c r="P496" s="49" t="str">
        <f t="shared" si="52"/>
        <v>High</v>
      </c>
      <c r="Q496" s="48">
        <v>754.22</v>
      </c>
      <c r="R496" s="48">
        <v>0.113</v>
      </c>
      <c r="S496" s="48">
        <v>7</v>
      </c>
      <c r="T496" s="48">
        <f t="shared" si="49"/>
        <v>19254.791990000002</v>
      </c>
      <c r="U496" s="38">
        <f t="shared" si="50"/>
        <v>2469.5300000000002</v>
      </c>
      <c r="V496" s="48">
        <f t="shared" si="53"/>
        <v>16785.261990000003</v>
      </c>
      <c r="W496" s="50">
        <f t="shared" si="54"/>
        <v>0.87174465445887173</v>
      </c>
    </row>
    <row r="497" spans="1:23" x14ac:dyDescent="0.3">
      <c r="A497" s="39" t="s">
        <v>1093</v>
      </c>
      <c r="B497" s="40">
        <v>45097</v>
      </c>
      <c r="C497" s="41">
        <v>45111</v>
      </c>
      <c r="D497" s="42">
        <f t="shared" si="55"/>
        <v>14</v>
      </c>
      <c r="E497" s="42" t="str">
        <f>TEXT(Data!B497,"MMM-YYYY")</f>
        <v>Jun-2023</v>
      </c>
      <c r="F497" s="42" t="str">
        <f t="shared" si="51"/>
        <v>Q2-2023</v>
      </c>
      <c r="G497" s="37" t="s">
        <v>52</v>
      </c>
      <c r="H497" s="37" t="s">
        <v>73</v>
      </c>
      <c r="I497" s="37" t="s">
        <v>87</v>
      </c>
      <c r="J497" s="37" t="s">
        <v>39</v>
      </c>
      <c r="K497" s="37" t="s">
        <v>98</v>
      </c>
      <c r="L497" s="37" t="s">
        <v>21</v>
      </c>
      <c r="M497" s="37" t="s">
        <v>35</v>
      </c>
      <c r="N497" s="37" t="s">
        <v>1094</v>
      </c>
      <c r="O497" s="42">
        <v>1292.8599999999999</v>
      </c>
      <c r="P497" s="43" t="str">
        <f t="shared" si="52"/>
        <v>High</v>
      </c>
      <c r="Q497" s="42">
        <v>2981.01</v>
      </c>
      <c r="R497" s="42">
        <v>0.14199999999999999</v>
      </c>
      <c r="S497" s="42">
        <v>12</v>
      </c>
      <c r="T497" s="42">
        <f t="shared" si="49"/>
        <v>10084.108319999999</v>
      </c>
      <c r="U497" s="37">
        <f t="shared" si="50"/>
        <v>15514.32</v>
      </c>
      <c r="V497" s="42">
        <f t="shared" si="53"/>
        <v>-5430.2116800000003</v>
      </c>
      <c r="W497" s="44">
        <f t="shared" si="54"/>
        <v>-0.5384920022358507</v>
      </c>
    </row>
    <row r="498" spans="1:23" x14ac:dyDescent="0.3">
      <c r="A498" s="45" t="s">
        <v>1095</v>
      </c>
      <c r="B498" s="46">
        <v>45544</v>
      </c>
      <c r="C498" s="47">
        <v>45548</v>
      </c>
      <c r="D498" s="48">
        <f t="shared" si="55"/>
        <v>4</v>
      </c>
      <c r="E498" s="48" t="str">
        <f>TEXT(Data!B498,"MMM-YYYY")</f>
        <v>Sept-2024</v>
      </c>
      <c r="F498" s="48" t="str">
        <f t="shared" si="51"/>
        <v>Q3-2024</v>
      </c>
      <c r="G498" s="38" t="s">
        <v>78</v>
      </c>
      <c r="H498" s="38" t="s">
        <v>108</v>
      </c>
      <c r="I498" s="38" t="s">
        <v>152</v>
      </c>
      <c r="J498" s="38" t="s">
        <v>48</v>
      </c>
      <c r="K498" s="38" t="s">
        <v>40</v>
      </c>
      <c r="L498" s="38" t="s">
        <v>84</v>
      </c>
      <c r="M498" s="38" t="s">
        <v>35</v>
      </c>
      <c r="N498" s="38" t="s">
        <v>1096</v>
      </c>
      <c r="O498" s="48">
        <v>1133.08</v>
      </c>
      <c r="P498" s="49" t="str">
        <f t="shared" si="52"/>
        <v>High</v>
      </c>
      <c r="Q498" s="48">
        <v>976.17</v>
      </c>
      <c r="R498" s="48">
        <v>4.2000000000000003E-2</v>
      </c>
      <c r="S498" s="48">
        <v>27</v>
      </c>
      <c r="T498" s="48">
        <f t="shared" si="49"/>
        <v>30683.801159999999</v>
      </c>
      <c r="U498" s="38">
        <f t="shared" si="50"/>
        <v>30593.159999999996</v>
      </c>
      <c r="V498" s="48">
        <f t="shared" si="53"/>
        <v>90.641160000002856</v>
      </c>
      <c r="W498" s="50">
        <f t="shared" si="54"/>
        <v>2.9540394792469337E-3</v>
      </c>
    </row>
    <row r="499" spans="1:23" x14ac:dyDescent="0.3">
      <c r="A499" s="39" t="s">
        <v>1097</v>
      </c>
      <c r="B499" s="40">
        <v>45224</v>
      </c>
      <c r="C499" s="41">
        <v>45227</v>
      </c>
      <c r="D499" s="42">
        <f t="shared" si="55"/>
        <v>3</v>
      </c>
      <c r="E499" s="42" t="str">
        <f>TEXT(Data!B499,"MMM-YYYY")</f>
        <v>Oct-2023</v>
      </c>
      <c r="F499" s="42" t="str">
        <f t="shared" si="51"/>
        <v>Q4-2023</v>
      </c>
      <c r="G499" s="37" t="s">
        <v>52</v>
      </c>
      <c r="H499" s="37" t="s">
        <v>73</v>
      </c>
      <c r="I499" s="37" t="s">
        <v>87</v>
      </c>
      <c r="J499" s="37" t="s">
        <v>19</v>
      </c>
      <c r="K499" s="37" t="s">
        <v>55</v>
      </c>
      <c r="L499" s="37" t="s">
        <v>49</v>
      </c>
      <c r="M499" s="37" t="s">
        <v>81</v>
      </c>
      <c r="N499" s="37" t="s">
        <v>1098</v>
      </c>
      <c r="O499" s="42">
        <v>509.31</v>
      </c>
      <c r="P499" s="43" t="str">
        <f t="shared" si="52"/>
        <v>High</v>
      </c>
      <c r="Q499" s="42">
        <v>1145.9000000000001</v>
      </c>
      <c r="R499" s="42">
        <v>5.7000000000000002E-2</v>
      </c>
      <c r="S499" s="42">
        <v>8</v>
      </c>
      <c r="T499" s="42">
        <f t="shared" si="49"/>
        <v>14622.761519999998</v>
      </c>
      <c r="U499" s="37">
        <f t="shared" si="50"/>
        <v>4074.48</v>
      </c>
      <c r="V499" s="42">
        <f t="shared" si="53"/>
        <v>10548.281519999999</v>
      </c>
      <c r="W499" s="44">
        <f t="shared" si="54"/>
        <v>0.7213604287789821</v>
      </c>
    </row>
    <row r="500" spans="1:23" x14ac:dyDescent="0.3">
      <c r="A500" s="45" t="s">
        <v>1099</v>
      </c>
      <c r="B500" s="46">
        <v>45908</v>
      </c>
      <c r="C500" s="47">
        <v>45935</v>
      </c>
      <c r="D500" s="48">
        <f t="shared" si="55"/>
        <v>27</v>
      </c>
      <c r="E500" s="48" t="str">
        <f>TEXT(Data!B500,"MMM-YYYY")</f>
        <v>Sept-2025</v>
      </c>
      <c r="F500" s="48" t="str">
        <f t="shared" si="51"/>
        <v>Q3-2025</v>
      </c>
      <c r="G500" s="38" t="s">
        <v>52</v>
      </c>
      <c r="H500" s="38" t="s">
        <v>73</v>
      </c>
      <c r="I500" s="38" t="s">
        <v>225</v>
      </c>
      <c r="J500" s="38" t="s">
        <v>27</v>
      </c>
      <c r="K500" s="38" t="s">
        <v>28</v>
      </c>
      <c r="L500" s="38" t="s">
        <v>21</v>
      </c>
      <c r="M500" s="38" t="s">
        <v>64</v>
      </c>
      <c r="N500" s="38" t="s">
        <v>1100</v>
      </c>
      <c r="O500" s="48">
        <v>660.78</v>
      </c>
      <c r="P500" s="49" t="str">
        <f t="shared" si="52"/>
        <v>High</v>
      </c>
      <c r="Q500" s="48">
        <v>1630.39</v>
      </c>
      <c r="R500" s="48">
        <v>0.218</v>
      </c>
      <c r="S500" s="48">
        <v>13</v>
      </c>
      <c r="T500" s="48">
        <f t="shared" si="49"/>
        <v>8401.8940200000015</v>
      </c>
      <c r="U500" s="38">
        <f t="shared" si="50"/>
        <v>8590.14</v>
      </c>
      <c r="V500" s="48">
        <f t="shared" si="53"/>
        <v>-188.24597999999787</v>
      </c>
      <c r="W500" s="50">
        <f t="shared" si="54"/>
        <v>-2.2405183825443903E-2</v>
      </c>
    </row>
    <row r="501" spans="1:23" x14ac:dyDescent="0.3">
      <c r="A501" s="39" t="s">
        <v>1101</v>
      </c>
      <c r="B501" s="40">
        <v>45048</v>
      </c>
      <c r="C501" s="41">
        <v>45062</v>
      </c>
      <c r="D501" s="42">
        <f t="shared" si="55"/>
        <v>14</v>
      </c>
      <c r="E501" s="42" t="str">
        <f>TEXT(Data!B501,"MMM-YYYY")</f>
        <v>May-2023</v>
      </c>
      <c r="F501" s="42" t="str">
        <f t="shared" si="51"/>
        <v>Q2-2023</v>
      </c>
      <c r="G501" s="37" t="s">
        <v>45</v>
      </c>
      <c r="H501" s="37" t="s">
        <v>60</v>
      </c>
      <c r="I501" s="37" t="s">
        <v>61</v>
      </c>
      <c r="J501" s="37" t="s">
        <v>39</v>
      </c>
      <c r="K501" s="37" t="s">
        <v>20</v>
      </c>
      <c r="L501" s="37" t="s">
        <v>49</v>
      </c>
      <c r="M501" s="37" t="s">
        <v>64</v>
      </c>
      <c r="N501" s="37" t="s">
        <v>1102</v>
      </c>
      <c r="O501" s="42">
        <v>475.37</v>
      </c>
      <c r="P501" s="43" t="str">
        <f t="shared" si="52"/>
        <v>High</v>
      </c>
      <c r="Q501" s="42">
        <v>963.73</v>
      </c>
      <c r="R501" s="42">
        <v>4.1000000000000002E-2</v>
      </c>
      <c r="S501" s="42">
        <v>22</v>
      </c>
      <c r="T501" s="42">
        <f t="shared" si="49"/>
        <v>2493.1506600000002</v>
      </c>
      <c r="U501" s="37">
        <f t="shared" si="50"/>
        <v>10458.14</v>
      </c>
      <c r="V501" s="42">
        <f t="shared" si="53"/>
        <v>-7964.9893399999992</v>
      </c>
      <c r="W501" s="44">
        <f t="shared" si="54"/>
        <v>-3.194748503485946</v>
      </c>
    </row>
    <row r="502" spans="1:23" x14ac:dyDescent="0.3">
      <c r="A502" s="45" t="s">
        <v>1103</v>
      </c>
      <c r="B502" s="46">
        <v>45408</v>
      </c>
      <c r="C502" s="47">
        <v>45406</v>
      </c>
      <c r="D502" s="48">
        <f>DATEDIF(C502,B502, "MD")</f>
        <v>2</v>
      </c>
      <c r="E502" s="48" t="str">
        <f>TEXT(Data!B502,"MMM-YYYY")</f>
        <v>Apr-2024</v>
      </c>
      <c r="F502" s="48" t="str">
        <f t="shared" si="51"/>
        <v>Q2-2024</v>
      </c>
      <c r="G502" s="38" t="s">
        <v>78</v>
      </c>
      <c r="H502" s="38" t="s">
        <v>108</v>
      </c>
      <c r="I502" s="38" t="s">
        <v>152</v>
      </c>
      <c r="J502" s="38" t="s">
        <v>39</v>
      </c>
      <c r="K502" s="38" t="s">
        <v>55</v>
      </c>
      <c r="L502" s="38" t="s">
        <v>126</v>
      </c>
      <c r="M502" s="38" t="s">
        <v>42</v>
      </c>
      <c r="N502" s="38" t="s">
        <v>1104</v>
      </c>
      <c r="O502" s="48">
        <v>1232.77</v>
      </c>
      <c r="P502" s="49" t="str">
        <f t="shared" si="52"/>
        <v>High</v>
      </c>
      <c r="Q502" s="48">
        <v>891.73</v>
      </c>
      <c r="R502" s="48">
        <v>0.16700000000000001</v>
      </c>
      <c r="S502" s="48">
        <v>10</v>
      </c>
      <c r="T502" s="48">
        <f t="shared" si="49"/>
        <v>11877.497099999999</v>
      </c>
      <c r="U502" s="38">
        <f t="shared" si="50"/>
        <v>12327.7</v>
      </c>
      <c r="V502" s="48">
        <f t="shared" si="53"/>
        <v>-450.20290000000205</v>
      </c>
      <c r="W502" s="50">
        <f t="shared" si="54"/>
        <v>-3.7903852655960836E-2</v>
      </c>
    </row>
    <row r="503" spans="1:23" x14ac:dyDescent="0.3">
      <c r="A503" s="39" t="s">
        <v>1105</v>
      </c>
      <c r="B503" s="40">
        <v>44980</v>
      </c>
      <c r="C503" s="41">
        <v>45003</v>
      </c>
      <c r="D503" s="42">
        <f t="shared" si="55"/>
        <v>23</v>
      </c>
      <c r="E503" s="42" t="str">
        <f>TEXT(Data!B503,"MMM-YYYY")</f>
        <v>Feb-2023</v>
      </c>
      <c r="F503" s="42" t="str">
        <f t="shared" si="51"/>
        <v>Q1-2023</v>
      </c>
      <c r="G503" s="37" t="s">
        <v>45</v>
      </c>
      <c r="H503" s="37" t="s">
        <v>116</v>
      </c>
      <c r="I503" s="37" t="s">
        <v>338</v>
      </c>
      <c r="J503" s="37" t="s">
        <v>27</v>
      </c>
      <c r="K503" s="37" t="s">
        <v>55</v>
      </c>
      <c r="L503" s="37" t="s">
        <v>95</v>
      </c>
      <c r="M503" s="37" t="s">
        <v>30</v>
      </c>
      <c r="N503" s="37" t="s">
        <v>1106</v>
      </c>
      <c r="O503" s="42">
        <v>770.11</v>
      </c>
      <c r="P503" s="43" t="str">
        <f t="shared" si="52"/>
        <v>High</v>
      </c>
      <c r="Q503" s="42">
        <v>1667.82</v>
      </c>
      <c r="R503" s="42">
        <v>6.9000000000000006E-2</v>
      </c>
      <c r="S503" s="42">
        <v>7</v>
      </c>
      <c r="T503" s="42">
        <f t="shared" si="49"/>
        <v>10393.181259999999</v>
      </c>
      <c r="U503" s="37">
        <f t="shared" si="50"/>
        <v>5390.77</v>
      </c>
      <c r="V503" s="42">
        <f t="shared" si="53"/>
        <v>5002.4112599999989</v>
      </c>
      <c r="W503" s="44">
        <f t="shared" si="54"/>
        <v>0.48131665703288229</v>
      </c>
    </row>
    <row r="504" spans="1:23" x14ac:dyDescent="0.3">
      <c r="A504" s="45" t="s">
        <v>1107</v>
      </c>
      <c r="B504" s="46">
        <v>45740</v>
      </c>
      <c r="C504" s="47">
        <v>45741</v>
      </c>
      <c r="D504" s="48">
        <f t="shared" si="55"/>
        <v>1</v>
      </c>
      <c r="E504" s="48" t="str">
        <f>TEXT(Data!B504,"MMM-YYYY")</f>
        <v>Mar-2025</v>
      </c>
      <c r="F504" s="48" t="str">
        <f t="shared" si="51"/>
        <v>Q1-2025</v>
      </c>
      <c r="G504" s="38" t="s">
        <v>45</v>
      </c>
      <c r="H504" s="38" t="s">
        <v>116</v>
      </c>
      <c r="I504" s="38" t="s">
        <v>338</v>
      </c>
      <c r="J504" s="38" t="s">
        <v>39</v>
      </c>
      <c r="K504" s="38" t="s">
        <v>28</v>
      </c>
      <c r="L504" s="38" t="s">
        <v>41</v>
      </c>
      <c r="M504" s="38" t="s">
        <v>35</v>
      </c>
      <c r="N504" s="38" t="s">
        <v>1108</v>
      </c>
      <c r="O504" s="48">
        <v>1133.03</v>
      </c>
      <c r="P504" s="49" t="str">
        <f t="shared" si="52"/>
        <v>High</v>
      </c>
      <c r="Q504" s="48">
        <v>1921.51</v>
      </c>
      <c r="R504" s="48">
        <v>0.10100000000000001</v>
      </c>
      <c r="S504" s="48">
        <v>5</v>
      </c>
      <c r="T504" s="48">
        <f t="shared" si="49"/>
        <v>15022.784449999999</v>
      </c>
      <c r="U504" s="38">
        <f t="shared" si="50"/>
        <v>5665.15</v>
      </c>
      <c r="V504" s="48">
        <f t="shared" si="53"/>
        <v>9357.6344499999996</v>
      </c>
      <c r="W504" s="50">
        <f t="shared" si="54"/>
        <v>0.62289614026912299</v>
      </c>
    </row>
    <row r="505" spans="1:23" x14ac:dyDescent="0.3">
      <c r="A505" s="39" t="s">
        <v>1109</v>
      </c>
      <c r="B505" s="40">
        <v>45726</v>
      </c>
      <c r="C505" s="41">
        <v>45743</v>
      </c>
      <c r="D505" s="42">
        <f t="shared" si="55"/>
        <v>17</v>
      </c>
      <c r="E505" s="42" t="str">
        <f>TEXT(Data!B505,"MMM-YYYY")</f>
        <v>Mar-2025</v>
      </c>
      <c r="F505" s="42" t="str">
        <f t="shared" si="51"/>
        <v>Q1-2025</v>
      </c>
      <c r="G505" s="37" t="s">
        <v>52</v>
      </c>
      <c r="H505" s="37" t="s">
        <v>73</v>
      </c>
      <c r="I505" s="37" t="s">
        <v>225</v>
      </c>
      <c r="J505" s="37" t="s">
        <v>105</v>
      </c>
      <c r="K505" s="37" t="s">
        <v>98</v>
      </c>
      <c r="L505" s="37" t="s">
        <v>84</v>
      </c>
      <c r="M505" s="37" t="s">
        <v>35</v>
      </c>
      <c r="N505" s="37" t="s">
        <v>1110</v>
      </c>
      <c r="O505" s="42">
        <v>996.73</v>
      </c>
      <c r="P505" s="43" t="str">
        <f t="shared" si="52"/>
        <v>High</v>
      </c>
      <c r="Q505" s="42">
        <v>1217.43</v>
      </c>
      <c r="R505" s="42">
        <v>7.0000000000000007E-2</v>
      </c>
      <c r="S505" s="42">
        <v>9</v>
      </c>
      <c r="T505" s="42">
        <f t="shared" si="49"/>
        <v>8953.9748999999993</v>
      </c>
      <c r="U505" s="37">
        <f t="shared" si="50"/>
        <v>8970.57</v>
      </c>
      <c r="V505" s="42">
        <f t="shared" si="53"/>
        <v>-16.595100000000457</v>
      </c>
      <c r="W505" s="44">
        <f t="shared" si="54"/>
        <v>-1.8533779897015859E-3</v>
      </c>
    </row>
    <row r="506" spans="1:23" x14ac:dyDescent="0.3">
      <c r="A506" s="45" t="s">
        <v>1111</v>
      </c>
      <c r="B506" s="46">
        <v>45387</v>
      </c>
      <c r="C506" s="47">
        <v>45391</v>
      </c>
      <c r="D506" s="48">
        <f t="shared" si="55"/>
        <v>4</v>
      </c>
      <c r="E506" s="48" t="str">
        <f>TEXT(Data!B506,"MMM-YYYY")</f>
        <v>Apr-2024</v>
      </c>
      <c r="F506" s="48" t="str">
        <f t="shared" si="51"/>
        <v>Q2-2024</v>
      </c>
      <c r="G506" s="38" t="s">
        <v>16</v>
      </c>
      <c r="H506" s="38" t="s">
        <v>25</v>
      </c>
      <c r="I506" s="38" t="s">
        <v>38</v>
      </c>
      <c r="J506" s="38" t="s">
        <v>39</v>
      </c>
      <c r="K506" s="38" t="s">
        <v>98</v>
      </c>
      <c r="L506" s="38" t="s">
        <v>95</v>
      </c>
      <c r="M506" s="38" t="s">
        <v>22</v>
      </c>
      <c r="N506" s="38" t="s">
        <v>1112</v>
      </c>
      <c r="O506" s="48">
        <v>395.07</v>
      </c>
      <c r="P506" s="49" t="str">
        <f t="shared" si="52"/>
        <v>High</v>
      </c>
      <c r="Q506" s="48">
        <v>970.27</v>
      </c>
      <c r="R506" s="48">
        <v>0.123</v>
      </c>
      <c r="S506" s="48">
        <v>38</v>
      </c>
      <c r="T506" s="48">
        <f t="shared" si="49"/>
        <v>4692.9673199999997</v>
      </c>
      <c r="U506" s="38">
        <f t="shared" si="50"/>
        <v>15012.66</v>
      </c>
      <c r="V506" s="48">
        <f t="shared" si="53"/>
        <v>-10319.69268</v>
      </c>
      <c r="W506" s="50">
        <f t="shared" si="54"/>
        <v>-2.1989696446469185</v>
      </c>
    </row>
    <row r="507" spans="1:23" x14ac:dyDescent="0.3">
      <c r="A507" s="39" t="s">
        <v>1113</v>
      </c>
      <c r="B507" s="40">
        <v>45774</v>
      </c>
      <c r="C507" s="41">
        <v>45794</v>
      </c>
      <c r="D507" s="42">
        <f t="shared" si="55"/>
        <v>20</v>
      </c>
      <c r="E507" s="42" t="str">
        <f>TEXT(Data!B507,"MMM-YYYY")</f>
        <v>Apr-2025</v>
      </c>
      <c r="F507" s="42" t="str">
        <f t="shared" si="51"/>
        <v>Q2-2025</v>
      </c>
      <c r="G507" s="37" t="s">
        <v>52</v>
      </c>
      <c r="H507" s="37" t="s">
        <v>122</v>
      </c>
      <c r="I507" s="37" t="s">
        <v>326</v>
      </c>
      <c r="J507" s="37" t="s">
        <v>19</v>
      </c>
      <c r="K507" s="37" t="s">
        <v>98</v>
      </c>
      <c r="L507" s="37" t="s">
        <v>126</v>
      </c>
      <c r="M507" s="37" t="s">
        <v>42</v>
      </c>
      <c r="N507" s="37" t="s">
        <v>1114</v>
      </c>
      <c r="O507" s="42">
        <v>932.26</v>
      </c>
      <c r="P507" s="43" t="str">
        <f t="shared" si="52"/>
        <v>High</v>
      </c>
      <c r="Q507" s="42">
        <v>1624.67</v>
      </c>
      <c r="R507" s="42">
        <v>0.23499999999999999</v>
      </c>
      <c r="S507" s="42">
        <v>28</v>
      </c>
      <c r="T507" s="42">
        <f t="shared" si="49"/>
        <v>1435.9968000000001</v>
      </c>
      <c r="U507" s="37">
        <f t="shared" si="50"/>
        <v>26103.279999999999</v>
      </c>
      <c r="V507" s="42">
        <f t="shared" si="53"/>
        <v>-24667.283199999998</v>
      </c>
      <c r="W507" s="44">
        <f t="shared" si="54"/>
        <v>-17.177812095402995</v>
      </c>
    </row>
    <row r="508" spans="1:23" x14ac:dyDescent="0.3">
      <c r="A508" s="45" t="s">
        <v>1115</v>
      </c>
      <c r="B508" s="46">
        <v>45589</v>
      </c>
      <c r="C508" s="47">
        <v>45593</v>
      </c>
      <c r="D508" s="48">
        <f t="shared" si="55"/>
        <v>4</v>
      </c>
      <c r="E508" s="48" t="str">
        <f>TEXT(Data!B508,"MMM-YYYY")</f>
        <v>Oct-2024</v>
      </c>
      <c r="F508" s="48" t="str">
        <f t="shared" si="51"/>
        <v>Q4-2024</v>
      </c>
      <c r="G508" s="38" t="s">
        <v>45</v>
      </c>
      <c r="H508" s="38" t="s">
        <v>116</v>
      </c>
      <c r="I508" s="38" t="s">
        <v>162</v>
      </c>
      <c r="J508" s="38" t="s">
        <v>62</v>
      </c>
      <c r="K508" s="38" t="s">
        <v>55</v>
      </c>
      <c r="L508" s="38" t="s">
        <v>34</v>
      </c>
      <c r="M508" s="38" t="s">
        <v>35</v>
      </c>
      <c r="N508" s="38" t="s">
        <v>1116</v>
      </c>
      <c r="O508" s="48">
        <v>1331.77</v>
      </c>
      <c r="P508" s="49" t="str">
        <f t="shared" si="52"/>
        <v>High</v>
      </c>
      <c r="Q508" s="48">
        <v>2606.11</v>
      </c>
      <c r="R508" s="48">
        <v>0.02</v>
      </c>
      <c r="S508" s="48">
        <v>6</v>
      </c>
      <c r="T508" s="48">
        <f t="shared" si="49"/>
        <v>7506.8196000000007</v>
      </c>
      <c r="U508" s="38">
        <f t="shared" si="50"/>
        <v>7990.62</v>
      </c>
      <c r="V508" s="48">
        <f t="shared" si="53"/>
        <v>-483.80039999999917</v>
      </c>
      <c r="W508" s="50">
        <f t="shared" si="54"/>
        <v>-6.444811861470591E-2</v>
      </c>
    </row>
    <row r="509" spans="1:23" x14ac:dyDescent="0.3">
      <c r="A509" s="39" t="s">
        <v>1117</v>
      </c>
      <c r="B509" s="40">
        <v>45029</v>
      </c>
      <c r="C509" s="41">
        <v>45036</v>
      </c>
      <c r="D509" s="42">
        <f t="shared" si="55"/>
        <v>7</v>
      </c>
      <c r="E509" s="42" t="str">
        <f>TEXT(Data!B509,"MMM-YYYY")</f>
        <v>Apr-2023</v>
      </c>
      <c r="F509" s="42" t="str">
        <f t="shared" si="51"/>
        <v>Q2-2023</v>
      </c>
      <c r="G509" s="37" t="s">
        <v>78</v>
      </c>
      <c r="H509" s="37" t="s">
        <v>90</v>
      </c>
      <c r="I509" s="37" t="s">
        <v>138</v>
      </c>
      <c r="J509" s="37" t="s">
        <v>62</v>
      </c>
      <c r="K509" s="37" t="s">
        <v>28</v>
      </c>
      <c r="L509" s="37" t="s">
        <v>75</v>
      </c>
      <c r="M509" s="37" t="s">
        <v>57</v>
      </c>
      <c r="N509" s="37" t="s">
        <v>1118</v>
      </c>
      <c r="O509" s="42">
        <v>227.02</v>
      </c>
      <c r="P509" s="43" t="str">
        <f t="shared" si="52"/>
        <v>High</v>
      </c>
      <c r="Q509" s="42">
        <v>434.72</v>
      </c>
      <c r="R509" s="42">
        <v>9.8000000000000004E-2</v>
      </c>
      <c r="S509" s="42">
        <v>10</v>
      </c>
      <c r="T509" s="42">
        <f t="shared" si="49"/>
        <v>25448.667200000004</v>
      </c>
      <c r="U509" s="37">
        <f t="shared" si="50"/>
        <v>2270.2000000000003</v>
      </c>
      <c r="V509" s="42">
        <f t="shared" si="53"/>
        <v>23178.467200000003</v>
      </c>
      <c r="W509" s="44">
        <f t="shared" si="54"/>
        <v>0.91079297072186161</v>
      </c>
    </row>
    <row r="510" spans="1:23" x14ac:dyDescent="0.3">
      <c r="A510" s="45" t="s">
        <v>1119</v>
      </c>
      <c r="B510" s="46">
        <v>45608</v>
      </c>
      <c r="C510" s="47">
        <v>45617</v>
      </c>
      <c r="D510" s="48">
        <f t="shared" si="55"/>
        <v>9</v>
      </c>
      <c r="E510" s="48" t="str">
        <f>TEXT(Data!B510,"MMM-YYYY")</f>
        <v>Nov-2024</v>
      </c>
      <c r="F510" s="48" t="str">
        <f t="shared" si="51"/>
        <v>Q4-2024</v>
      </c>
      <c r="G510" s="38" t="s">
        <v>45</v>
      </c>
      <c r="H510" s="38" t="s">
        <v>60</v>
      </c>
      <c r="I510" s="38" t="s">
        <v>220</v>
      </c>
      <c r="J510" s="38" t="s">
        <v>19</v>
      </c>
      <c r="K510" s="38" t="s">
        <v>98</v>
      </c>
      <c r="L510" s="38" t="s">
        <v>92</v>
      </c>
      <c r="M510" s="38" t="s">
        <v>57</v>
      </c>
      <c r="N510" s="38" t="s">
        <v>1120</v>
      </c>
      <c r="O510" s="48">
        <v>903.41</v>
      </c>
      <c r="P510" s="49" t="str">
        <f t="shared" si="52"/>
        <v>High</v>
      </c>
      <c r="Q510" s="48">
        <v>1860.41</v>
      </c>
      <c r="R510" s="48">
        <v>0.108</v>
      </c>
      <c r="S510" s="48">
        <v>5</v>
      </c>
      <c r="T510" s="48">
        <f t="shared" si="49"/>
        <v>6953.9874000000009</v>
      </c>
      <c r="U510" s="38">
        <f t="shared" si="50"/>
        <v>4517.05</v>
      </c>
      <c r="V510" s="48">
        <f t="shared" si="53"/>
        <v>2436.9374000000007</v>
      </c>
      <c r="W510" s="50">
        <f t="shared" si="54"/>
        <v>0.35043741954436103</v>
      </c>
    </row>
    <row r="511" spans="1:23" x14ac:dyDescent="0.3">
      <c r="A511" s="39" t="s">
        <v>1121</v>
      </c>
      <c r="B511" s="40">
        <v>45056</v>
      </c>
      <c r="C511" s="41">
        <v>45060</v>
      </c>
      <c r="D511" s="42">
        <f t="shared" si="55"/>
        <v>4</v>
      </c>
      <c r="E511" s="42" t="str">
        <f>TEXT(Data!B511,"MMM-YYYY")</f>
        <v>May-2023</v>
      </c>
      <c r="F511" s="42" t="str">
        <f t="shared" si="51"/>
        <v>Q2-2023</v>
      </c>
      <c r="G511" s="37" t="s">
        <v>45</v>
      </c>
      <c r="H511" s="37" t="s">
        <v>60</v>
      </c>
      <c r="I511" s="37" t="s">
        <v>141</v>
      </c>
      <c r="J511" s="37" t="s">
        <v>39</v>
      </c>
      <c r="K511" s="37" t="s">
        <v>55</v>
      </c>
      <c r="L511" s="37" t="s">
        <v>21</v>
      </c>
      <c r="M511" s="37" t="s">
        <v>64</v>
      </c>
      <c r="N511" s="37" t="s">
        <v>1122</v>
      </c>
      <c r="O511" s="42">
        <v>622.6</v>
      </c>
      <c r="P511" s="43" t="str">
        <f t="shared" si="52"/>
        <v>High</v>
      </c>
      <c r="Q511" s="42">
        <v>833.69</v>
      </c>
      <c r="R511" s="42">
        <v>0.20899999999999999</v>
      </c>
      <c r="S511" s="42">
        <v>14</v>
      </c>
      <c r="T511" s="42">
        <f t="shared" si="49"/>
        <v>7271.8528400000005</v>
      </c>
      <c r="U511" s="37">
        <f t="shared" si="50"/>
        <v>8716.4</v>
      </c>
      <c r="V511" s="42">
        <f t="shared" si="53"/>
        <v>-1444.5471599999992</v>
      </c>
      <c r="W511" s="44">
        <f t="shared" si="54"/>
        <v>-0.19864911897749557</v>
      </c>
    </row>
    <row r="512" spans="1:23" x14ac:dyDescent="0.3">
      <c r="A512" s="45" t="s">
        <v>1123</v>
      </c>
      <c r="B512" s="46">
        <v>45353</v>
      </c>
      <c r="C512" s="47">
        <v>45374</v>
      </c>
      <c r="D512" s="48">
        <f t="shared" si="55"/>
        <v>21</v>
      </c>
      <c r="E512" s="48" t="str">
        <f>TEXT(Data!B512,"MMM-YYYY")</f>
        <v>Mar-2024</v>
      </c>
      <c r="F512" s="48" t="str">
        <f t="shared" si="51"/>
        <v>Q1-2024</v>
      </c>
      <c r="G512" s="38" t="s">
        <v>52</v>
      </c>
      <c r="H512" s="38" t="s">
        <v>122</v>
      </c>
      <c r="I512" s="38" t="s">
        <v>123</v>
      </c>
      <c r="J512" s="38" t="s">
        <v>62</v>
      </c>
      <c r="K512" s="38" t="s">
        <v>28</v>
      </c>
      <c r="L512" s="38" t="s">
        <v>84</v>
      </c>
      <c r="M512" s="38" t="s">
        <v>22</v>
      </c>
      <c r="N512" s="38" t="s">
        <v>1124</v>
      </c>
      <c r="O512" s="48">
        <v>225.01</v>
      </c>
      <c r="P512" s="49" t="str">
        <f t="shared" si="52"/>
        <v>High</v>
      </c>
      <c r="Q512" s="48">
        <v>333.48</v>
      </c>
      <c r="R512" s="48">
        <v>0.11899999999999999</v>
      </c>
      <c r="S512" s="48">
        <v>12</v>
      </c>
      <c r="T512" s="48">
        <f t="shared" si="49"/>
        <v>28098.68448</v>
      </c>
      <c r="U512" s="38">
        <f t="shared" si="50"/>
        <v>2700.12</v>
      </c>
      <c r="V512" s="48">
        <f t="shared" si="53"/>
        <v>25398.564480000001</v>
      </c>
      <c r="W512" s="50">
        <f t="shared" si="54"/>
        <v>0.90390582157246957</v>
      </c>
    </row>
    <row r="513" spans="1:23" x14ac:dyDescent="0.3">
      <c r="A513" s="39" t="s">
        <v>1125</v>
      </c>
      <c r="B513" s="40">
        <v>45575</v>
      </c>
      <c r="C513" s="41">
        <v>45576</v>
      </c>
      <c r="D513" s="42">
        <f t="shared" si="55"/>
        <v>1</v>
      </c>
      <c r="E513" s="42" t="str">
        <f>TEXT(Data!B513,"MMM-YYYY")</f>
        <v>Oct-2024</v>
      </c>
      <c r="F513" s="42" t="str">
        <f t="shared" si="51"/>
        <v>Q4-2024</v>
      </c>
      <c r="G513" s="37" t="s">
        <v>78</v>
      </c>
      <c r="H513" s="37" t="s">
        <v>108</v>
      </c>
      <c r="I513" s="37" t="s">
        <v>228</v>
      </c>
      <c r="J513" s="37" t="s">
        <v>39</v>
      </c>
      <c r="K513" s="37" t="s">
        <v>55</v>
      </c>
      <c r="L513" s="37" t="s">
        <v>49</v>
      </c>
      <c r="M513" s="37" t="s">
        <v>22</v>
      </c>
      <c r="N513" s="37" t="s">
        <v>1126</v>
      </c>
      <c r="O513" s="42">
        <v>1389.46</v>
      </c>
      <c r="P513" s="43" t="str">
        <f t="shared" si="52"/>
        <v>High</v>
      </c>
      <c r="Q513" s="42">
        <v>1784.7</v>
      </c>
      <c r="R513" s="42">
        <v>0.14599999999999999</v>
      </c>
      <c r="S513" s="42">
        <v>33</v>
      </c>
      <c r="T513" s="42">
        <f t="shared" ref="T513:T576" si="56">(Q539*S513)*(1-R513)</f>
        <v>40152.022679999995</v>
      </c>
      <c r="U513" s="37">
        <f t="shared" ref="U513:U576" si="57">(O513*S513)</f>
        <v>45852.18</v>
      </c>
      <c r="V513" s="42">
        <f t="shared" si="53"/>
        <v>-5700.1573200000057</v>
      </c>
      <c r="W513" s="44">
        <f t="shared" si="54"/>
        <v>-0.14196438783242904</v>
      </c>
    </row>
    <row r="514" spans="1:23" x14ac:dyDescent="0.3">
      <c r="A514" s="45" t="s">
        <v>1127</v>
      </c>
      <c r="B514" s="46">
        <v>45078</v>
      </c>
      <c r="C514" s="47">
        <v>45085</v>
      </c>
      <c r="D514" s="48">
        <f t="shared" si="55"/>
        <v>7</v>
      </c>
      <c r="E514" s="48" t="str">
        <f>TEXT(Data!B514,"MMM-YYYY")</f>
        <v>Jun-2023</v>
      </c>
      <c r="F514" s="48" t="str">
        <f t="shared" ref="F514:F577" si="58">"Q"&amp;ROUNDUP(MONTH(B514)/3,0)&amp;"-"&amp;YEAR(B514)</f>
        <v>Q2-2023</v>
      </c>
      <c r="G514" s="38" t="s">
        <v>78</v>
      </c>
      <c r="H514" s="38" t="s">
        <v>79</v>
      </c>
      <c r="I514" s="38" t="s">
        <v>335</v>
      </c>
      <c r="J514" s="38" t="s">
        <v>48</v>
      </c>
      <c r="K514" s="38" t="s">
        <v>28</v>
      </c>
      <c r="L514" s="38" t="s">
        <v>75</v>
      </c>
      <c r="M514" s="38" t="s">
        <v>42</v>
      </c>
      <c r="N514" s="38" t="s">
        <v>1128</v>
      </c>
      <c r="O514" s="48">
        <v>804.17</v>
      </c>
      <c r="P514" s="49" t="str">
        <f t="shared" ref="P514:P577" si="59">IF(Q514&lt;50, "Low", IF(Q514&lt;200, "Medium", "High"))</f>
        <v>High</v>
      </c>
      <c r="Q514" s="48">
        <v>1072.29</v>
      </c>
      <c r="R514" s="48">
        <v>3.2000000000000001E-2</v>
      </c>
      <c r="S514" s="48">
        <v>5</v>
      </c>
      <c r="T514" s="48">
        <f t="shared" si="56"/>
        <v>11222.701599999999</v>
      </c>
      <c r="U514" s="38">
        <f t="shared" si="57"/>
        <v>4020.85</v>
      </c>
      <c r="V514" s="48">
        <f t="shared" ref="V514:V577" si="60">(T514-U514)</f>
        <v>7201.8515999999981</v>
      </c>
      <c r="W514" s="50">
        <f t="shared" ref="W514:W577" si="61">IF(T514=0, 0, V514/T514)</f>
        <v>0.64172174015568584</v>
      </c>
    </row>
    <row r="515" spans="1:23" x14ac:dyDescent="0.3">
      <c r="A515" s="39" t="s">
        <v>1129</v>
      </c>
      <c r="B515" s="40">
        <v>45661</v>
      </c>
      <c r="C515" s="41">
        <v>45662</v>
      </c>
      <c r="D515" s="42">
        <f t="shared" si="55"/>
        <v>1</v>
      </c>
      <c r="E515" s="42" t="str">
        <f>TEXT(Data!B515,"MMM-YYYY")</f>
        <v>Jan-2025</v>
      </c>
      <c r="F515" s="42" t="str">
        <f t="shared" si="58"/>
        <v>Q1-2025</v>
      </c>
      <c r="G515" s="37" t="s">
        <v>45</v>
      </c>
      <c r="H515" s="37" t="s">
        <v>60</v>
      </c>
      <c r="I515" s="37" t="s">
        <v>141</v>
      </c>
      <c r="J515" s="37" t="s">
        <v>27</v>
      </c>
      <c r="K515" s="37" t="s">
        <v>20</v>
      </c>
      <c r="L515" s="37" t="s">
        <v>34</v>
      </c>
      <c r="M515" s="37" t="s">
        <v>22</v>
      </c>
      <c r="N515" s="37" t="s">
        <v>1130</v>
      </c>
      <c r="O515" s="42">
        <v>1428.33</v>
      </c>
      <c r="P515" s="43" t="str">
        <f t="shared" si="59"/>
        <v>High</v>
      </c>
      <c r="Q515" s="42">
        <v>3028.05</v>
      </c>
      <c r="R515" s="42">
        <v>0</v>
      </c>
      <c r="S515" s="42">
        <v>11</v>
      </c>
      <c r="T515" s="42">
        <f t="shared" si="56"/>
        <v>4033.7</v>
      </c>
      <c r="U515" s="37">
        <f t="shared" si="57"/>
        <v>15711.63</v>
      </c>
      <c r="V515" s="42">
        <f t="shared" si="60"/>
        <v>-11677.93</v>
      </c>
      <c r="W515" s="44">
        <f t="shared" si="61"/>
        <v>-2.8950913553313335</v>
      </c>
    </row>
    <row r="516" spans="1:23" x14ac:dyDescent="0.3">
      <c r="A516" s="45" t="s">
        <v>1131</v>
      </c>
      <c r="B516" s="46">
        <v>45874</v>
      </c>
      <c r="C516" s="47">
        <v>45897</v>
      </c>
      <c r="D516" s="48">
        <f t="shared" ref="D516:D579" si="62">DATEDIF(B516,C516, "MD")</f>
        <v>23</v>
      </c>
      <c r="E516" s="48" t="str">
        <f>TEXT(Data!B516,"MMM-YYYY")</f>
        <v>Aug-2025</v>
      </c>
      <c r="F516" s="48" t="str">
        <f t="shared" si="58"/>
        <v>Q3-2025</v>
      </c>
      <c r="G516" s="38" t="s">
        <v>45</v>
      </c>
      <c r="H516" s="38" t="s">
        <v>60</v>
      </c>
      <c r="I516" s="38" t="s">
        <v>220</v>
      </c>
      <c r="J516" s="38" t="s">
        <v>39</v>
      </c>
      <c r="K516" s="38" t="s">
        <v>55</v>
      </c>
      <c r="L516" s="38" t="s">
        <v>126</v>
      </c>
      <c r="M516" s="38" t="s">
        <v>57</v>
      </c>
      <c r="N516" s="38" t="s">
        <v>1132</v>
      </c>
      <c r="O516" s="48">
        <v>638.54</v>
      </c>
      <c r="P516" s="49" t="str">
        <f t="shared" si="59"/>
        <v>High</v>
      </c>
      <c r="Q516" s="48">
        <v>987.24</v>
      </c>
      <c r="R516" s="48">
        <v>0</v>
      </c>
      <c r="S516" s="48">
        <v>11</v>
      </c>
      <c r="T516" s="48">
        <f t="shared" si="56"/>
        <v>30771.51</v>
      </c>
      <c r="U516" s="38">
        <f t="shared" si="57"/>
        <v>7023.94</v>
      </c>
      <c r="V516" s="48">
        <f t="shared" si="60"/>
        <v>23747.57</v>
      </c>
      <c r="W516" s="50">
        <f t="shared" si="61"/>
        <v>0.77173885844406076</v>
      </c>
    </row>
    <row r="517" spans="1:23" x14ac:dyDescent="0.3">
      <c r="A517" s="39" t="s">
        <v>1133</v>
      </c>
      <c r="B517" s="40">
        <v>45199</v>
      </c>
      <c r="C517" s="41">
        <v>45229</v>
      </c>
      <c r="D517" s="42">
        <f t="shared" si="62"/>
        <v>0</v>
      </c>
      <c r="E517" s="42" t="str">
        <f>TEXT(Data!B517,"MMM-YYYY")</f>
        <v>Sept-2023</v>
      </c>
      <c r="F517" s="42" t="str">
        <f t="shared" si="58"/>
        <v>Q3-2023</v>
      </c>
      <c r="G517" s="37" t="s">
        <v>45</v>
      </c>
      <c r="H517" s="37" t="s">
        <v>46</v>
      </c>
      <c r="I517" s="37" t="s">
        <v>214</v>
      </c>
      <c r="J517" s="37" t="s">
        <v>105</v>
      </c>
      <c r="K517" s="37" t="s">
        <v>28</v>
      </c>
      <c r="L517" s="37" t="s">
        <v>145</v>
      </c>
      <c r="M517" s="37" t="s">
        <v>30</v>
      </c>
      <c r="N517" s="37" t="s">
        <v>1134</v>
      </c>
      <c r="O517" s="42">
        <v>649.13</v>
      </c>
      <c r="P517" s="43" t="str">
        <f t="shared" si="59"/>
        <v>High</v>
      </c>
      <c r="Q517" s="42">
        <v>975.43</v>
      </c>
      <c r="R517" s="42">
        <v>0.157</v>
      </c>
      <c r="S517" s="42">
        <v>27</v>
      </c>
      <c r="T517" s="42">
        <f t="shared" si="56"/>
        <v>50294.07125999999</v>
      </c>
      <c r="U517" s="37">
        <f t="shared" si="57"/>
        <v>17526.509999999998</v>
      </c>
      <c r="V517" s="42">
        <f t="shared" si="60"/>
        <v>32767.561259999991</v>
      </c>
      <c r="W517" s="44">
        <f t="shared" si="61"/>
        <v>0.65151936280133227</v>
      </c>
    </row>
    <row r="518" spans="1:23" x14ac:dyDescent="0.3">
      <c r="A518" s="45" t="s">
        <v>1135</v>
      </c>
      <c r="B518" s="46">
        <v>45794</v>
      </c>
      <c r="C518" s="47">
        <v>45807</v>
      </c>
      <c r="D518" s="48">
        <f t="shared" si="62"/>
        <v>13</v>
      </c>
      <c r="E518" s="48" t="str">
        <f>TEXT(Data!B518,"MMM-YYYY")</f>
        <v>May-2025</v>
      </c>
      <c r="F518" s="48" t="str">
        <f t="shared" si="58"/>
        <v>Q2-2025</v>
      </c>
      <c r="G518" s="38" t="s">
        <v>16</v>
      </c>
      <c r="H518" s="38" t="s">
        <v>25</v>
      </c>
      <c r="I518" s="38" t="s">
        <v>38</v>
      </c>
      <c r="J518" s="38" t="s">
        <v>48</v>
      </c>
      <c r="K518" s="38" t="s">
        <v>55</v>
      </c>
      <c r="L518" s="38" t="s">
        <v>84</v>
      </c>
      <c r="M518" s="38" t="s">
        <v>81</v>
      </c>
      <c r="N518" s="38" t="s">
        <v>1136</v>
      </c>
      <c r="O518" s="48">
        <v>66.400000000000006</v>
      </c>
      <c r="P518" s="49" t="str">
        <f t="shared" si="59"/>
        <v>Medium</v>
      </c>
      <c r="Q518" s="48">
        <v>141.43</v>
      </c>
      <c r="R518" s="48">
        <v>0.107</v>
      </c>
      <c r="S518" s="48">
        <v>8</v>
      </c>
      <c r="T518" s="48">
        <f t="shared" si="56"/>
        <v>5994.1017599999996</v>
      </c>
      <c r="U518" s="38">
        <f t="shared" si="57"/>
        <v>531.20000000000005</v>
      </c>
      <c r="V518" s="48">
        <f t="shared" si="60"/>
        <v>5462.9017599999997</v>
      </c>
      <c r="W518" s="50">
        <f t="shared" si="61"/>
        <v>0.91137954921873066</v>
      </c>
    </row>
    <row r="519" spans="1:23" x14ac:dyDescent="0.3">
      <c r="A519" s="39" t="s">
        <v>1137</v>
      </c>
      <c r="B519" s="40">
        <v>45413</v>
      </c>
      <c r="C519" s="41">
        <v>45438</v>
      </c>
      <c r="D519" s="42">
        <f t="shared" si="62"/>
        <v>25</v>
      </c>
      <c r="E519" s="42" t="str">
        <f>TEXT(Data!B519,"MMM-YYYY")</f>
        <v>May-2024</v>
      </c>
      <c r="F519" s="42" t="str">
        <f t="shared" si="58"/>
        <v>Q2-2024</v>
      </c>
      <c r="G519" s="37" t="s">
        <v>78</v>
      </c>
      <c r="H519" s="37" t="s">
        <v>79</v>
      </c>
      <c r="I519" s="37" t="s">
        <v>80</v>
      </c>
      <c r="J519" s="37" t="s">
        <v>39</v>
      </c>
      <c r="K519" s="37" t="s">
        <v>20</v>
      </c>
      <c r="L519" s="37" t="s">
        <v>56</v>
      </c>
      <c r="M519" s="37" t="s">
        <v>35</v>
      </c>
      <c r="N519" s="37" t="s">
        <v>1138</v>
      </c>
      <c r="O519" s="42">
        <v>930.71</v>
      </c>
      <c r="P519" s="43" t="str">
        <f t="shared" si="59"/>
        <v>High</v>
      </c>
      <c r="Q519" s="42">
        <v>1625.42</v>
      </c>
      <c r="R519" s="42">
        <v>0.13800000000000001</v>
      </c>
      <c r="S519" s="42">
        <v>7</v>
      </c>
      <c r="T519" s="42">
        <f t="shared" si="56"/>
        <v>6873.6311000000005</v>
      </c>
      <c r="U519" s="37">
        <f t="shared" si="57"/>
        <v>6514.97</v>
      </c>
      <c r="V519" s="42">
        <f t="shared" si="60"/>
        <v>358.66110000000026</v>
      </c>
      <c r="W519" s="44">
        <f t="shared" si="61"/>
        <v>5.2179276830844216E-2</v>
      </c>
    </row>
    <row r="520" spans="1:23" x14ac:dyDescent="0.3">
      <c r="A520" s="45" t="s">
        <v>1139</v>
      </c>
      <c r="B520" s="46">
        <v>45047</v>
      </c>
      <c r="C520" s="47">
        <v>45064</v>
      </c>
      <c r="D520" s="48">
        <f t="shared" si="62"/>
        <v>17</v>
      </c>
      <c r="E520" s="48" t="str">
        <f>TEXT(Data!B520,"MMM-YYYY")</f>
        <v>May-2023</v>
      </c>
      <c r="F520" s="48" t="str">
        <f t="shared" si="58"/>
        <v>Q2-2023</v>
      </c>
      <c r="G520" s="38" t="s">
        <v>16</v>
      </c>
      <c r="H520" s="38" t="s">
        <v>25</v>
      </c>
      <c r="I520" s="38" t="s">
        <v>26</v>
      </c>
      <c r="J520" s="38" t="s">
        <v>19</v>
      </c>
      <c r="K520" s="38" t="s">
        <v>98</v>
      </c>
      <c r="L520" s="38" t="s">
        <v>84</v>
      </c>
      <c r="M520" s="38" t="s">
        <v>22</v>
      </c>
      <c r="N520" s="38" t="s">
        <v>1140</v>
      </c>
      <c r="O520" s="48">
        <v>327.97</v>
      </c>
      <c r="P520" s="49" t="str">
        <f t="shared" si="59"/>
        <v>High</v>
      </c>
      <c r="Q520" s="48">
        <v>299.94</v>
      </c>
      <c r="R520" s="48">
        <v>4.9000000000000002E-2</v>
      </c>
      <c r="S520" s="48">
        <v>3</v>
      </c>
      <c r="T520" s="48">
        <f t="shared" si="56"/>
        <v>4884.4215899999999</v>
      </c>
      <c r="U520" s="38">
        <f t="shared" si="57"/>
        <v>983.91000000000008</v>
      </c>
      <c r="V520" s="48">
        <f t="shared" si="60"/>
        <v>3900.5115900000001</v>
      </c>
      <c r="W520" s="50">
        <f t="shared" si="61"/>
        <v>0.79856161433435968</v>
      </c>
    </row>
    <row r="521" spans="1:23" x14ac:dyDescent="0.3">
      <c r="A521" s="39" t="s">
        <v>1141</v>
      </c>
      <c r="B521" s="40">
        <v>45482</v>
      </c>
      <c r="C521" s="41">
        <v>45512</v>
      </c>
      <c r="D521" s="42">
        <f t="shared" si="62"/>
        <v>30</v>
      </c>
      <c r="E521" s="42" t="str">
        <f>TEXT(Data!B521,"MMM-YYYY")</f>
        <v>Jul-2024</v>
      </c>
      <c r="F521" s="42" t="str">
        <f t="shared" si="58"/>
        <v>Q3-2024</v>
      </c>
      <c r="G521" s="37" t="s">
        <v>78</v>
      </c>
      <c r="H521" s="37" t="s">
        <v>90</v>
      </c>
      <c r="I521" s="37" t="s">
        <v>91</v>
      </c>
      <c r="J521" s="37" t="s">
        <v>19</v>
      </c>
      <c r="K521" s="37" t="s">
        <v>98</v>
      </c>
      <c r="L521" s="37" t="s">
        <v>29</v>
      </c>
      <c r="M521" s="37" t="s">
        <v>22</v>
      </c>
      <c r="N521" s="37" t="s">
        <v>1142</v>
      </c>
      <c r="O521" s="42">
        <v>1062.3800000000001</v>
      </c>
      <c r="P521" s="43" t="str">
        <f t="shared" si="59"/>
        <v>High</v>
      </c>
      <c r="Q521" s="42">
        <v>1503.96</v>
      </c>
      <c r="R521" s="42">
        <v>0.18</v>
      </c>
      <c r="S521" s="42">
        <v>6</v>
      </c>
      <c r="T521" s="42">
        <f t="shared" si="56"/>
        <v>5187.1068000000005</v>
      </c>
      <c r="U521" s="37">
        <f t="shared" si="57"/>
        <v>6374.2800000000007</v>
      </c>
      <c r="V521" s="42">
        <f t="shared" si="60"/>
        <v>-1187.1732000000002</v>
      </c>
      <c r="W521" s="44">
        <f t="shared" si="61"/>
        <v>-0.22887001285572142</v>
      </c>
    </row>
    <row r="522" spans="1:23" x14ac:dyDescent="0.3">
      <c r="A522" s="45" t="s">
        <v>1143</v>
      </c>
      <c r="B522" s="46">
        <v>45056</v>
      </c>
      <c r="C522" s="47">
        <v>45073</v>
      </c>
      <c r="D522" s="48">
        <f t="shared" si="62"/>
        <v>17</v>
      </c>
      <c r="E522" s="48" t="str">
        <f>TEXT(Data!B522,"MMM-YYYY")</f>
        <v>May-2023</v>
      </c>
      <c r="F522" s="48" t="str">
        <f t="shared" si="58"/>
        <v>Q2-2023</v>
      </c>
      <c r="G522" s="38" t="s">
        <v>45</v>
      </c>
      <c r="H522" s="38" t="s">
        <v>60</v>
      </c>
      <c r="I522" s="38" t="s">
        <v>220</v>
      </c>
      <c r="J522" s="38" t="s">
        <v>48</v>
      </c>
      <c r="K522" s="38" t="s">
        <v>20</v>
      </c>
      <c r="L522" s="38" t="s">
        <v>110</v>
      </c>
      <c r="M522" s="38" t="s">
        <v>57</v>
      </c>
      <c r="N522" s="38" t="s">
        <v>1144</v>
      </c>
      <c r="O522" s="48">
        <v>1286.1600000000001</v>
      </c>
      <c r="P522" s="49" t="str">
        <f t="shared" si="59"/>
        <v>High</v>
      </c>
      <c r="Q522" s="48">
        <v>3101.11</v>
      </c>
      <c r="R522" s="48">
        <v>0.1</v>
      </c>
      <c r="S522" s="48">
        <v>23</v>
      </c>
      <c r="T522" s="48">
        <f t="shared" si="56"/>
        <v>50740.254000000001</v>
      </c>
      <c r="U522" s="38">
        <f t="shared" si="57"/>
        <v>29581.68</v>
      </c>
      <c r="V522" s="48">
        <f t="shared" si="60"/>
        <v>21158.574000000001</v>
      </c>
      <c r="W522" s="50">
        <f t="shared" si="61"/>
        <v>0.41699779429562966</v>
      </c>
    </row>
    <row r="523" spans="1:23" x14ac:dyDescent="0.3">
      <c r="A523" s="39" t="s">
        <v>1145</v>
      </c>
      <c r="B523" s="40">
        <v>45482</v>
      </c>
      <c r="C523" s="41">
        <v>45485</v>
      </c>
      <c r="D523" s="42">
        <f t="shared" si="62"/>
        <v>3</v>
      </c>
      <c r="E523" s="42" t="str">
        <f>TEXT(Data!B523,"MMM-YYYY")</f>
        <v>Jul-2024</v>
      </c>
      <c r="F523" s="42" t="str">
        <f t="shared" si="58"/>
        <v>Q3-2024</v>
      </c>
      <c r="G523" s="37" t="s">
        <v>45</v>
      </c>
      <c r="H523" s="37" t="s">
        <v>116</v>
      </c>
      <c r="I523" s="37" t="s">
        <v>162</v>
      </c>
      <c r="J523" s="37" t="s">
        <v>62</v>
      </c>
      <c r="K523" s="37" t="s">
        <v>20</v>
      </c>
      <c r="L523" s="37" t="s">
        <v>145</v>
      </c>
      <c r="M523" s="37" t="s">
        <v>81</v>
      </c>
      <c r="N523" s="37" t="s">
        <v>1146</v>
      </c>
      <c r="O523" s="42">
        <v>748.39</v>
      </c>
      <c r="P523" s="43" t="str">
        <f t="shared" si="59"/>
        <v>High</v>
      </c>
      <c r="Q523" s="42">
        <v>979.42</v>
      </c>
      <c r="R523" s="42">
        <v>0</v>
      </c>
      <c r="S523" s="42">
        <v>23</v>
      </c>
      <c r="T523" s="42">
        <f t="shared" si="56"/>
        <v>28777.83</v>
      </c>
      <c r="U523" s="37">
        <f t="shared" si="57"/>
        <v>17212.97</v>
      </c>
      <c r="V523" s="42">
        <f t="shared" si="60"/>
        <v>11564.86</v>
      </c>
      <c r="W523" s="44">
        <f t="shared" si="61"/>
        <v>0.401866992751017</v>
      </c>
    </row>
    <row r="524" spans="1:23" x14ac:dyDescent="0.3">
      <c r="A524" s="45" t="s">
        <v>1147</v>
      </c>
      <c r="B524" s="46">
        <v>45406</v>
      </c>
      <c r="C524" s="47">
        <v>45422</v>
      </c>
      <c r="D524" s="48">
        <f t="shared" si="62"/>
        <v>16</v>
      </c>
      <c r="E524" s="48" t="str">
        <f>TEXT(Data!B524,"MMM-YYYY")</f>
        <v>Apr-2024</v>
      </c>
      <c r="F524" s="48" t="str">
        <f t="shared" si="58"/>
        <v>Q2-2024</v>
      </c>
      <c r="G524" s="38" t="s">
        <v>16</v>
      </c>
      <c r="H524" s="38" t="s">
        <v>17</v>
      </c>
      <c r="I524" s="38" t="s">
        <v>18</v>
      </c>
      <c r="J524" s="38" t="s">
        <v>39</v>
      </c>
      <c r="K524" s="38" t="s">
        <v>28</v>
      </c>
      <c r="L524" s="38" t="s">
        <v>126</v>
      </c>
      <c r="M524" s="38" t="s">
        <v>64</v>
      </c>
      <c r="N524" s="38" t="s">
        <v>1148</v>
      </c>
      <c r="O524" s="48">
        <v>513.30999999999995</v>
      </c>
      <c r="P524" s="49" t="str">
        <f t="shared" si="59"/>
        <v>High</v>
      </c>
      <c r="Q524" s="48">
        <v>1186.26</v>
      </c>
      <c r="R524" s="48">
        <v>9.4E-2</v>
      </c>
      <c r="S524" s="48">
        <v>15</v>
      </c>
      <c r="T524" s="48">
        <f t="shared" si="56"/>
        <v>15014.232</v>
      </c>
      <c r="U524" s="38">
        <f t="shared" si="57"/>
        <v>7699.65</v>
      </c>
      <c r="V524" s="48">
        <f t="shared" si="60"/>
        <v>7314.5820000000003</v>
      </c>
      <c r="W524" s="50">
        <f t="shared" si="61"/>
        <v>0.48717656687335059</v>
      </c>
    </row>
    <row r="525" spans="1:23" x14ac:dyDescent="0.3">
      <c r="A525" s="39" t="s">
        <v>1149</v>
      </c>
      <c r="B525" s="40">
        <v>45304</v>
      </c>
      <c r="C525" s="41">
        <v>45306</v>
      </c>
      <c r="D525" s="42">
        <f t="shared" si="62"/>
        <v>2</v>
      </c>
      <c r="E525" s="42" t="str">
        <f>TEXT(Data!B525,"MMM-YYYY")</f>
        <v>Jan-2024</v>
      </c>
      <c r="F525" s="42" t="str">
        <f t="shared" si="58"/>
        <v>Q1-2024</v>
      </c>
      <c r="G525" s="37" t="s">
        <v>52</v>
      </c>
      <c r="H525" s="37" t="s">
        <v>122</v>
      </c>
      <c r="I525" s="37" t="s">
        <v>167</v>
      </c>
      <c r="J525" s="37" t="s">
        <v>39</v>
      </c>
      <c r="K525" s="37" t="s">
        <v>98</v>
      </c>
      <c r="L525" s="37" t="s">
        <v>63</v>
      </c>
      <c r="M525" s="37" t="s">
        <v>22</v>
      </c>
      <c r="N525" s="37" t="s">
        <v>1150</v>
      </c>
      <c r="O525" s="42">
        <v>1061.3699999999999</v>
      </c>
      <c r="P525" s="43" t="str">
        <f t="shared" si="59"/>
        <v>High</v>
      </c>
      <c r="Q525" s="42">
        <v>1938.33</v>
      </c>
      <c r="R525" s="42">
        <v>0.17</v>
      </c>
      <c r="S525" s="42">
        <v>4</v>
      </c>
      <c r="T525" s="42">
        <f t="shared" si="56"/>
        <v>7912.9211999999989</v>
      </c>
      <c r="U525" s="37">
        <f t="shared" si="57"/>
        <v>4245.4799999999996</v>
      </c>
      <c r="V525" s="42">
        <f t="shared" si="60"/>
        <v>3667.4411999999993</v>
      </c>
      <c r="W525" s="44">
        <f t="shared" si="61"/>
        <v>0.46347500591816837</v>
      </c>
    </row>
    <row r="526" spans="1:23" x14ac:dyDescent="0.3">
      <c r="A526" s="45" t="s">
        <v>1151</v>
      </c>
      <c r="B526" s="46">
        <v>45398</v>
      </c>
      <c r="C526" s="47">
        <v>45409</v>
      </c>
      <c r="D526" s="48">
        <f t="shared" si="62"/>
        <v>11</v>
      </c>
      <c r="E526" s="48" t="str">
        <f>TEXT(Data!B526,"MMM-YYYY")</f>
        <v>Apr-2024</v>
      </c>
      <c r="F526" s="48" t="str">
        <f t="shared" si="58"/>
        <v>Q2-2024</v>
      </c>
      <c r="G526" s="38" t="s">
        <v>16</v>
      </c>
      <c r="H526" s="38" t="s">
        <v>17</v>
      </c>
      <c r="I526" s="38" t="s">
        <v>135</v>
      </c>
      <c r="J526" s="38" t="s">
        <v>105</v>
      </c>
      <c r="K526" s="38" t="s">
        <v>28</v>
      </c>
      <c r="L526" s="38" t="s">
        <v>145</v>
      </c>
      <c r="M526" s="38" t="s">
        <v>30</v>
      </c>
      <c r="N526" s="38" t="s">
        <v>1152</v>
      </c>
      <c r="O526" s="48">
        <v>401.3</v>
      </c>
      <c r="P526" s="49" t="str">
        <f t="shared" si="59"/>
        <v>High</v>
      </c>
      <c r="Q526" s="48">
        <v>826.47</v>
      </c>
      <c r="R526" s="48">
        <v>0.22500000000000001</v>
      </c>
      <c r="S526" s="48">
        <v>13</v>
      </c>
      <c r="T526" s="48">
        <f t="shared" si="56"/>
        <v>2146.5795000000003</v>
      </c>
      <c r="U526" s="38">
        <f t="shared" si="57"/>
        <v>5216.9000000000005</v>
      </c>
      <c r="V526" s="48">
        <f t="shared" si="60"/>
        <v>-3070.3205000000003</v>
      </c>
      <c r="W526" s="50">
        <f t="shared" si="61"/>
        <v>-1.4303316043034977</v>
      </c>
    </row>
    <row r="527" spans="1:23" x14ac:dyDescent="0.3">
      <c r="A527" s="39" t="s">
        <v>1153</v>
      </c>
      <c r="B527" s="40">
        <v>45695</v>
      </c>
      <c r="C527" s="41">
        <v>45704</v>
      </c>
      <c r="D527" s="42">
        <f t="shared" si="62"/>
        <v>9</v>
      </c>
      <c r="E527" s="42" t="str">
        <f>TEXT(Data!B527,"MMM-YYYY")</f>
        <v>Feb-2025</v>
      </c>
      <c r="F527" s="42" t="str">
        <f t="shared" si="58"/>
        <v>Q1-2025</v>
      </c>
      <c r="G527" s="37" t="s">
        <v>16</v>
      </c>
      <c r="H527" s="37" t="s">
        <v>25</v>
      </c>
      <c r="I527" s="37" t="s">
        <v>38</v>
      </c>
      <c r="J527" s="37" t="s">
        <v>62</v>
      </c>
      <c r="K527" s="37" t="s">
        <v>55</v>
      </c>
      <c r="L527" s="37" t="s">
        <v>21</v>
      </c>
      <c r="M527" s="37" t="s">
        <v>30</v>
      </c>
      <c r="N527" s="37" t="s">
        <v>1154</v>
      </c>
      <c r="O527" s="42">
        <v>90.68</v>
      </c>
      <c r="P527" s="43" t="str">
        <f t="shared" si="59"/>
        <v>Medium</v>
      </c>
      <c r="Q527" s="42">
        <v>118.17</v>
      </c>
      <c r="R527" s="42">
        <v>0.13500000000000001</v>
      </c>
      <c r="S527" s="42">
        <v>21</v>
      </c>
      <c r="T527" s="42">
        <f t="shared" si="56"/>
        <v>36886.575600000004</v>
      </c>
      <c r="U527" s="37">
        <f t="shared" si="57"/>
        <v>1904.2800000000002</v>
      </c>
      <c r="V527" s="42">
        <f t="shared" si="60"/>
        <v>34982.295600000005</v>
      </c>
      <c r="W527" s="44">
        <f t="shared" si="61"/>
        <v>0.94837471440422894</v>
      </c>
    </row>
    <row r="528" spans="1:23" x14ac:dyDescent="0.3">
      <c r="A528" s="45" t="s">
        <v>1155</v>
      </c>
      <c r="B528" s="46">
        <v>44938</v>
      </c>
      <c r="C528" s="47">
        <v>44952</v>
      </c>
      <c r="D528" s="48">
        <f t="shared" si="62"/>
        <v>14</v>
      </c>
      <c r="E528" s="48" t="str">
        <f>TEXT(Data!B528,"MMM-YYYY")</f>
        <v>Jan-2023</v>
      </c>
      <c r="F528" s="48" t="str">
        <f t="shared" si="58"/>
        <v>Q1-2023</v>
      </c>
      <c r="G528" s="38" t="s">
        <v>45</v>
      </c>
      <c r="H528" s="38" t="s">
        <v>116</v>
      </c>
      <c r="I528" s="38" t="s">
        <v>117</v>
      </c>
      <c r="J528" s="38" t="s">
        <v>39</v>
      </c>
      <c r="K528" s="38" t="s">
        <v>20</v>
      </c>
      <c r="L528" s="38" t="s">
        <v>110</v>
      </c>
      <c r="M528" s="38" t="s">
        <v>30</v>
      </c>
      <c r="N528" s="38" t="s">
        <v>1156</v>
      </c>
      <c r="O528" s="48">
        <v>1083.0899999999999</v>
      </c>
      <c r="P528" s="49" t="str">
        <f t="shared" si="59"/>
        <v>High</v>
      </c>
      <c r="Q528" s="48">
        <v>1425.87</v>
      </c>
      <c r="R528" s="48">
        <v>0</v>
      </c>
      <c r="S528" s="48">
        <v>8</v>
      </c>
      <c r="T528" s="48">
        <f t="shared" si="56"/>
        <v>7653.6</v>
      </c>
      <c r="U528" s="38">
        <f t="shared" si="57"/>
        <v>8664.7199999999993</v>
      </c>
      <c r="V528" s="48">
        <f t="shared" si="60"/>
        <v>-1011.119999999999</v>
      </c>
      <c r="W528" s="50">
        <f t="shared" si="61"/>
        <v>-0.13211037942928805</v>
      </c>
    </row>
    <row r="529" spans="1:23" x14ac:dyDescent="0.3">
      <c r="A529" s="39" t="s">
        <v>1157</v>
      </c>
      <c r="B529" s="40">
        <v>45448</v>
      </c>
      <c r="C529" s="41">
        <v>45466</v>
      </c>
      <c r="D529" s="42">
        <f t="shared" si="62"/>
        <v>18</v>
      </c>
      <c r="E529" s="42" t="str">
        <f>TEXT(Data!B529,"MMM-YYYY")</f>
        <v>Jun-2024</v>
      </c>
      <c r="F529" s="42" t="str">
        <f t="shared" si="58"/>
        <v>Q2-2024</v>
      </c>
      <c r="G529" s="37" t="s">
        <v>16</v>
      </c>
      <c r="H529" s="37" t="s">
        <v>17</v>
      </c>
      <c r="I529" s="37" t="s">
        <v>33</v>
      </c>
      <c r="J529" s="37" t="s">
        <v>48</v>
      </c>
      <c r="K529" s="37" t="s">
        <v>55</v>
      </c>
      <c r="L529" s="37" t="s">
        <v>145</v>
      </c>
      <c r="M529" s="37" t="s">
        <v>57</v>
      </c>
      <c r="N529" s="37" t="s">
        <v>1158</v>
      </c>
      <c r="O529" s="42">
        <v>1208.74</v>
      </c>
      <c r="P529" s="43" t="str">
        <f t="shared" si="59"/>
        <v>High</v>
      </c>
      <c r="Q529" s="42">
        <v>1594.78</v>
      </c>
      <c r="R529" s="42">
        <v>5.8999999999999997E-2</v>
      </c>
      <c r="S529" s="42">
        <v>39</v>
      </c>
      <c r="T529" s="42">
        <f t="shared" si="56"/>
        <v>53128.40832000001</v>
      </c>
      <c r="U529" s="37">
        <f t="shared" si="57"/>
        <v>47140.86</v>
      </c>
      <c r="V529" s="42">
        <f t="shared" si="60"/>
        <v>5987.548320000009</v>
      </c>
      <c r="W529" s="44">
        <f t="shared" si="61"/>
        <v>0.11269956148387032</v>
      </c>
    </row>
    <row r="530" spans="1:23" x14ac:dyDescent="0.3">
      <c r="A530" s="45" t="s">
        <v>1159</v>
      </c>
      <c r="B530" s="46">
        <v>45162</v>
      </c>
      <c r="C530" s="47">
        <v>45189</v>
      </c>
      <c r="D530" s="48">
        <f t="shared" si="62"/>
        <v>27</v>
      </c>
      <c r="E530" s="48" t="str">
        <f>TEXT(Data!B530,"MMM-YYYY")</f>
        <v>Aug-2023</v>
      </c>
      <c r="F530" s="48" t="str">
        <f t="shared" si="58"/>
        <v>Q3-2023</v>
      </c>
      <c r="G530" s="38" t="s">
        <v>16</v>
      </c>
      <c r="H530" s="38" t="s">
        <v>148</v>
      </c>
      <c r="I530" s="38" t="s">
        <v>172</v>
      </c>
      <c r="J530" s="38" t="s">
        <v>62</v>
      </c>
      <c r="K530" s="38" t="s">
        <v>40</v>
      </c>
      <c r="L530" s="38" t="s">
        <v>110</v>
      </c>
      <c r="M530" s="38" t="s">
        <v>30</v>
      </c>
      <c r="N530" s="38" t="s">
        <v>1160</v>
      </c>
      <c r="O530" s="48">
        <v>1399.64</v>
      </c>
      <c r="P530" s="49" t="str">
        <f t="shared" si="59"/>
        <v>High</v>
      </c>
      <c r="Q530" s="48">
        <v>3342.11</v>
      </c>
      <c r="R530" s="48">
        <v>0</v>
      </c>
      <c r="S530" s="48">
        <v>10</v>
      </c>
      <c r="T530" s="48">
        <f t="shared" si="56"/>
        <v>29496.199999999997</v>
      </c>
      <c r="U530" s="38">
        <f t="shared" si="57"/>
        <v>13996.400000000001</v>
      </c>
      <c r="V530" s="48">
        <f t="shared" si="60"/>
        <v>15499.799999999996</v>
      </c>
      <c r="W530" s="50">
        <f t="shared" si="61"/>
        <v>0.52548463869922213</v>
      </c>
    </row>
    <row r="531" spans="1:23" x14ac:dyDescent="0.3">
      <c r="A531" s="39" t="s">
        <v>1161</v>
      </c>
      <c r="B531" s="40">
        <v>45316</v>
      </c>
      <c r="C531" s="41">
        <v>45330</v>
      </c>
      <c r="D531" s="42">
        <f t="shared" si="62"/>
        <v>14</v>
      </c>
      <c r="E531" s="42" t="str">
        <f>TEXT(Data!B531,"MMM-YYYY")</f>
        <v>Jan-2024</v>
      </c>
      <c r="F531" s="42" t="str">
        <f t="shared" si="58"/>
        <v>Q1-2024</v>
      </c>
      <c r="G531" s="37" t="s">
        <v>45</v>
      </c>
      <c r="H531" s="37" t="s">
        <v>46</v>
      </c>
      <c r="I531" s="37" t="s">
        <v>47</v>
      </c>
      <c r="J531" s="37" t="s">
        <v>48</v>
      </c>
      <c r="K531" s="37" t="s">
        <v>40</v>
      </c>
      <c r="L531" s="37" t="s">
        <v>34</v>
      </c>
      <c r="M531" s="37" t="s">
        <v>35</v>
      </c>
      <c r="N531" s="37" t="s">
        <v>1162</v>
      </c>
      <c r="O531" s="42">
        <v>937.16</v>
      </c>
      <c r="P531" s="43" t="str">
        <f t="shared" si="59"/>
        <v>High</v>
      </c>
      <c r="Q531" s="42">
        <v>1069.77</v>
      </c>
      <c r="R531" s="42">
        <v>3.7999999999999999E-2</v>
      </c>
      <c r="S531" s="42">
        <v>9</v>
      </c>
      <c r="T531" s="42">
        <f t="shared" si="56"/>
        <v>22342.575059999999</v>
      </c>
      <c r="U531" s="37">
        <f t="shared" si="57"/>
        <v>8434.44</v>
      </c>
      <c r="V531" s="42">
        <f t="shared" si="60"/>
        <v>13908.135059999999</v>
      </c>
      <c r="W531" s="44">
        <f t="shared" si="61"/>
        <v>0.62249472241450754</v>
      </c>
    </row>
    <row r="532" spans="1:23" x14ac:dyDescent="0.3">
      <c r="A532" s="45" t="s">
        <v>1163</v>
      </c>
      <c r="B532" s="46">
        <v>45727</v>
      </c>
      <c r="C532" s="47">
        <v>45742</v>
      </c>
      <c r="D532" s="48">
        <f t="shared" si="62"/>
        <v>15</v>
      </c>
      <c r="E532" s="48" t="str">
        <f>TEXT(Data!B532,"MMM-YYYY")</f>
        <v>Mar-2025</v>
      </c>
      <c r="F532" s="48" t="str">
        <f t="shared" si="58"/>
        <v>Q1-2025</v>
      </c>
      <c r="G532" s="38" t="s">
        <v>78</v>
      </c>
      <c r="H532" s="38" t="s">
        <v>79</v>
      </c>
      <c r="I532" s="38" t="s">
        <v>80</v>
      </c>
      <c r="J532" s="38" t="s">
        <v>62</v>
      </c>
      <c r="K532" s="38" t="s">
        <v>28</v>
      </c>
      <c r="L532" s="38" t="s">
        <v>34</v>
      </c>
      <c r="M532" s="38" t="s">
        <v>42</v>
      </c>
      <c r="N532" s="38" t="s">
        <v>1164</v>
      </c>
      <c r="O532" s="48">
        <v>116.97</v>
      </c>
      <c r="P532" s="49" t="str">
        <f t="shared" si="59"/>
        <v>Medium</v>
      </c>
      <c r="Q532" s="48">
        <v>140.82</v>
      </c>
      <c r="R532" s="48">
        <v>0.122</v>
      </c>
      <c r="S532" s="48">
        <v>5</v>
      </c>
      <c r="T532" s="48">
        <f t="shared" si="56"/>
        <v>8687.4149000000016</v>
      </c>
      <c r="U532" s="38">
        <f t="shared" si="57"/>
        <v>584.85</v>
      </c>
      <c r="V532" s="48">
        <f t="shared" si="60"/>
        <v>8102.5649000000012</v>
      </c>
      <c r="W532" s="50">
        <f t="shared" si="61"/>
        <v>0.93267847723032082</v>
      </c>
    </row>
    <row r="533" spans="1:23" x14ac:dyDescent="0.3">
      <c r="A533" s="39" t="s">
        <v>1165</v>
      </c>
      <c r="B533" s="40">
        <v>45769</v>
      </c>
      <c r="C533" s="41">
        <v>45789</v>
      </c>
      <c r="D533" s="42">
        <f t="shared" si="62"/>
        <v>20</v>
      </c>
      <c r="E533" s="42" t="str">
        <f>TEXT(Data!B533,"MMM-YYYY")</f>
        <v>Apr-2025</v>
      </c>
      <c r="F533" s="42" t="str">
        <f t="shared" si="58"/>
        <v>Q2-2025</v>
      </c>
      <c r="G533" s="37" t="s">
        <v>78</v>
      </c>
      <c r="H533" s="37" t="s">
        <v>90</v>
      </c>
      <c r="I533" s="37" t="s">
        <v>138</v>
      </c>
      <c r="J533" s="37" t="s">
        <v>105</v>
      </c>
      <c r="K533" s="37" t="s">
        <v>40</v>
      </c>
      <c r="L533" s="37" t="s">
        <v>95</v>
      </c>
      <c r="M533" s="37" t="s">
        <v>64</v>
      </c>
      <c r="N533" s="37" t="s">
        <v>1166</v>
      </c>
      <c r="O533" s="42">
        <v>59.51</v>
      </c>
      <c r="P533" s="43" t="str">
        <f t="shared" si="59"/>
        <v>Medium</v>
      </c>
      <c r="Q533" s="42">
        <v>67.040000000000006</v>
      </c>
      <c r="R533" s="42">
        <v>0.114</v>
      </c>
      <c r="S533" s="42">
        <v>9</v>
      </c>
      <c r="T533" s="42">
        <f t="shared" si="56"/>
        <v>11813.082300000002</v>
      </c>
      <c r="U533" s="37">
        <f t="shared" si="57"/>
        <v>535.59</v>
      </c>
      <c r="V533" s="42">
        <f t="shared" si="60"/>
        <v>11277.492300000002</v>
      </c>
      <c r="W533" s="44">
        <f t="shared" si="61"/>
        <v>0.95466128260191674</v>
      </c>
    </row>
    <row r="534" spans="1:23" x14ac:dyDescent="0.3">
      <c r="A534" s="45" t="s">
        <v>1167</v>
      </c>
      <c r="B534" s="46">
        <v>45155</v>
      </c>
      <c r="C534" s="47">
        <v>45172</v>
      </c>
      <c r="D534" s="48">
        <f t="shared" si="62"/>
        <v>17</v>
      </c>
      <c r="E534" s="48" t="str">
        <f>TEXT(Data!B534,"MMM-YYYY")</f>
        <v>Aug-2023</v>
      </c>
      <c r="F534" s="48" t="str">
        <f t="shared" si="58"/>
        <v>Q3-2023</v>
      </c>
      <c r="G534" s="38" t="s">
        <v>16</v>
      </c>
      <c r="H534" s="38" t="s">
        <v>148</v>
      </c>
      <c r="I534" s="38" t="s">
        <v>172</v>
      </c>
      <c r="J534" s="38" t="s">
        <v>105</v>
      </c>
      <c r="K534" s="38" t="s">
        <v>20</v>
      </c>
      <c r="L534" s="38" t="s">
        <v>75</v>
      </c>
      <c r="M534" s="38" t="s">
        <v>42</v>
      </c>
      <c r="N534" s="38" t="s">
        <v>1168</v>
      </c>
      <c r="O534" s="48">
        <v>676.37</v>
      </c>
      <c r="P534" s="49" t="str">
        <f t="shared" si="59"/>
        <v>High</v>
      </c>
      <c r="Q534" s="48">
        <v>1276.67</v>
      </c>
      <c r="R534" s="48">
        <v>6.6000000000000003E-2</v>
      </c>
      <c r="S534" s="48">
        <v>10</v>
      </c>
      <c r="T534" s="48">
        <f t="shared" si="56"/>
        <v>15494.3128</v>
      </c>
      <c r="U534" s="38">
        <f t="shared" si="57"/>
        <v>6763.7</v>
      </c>
      <c r="V534" s="48">
        <f t="shared" si="60"/>
        <v>8730.612799999999</v>
      </c>
      <c r="W534" s="50">
        <f t="shared" si="61"/>
        <v>0.56347208893317291</v>
      </c>
    </row>
    <row r="535" spans="1:23" x14ac:dyDescent="0.3">
      <c r="A535" s="39" t="s">
        <v>1169</v>
      </c>
      <c r="B535" s="40">
        <v>45832</v>
      </c>
      <c r="C535" s="41">
        <v>45852</v>
      </c>
      <c r="D535" s="42">
        <f t="shared" si="62"/>
        <v>20</v>
      </c>
      <c r="E535" s="42" t="str">
        <f>TEXT(Data!B535,"MMM-YYYY")</f>
        <v>Jun-2025</v>
      </c>
      <c r="F535" s="42" t="str">
        <f t="shared" si="58"/>
        <v>Q2-2025</v>
      </c>
      <c r="G535" s="37" t="s">
        <v>16</v>
      </c>
      <c r="H535" s="37" t="s">
        <v>148</v>
      </c>
      <c r="I535" s="37" t="s">
        <v>149</v>
      </c>
      <c r="J535" s="37" t="s">
        <v>105</v>
      </c>
      <c r="K535" s="37" t="s">
        <v>40</v>
      </c>
      <c r="L535" s="37" t="s">
        <v>29</v>
      </c>
      <c r="M535" s="37" t="s">
        <v>57</v>
      </c>
      <c r="N535" s="37" t="s">
        <v>1170</v>
      </c>
      <c r="O535" s="42">
        <v>1151.06</v>
      </c>
      <c r="P535" s="43" t="str">
        <f t="shared" si="59"/>
        <v>High</v>
      </c>
      <c r="Q535" s="42">
        <v>2821.36</v>
      </c>
      <c r="R535" s="42">
        <v>0.248</v>
      </c>
      <c r="S535" s="42">
        <v>20</v>
      </c>
      <c r="T535" s="42">
        <f t="shared" si="56"/>
        <v>9059.1936000000005</v>
      </c>
      <c r="U535" s="37">
        <f t="shared" si="57"/>
        <v>23021.199999999997</v>
      </c>
      <c r="V535" s="42">
        <f t="shared" si="60"/>
        <v>-13962.006399999997</v>
      </c>
      <c r="W535" s="44">
        <f t="shared" si="61"/>
        <v>-1.5411974858336173</v>
      </c>
    </row>
    <row r="536" spans="1:23" x14ac:dyDescent="0.3">
      <c r="A536" s="45" t="s">
        <v>1171</v>
      </c>
      <c r="B536" s="46">
        <v>45667</v>
      </c>
      <c r="C536" s="47">
        <v>45694</v>
      </c>
      <c r="D536" s="48">
        <f t="shared" si="62"/>
        <v>27</v>
      </c>
      <c r="E536" s="48" t="str">
        <f>TEXT(Data!B536,"MMM-YYYY")</f>
        <v>Jan-2025</v>
      </c>
      <c r="F536" s="48" t="str">
        <f t="shared" si="58"/>
        <v>Q1-2025</v>
      </c>
      <c r="G536" s="38" t="s">
        <v>52</v>
      </c>
      <c r="H536" s="38" t="s">
        <v>73</v>
      </c>
      <c r="I536" s="38" t="s">
        <v>87</v>
      </c>
      <c r="J536" s="38" t="s">
        <v>39</v>
      </c>
      <c r="K536" s="38" t="s">
        <v>20</v>
      </c>
      <c r="L536" s="38" t="s">
        <v>56</v>
      </c>
      <c r="M536" s="38" t="s">
        <v>57</v>
      </c>
      <c r="N536" s="38" t="s">
        <v>1172</v>
      </c>
      <c r="O536" s="48">
        <v>725.62</v>
      </c>
      <c r="P536" s="49" t="str">
        <f t="shared" si="59"/>
        <v>High</v>
      </c>
      <c r="Q536" s="48">
        <v>1559.19</v>
      </c>
      <c r="R536" s="48">
        <v>0.19</v>
      </c>
      <c r="S536" s="48">
        <v>12</v>
      </c>
      <c r="T536" s="48">
        <f t="shared" si="56"/>
        <v>5128.6608000000006</v>
      </c>
      <c r="U536" s="38">
        <f t="shared" si="57"/>
        <v>8707.44</v>
      </c>
      <c r="V536" s="48">
        <f t="shared" si="60"/>
        <v>-3578.7791999999999</v>
      </c>
      <c r="W536" s="50">
        <f t="shared" si="61"/>
        <v>-0.69779994028850567</v>
      </c>
    </row>
    <row r="537" spans="1:23" x14ac:dyDescent="0.3">
      <c r="A537" s="39" t="s">
        <v>1173</v>
      </c>
      <c r="B537" s="40">
        <v>45108</v>
      </c>
      <c r="C537" s="41">
        <v>45118</v>
      </c>
      <c r="D537" s="42">
        <f t="shared" si="62"/>
        <v>10</v>
      </c>
      <c r="E537" s="42" t="str">
        <f>TEXT(Data!B537,"MMM-YYYY")</f>
        <v>Jul-2023</v>
      </c>
      <c r="F537" s="42" t="str">
        <f t="shared" si="58"/>
        <v>Q3-2023</v>
      </c>
      <c r="G537" s="37" t="s">
        <v>78</v>
      </c>
      <c r="H537" s="37" t="s">
        <v>90</v>
      </c>
      <c r="I537" s="37" t="s">
        <v>217</v>
      </c>
      <c r="J537" s="37" t="s">
        <v>19</v>
      </c>
      <c r="K537" s="37" t="s">
        <v>98</v>
      </c>
      <c r="L537" s="37" t="s">
        <v>84</v>
      </c>
      <c r="M537" s="37" t="s">
        <v>35</v>
      </c>
      <c r="N537" s="37" t="s">
        <v>1174</v>
      </c>
      <c r="O537" s="42">
        <v>479.5</v>
      </c>
      <c r="P537" s="43" t="str">
        <f t="shared" si="59"/>
        <v>High</v>
      </c>
      <c r="Q537" s="42">
        <v>656.66</v>
      </c>
      <c r="R537" s="42">
        <v>0.14899999999999999</v>
      </c>
      <c r="S537" s="42">
        <v>14</v>
      </c>
      <c r="T537" s="42">
        <f t="shared" si="56"/>
        <v>21944.3966</v>
      </c>
      <c r="U537" s="37">
        <f t="shared" si="57"/>
        <v>6713</v>
      </c>
      <c r="V537" s="42">
        <f t="shared" si="60"/>
        <v>15231.3966</v>
      </c>
      <c r="W537" s="44">
        <f t="shared" si="61"/>
        <v>0.69409047228029042</v>
      </c>
    </row>
    <row r="538" spans="1:23" x14ac:dyDescent="0.3">
      <c r="A538" s="45" t="s">
        <v>1175</v>
      </c>
      <c r="B538" s="46">
        <v>45520</v>
      </c>
      <c r="C538" s="47">
        <v>45530</v>
      </c>
      <c r="D538" s="48">
        <f t="shared" si="62"/>
        <v>10</v>
      </c>
      <c r="E538" s="48" t="str">
        <f>TEXT(Data!B538,"MMM-YYYY")</f>
        <v>Aug-2024</v>
      </c>
      <c r="F538" s="48" t="str">
        <f t="shared" si="58"/>
        <v>Q3-2024</v>
      </c>
      <c r="G538" s="38" t="s">
        <v>52</v>
      </c>
      <c r="H538" s="38" t="s">
        <v>122</v>
      </c>
      <c r="I538" s="38" t="s">
        <v>123</v>
      </c>
      <c r="J538" s="38" t="s">
        <v>19</v>
      </c>
      <c r="K538" s="38" t="s">
        <v>55</v>
      </c>
      <c r="L538" s="38" t="s">
        <v>49</v>
      </c>
      <c r="M538" s="38" t="s">
        <v>57</v>
      </c>
      <c r="N538" s="38" t="s">
        <v>878</v>
      </c>
      <c r="O538" s="48">
        <v>1291.7</v>
      </c>
      <c r="P538" s="49" t="str">
        <f t="shared" si="59"/>
        <v>High</v>
      </c>
      <c r="Q538" s="48">
        <v>2657.84</v>
      </c>
      <c r="R538" s="48">
        <v>8.6999999999999994E-2</v>
      </c>
      <c r="S538" s="48">
        <v>21</v>
      </c>
      <c r="T538" s="48">
        <f t="shared" si="56"/>
        <v>31548.788040000003</v>
      </c>
      <c r="U538" s="38">
        <f t="shared" si="57"/>
        <v>27125.7</v>
      </c>
      <c r="V538" s="48">
        <f t="shared" si="60"/>
        <v>4423.0880400000024</v>
      </c>
      <c r="W538" s="50">
        <f t="shared" si="61"/>
        <v>0.14019835038962727</v>
      </c>
    </row>
    <row r="539" spans="1:23" x14ac:dyDescent="0.3">
      <c r="A539" s="39" t="s">
        <v>1176</v>
      </c>
      <c r="B539" s="40">
        <v>45114</v>
      </c>
      <c r="C539" s="41">
        <v>45120</v>
      </c>
      <c r="D539" s="42">
        <f t="shared" si="62"/>
        <v>6</v>
      </c>
      <c r="E539" s="42" t="str">
        <f>TEXT(Data!B539,"MMM-YYYY")</f>
        <v>Jul-2023</v>
      </c>
      <c r="F539" s="42" t="str">
        <f t="shared" si="58"/>
        <v>Q3-2023</v>
      </c>
      <c r="G539" s="37" t="s">
        <v>16</v>
      </c>
      <c r="H539" s="37" t="s">
        <v>148</v>
      </c>
      <c r="I539" s="37" t="s">
        <v>258</v>
      </c>
      <c r="J539" s="37" t="s">
        <v>62</v>
      </c>
      <c r="K539" s="37" t="s">
        <v>40</v>
      </c>
      <c r="L539" s="37" t="s">
        <v>56</v>
      </c>
      <c r="M539" s="37" t="s">
        <v>81</v>
      </c>
      <c r="N539" s="37" t="s">
        <v>1177</v>
      </c>
      <c r="O539" s="42">
        <v>612.59</v>
      </c>
      <c r="P539" s="43" t="str">
        <f t="shared" si="59"/>
        <v>High</v>
      </c>
      <c r="Q539" s="42">
        <v>1424.74</v>
      </c>
      <c r="R539" s="42">
        <v>4.3999999999999997E-2</v>
      </c>
      <c r="S539" s="42">
        <v>15</v>
      </c>
      <c r="T539" s="42">
        <f t="shared" si="56"/>
        <v>10428.334800000001</v>
      </c>
      <c r="U539" s="37">
        <f t="shared" si="57"/>
        <v>9188.85</v>
      </c>
      <c r="V539" s="42">
        <f t="shared" si="60"/>
        <v>1239.4848000000002</v>
      </c>
      <c r="W539" s="44">
        <f t="shared" si="61"/>
        <v>0.11885740377265219</v>
      </c>
    </row>
    <row r="540" spans="1:23" x14ac:dyDescent="0.3">
      <c r="A540" s="45" t="s">
        <v>1178</v>
      </c>
      <c r="B540" s="46">
        <v>45288</v>
      </c>
      <c r="C540" s="47">
        <v>45292</v>
      </c>
      <c r="D540" s="48">
        <f t="shared" si="62"/>
        <v>4</v>
      </c>
      <c r="E540" s="48" t="str">
        <f>TEXT(Data!B540,"MMM-YYYY")</f>
        <v>Dec-2023</v>
      </c>
      <c r="F540" s="48" t="str">
        <f t="shared" si="58"/>
        <v>Q4-2023</v>
      </c>
      <c r="G540" s="38" t="s">
        <v>16</v>
      </c>
      <c r="H540" s="38" t="s">
        <v>148</v>
      </c>
      <c r="I540" s="38" t="s">
        <v>258</v>
      </c>
      <c r="J540" s="38" t="s">
        <v>27</v>
      </c>
      <c r="K540" s="38" t="s">
        <v>55</v>
      </c>
      <c r="L540" s="38" t="s">
        <v>75</v>
      </c>
      <c r="M540" s="38" t="s">
        <v>30</v>
      </c>
      <c r="N540" s="38" t="s">
        <v>1179</v>
      </c>
      <c r="O540" s="48">
        <v>1141.8</v>
      </c>
      <c r="P540" s="49" t="str">
        <f t="shared" si="59"/>
        <v>High</v>
      </c>
      <c r="Q540" s="48">
        <v>2318.7399999999998</v>
      </c>
      <c r="R540" s="48">
        <v>0.107</v>
      </c>
      <c r="S540" s="48">
        <v>32</v>
      </c>
      <c r="T540" s="48">
        <f t="shared" si="56"/>
        <v>35256.783040000002</v>
      </c>
      <c r="U540" s="38">
        <f t="shared" si="57"/>
        <v>36537.599999999999</v>
      </c>
      <c r="V540" s="48">
        <f t="shared" si="60"/>
        <v>-1280.8169599999965</v>
      </c>
      <c r="W540" s="50">
        <f t="shared" si="61"/>
        <v>-3.6328242385213268E-2</v>
      </c>
    </row>
    <row r="541" spans="1:23" x14ac:dyDescent="0.3">
      <c r="A541" s="39" t="s">
        <v>1180</v>
      </c>
      <c r="B541" s="40">
        <v>44952</v>
      </c>
      <c r="C541" s="41">
        <v>44972</v>
      </c>
      <c r="D541" s="42">
        <f t="shared" si="62"/>
        <v>20</v>
      </c>
      <c r="E541" s="42" t="str">
        <f>TEXT(Data!B541,"MMM-YYYY")</f>
        <v>Jan-2023</v>
      </c>
      <c r="F541" s="42" t="str">
        <f t="shared" si="58"/>
        <v>Q1-2023</v>
      </c>
      <c r="G541" s="37" t="s">
        <v>78</v>
      </c>
      <c r="H541" s="37" t="s">
        <v>79</v>
      </c>
      <c r="I541" s="37" t="s">
        <v>80</v>
      </c>
      <c r="J541" s="37" t="s">
        <v>62</v>
      </c>
      <c r="K541" s="37" t="s">
        <v>28</v>
      </c>
      <c r="L541" s="37" t="s">
        <v>68</v>
      </c>
      <c r="M541" s="37" t="s">
        <v>35</v>
      </c>
      <c r="N541" s="37" t="s">
        <v>1181</v>
      </c>
      <c r="O541" s="42">
        <v>492.62</v>
      </c>
      <c r="P541" s="43" t="str">
        <f t="shared" si="59"/>
        <v>High</v>
      </c>
      <c r="Q541" s="42">
        <v>366.7</v>
      </c>
      <c r="R541" s="42">
        <v>8.8999999999999996E-2</v>
      </c>
      <c r="S541" s="42">
        <v>10</v>
      </c>
      <c r="T541" s="42">
        <f t="shared" si="56"/>
        <v>14063.653600000001</v>
      </c>
      <c r="U541" s="37">
        <f t="shared" si="57"/>
        <v>4926.2</v>
      </c>
      <c r="V541" s="42">
        <f t="shared" si="60"/>
        <v>9137.4536000000007</v>
      </c>
      <c r="W541" s="44">
        <f t="shared" si="61"/>
        <v>0.6497211791393952</v>
      </c>
    </row>
    <row r="542" spans="1:23" x14ac:dyDescent="0.3">
      <c r="A542" s="45" t="s">
        <v>1182</v>
      </c>
      <c r="B542" s="46">
        <v>45115</v>
      </c>
      <c r="C542" s="47">
        <v>45116</v>
      </c>
      <c r="D542" s="48">
        <f t="shared" si="62"/>
        <v>1</v>
      </c>
      <c r="E542" s="48" t="str">
        <f>TEXT(Data!B542,"MMM-YYYY")</f>
        <v>Jul-2023</v>
      </c>
      <c r="F542" s="48" t="str">
        <f t="shared" si="58"/>
        <v>Q3-2023</v>
      </c>
      <c r="G542" s="38" t="s">
        <v>16</v>
      </c>
      <c r="H542" s="38" t="s">
        <v>17</v>
      </c>
      <c r="I542" s="38" t="s">
        <v>33</v>
      </c>
      <c r="J542" s="38" t="s">
        <v>48</v>
      </c>
      <c r="K542" s="38" t="s">
        <v>28</v>
      </c>
      <c r="L542" s="38" t="s">
        <v>145</v>
      </c>
      <c r="M542" s="38" t="s">
        <v>57</v>
      </c>
      <c r="N542" s="38" t="s">
        <v>1183</v>
      </c>
      <c r="O542" s="48">
        <v>1258.72</v>
      </c>
      <c r="P542" s="49" t="str">
        <f t="shared" si="59"/>
        <v>High</v>
      </c>
      <c r="Q542" s="48">
        <v>2797.41</v>
      </c>
      <c r="R542" s="48">
        <v>0</v>
      </c>
      <c r="S542" s="48">
        <v>7</v>
      </c>
      <c r="T542" s="48">
        <f t="shared" si="56"/>
        <v>14806.33</v>
      </c>
      <c r="U542" s="38">
        <f t="shared" si="57"/>
        <v>8811.0400000000009</v>
      </c>
      <c r="V542" s="48">
        <f t="shared" si="60"/>
        <v>5995.2899999999991</v>
      </c>
      <c r="W542" s="50">
        <f t="shared" si="61"/>
        <v>0.40491397935882822</v>
      </c>
    </row>
    <row r="543" spans="1:23" x14ac:dyDescent="0.3">
      <c r="A543" s="39" t="s">
        <v>1184</v>
      </c>
      <c r="B543" s="40">
        <v>45450</v>
      </c>
      <c r="C543" s="41">
        <v>45452</v>
      </c>
      <c r="D543" s="42">
        <f t="shared" si="62"/>
        <v>2</v>
      </c>
      <c r="E543" s="42" t="str">
        <f>TEXT(Data!B543,"MMM-YYYY")</f>
        <v>Jun-2024</v>
      </c>
      <c r="F543" s="42" t="str">
        <f t="shared" si="58"/>
        <v>Q2-2024</v>
      </c>
      <c r="G543" s="37" t="s">
        <v>45</v>
      </c>
      <c r="H543" s="37" t="s">
        <v>116</v>
      </c>
      <c r="I543" s="37" t="s">
        <v>162</v>
      </c>
      <c r="J543" s="37" t="s">
        <v>19</v>
      </c>
      <c r="K543" s="37" t="s">
        <v>20</v>
      </c>
      <c r="L543" s="37" t="s">
        <v>68</v>
      </c>
      <c r="M543" s="37" t="s">
        <v>64</v>
      </c>
      <c r="N543" s="37" t="s">
        <v>1185</v>
      </c>
      <c r="O543" s="42">
        <v>1370.28</v>
      </c>
      <c r="P543" s="43" t="str">
        <f t="shared" si="59"/>
        <v>High</v>
      </c>
      <c r="Q543" s="42">
        <v>2209.66</v>
      </c>
      <c r="R543" s="42">
        <v>0.13300000000000001</v>
      </c>
      <c r="S543" s="42">
        <v>16</v>
      </c>
      <c r="T543" s="42">
        <f t="shared" si="56"/>
        <v>25485.499680000001</v>
      </c>
      <c r="U543" s="37">
        <f t="shared" si="57"/>
        <v>21924.48</v>
      </c>
      <c r="V543" s="42">
        <f t="shared" si="60"/>
        <v>3561.0196800000012</v>
      </c>
      <c r="W543" s="44">
        <f t="shared" si="61"/>
        <v>0.13972728511164123</v>
      </c>
    </row>
    <row r="544" spans="1:23" x14ac:dyDescent="0.3">
      <c r="A544" s="45" t="s">
        <v>1186</v>
      </c>
      <c r="B544" s="46">
        <v>44968</v>
      </c>
      <c r="C544" s="47">
        <v>44969</v>
      </c>
      <c r="D544" s="48">
        <f t="shared" si="62"/>
        <v>1</v>
      </c>
      <c r="E544" s="48" t="str">
        <f>TEXT(Data!B544,"MMM-YYYY")</f>
        <v>Feb-2023</v>
      </c>
      <c r="F544" s="48" t="str">
        <f t="shared" si="58"/>
        <v>Q1-2023</v>
      </c>
      <c r="G544" s="38" t="s">
        <v>16</v>
      </c>
      <c r="H544" s="38" t="s">
        <v>25</v>
      </c>
      <c r="I544" s="38" t="s">
        <v>26</v>
      </c>
      <c r="J544" s="38" t="s">
        <v>39</v>
      </c>
      <c r="K544" s="38" t="s">
        <v>98</v>
      </c>
      <c r="L544" s="38" t="s">
        <v>145</v>
      </c>
      <c r="M544" s="38" t="s">
        <v>81</v>
      </c>
      <c r="N544" s="38" t="s">
        <v>1187</v>
      </c>
      <c r="O544" s="48">
        <v>944.61</v>
      </c>
      <c r="P544" s="49" t="str">
        <f t="shared" si="59"/>
        <v>High</v>
      </c>
      <c r="Q544" s="48">
        <v>839.04</v>
      </c>
      <c r="R544" s="48">
        <v>5.8999999999999997E-2</v>
      </c>
      <c r="S544" s="48">
        <v>6</v>
      </c>
      <c r="T544" s="48">
        <f t="shared" si="56"/>
        <v>16141.518779999999</v>
      </c>
      <c r="U544" s="38">
        <f t="shared" si="57"/>
        <v>5667.66</v>
      </c>
      <c r="V544" s="48">
        <f t="shared" si="60"/>
        <v>10473.858779999999</v>
      </c>
      <c r="W544" s="50">
        <f t="shared" si="61"/>
        <v>0.64887690698458544</v>
      </c>
    </row>
    <row r="545" spans="1:23" x14ac:dyDescent="0.3">
      <c r="A545" s="39" t="s">
        <v>1188</v>
      </c>
      <c r="B545" s="40">
        <v>45108</v>
      </c>
      <c r="C545" s="41">
        <v>45115</v>
      </c>
      <c r="D545" s="42">
        <f t="shared" si="62"/>
        <v>7</v>
      </c>
      <c r="E545" s="42" t="str">
        <f>TEXT(Data!B545,"MMM-YYYY")</f>
        <v>Jul-2023</v>
      </c>
      <c r="F545" s="42" t="str">
        <f t="shared" si="58"/>
        <v>Q3-2023</v>
      </c>
      <c r="G545" s="37" t="s">
        <v>78</v>
      </c>
      <c r="H545" s="37" t="s">
        <v>79</v>
      </c>
      <c r="I545" s="37" t="s">
        <v>335</v>
      </c>
      <c r="J545" s="37" t="s">
        <v>62</v>
      </c>
      <c r="K545" s="37" t="s">
        <v>55</v>
      </c>
      <c r="L545" s="37" t="s">
        <v>126</v>
      </c>
      <c r="M545" s="37" t="s">
        <v>57</v>
      </c>
      <c r="N545" s="37" t="s">
        <v>1189</v>
      </c>
      <c r="O545" s="42">
        <v>460.21</v>
      </c>
      <c r="P545" s="43" t="str">
        <f t="shared" si="59"/>
        <v>High</v>
      </c>
      <c r="Q545" s="42">
        <v>1139.1500000000001</v>
      </c>
      <c r="R545" s="42">
        <v>0.115</v>
      </c>
      <c r="S545" s="42">
        <v>14</v>
      </c>
      <c r="T545" s="42">
        <f t="shared" si="56"/>
        <v>3592.1088</v>
      </c>
      <c r="U545" s="37">
        <f t="shared" si="57"/>
        <v>6442.94</v>
      </c>
      <c r="V545" s="42">
        <f t="shared" si="60"/>
        <v>-2850.8311999999996</v>
      </c>
      <c r="W545" s="44">
        <f t="shared" si="61"/>
        <v>-0.79363720831618456</v>
      </c>
    </row>
    <row r="546" spans="1:23" x14ac:dyDescent="0.3">
      <c r="A546" s="45" t="s">
        <v>1190</v>
      </c>
      <c r="B546" s="46">
        <v>45889</v>
      </c>
      <c r="C546" s="47">
        <v>45895</v>
      </c>
      <c r="D546" s="48">
        <f t="shared" si="62"/>
        <v>6</v>
      </c>
      <c r="E546" s="48" t="str">
        <f>TEXT(Data!B546,"MMM-YYYY")</f>
        <v>Aug-2025</v>
      </c>
      <c r="F546" s="48" t="str">
        <f t="shared" si="58"/>
        <v>Q3-2025</v>
      </c>
      <c r="G546" s="38" t="s">
        <v>52</v>
      </c>
      <c r="H546" s="38" t="s">
        <v>122</v>
      </c>
      <c r="I546" s="38" t="s">
        <v>387</v>
      </c>
      <c r="J546" s="38" t="s">
        <v>19</v>
      </c>
      <c r="K546" s="38" t="s">
        <v>20</v>
      </c>
      <c r="L546" s="38" t="s">
        <v>110</v>
      </c>
      <c r="M546" s="38" t="s">
        <v>35</v>
      </c>
      <c r="N546" s="38" t="s">
        <v>1191</v>
      </c>
      <c r="O546" s="48">
        <v>1304.95</v>
      </c>
      <c r="P546" s="49" t="str">
        <f t="shared" si="59"/>
        <v>High</v>
      </c>
      <c r="Q546" s="48">
        <v>1712.03</v>
      </c>
      <c r="R546" s="48">
        <v>0.21199999999999999</v>
      </c>
      <c r="S546" s="48">
        <v>8</v>
      </c>
      <c r="T546" s="48">
        <f t="shared" si="56"/>
        <v>6286.3488000000007</v>
      </c>
      <c r="U546" s="38">
        <f t="shared" si="57"/>
        <v>10439.6</v>
      </c>
      <c r="V546" s="48">
        <f t="shared" si="60"/>
        <v>-4153.2511999999997</v>
      </c>
      <c r="W546" s="50">
        <f t="shared" si="61"/>
        <v>-0.66067781666839731</v>
      </c>
    </row>
    <row r="547" spans="1:23" x14ac:dyDescent="0.3">
      <c r="A547" s="39" t="s">
        <v>1192</v>
      </c>
      <c r="B547" s="40">
        <v>45355</v>
      </c>
      <c r="C547" s="41">
        <v>45367</v>
      </c>
      <c r="D547" s="42">
        <f t="shared" si="62"/>
        <v>12</v>
      </c>
      <c r="E547" s="42" t="str">
        <f>TEXT(Data!B547,"MMM-YYYY")</f>
        <v>Mar-2024</v>
      </c>
      <c r="F547" s="42" t="str">
        <f t="shared" si="58"/>
        <v>Q1-2024</v>
      </c>
      <c r="G547" s="37" t="s">
        <v>16</v>
      </c>
      <c r="H547" s="37" t="s">
        <v>148</v>
      </c>
      <c r="I547" s="37" t="s">
        <v>149</v>
      </c>
      <c r="J547" s="37" t="s">
        <v>105</v>
      </c>
      <c r="K547" s="37" t="s">
        <v>55</v>
      </c>
      <c r="L547" s="37" t="s">
        <v>110</v>
      </c>
      <c r="M547" s="37" t="s">
        <v>64</v>
      </c>
      <c r="N547" s="37" t="s">
        <v>1193</v>
      </c>
      <c r="O547" s="42">
        <v>441.08</v>
      </c>
      <c r="P547" s="43" t="str">
        <f t="shared" si="59"/>
        <v>High</v>
      </c>
      <c r="Q547" s="42">
        <v>1054.29</v>
      </c>
      <c r="R547" s="42">
        <v>0.23699999999999999</v>
      </c>
      <c r="S547" s="42">
        <v>6</v>
      </c>
      <c r="T547" s="42">
        <f t="shared" si="56"/>
        <v>216.49362000000002</v>
      </c>
      <c r="U547" s="37">
        <f t="shared" si="57"/>
        <v>2646.48</v>
      </c>
      <c r="V547" s="42">
        <f t="shared" si="60"/>
        <v>-2429.9863799999998</v>
      </c>
      <c r="W547" s="44">
        <f t="shared" si="61"/>
        <v>-11.224286332317782</v>
      </c>
    </row>
    <row r="548" spans="1:23" x14ac:dyDescent="0.3">
      <c r="A548" s="45" t="s">
        <v>1194</v>
      </c>
      <c r="B548" s="46">
        <v>45177</v>
      </c>
      <c r="C548" s="47">
        <v>45201</v>
      </c>
      <c r="D548" s="48">
        <f t="shared" si="62"/>
        <v>24</v>
      </c>
      <c r="E548" s="48" t="str">
        <f>TEXT(Data!B548,"MMM-YYYY")</f>
        <v>Sept-2023</v>
      </c>
      <c r="F548" s="48" t="str">
        <f t="shared" si="58"/>
        <v>Q3-2023</v>
      </c>
      <c r="G548" s="38" t="s">
        <v>52</v>
      </c>
      <c r="H548" s="38" t="s">
        <v>53</v>
      </c>
      <c r="I548" s="38" t="s">
        <v>54</v>
      </c>
      <c r="J548" s="38" t="s">
        <v>27</v>
      </c>
      <c r="K548" s="38" t="s">
        <v>98</v>
      </c>
      <c r="L548" s="38" t="s">
        <v>75</v>
      </c>
      <c r="M548" s="38" t="s">
        <v>81</v>
      </c>
      <c r="N548" s="38" t="s">
        <v>1195</v>
      </c>
      <c r="O548" s="48">
        <v>1299.03</v>
      </c>
      <c r="P548" s="49" t="str">
        <f t="shared" si="59"/>
        <v>High</v>
      </c>
      <c r="Q548" s="48">
        <v>2451.2199999999998</v>
      </c>
      <c r="R548" s="48">
        <v>0.20799999999999999</v>
      </c>
      <c r="S548" s="48">
        <v>8</v>
      </c>
      <c r="T548" s="48">
        <f t="shared" si="56"/>
        <v>4778.8646400000007</v>
      </c>
      <c r="U548" s="38">
        <f t="shared" si="57"/>
        <v>10392.24</v>
      </c>
      <c r="V548" s="48">
        <f t="shared" si="60"/>
        <v>-5613.3753599999991</v>
      </c>
      <c r="W548" s="50">
        <f t="shared" si="61"/>
        <v>-1.1746253101657214</v>
      </c>
    </row>
    <row r="549" spans="1:23" x14ac:dyDescent="0.3">
      <c r="A549" s="39" t="s">
        <v>1196</v>
      </c>
      <c r="B549" s="40">
        <v>44985</v>
      </c>
      <c r="C549" s="41">
        <v>44991</v>
      </c>
      <c r="D549" s="42">
        <f t="shared" si="62"/>
        <v>6</v>
      </c>
      <c r="E549" s="42" t="str">
        <f>TEXT(Data!B549,"MMM-YYYY")</f>
        <v>Feb-2023</v>
      </c>
      <c r="F549" s="42" t="str">
        <f t="shared" si="58"/>
        <v>Q1-2023</v>
      </c>
      <c r="G549" s="37" t="s">
        <v>78</v>
      </c>
      <c r="H549" s="37" t="s">
        <v>79</v>
      </c>
      <c r="I549" s="37" t="s">
        <v>335</v>
      </c>
      <c r="J549" s="37" t="s">
        <v>62</v>
      </c>
      <c r="K549" s="37" t="s">
        <v>40</v>
      </c>
      <c r="L549" s="37" t="s">
        <v>145</v>
      </c>
      <c r="M549" s="37" t="s">
        <v>30</v>
      </c>
      <c r="N549" s="37" t="s">
        <v>1197</v>
      </c>
      <c r="O549" s="42">
        <v>880.02</v>
      </c>
      <c r="P549" s="43" t="str">
        <f t="shared" si="59"/>
        <v>High</v>
      </c>
      <c r="Q549" s="42">
        <v>1251.21</v>
      </c>
      <c r="R549" s="42">
        <v>0.123</v>
      </c>
      <c r="S549" s="42">
        <v>29</v>
      </c>
      <c r="T549" s="42">
        <f t="shared" si="56"/>
        <v>22927.340840000001</v>
      </c>
      <c r="U549" s="37">
        <f t="shared" si="57"/>
        <v>25520.579999999998</v>
      </c>
      <c r="V549" s="42">
        <f t="shared" si="60"/>
        <v>-2593.2391599999974</v>
      </c>
      <c r="W549" s="44">
        <f t="shared" si="61"/>
        <v>-0.1131068438375428</v>
      </c>
    </row>
    <row r="550" spans="1:23" x14ac:dyDescent="0.3">
      <c r="A550" s="45" t="s">
        <v>1198</v>
      </c>
      <c r="B550" s="46">
        <v>45486</v>
      </c>
      <c r="C550" s="47">
        <v>45507</v>
      </c>
      <c r="D550" s="48">
        <f t="shared" si="62"/>
        <v>21</v>
      </c>
      <c r="E550" s="48" t="str">
        <f>TEXT(Data!B550,"MMM-YYYY")</f>
        <v>Jul-2024</v>
      </c>
      <c r="F550" s="48" t="str">
        <f t="shared" si="58"/>
        <v>Q3-2024</v>
      </c>
      <c r="G550" s="38" t="s">
        <v>52</v>
      </c>
      <c r="H550" s="38" t="s">
        <v>73</v>
      </c>
      <c r="I550" s="38" t="s">
        <v>225</v>
      </c>
      <c r="J550" s="38" t="s">
        <v>19</v>
      </c>
      <c r="K550" s="38" t="s">
        <v>40</v>
      </c>
      <c r="L550" s="38" t="s">
        <v>110</v>
      </c>
      <c r="M550" s="38" t="s">
        <v>64</v>
      </c>
      <c r="N550" s="38" t="s">
        <v>1199</v>
      </c>
      <c r="O550" s="48">
        <v>702.98</v>
      </c>
      <c r="P550" s="49" t="str">
        <f t="shared" si="59"/>
        <v>High</v>
      </c>
      <c r="Q550" s="48">
        <v>1104.8</v>
      </c>
      <c r="R550" s="48">
        <v>0.17499999999999999</v>
      </c>
      <c r="S550" s="48">
        <v>12</v>
      </c>
      <c r="T550" s="48">
        <f t="shared" si="56"/>
        <v>1119.492</v>
      </c>
      <c r="U550" s="38">
        <f t="shared" si="57"/>
        <v>8435.76</v>
      </c>
      <c r="V550" s="48">
        <f t="shared" si="60"/>
        <v>-7316.268</v>
      </c>
      <c r="W550" s="50">
        <f t="shared" si="61"/>
        <v>-6.5353463892551265</v>
      </c>
    </row>
    <row r="551" spans="1:23" x14ac:dyDescent="0.3">
      <c r="A551" s="39" t="s">
        <v>1200</v>
      </c>
      <c r="B551" s="40">
        <v>45633</v>
      </c>
      <c r="C551" s="41">
        <v>45652</v>
      </c>
      <c r="D551" s="42">
        <f t="shared" si="62"/>
        <v>19</v>
      </c>
      <c r="E551" s="42" t="str">
        <f>TEXT(Data!B551,"MMM-YYYY")</f>
        <v>Dec-2024</v>
      </c>
      <c r="F551" s="42" t="str">
        <f t="shared" si="58"/>
        <v>Q4-2024</v>
      </c>
      <c r="G551" s="37" t="s">
        <v>78</v>
      </c>
      <c r="H551" s="37" t="s">
        <v>108</v>
      </c>
      <c r="I551" s="37" t="s">
        <v>152</v>
      </c>
      <c r="J551" s="37" t="s">
        <v>105</v>
      </c>
      <c r="K551" s="37" t="s">
        <v>28</v>
      </c>
      <c r="L551" s="37" t="s">
        <v>145</v>
      </c>
      <c r="M551" s="37" t="s">
        <v>35</v>
      </c>
      <c r="N551" s="37" t="s">
        <v>1201</v>
      </c>
      <c r="O551" s="42">
        <v>1035.24</v>
      </c>
      <c r="P551" s="43" t="str">
        <f t="shared" si="59"/>
        <v>High</v>
      </c>
      <c r="Q551" s="42">
        <v>2383.41</v>
      </c>
      <c r="R551" s="42">
        <v>0.17</v>
      </c>
      <c r="S551" s="42">
        <v>15</v>
      </c>
      <c r="T551" s="42">
        <f t="shared" si="56"/>
        <v>10814.319</v>
      </c>
      <c r="U551" s="37">
        <f t="shared" si="57"/>
        <v>15528.6</v>
      </c>
      <c r="V551" s="42">
        <f t="shared" si="60"/>
        <v>-4714.2810000000009</v>
      </c>
      <c r="W551" s="44">
        <f t="shared" si="61"/>
        <v>-0.43592953009801183</v>
      </c>
    </row>
    <row r="552" spans="1:23" x14ac:dyDescent="0.3">
      <c r="A552" s="45" t="s">
        <v>1202</v>
      </c>
      <c r="B552" s="46">
        <v>45875</v>
      </c>
      <c r="C552" s="47">
        <v>45892</v>
      </c>
      <c r="D552" s="48">
        <f t="shared" si="62"/>
        <v>17</v>
      </c>
      <c r="E552" s="48" t="str">
        <f>TEXT(Data!B552,"MMM-YYYY")</f>
        <v>Aug-2025</v>
      </c>
      <c r="F552" s="48" t="str">
        <f t="shared" si="58"/>
        <v>Q3-2025</v>
      </c>
      <c r="G552" s="38" t="s">
        <v>52</v>
      </c>
      <c r="H552" s="38" t="s">
        <v>73</v>
      </c>
      <c r="I552" s="38" t="s">
        <v>87</v>
      </c>
      <c r="J552" s="38" t="s">
        <v>48</v>
      </c>
      <c r="K552" s="38" t="s">
        <v>55</v>
      </c>
      <c r="L552" s="38" t="s">
        <v>75</v>
      </c>
      <c r="M552" s="38" t="s">
        <v>64</v>
      </c>
      <c r="N552" s="38" t="s">
        <v>1203</v>
      </c>
      <c r="O552" s="48">
        <v>86.64</v>
      </c>
      <c r="P552" s="49" t="str">
        <f t="shared" si="59"/>
        <v>High</v>
      </c>
      <c r="Q552" s="48">
        <v>213.06</v>
      </c>
      <c r="R552" s="48">
        <v>0.21199999999999999</v>
      </c>
      <c r="S552" s="48">
        <v>11</v>
      </c>
      <c r="T552" s="48">
        <f t="shared" si="56"/>
        <v>3015.5971999999997</v>
      </c>
      <c r="U552" s="38">
        <f t="shared" si="57"/>
        <v>953.04</v>
      </c>
      <c r="V552" s="48">
        <f t="shared" si="60"/>
        <v>2062.5571999999997</v>
      </c>
      <c r="W552" s="50">
        <f t="shared" si="61"/>
        <v>0.68396309692819712</v>
      </c>
    </row>
    <row r="553" spans="1:23" x14ac:dyDescent="0.3">
      <c r="A553" s="39" t="s">
        <v>1204</v>
      </c>
      <c r="B553" s="40">
        <v>44988</v>
      </c>
      <c r="C553" s="41">
        <v>45005</v>
      </c>
      <c r="D553" s="42">
        <f t="shared" si="62"/>
        <v>17</v>
      </c>
      <c r="E553" s="42" t="str">
        <f>TEXT(Data!B553,"MMM-YYYY")</f>
        <v>Mar-2023</v>
      </c>
      <c r="F553" s="42" t="str">
        <f t="shared" si="58"/>
        <v>Q1-2023</v>
      </c>
      <c r="G553" s="37" t="s">
        <v>45</v>
      </c>
      <c r="H553" s="37" t="s">
        <v>46</v>
      </c>
      <c r="I553" s="37" t="s">
        <v>231</v>
      </c>
      <c r="J553" s="37" t="s">
        <v>62</v>
      </c>
      <c r="K553" s="37" t="s">
        <v>28</v>
      </c>
      <c r="L553" s="37" t="s">
        <v>145</v>
      </c>
      <c r="M553" s="37" t="s">
        <v>35</v>
      </c>
      <c r="N553" s="37" t="s">
        <v>1205</v>
      </c>
      <c r="O553" s="42">
        <v>1171.17</v>
      </c>
      <c r="P553" s="43" t="str">
        <f t="shared" si="59"/>
        <v>High</v>
      </c>
      <c r="Q553" s="42">
        <v>2030.64</v>
      </c>
      <c r="R553" s="42">
        <v>0.157</v>
      </c>
      <c r="S553" s="42">
        <v>11</v>
      </c>
      <c r="T553" s="42">
        <f t="shared" si="56"/>
        <v>10310.463239999999</v>
      </c>
      <c r="U553" s="37">
        <f t="shared" si="57"/>
        <v>12882.87</v>
      </c>
      <c r="V553" s="42">
        <f t="shared" si="60"/>
        <v>-2572.4067600000017</v>
      </c>
      <c r="W553" s="44">
        <f t="shared" si="61"/>
        <v>-0.24949478021707217</v>
      </c>
    </row>
    <row r="554" spans="1:23" x14ac:dyDescent="0.3">
      <c r="A554" s="45" t="s">
        <v>1206</v>
      </c>
      <c r="B554" s="46">
        <v>45704</v>
      </c>
      <c r="C554" s="47">
        <v>45733</v>
      </c>
      <c r="D554" s="48">
        <f t="shared" si="62"/>
        <v>1</v>
      </c>
      <c r="E554" s="48" t="str">
        <f>TEXT(Data!B554,"MMM-YYYY")</f>
        <v>Feb-2025</v>
      </c>
      <c r="F554" s="48" t="str">
        <f t="shared" si="58"/>
        <v>Q1-2025</v>
      </c>
      <c r="G554" s="38" t="s">
        <v>78</v>
      </c>
      <c r="H554" s="38" t="s">
        <v>79</v>
      </c>
      <c r="I554" s="38" t="s">
        <v>159</v>
      </c>
      <c r="J554" s="38" t="s">
        <v>48</v>
      </c>
      <c r="K554" s="38" t="s">
        <v>20</v>
      </c>
      <c r="L554" s="38" t="s">
        <v>49</v>
      </c>
      <c r="M554" s="38" t="s">
        <v>81</v>
      </c>
      <c r="N554" s="38" t="s">
        <v>1207</v>
      </c>
      <c r="O554" s="48">
        <v>730.42</v>
      </c>
      <c r="P554" s="49" t="str">
        <f t="shared" si="59"/>
        <v>High</v>
      </c>
      <c r="Q554" s="48">
        <v>956.7</v>
      </c>
      <c r="R554" s="48">
        <v>4.2000000000000003E-2</v>
      </c>
      <c r="S554" s="48">
        <v>22</v>
      </c>
      <c r="T554" s="48">
        <f t="shared" si="56"/>
        <v>6907.0267199999998</v>
      </c>
      <c r="U554" s="38">
        <f t="shared" si="57"/>
        <v>16069.24</v>
      </c>
      <c r="V554" s="48">
        <f t="shared" si="60"/>
        <v>-9162.2132799999999</v>
      </c>
      <c r="W554" s="50">
        <f t="shared" si="61"/>
        <v>-1.3265061293986133</v>
      </c>
    </row>
    <row r="555" spans="1:23" x14ac:dyDescent="0.3">
      <c r="A555" s="39" t="s">
        <v>1208</v>
      </c>
      <c r="B555" s="40">
        <v>45703</v>
      </c>
      <c r="C555" s="41">
        <v>45717</v>
      </c>
      <c r="D555" s="42">
        <f t="shared" si="62"/>
        <v>14</v>
      </c>
      <c r="E555" s="42" t="str">
        <f>TEXT(Data!B555,"MMM-YYYY")</f>
        <v>Feb-2025</v>
      </c>
      <c r="F555" s="42" t="str">
        <f t="shared" si="58"/>
        <v>Q1-2025</v>
      </c>
      <c r="G555" s="37" t="s">
        <v>16</v>
      </c>
      <c r="H555" s="37" t="s">
        <v>17</v>
      </c>
      <c r="I555" s="37" t="s">
        <v>113</v>
      </c>
      <c r="J555" s="37" t="s">
        <v>27</v>
      </c>
      <c r="K555" s="37" t="s">
        <v>98</v>
      </c>
      <c r="L555" s="37" t="s">
        <v>49</v>
      </c>
      <c r="M555" s="37" t="s">
        <v>81</v>
      </c>
      <c r="N555" s="37" t="s">
        <v>1209</v>
      </c>
      <c r="O555" s="42">
        <v>1162.8599999999999</v>
      </c>
      <c r="P555" s="43" t="str">
        <f t="shared" si="59"/>
        <v>High</v>
      </c>
      <c r="Q555" s="42">
        <v>1447.68</v>
      </c>
      <c r="R555" s="42">
        <v>8.6999999999999994E-2</v>
      </c>
      <c r="S555" s="42">
        <v>12</v>
      </c>
      <c r="T555" s="42">
        <f t="shared" si="56"/>
        <v>5326.0402800000002</v>
      </c>
      <c r="U555" s="37">
        <f t="shared" si="57"/>
        <v>13954.32</v>
      </c>
      <c r="V555" s="42">
        <f t="shared" si="60"/>
        <v>-8628.2797199999986</v>
      </c>
      <c r="W555" s="44">
        <f t="shared" si="61"/>
        <v>-1.6200177367040112</v>
      </c>
    </row>
    <row r="556" spans="1:23" x14ac:dyDescent="0.3">
      <c r="A556" s="45" t="s">
        <v>1210</v>
      </c>
      <c r="B556" s="46">
        <v>45535</v>
      </c>
      <c r="C556" s="47">
        <v>45561</v>
      </c>
      <c r="D556" s="48">
        <f t="shared" si="62"/>
        <v>26</v>
      </c>
      <c r="E556" s="48" t="str">
        <f>TEXT(Data!B556,"MMM-YYYY")</f>
        <v>Aug-2024</v>
      </c>
      <c r="F556" s="48" t="str">
        <f t="shared" si="58"/>
        <v>Q3-2024</v>
      </c>
      <c r="G556" s="38" t="s">
        <v>45</v>
      </c>
      <c r="H556" s="38" t="s">
        <v>46</v>
      </c>
      <c r="I556" s="38" t="s">
        <v>214</v>
      </c>
      <c r="J556" s="38" t="s">
        <v>27</v>
      </c>
      <c r="K556" s="38" t="s">
        <v>28</v>
      </c>
      <c r="L556" s="38" t="s">
        <v>34</v>
      </c>
      <c r="M556" s="38" t="s">
        <v>42</v>
      </c>
      <c r="N556" s="38" t="s">
        <v>1211</v>
      </c>
      <c r="O556" s="48">
        <v>1189.03</v>
      </c>
      <c r="P556" s="49" t="str">
        <f t="shared" si="59"/>
        <v>High</v>
      </c>
      <c r="Q556" s="48">
        <v>2949.62</v>
      </c>
      <c r="R556" s="48">
        <v>0.125</v>
      </c>
      <c r="S556" s="48">
        <v>13</v>
      </c>
      <c r="T556" s="48">
        <f t="shared" si="56"/>
        <v>23507.575000000001</v>
      </c>
      <c r="U556" s="38">
        <f t="shared" si="57"/>
        <v>15457.39</v>
      </c>
      <c r="V556" s="48">
        <f t="shared" si="60"/>
        <v>8050.1850000000013</v>
      </c>
      <c r="W556" s="50">
        <f t="shared" si="61"/>
        <v>0.34245067813247437</v>
      </c>
    </row>
    <row r="557" spans="1:23" x14ac:dyDescent="0.3">
      <c r="A557" s="39" t="s">
        <v>1212</v>
      </c>
      <c r="B557" s="40">
        <v>45053</v>
      </c>
      <c r="C557" s="41">
        <v>45066</v>
      </c>
      <c r="D557" s="42">
        <f t="shared" si="62"/>
        <v>13</v>
      </c>
      <c r="E557" s="42" t="str">
        <f>TEXT(Data!B557,"MMM-YYYY")</f>
        <v>May-2023</v>
      </c>
      <c r="F557" s="42" t="str">
        <f t="shared" si="58"/>
        <v>Q2-2023</v>
      </c>
      <c r="G557" s="37" t="s">
        <v>45</v>
      </c>
      <c r="H557" s="37" t="s">
        <v>60</v>
      </c>
      <c r="I557" s="37" t="s">
        <v>220</v>
      </c>
      <c r="J557" s="37" t="s">
        <v>105</v>
      </c>
      <c r="K557" s="37" t="s">
        <v>20</v>
      </c>
      <c r="L557" s="37" t="s">
        <v>145</v>
      </c>
      <c r="M557" s="37" t="s">
        <v>81</v>
      </c>
      <c r="N557" s="37" t="s">
        <v>1213</v>
      </c>
      <c r="O557" s="42">
        <v>1443.28</v>
      </c>
      <c r="P557" s="43" t="str">
        <f t="shared" si="59"/>
        <v>High</v>
      </c>
      <c r="Q557" s="42">
        <v>2580.5700000000002</v>
      </c>
      <c r="R557" s="42">
        <v>0</v>
      </c>
      <c r="S557" s="42">
        <v>18</v>
      </c>
      <c r="T557" s="42">
        <f t="shared" si="56"/>
        <v>1551.6000000000001</v>
      </c>
      <c r="U557" s="37">
        <f t="shared" si="57"/>
        <v>25979.040000000001</v>
      </c>
      <c r="V557" s="42">
        <f t="shared" si="60"/>
        <v>-24427.440000000002</v>
      </c>
      <c r="W557" s="44">
        <f t="shared" si="61"/>
        <v>-15.74338747099768</v>
      </c>
    </row>
    <row r="558" spans="1:23" x14ac:dyDescent="0.3">
      <c r="A558" s="45" t="s">
        <v>1214</v>
      </c>
      <c r="B558" s="46">
        <v>45791</v>
      </c>
      <c r="C558" s="47">
        <v>45789</v>
      </c>
      <c r="D558" s="48">
        <f>DATEDIF(C558,B558, "MD")</f>
        <v>2</v>
      </c>
      <c r="E558" s="48" t="str">
        <f>TEXT(Data!B558,"MMM-YYYY")</f>
        <v>May-2025</v>
      </c>
      <c r="F558" s="48" t="str">
        <f t="shared" si="58"/>
        <v>Q2-2025</v>
      </c>
      <c r="G558" s="38" t="s">
        <v>52</v>
      </c>
      <c r="H558" s="38" t="s">
        <v>53</v>
      </c>
      <c r="I558" s="38" t="s">
        <v>179</v>
      </c>
      <c r="J558" s="38" t="s">
        <v>39</v>
      </c>
      <c r="K558" s="38" t="s">
        <v>55</v>
      </c>
      <c r="L558" s="38" t="s">
        <v>84</v>
      </c>
      <c r="M558" s="38" t="s">
        <v>30</v>
      </c>
      <c r="N558" s="38" t="s">
        <v>1215</v>
      </c>
      <c r="O558" s="48">
        <v>883.5</v>
      </c>
      <c r="P558" s="49" t="str">
        <f t="shared" si="59"/>
        <v>High</v>
      </c>
      <c r="Q558" s="48">
        <v>1978.91</v>
      </c>
      <c r="R558" s="48">
        <v>5.3999999999999999E-2</v>
      </c>
      <c r="S558" s="48">
        <v>27</v>
      </c>
      <c r="T558" s="48">
        <f t="shared" si="56"/>
        <v>58944.550499999998</v>
      </c>
      <c r="U558" s="38">
        <f t="shared" si="57"/>
        <v>23854.5</v>
      </c>
      <c r="V558" s="48">
        <f t="shared" si="60"/>
        <v>35090.050499999998</v>
      </c>
      <c r="W558" s="50">
        <f t="shared" si="61"/>
        <v>0.59530610043416987</v>
      </c>
    </row>
    <row r="559" spans="1:23" x14ac:dyDescent="0.3">
      <c r="A559" s="39" t="s">
        <v>1216</v>
      </c>
      <c r="B559" s="40">
        <v>45362</v>
      </c>
      <c r="C559" s="41">
        <v>45380</v>
      </c>
      <c r="D559" s="42">
        <f t="shared" si="62"/>
        <v>18</v>
      </c>
      <c r="E559" s="42" t="str">
        <f>TEXT(Data!B559,"MMM-YYYY")</f>
        <v>Mar-2024</v>
      </c>
      <c r="F559" s="42" t="str">
        <f t="shared" si="58"/>
        <v>Q1-2024</v>
      </c>
      <c r="G559" s="37" t="s">
        <v>52</v>
      </c>
      <c r="H559" s="37" t="s">
        <v>122</v>
      </c>
      <c r="I559" s="37" t="s">
        <v>387</v>
      </c>
      <c r="J559" s="37" t="s">
        <v>19</v>
      </c>
      <c r="K559" s="37" t="s">
        <v>20</v>
      </c>
      <c r="L559" s="37" t="s">
        <v>110</v>
      </c>
      <c r="M559" s="37" t="s">
        <v>64</v>
      </c>
      <c r="N559" s="37" t="s">
        <v>1217</v>
      </c>
      <c r="O559" s="42">
        <v>710.98</v>
      </c>
      <c r="P559" s="43" t="str">
        <f t="shared" si="59"/>
        <v>High</v>
      </c>
      <c r="Q559" s="42">
        <v>1481.45</v>
      </c>
      <c r="R559" s="42">
        <v>0.21099999999999999</v>
      </c>
      <c r="S559" s="42">
        <v>9</v>
      </c>
      <c r="T559" s="42">
        <f t="shared" si="56"/>
        <v>7902.0638099999996</v>
      </c>
      <c r="U559" s="37">
        <f t="shared" si="57"/>
        <v>6398.82</v>
      </c>
      <c r="V559" s="42">
        <f t="shared" si="60"/>
        <v>1503.2438099999999</v>
      </c>
      <c r="W559" s="44">
        <f t="shared" si="61"/>
        <v>0.19023432942893434</v>
      </c>
    </row>
    <row r="560" spans="1:23" x14ac:dyDescent="0.3">
      <c r="A560" s="45" t="s">
        <v>1218</v>
      </c>
      <c r="B560" s="46">
        <v>45430</v>
      </c>
      <c r="C560" s="47">
        <v>45434</v>
      </c>
      <c r="D560" s="48">
        <f t="shared" si="62"/>
        <v>4</v>
      </c>
      <c r="E560" s="48" t="str">
        <f>TEXT(Data!B560,"MMM-YYYY")</f>
        <v>May-2024</v>
      </c>
      <c r="F560" s="48" t="str">
        <f t="shared" si="58"/>
        <v>Q2-2024</v>
      </c>
      <c r="G560" s="38" t="s">
        <v>16</v>
      </c>
      <c r="H560" s="38" t="s">
        <v>17</v>
      </c>
      <c r="I560" s="38" t="s">
        <v>33</v>
      </c>
      <c r="J560" s="38" t="s">
        <v>19</v>
      </c>
      <c r="K560" s="38" t="s">
        <v>98</v>
      </c>
      <c r="L560" s="38" t="s">
        <v>92</v>
      </c>
      <c r="M560" s="38" t="s">
        <v>81</v>
      </c>
      <c r="N560" s="38" t="s">
        <v>1219</v>
      </c>
      <c r="O560" s="48">
        <v>857.42</v>
      </c>
      <c r="P560" s="49" t="str">
        <f t="shared" si="59"/>
        <v>High</v>
      </c>
      <c r="Q560" s="48">
        <v>1658.92</v>
      </c>
      <c r="R560" s="48">
        <v>0.122</v>
      </c>
      <c r="S560" s="48">
        <v>9</v>
      </c>
      <c r="T560" s="48">
        <f t="shared" si="56"/>
        <v>8897.572979999999</v>
      </c>
      <c r="U560" s="38">
        <f t="shared" si="57"/>
        <v>7716.78</v>
      </c>
      <c r="V560" s="48">
        <f t="shared" si="60"/>
        <v>1180.7929799999993</v>
      </c>
      <c r="W560" s="50">
        <f t="shared" si="61"/>
        <v>0.13270955828675871</v>
      </c>
    </row>
    <row r="561" spans="1:23" x14ac:dyDescent="0.3">
      <c r="A561" s="39" t="s">
        <v>1220</v>
      </c>
      <c r="B561" s="40">
        <v>45299</v>
      </c>
      <c r="C561" s="41">
        <v>45303</v>
      </c>
      <c r="D561" s="42">
        <f t="shared" si="62"/>
        <v>4</v>
      </c>
      <c r="E561" s="42" t="str">
        <f>TEXT(Data!B561,"MMM-YYYY")</f>
        <v>Jan-2024</v>
      </c>
      <c r="F561" s="42" t="str">
        <f t="shared" si="58"/>
        <v>Q1-2024</v>
      </c>
      <c r="G561" s="37" t="s">
        <v>45</v>
      </c>
      <c r="H561" s="37" t="s">
        <v>60</v>
      </c>
      <c r="I561" s="37" t="s">
        <v>61</v>
      </c>
      <c r="J561" s="37" t="s">
        <v>19</v>
      </c>
      <c r="K561" s="37" t="s">
        <v>98</v>
      </c>
      <c r="L561" s="37" t="s">
        <v>63</v>
      </c>
      <c r="M561" s="37" t="s">
        <v>30</v>
      </c>
      <c r="N561" s="37" t="s">
        <v>1221</v>
      </c>
      <c r="O561" s="42">
        <v>802.32</v>
      </c>
      <c r="P561" s="43" t="str">
        <f t="shared" si="59"/>
        <v>High</v>
      </c>
      <c r="Q561" s="42">
        <v>602.34</v>
      </c>
      <c r="R561" s="42">
        <v>0.12</v>
      </c>
      <c r="S561" s="42">
        <v>25</v>
      </c>
      <c r="T561" s="42">
        <f t="shared" si="56"/>
        <v>2719.64</v>
      </c>
      <c r="U561" s="37">
        <f t="shared" si="57"/>
        <v>20058</v>
      </c>
      <c r="V561" s="42">
        <f t="shared" si="60"/>
        <v>-17338.36</v>
      </c>
      <c r="W561" s="44">
        <f t="shared" si="61"/>
        <v>-6.3752408406995045</v>
      </c>
    </row>
    <row r="562" spans="1:23" x14ac:dyDescent="0.3">
      <c r="A562" s="45" t="s">
        <v>1222</v>
      </c>
      <c r="B562" s="46">
        <v>45590</v>
      </c>
      <c r="C562" s="47">
        <v>45601</v>
      </c>
      <c r="D562" s="48">
        <f t="shared" si="62"/>
        <v>11</v>
      </c>
      <c r="E562" s="48" t="str">
        <f>TEXT(Data!B562,"MMM-YYYY")</f>
        <v>Oct-2024</v>
      </c>
      <c r="F562" s="48" t="str">
        <f t="shared" si="58"/>
        <v>Q4-2024</v>
      </c>
      <c r="G562" s="38" t="s">
        <v>52</v>
      </c>
      <c r="H562" s="38" t="s">
        <v>122</v>
      </c>
      <c r="I562" s="38" t="s">
        <v>387</v>
      </c>
      <c r="J562" s="38" t="s">
        <v>19</v>
      </c>
      <c r="K562" s="38" t="s">
        <v>55</v>
      </c>
      <c r="L562" s="38" t="s">
        <v>126</v>
      </c>
      <c r="M562" s="38" t="s">
        <v>22</v>
      </c>
      <c r="N562" s="38" t="s">
        <v>1223</v>
      </c>
      <c r="O562" s="48">
        <v>446.66</v>
      </c>
      <c r="P562" s="49" t="str">
        <f t="shared" si="59"/>
        <v>High</v>
      </c>
      <c r="Q562" s="48">
        <v>527.64</v>
      </c>
      <c r="R562" s="48">
        <v>0.14499999999999999</v>
      </c>
      <c r="S562" s="48">
        <v>15</v>
      </c>
      <c r="T562" s="48">
        <f t="shared" si="56"/>
        <v>22209.693749999999</v>
      </c>
      <c r="U562" s="38">
        <f t="shared" si="57"/>
        <v>6699.9000000000005</v>
      </c>
      <c r="V562" s="48">
        <f t="shared" si="60"/>
        <v>15509.793749999997</v>
      </c>
      <c r="W562" s="50">
        <f t="shared" si="61"/>
        <v>0.6983344266059498</v>
      </c>
    </row>
    <row r="563" spans="1:23" x14ac:dyDescent="0.3">
      <c r="A563" s="39" t="s">
        <v>1224</v>
      </c>
      <c r="B563" s="40">
        <v>45626</v>
      </c>
      <c r="C563" s="41">
        <v>45645</v>
      </c>
      <c r="D563" s="42">
        <f t="shared" si="62"/>
        <v>19</v>
      </c>
      <c r="E563" s="42" t="str">
        <f>TEXT(Data!B563,"MMM-YYYY")</f>
        <v>Nov-2024</v>
      </c>
      <c r="F563" s="42" t="str">
        <f t="shared" si="58"/>
        <v>Q4-2024</v>
      </c>
      <c r="G563" s="37" t="s">
        <v>16</v>
      </c>
      <c r="H563" s="37" t="s">
        <v>17</v>
      </c>
      <c r="I563" s="37" t="s">
        <v>18</v>
      </c>
      <c r="J563" s="37" t="s">
        <v>19</v>
      </c>
      <c r="K563" s="37" t="s">
        <v>28</v>
      </c>
      <c r="L563" s="37" t="s">
        <v>49</v>
      </c>
      <c r="M563" s="37" t="s">
        <v>42</v>
      </c>
      <c r="N563" s="37" t="s">
        <v>1225</v>
      </c>
      <c r="O563" s="42">
        <v>1195.98</v>
      </c>
      <c r="P563" s="43" t="str">
        <f t="shared" si="59"/>
        <v>High</v>
      </c>
      <c r="Q563" s="42">
        <v>1841.9</v>
      </c>
      <c r="R563" s="42">
        <v>5.5E-2</v>
      </c>
      <c r="S563" s="42">
        <v>19</v>
      </c>
      <c r="T563" s="42">
        <f t="shared" si="56"/>
        <v>54978.38955</v>
      </c>
      <c r="U563" s="37">
        <f t="shared" si="57"/>
        <v>22723.62</v>
      </c>
      <c r="V563" s="42">
        <f t="shared" si="60"/>
        <v>32254.769550000001</v>
      </c>
      <c r="W563" s="44">
        <f t="shared" si="61"/>
        <v>0.58668087250293055</v>
      </c>
    </row>
    <row r="564" spans="1:23" x14ac:dyDescent="0.3">
      <c r="A564" s="45" t="s">
        <v>1226</v>
      </c>
      <c r="B564" s="46">
        <v>45029</v>
      </c>
      <c r="C564" s="47">
        <v>45048</v>
      </c>
      <c r="D564" s="48">
        <f t="shared" si="62"/>
        <v>19</v>
      </c>
      <c r="E564" s="48" t="str">
        <f>TEXT(Data!B564,"MMM-YYYY")</f>
        <v>Apr-2023</v>
      </c>
      <c r="F564" s="48" t="str">
        <f t="shared" si="58"/>
        <v>Q2-2023</v>
      </c>
      <c r="G564" s="38" t="s">
        <v>52</v>
      </c>
      <c r="H564" s="38" t="s">
        <v>53</v>
      </c>
      <c r="I564" s="38" t="s">
        <v>144</v>
      </c>
      <c r="J564" s="38" t="s">
        <v>48</v>
      </c>
      <c r="K564" s="38" t="s">
        <v>55</v>
      </c>
      <c r="L564" s="38" t="s">
        <v>63</v>
      </c>
      <c r="M564" s="38" t="s">
        <v>64</v>
      </c>
      <c r="N564" s="38" t="s">
        <v>1227</v>
      </c>
      <c r="O564" s="48">
        <v>671.05</v>
      </c>
      <c r="P564" s="49" t="str">
        <f t="shared" si="59"/>
        <v>High</v>
      </c>
      <c r="Q564" s="48">
        <v>1645.48</v>
      </c>
      <c r="R564" s="48">
        <v>0.13700000000000001</v>
      </c>
      <c r="S564" s="48">
        <v>6</v>
      </c>
      <c r="T564" s="48">
        <f t="shared" si="56"/>
        <v>11393.722979999999</v>
      </c>
      <c r="U564" s="38">
        <f t="shared" si="57"/>
        <v>4026.2999999999997</v>
      </c>
      <c r="V564" s="48">
        <f t="shared" si="60"/>
        <v>7367.4229799999994</v>
      </c>
      <c r="W564" s="50">
        <f t="shared" si="61"/>
        <v>0.64662121353419111</v>
      </c>
    </row>
    <row r="565" spans="1:23" x14ac:dyDescent="0.3">
      <c r="A565" s="39" t="s">
        <v>1228</v>
      </c>
      <c r="B565" s="40">
        <v>45692</v>
      </c>
      <c r="C565" s="41">
        <v>45696</v>
      </c>
      <c r="D565" s="42">
        <f t="shared" si="62"/>
        <v>4</v>
      </c>
      <c r="E565" s="42" t="str">
        <f>TEXT(Data!B565,"MMM-YYYY")</f>
        <v>Feb-2025</v>
      </c>
      <c r="F565" s="42" t="str">
        <f t="shared" si="58"/>
        <v>Q1-2025</v>
      </c>
      <c r="G565" s="37" t="s">
        <v>78</v>
      </c>
      <c r="H565" s="37" t="s">
        <v>108</v>
      </c>
      <c r="I565" s="37" t="s">
        <v>228</v>
      </c>
      <c r="J565" s="37" t="s">
        <v>105</v>
      </c>
      <c r="K565" s="37" t="s">
        <v>40</v>
      </c>
      <c r="L565" s="37" t="s">
        <v>49</v>
      </c>
      <c r="M565" s="37" t="s">
        <v>35</v>
      </c>
      <c r="N565" s="37" t="s">
        <v>1229</v>
      </c>
      <c r="O565" s="42">
        <v>586.21</v>
      </c>
      <c r="P565" s="43" t="str">
        <f t="shared" si="59"/>
        <v>High</v>
      </c>
      <c r="Q565" s="42">
        <v>727.22</v>
      </c>
      <c r="R565" s="42">
        <v>6.8000000000000005E-2</v>
      </c>
      <c r="S565" s="42">
        <v>15</v>
      </c>
      <c r="T565" s="42">
        <f t="shared" si="56"/>
        <v>8408.8302000000003</v>
      </c>
      <c r="U565" s="37">
        <f t="shared" si="57"/>
        <v>8793.1500000000015</v>
      </c>
      <c r="V565" s="42">
        <f t="shared" si="60"/>
        <v>-384.31980000000112</v>
      </c>
      <c r="W565" s="44">
        <f t="shared" si="61"/>
        <v>-4.5704312117041096E-2</v>
      </c>
    </row>
    <row r="566" spans="1:23" x14ac:dyDescent="0.3">
      <c r="A566" s="45" t="s">
        <v>1230</v>
      </c>
      <c r="B566" s="46">
        <v>45315</v>
      </c>
      <c r="C566" s="47">
        <v>45326</v>
      </c>
      <c r="D566" s="48">
        <f t="shared" si="62"/>
        <v>11</v>
      </c>
      <c r="E566" s="48" t="str">
        <f>TEXT(Data!B566,"MMM-YYYY")</f>
        <v>Jan-2024</v>
      </c>
      <c r="F566" s="48" t="str">
        <f t="shared" si="58"/>
        <v>Q1-2024</v>
      </c>
      <c r="G566" s="38" t="s">
        <v>78</v>
      </c>
      <c r="H566" s="38" t="s">
        <v>108</v>
      </c>
      <c r="I566" s="38" t="s">
        <v>228</v>
      </c>
      <c r="J566" s="38" t="s">
        <v>48</v>
      </c>
      <c r="K566" s="38" t="s">
        <v>20</v>
      </c>
      <c r="L566" s="38" t="s">
        <v>56</v>
      </c>
      <c r="M566" s="38" t="s">
        <v>57</v>
      </c>
      <c r="N566" s="38" t="s">
        <v>1231</v>
      </c>
      <c r="O566" s="48">
        <v>525.34</v>
      </c>
      <c r="P566" s="49" t="str">
        <f t="shared" si="59"/>
        <v>High</v>
      </c>
      <c r="Q566" s="48">
        <v>1233.79</v>
      </c>
      <c r="R566" s="48">
        <v>0.14299999999999999</v>
      </c>
      <c r="S566" s="48">
        <v>4</v>
      </c>
      <c r="T566" s="48">
        <f t="shared" si="56"/>
        <v>3248.9555599999999</v>
      </c>
      <c r="U566" s="38">
        <f t="shared" si="57"/>
        <v>2101.36</v>
      </c>
      <c r="V566" s="48">
        <f t="shared" si="60"/>
        <v>1147.5955599999998</v>
      </c>
      <c r="W566" s="50">
        <f t="shared" si="61"/>
        <v>0.35321983905498533</v>
      </c>
    </row>
    <row r="567" spans="1:23" x14ac:dyDescent="0.3">
      <c r="A567" s="39" t="s">
        <v>1232</v>
      </c>
      <c r="B567" s="40">
        <v>45330</v>
      </c>
      <c r="C567" s="41">
        <v>45331</v>
      </c>
      <c r="D567" s="42">
        <f t="shared" si="62"/>
        <v>1</v>
      </c>
      <c r="E567" s="42" t="str">
        <f>TEXT(Data!B567,"MMM-YYYY")</f>
        <v>Feb-2024</v>
      </c>
      <c r="F567" s="42" t="str">
        <f t="shared" si="58"/>
        <v>Q1-2024</v>
      </c>
      <c r="G567" s="37" t="s">
        <v>16</v>
      </c>
      <c r="H567" s="37" t="s">
        <v>17</v>
      </c>
      <c r="I567" s="37" t="s">
        <v>113</v>
      </c>
      <c r="J567" s="37" t="s">
        <v>19</v>
      </c>
      <c r="K567" s="37" t="s">
        <v>98</v>
      </c>
      <c r="L567" s="37" t="s">
        <v>84</v>
      </c>
      <c r="M567" s="37" t="s">
        <v>22</v>
      </c>
      <c r="N567" s="37" t="s">
        <v>1233</v>
      </c>
      <c r="O567" s="42">
        <v>1233.52</v>
      </c>
      <c r="P567" s="43" t="str">
        <f t="shared" si="59"/>
        <v>High</v>
      </c>
      <c r="Q567" s="42">
        <v>1543.76</v>
      </c>
      <c r="R567" s="42">
        <v>0.126</v>
      </c>
      <c r="S567" s="42">
        <v>13</v>
      </c>
      <c r="T567" s="42">
        <f t="shared" si="56"/>
        <v>26490.27576</v>
      </c>
      <c r="U567" s="37">
        <f t="shared" si="57"/>
        <v>16035.76</v>
      </c>
      <c r="V567" s="42">
        <f t="shared" si="60"/>
        <v>10454.51576</v>
      </c>
      <c r="W567" s="44">
        <f t="shared" si="61"/>
        <v>0.39465484824382968</v>
      </c>
    </row>
    <row r="568" spans="1:23" x14ac:dyDescent="0.3">
      <c r="A568" s="45" t="s">
        <v>1234</v>
      </c>
      <c r="B568" s="46">
        <v>45834</v>
      </c>
      <c r="C568" s="47">
        <v>45849</v>
      </c>
      <c r="D568" s="48">
        <f t="shared" si="62"/>
        <v>15</v>
      </c>
      <c r="E568" s="48" t="str">
        <f>TEXT(Data!B568,"MMM-YYYY")</f>
        <v>Jun-2025</v>
      </c>
      <c r="F568" s="48" t="str">
        <f t="shared" si="58"/>
        <v>Q2-2025</v>
      </c>
      <c r="G568" s="38" t="s">
        <v>16</v>
      </c>
      <c r="H568" s="38" t="s">
        <v>25</v>
      </c>
      <c r="I568" s="38" t="s">
        <v>26</v>
      </c>
      <c r="J568" s="38" t="s">
        <v>62</v>
      </c>
      <c r="K568" s="38" t="s">
        <v>28</v>
      </c>
      <c r="L568" s="38" t="s">
        <v>75</v>
      </c>
      <c r="M568" s="38" t="s">
        <v>57</v>
      </c>
      <c r="N568" s="38" t="s">
        <v>1235</v>
      </c>
      <c r="O568" s="48">
        <v>1170.1500000000001</v>
      </c>
      <c r="P568" s="49" t="str">
        <f t="shared" si="59"/>
        <v>High</v>
      </c>
      <c r="Q568" s="48">
        <v>2115.19</v>
      </c>
      <c r="R568" s="48">
        <v>9.1999999999999998E-2</v>
      </c>
      <c r="S568" s="48">
        <v>23</v>
      </c>
      <c r="T568" s="48">
        <f t="shared" si="56"/>
        <v>29597.640160000003</v>
      </c>
      <c r="U568" s="38">
        <f t="shared" si="57"/>
        <v>26913.45</v>
      </c>
      <c r="V568" s="48">
        <f t="shared" si="60"/>
        <v>2684.1901600000019</v>
      </c>
      <c r="W568" s="50">
        <f t="shared" si="61"/>
        <v>9.0689330145569333E-2</v>
      </c>
    </row>
    <row r="569" spans="1:23" x14ac:dyDescent="0.3">
      <c r="A569" s="39" t="s">
        <v>1236</v>
      </c>
      <c r="B569" s="40">
        <v>45600</v>
      </c>
      <c r="C569" s="41">
        <v>45603</v>
      </c>
      <c r="D569" s="42">
        <f t="shared" si="62"/>
        <v>3</v>
      </c>
      <c r="E569" s="42" t="str">
        <f>TEXT(Data!B569,"MMM-YYYY")</f>
        <v>Nov-2024</v>
      </c>
      <c r="F569" s="42" t="str">
        <f t="shared" si="58"/>
        <v>Q4-2024</v>
      </c>
      <c r="G569" s="37" t="s">
        <v>78</v>
      </c>
      <c r="H569" s="37" t="s">
        <v>90</v>
      </c>
      <c r="I569" s="37" t="s">
        <v>138</v>
      </c>
      <c r="J569" s="37" t="s">
        <v>19</v>
      </c>
      <c r="K569" s="37" t="s">
        <v>28</v>
      </c>
      <c r="L569" s="37" t="s">
        <v>68</v>
      </c>
      <c r="M569" s="37" t="s">
        <v>64</v>
      </c>
      <c r="N569" s="37" t="s">
        <v>1237</v>
      </c>
      <c r="O569" s="42">
        <v>740.68</v>
      </c>
      <c r="P569" s="43" t="str">
        <f t="shared" si="59"/>
        <v>High</v>
      </c>
      <c r="Q569" s="42">
        <v>1837.19</v>
      </c>
      <c r="R569" s="42">
        <v>0.19700000000000001</v>
      </c>
      <c r="S569" s="42">
        <v>17</v>
      </c>
      <c r="T569" s="42">
        <f t="shared" si="56"/>
        <v>9548.8744999999999</v>
      </c>
      <c r="U569" s="37">
        <f t="shared" si="57"/>
        <v>12591.56</v>
      </c>
      <c r="V569" s="42">
        <f t="shared" si="60"/>
        <v>-3042.6854999999996</v>
      </c>
      <c r="W569" s="44">
        <f t="shared" si="61"/>
        <v>-0.31864336472324561</v>
      </c>
    </row>
    <row r="570" spans="1:23" x14ac:dyDescent="0.3">
      <c r="A570" s="45" t="s">
        <v>1238</v>
      </c>
      <c r="B570" s="46">
        <v>45342</v>
      </c>
      <c r="C570" s="47">
        <v>45342</v>
      </c>
      <c r="D570" s="48">
        <f t="shared" si="62"/>
        <v>0</v>
      </c>
      <c r="E570" s="48" t="str">
        <f>TEXT(Data!B570,"MMM-YYYY")</f>
        <v>Feb-2024</v>
      </c>
      <c r="F570" s="48" t="str">
        <f t="shared" si="58"/>
        <v>Q1-2024</v>
      </c>
      <c r="G570" s="38" t="s">
        <v>52</v>
      </c>
      <c r="H570" s="38" t="s">
        <v>122</v>
      </c>
      <c r="I570" s="38" t="s">
        <v>387</v>
      </c>
      <c r="J570" s="38" t="s">
        <v>105</v>
      </c>
      <c r="K570" s="38" t="s">
        <v>28</v>
      </c>
      <c r="L570" s="38" t="s">
        <v>21</v>
      </c>
      <c r="M570" s="38" t="s">
        <v>35</v>
      </c>
      <c r="N570" s="38" t="s">
        <v>1239</v>
      </c>
      <c r="O570" s="48">
        <v>1407.05</v>
      </c>
      <c r="P570" s="49" t="str">
        <f t="shared" si="59"/>
        <v>High</v>
      </c>
      <c r="Q570" s="48">
        <v>2858.93</v>
      </c>
      <c r="R570" s="48">
        <v>0</v>
      </c>
      <c r="S570" s="48">
        <v>12</v>
      </c>
      <c r="T570" s="48">
        <f t="shared" si="56"/>
        <v>21446.400000000001</v>
      </c>
      <c r="U570" s="38">
        <f t="shared" si="57"/>
        <v>16884.599999999999</v>
      </c>
      <c r="V570" s="48">
        <f t="shared" si="60"/>
        <v>4561.8000000000029</v>
      </c>
      <c r="W570" s="50">
        <f t="shared" si="61"/>
        <v>0.2127070277529097</v>
      </c>
    </row>
    <row r="571" spans="1:23" x14ac:dyDescent="0.3">
      <c r="A571" s="39" t="s">
        <v>1240</v>
      </c>
      <c r="B571" s="40">
        <v>45760</v>
      </c>
      <c r="C571" s="41">
        <v>45761</v>
      </c>
      <c r="D571" s="42">
        <f t="shared" si="62"/>
        <v>1</v>
      </c>
      <c r="E571" s="42" t="str">
        <f>TEXT(Data!B571,"MMM-YYYY")</f>
        <v>Apr-2025</v>
      </c>
      <c r="F571" s="42" t="str">
        <f t="shared" si="58"/>
        <v>Q2-2025</v>
      </c>
      <c r="G571" s="37" t="s">
        <v>45</v>
      </c>
      <c r="H571" s="37" t="s">
        <v>46</v>
      </c>
      <c r="I571" s="37" t="s">
        <v>47</v>
      </c>
      <c r="J571" s="37" t="s">
        <v>105</v>
      </c>
      <c r="K571" s="37" t="s">
        <v>28</v>
      </c>
      <c r="L571" s="37" t="s">
        <v>41</v>
      </c>
      <c r="M571" s="37" t="s">
        <v>22</v>
      </c>
      <c r="N571" s="37" t="s">
        <v>1241</v>
      </c>
      <c r="O571" s="42">
        <v>138.9</v>
      </c>
      <c r="P571" s="43" t="str">
        <f t="shared" si="59"/>
        <v>High</v>
      </c>
      <c r="Q571" s="42">
        <v>289.92</v>
      </c>
      <c r="R571" s="42">
        <v>2.9000000000000001E-2</v>
      </c>
      <c r="S571" s="42">
        <v>12</v>
      </c>
      <c r="T571" s="42">
        <f t="shared" si="56"/>
        <v>19793.834999999999</v>
      </c>
      <c r="U571" s="37">
        <f t="shared" si="57"/>
        <v>1666.8000000000002</v>
      </c>
      <c r="V571" s="42">
        <f t="shared" si="60"/>
        <v>18127.035</v>
      </c>
      <c r="W571" s="44">
        <f t="shared" si="61"/>
        <v>0.91579196249741401</v>
      </c>
    </row>
    <row r="572" spans="1:23" x14ac:dyDescent="0.3">
      <c r="A572" s="45" t="s">
        <v>1242</v>
      </c>
      <c r="B572" s="46">
        <v>45078</v>
      </c>
      <c r="C572" s="47">
        <v>45078</v>
      </c>
      <c r="D572" s="48">
        <f t="shared" si="62"/>
        <v>0</v>
      </c>
      <c r="E572" s="48" t="str">
        <f>TEXT(Data!B572,"MMM-YYYY")</f>
        <v>Jun-2023</v>
      </c>
      <c r="F572" s="48" t="str">
        <f t="shared" si="58"/>
        <v>Q2-2023</v>
      </c>
      <c r="G572" s="38" t="s">
        <v>45</v>
      </c>
      <c r="H572" s="38" t="s">
        <v>60</v>
      </c>
      <c r="I572" s="38" t="s">
        <v>61</v>
      </c>
      <c r="J572" s="38" t="s">
        <v>19</v>
      </c>
      <c r="K572" s="38" t="s">
        <v>20</v>
      </c>
      <c r="L572" s="38" t="s">
        <v>63</v>
      </c>
      <c r="M572" s="38" t="s">
        <v>81</v>
      </c>
      <c r="N572" s="38" t="s">
        <v>1243</v>
      </c>
      <c r="O572" s="48">
        <v>669.37</v>
      </c>
      <c r="P572" s="49" t="str">
        <f t="shared" si="59"/>
        <v>High</v>
      </c>
      <c r="Q572" s="48">
        <v>997.2</v>
      </c>
      <c r="R572" s="48">
        <v>8.2000000000000003E-2</v>
      </c>
      <c r="S572" s="48">
        <v>5</v>
      </c>
      <c r="T572" s="48">
        <f t="shared" si="56"/>
        <v>3326.373</v>
      </c>
      <c r="U572" s="38">
        <f t="shared" si="57"/>
        <v>3346.85</v>
      </c>
      <c r="V572" s="48">
        <f t="shared" si="60"/>
        <v>-20.476999999999862</v>
      </c>
      <c r="W572" s="50">
        <f t="shared" si="61"/>
        <v>-6.1559542480653434E-3</v>
      </c>
    </row>
    <row r="573" spans="1:23" x14ac:dyDescent="0.3">
      <c r="A573" s="39" t="s">
        <v>1244</v>
      </c>
      <c r="B573" s="40">
        <v>45740</v>
      </c>
      <c r="C573" s="41">
        <v>45751</v>
      </c>
      <c r="D573" s="42">
        <f t="shared" si="62"/>
        <v>11</v>
      </c>
      <c r="E573" s="42" t="str">
        <f>TEXT(Data!B573,"MMM-YYYY")</f>
        <v>Mar-2025</v>
      </c>
      <c r="F573" s="42" t="str">
        <f t="shared" si="58"/>
        <v>Q1-2025</v>
      </c>
      <c r="G573" s="37" t="s">
        <v>45</v>
      </c>
      <c r="H573" s="37" t="s">
        <v>60</v>
      </c>
      <c r="I573" s="37" t="s">
        <v>220</v>
      </c>
      <c r="J573" s="37" t="s">
        <v>27</v>
      </c>
      <c r="K573" s="37" t="s">
        <v>40</v>
      </c>
      <c r="L573" s="37" t="s">
        <v>29</v>
      </c>
      <c r="M573" s="37" t="s">
        <v>42</v>
      </c>
      <c r="N573" s="37" t="s">
        <v>1245</v>
      </c>
      <c r="O573" s="42">
        <v>23.83</v>
      </c>
      <c r="P573" s="43" t="str">
        <f t="shared" si="59"/>
        <v>Low</v>
      </c>
      <c r="Q573" s="42">
        <v>47.29</v>
      </c>
      <c r="R573" s="42">
        <v>6.4000000000000001E-2</v>
      </c>
      <c r="S573" s="42">
        <v>19</v>
      </c>
      <c r="T573" s="42">
        <f t="shared" si="56"/>
        <v>24114.036959999998</v>
      </c>
      <c r="U573" s="37">
        <f t="shared" si="57"/>
        <v>452.77</v>
      </c>
      <c r="V573" s="42">
        <f t="shared" si="60"/>
        <v>23661.266959999997</v>
      </c>
      <c r="W573" s="44">
        <f t="shared" si="61"/>
        <v>0.98122379920247083</v>
      </c>
    </row>
    <row r="574" spans="1:23" x14ac:dyDescent="0.3">
      <c r="A574" s="45" t="s">
        <v>1246</v>
      </c>
      <c r="B574" s="46">
        <v>45293</v>
      </c>
      <c r="C574" s="47">
        <v>45293</v>
      </c>
      <c r="D574" s="48">
        <f t="shared" si="62"/>
        <v>0</v>
      </c>
      <c r="E574" s="48" t="str">
        <f>TEXT(Data!B574,"MMM-YYYY")</f>
        <v>Jan-2024</v>
      </c>
      <c r="F574" s="48" t="str">
        <f t="shared" si="58"/>
        <v>Q1-2024</v>
      </c>
      <c r="G574" s="38" t="s">
        <v>52</v>
      </c>
      <c r="H574" s="38" t="s">
        <v>53</v>
      </c>
      <c r="I574" s="38" t="s">
        <v>179</v>
      </c>
      <c r="J574" s="38" t="s">
        <v>27</v>
      </c>
      <c r="K574" s="38" t="s">
        <v>98</v>
      </c>
      <c r="L574" s="38" t="s">
        <v>75</v>
      </c>
      <c r="M574" s="38" t="s">
        <v>57</v>
      </c>
      <c r="N574" s="38" t="s">
        <v>1247</v>
      </c>
      <c r="O574" s="48">
        <v>444.41</v>
      </c>
      <c r="P574" s="49" t="str">
        <f t="shared" si="59"/>
        <v>High</v>
      </c>
      <c r="Q574" s="48">
        <v>754.24</v>
      </c>
      <c r="R574" s="48">
        <v>0.20699999999999999</v>
      </c>
      <c r="S574" s="48">
        <v>32</v>
      </c>
      <c r="T574" s="48">
        <f t="shared" si="56"/>
        <v>6980.1763200000005</v>
      </c>
      <c r="U574" s="38">
        <f t="shared" si="57"/>
        <v>14221.12</v>
      </c>
      <c r="V574" s="48">
        <f t="shared" si="60"/>
        <v>-7240.9436800000003</v>
      </c>
      <c r="W574" s="50">
        <f t="shared" si="61"/>
        <v>-1.0373582769324659</v>
      </c>
    </row>
    <row r="575" spans="1:23" x14ac:dyDescent="0.3">
      <c r="A575" s="39" t="s">
        <v>1248</v>
      </c>
      <c r="B575" s="40">
        <v>45279</v>
      </c>
      <c r="C575" s="41">
        <v>45292</v>
      </c>
      <c r="D575" s="42">
        <f t="shared" si="62"/>
        <v>13</v>
      </c>
      <c r="E575" s="42" t="str">
        <f>TEXT(Data!B575,"MMM-YYYY")</f>
        <v>Dec-2023</v>
      </c>
      <c r="F575" s="42" t="str">
        <f t="shared" si="58"/>
        <v>Q4-2023</v>
      </c>
      <c r="G575" s="37" t="s">
        <v>52</v>
      </c>
      <c r="H575" s="37" t="s">
        <v>53</v>
      </c>
      <c r="I575" s="37" t="s">
        <v>54</v>
      </c>
      <c r="J575" s="37" t="s">
        <v>105</v>
      </c>
      <c r="K575" s="37" t="s">
        <v>20</v>
      </c>
      <c r="L575" s="37" t="s">
        <v>95</v>
      </c>
      <c r="M575" s="37" t="s">
        <v>64</v>
      </c>
      <c r="N575" s="37" t="s">
        <v>1249</v>
      </c>
      <c r="O575" s="42">
        <v>856.1</v>
      </c>
      <c r="P575" s="43" t="str">
        <f t="shared" si="59"/>
        <v>High</v>
      </c>
      <c r="Q575" s="42">
        <v>901.48</v>
      </c>
      <c r="R575" s="42">
        <v>5.6000000000000001E-2</v>
      </c>
      <c r="S575" s="42">
        <v>17</v>
      </c>
      <c r="T575" s="42">
        <f t="shared" si="56"/>
        <v>28925.557119999998</v>
      </c>
      <c r="U575" s="37">
        <f t="shared" si="57"/>
        <v>14553.7</v>
      </c>
      <c r="V575" s="42">
        <f t="shared" si="60"/>
        <v>14371.857119999997</v>
      </c>
      <c r="W575" s="44">
        <f t="shared" si="61"/>
        <v>0.49685670911634278</v>
      </c>
    </row>
    <row r="576" spans="1:23" x14ac:dyDescent="0.3">
      <c r="A576" s="45" t="s">
        <v>1250</v>
      </c>
      <c r="B576" s="46">
        <v>45042</v>
      </c>
      <c r="C576" s="47">
        <v>45042</v>
      </c>
      <c r="D576" s="48">
        <f t="shared" si="62"/>
        <v>0</v>
      </c>
      <c r="E576" s="48" t="str">
        <f>TEXT(Data!B576,"MMM-YYYY")</f>
        <v>Apr-2023</v>
      </c>
      <c r="F576" s="48" t="str">
        <f t="shared" si="58"/>
        <v>Q2-2023</v>
      </c>
      <c r="G576" s="38" t="s">
        <v>78</v>
      </c>
      <c r="H576" s="38" t="s">
        <v>90</v>
      </c>
      <c r="I576" s="38" t="s">
        <v>91</v>
      </c>
      <c r="J576" s="38" t="s">
        <v>48</v>
      </c>
      <c r="K576" s="38" t="s">
        <v>98</v>
      </c>
      <c r="L576" s="38" t="s">
        <v>110</v>
      </c>
      <c r="M576" s="38" t="s">
        <v>22</v>
      </c>
      <c r="N576" s="38" t="s">
        <v>1251</v>
      </c>
      <c r="O576" s="48">
        <v>81.489999999999995</v>
      </c>
      <c r="P576" s="49" t="str">
        <f t="shared" si="59"/>
        <v>Medium</v>
      </c>
      <c r="Q576" s="48">
        <v>113.08</v>
      </c>
      <c r="R576" s="48">
        <v>0.121</v>
      </c>
      <c r="S576" s="48">
        <v>5</v>
      </c>
      <c r="T576" s="48">
        <f t="shared" si="56"/>
        <v>5580.6830999999993</v>
      </c>
      <c r="U576" s="38">
        <f t="shared" si="57"/>
        <v>407.45</v>
      </c>
      <c r="V576" s="48">
        <f t="shared" si="60"/>
        <v>5173.2330999999995</v>
      </c>
      <c r="W576" s="50">
        <f t="shared" si="61"/>
        <v>0.92698922467036338</v>
      </c>
    </row>
    <row r="577" spans="1:23" x14ac:dyDescent="0.3">
      <c r="A577" s="39" t="s">
        <v>1252</v>
      </c>
      <c r="B577" s="40">
        <v>45872</v>
      </c>
      <c r="C577" s="41">
        <v>45885</v>
      </c>
      <c r="D577" s="42">
        <f t="shared" si="62"/>
        <v>13</v>
      </c>
      <c r="E577" s="42" t="str">
        <f>TEXT(Data!B577,"MMM-YYYY")</f>
        <v>Aug-2025</v>
      </c>
      <c r="F577" s="42" t="str">
        <f t="shared" si="58"/>
        <v>Q3-2025</v>
      </c>
      <c r="G577" s="37" t="s">
        <v>52</v>
      </c>
      <c r="H577" s="37" t="s">
        <v>53</v>
      </c>
      <c r="I577" s="37" t="s">
        <v>144</v>
      </c>
      <c r="J577" s="37" t="s">
        <v>105</v>
      </c>
      <c r="K577" s="37" t="s">
        <v>55</v>
      </c>
      <c r="L577" s="37" t="s">
        <v>68</v>
      </c>
      <c r="M577" s="37" t="s">
        <v>35</v>
      </c>
      <c r="N577" s="37" t="s">
        <v>1253</v>
      </c>
      <c r="O577" s="42">
        <v>698.66</v>
      </c>
      <c r="P577" s="43" t="str">
        <f t="shared" si="59"/>
        <v>High</v>
      </c>
      <c r="Q577" s="42">
        <v>868.62</v>
      </c>
      <c r="R577" s="42">
        <v>7.1999999999999995E-2</v>
      </c>
      <c r="S577" s="42">
        <v>15</v>
      </c>
      <c r="T577" s="42">
        <f t="shared" ref="T577:T632" si="63">(Q603*S577)*(1-R577)</f>
        <v>7960.848</v>
      </c>
      <c r="U577" s="37">
        <f t="shared" ref="U577:U632" si="64">(O577*S577)</f>
        <v>10479.9</v>
      </c>
      <c r="V577" s="42">
        <f t="shared" si="60"/>
        <v>-2519.0519999999997</v>
      </c>
      <c r="W577" s="44">
        <f t="shared" si="61"/>
        <v>-0.31643010895321699</v>
      </c>
    </row>
    <row r="578" spans="1:23" x14ac:dyDescent="0.3">
      <c r="A578" s="45" t="s">
        <v>1254</v>
      </c>
      <c r="B578" s="46">
        <v>45140</v>
      </c>
      <c r="C578" s="47">
        <v>45157</v>
      </c>
      <c r="D578" s="48">
        <f t="shared" si="62"/>
        <v>17</v>
      </c>
      <c r="E578" s="48" t="str">
        <f>TEXT(Data!B578,"MMM-YYYY")</f>
        <v>Aug-2023</v>
      </c>
      <c r="F578" s="48" t="str">
        <f t="shared" ref="F578:F632" si="65">"Q"&amp;ROUNDUP(MONTH(B578)/3,0)&amp;"-"&amp;YEAR(B578)</f>
        <v>Q3-2023</v>
      </c>
      <c r="G578" s="38" t="s">
        <v>52</v>
      </c>
      <c r="H578" s="38" t="s">
        <v>53</v>
      </c>
      <c r="I578" s="38" t="s">
        <v>179</v>
      </c>
      <c r="J578" s="38" t="s">
        <v>19</v>
      </c>
      <c r="K578" s="38" t="s">
        <v>28</v>
      </c>
      <c r="L578" s="38" t="s">
        <v>84</v>
      </c>
      <c r="M578" s="38" t="s">
        <v>35</v>
      </c>
      <c r="N578" s="38" t="s">
        <v>1255</v>
      </c>
      <c r="O578" s="48">
        <v>175.38</v>
      </c>
      <c r="P578" s="49" t="str">
        <f t="shared" ref="P578:P632" si="66">IF(Q578&lt;50, "Low", IF(Q578&lt;200, "Medium", "High"))</f>
        <v>High</v>
      </c>
      <c r="Q578" s="48">
        <v>347.9</v>
      </c>
      <c r="R578" s="48">
        <v>7.1999999999999995E-2</v>
      </c>
      <c r="S578" s="48">
        <v>43</v>
      </c>
      <c r="T578" s="48">
        <f t="shared" si="63"/>
        <v>109937.11616000001</v>
      </c>
      <c r="U578" s="38">
        <f t="shared" si="64"/>
        <v>7541.34</v>
      </c>
      <c r="V578" s="48">
        <f t="shared" ref="V578:V632" si="67">(T578-U578)</f>
        <v>102395.77616000001</v>
      </c>
      <c r="W578" s="50">
        <f t="shared" ref="W578:W632" si="68">IF(T578=0, 0, V578/T578)</f>
        <v>0.93140314878712571</v>
      </c>
    </row>
    <row r="579" spans="1:23" x14ac:dyDescent="0.3">
      <c r="A579" s="39" t="s">
        <v>1256</v>
      </c>
      <c r="B579" s="40">
        <v>45092</v>
      </c>
      <c r="C579" s="41">
        <v>45119</v>
      </c>
      <c r="D579" s="42">
        <f t="shared" si="62"/>
        <v>27</v>
      </c>
      <c r="E579" s="42" t="str">
        <f>TEXT(Data!B579,"MMM-YYYY")</f>
        <v>Jun-2023</v>
      </c>
      <c r="F579" s="42" t="str">
        <f t="shared" si="65"/>
        <v>Q2-2023</v>
      </c>
      <c r="G579" s="37" t="s">
        <v>78</v>
      </c>
      <c r="H579" s="37" t="s">
        <v>108</v>
      </c>
      <c r="I579" s="37" t="s">
        <v>228</v>
      </c>
      <c r="J579" s="37" t="s">
        <v>48</v>
      </c>
      <c r="K579" s="37" t="s">
        <v>98</v>
      </c>
      <c r="L579" s="37" t="s">
        <v>34</v>
      </c>
      <c r="M579" s="37" t="s">
        <v>81</v>
      </c>
      <c r="N579" s="37" t="s">
        <v>1257</v>
      </c>
      <c r="O579" s="42">
        <v>751.28</v>
      </c>
      <c r="P579" s="43" t="str">
        <f t="shared" si="66"/>
        <v>High</v>
      </c>
      <c r="Q579" s="42">
        <v>1111.8800000000001</v>
      </c>
      <c r="R579" s="42">
        <v>0.13500000000000001</v>
      </c>
      <c r="S579" s="42">
        <v>7</v>
      </c>
      <c r="T579" s="42">
        <f t="shared" si="63"/>
        <v>5827.9980499999992</v>
      </c>
      <c r="U579" s="37">
        <f t="shared" si="64"/>
        <v>5258.96</v>
      </c>
      <c r="V579" s="42">
        <f t="shared" si="67"/>
        <v>569.0380499999992</v>
      </c>
      <c r="W579" s="44">
        <f t="shared" si="68"/>
        <v>9.7638682291597417E-2</v>
      </c>
    </row>
    <row r="580" spans="1:23" x14ac:dyDescent="0.3">
      <c r="A580" s="45" t="s">
        <v>1258</v>
      </c>
      <c r="B580" s="46">
        <v>45607</v>
      </c>
      <c r="C580" s="47">
        <v>45620</v>
      </c>
      <c r="D580" s="48">
        <f t="shared" ref="D580:D632" si="69">DATEDIF(B580,C580, "MD")</f>
        <v>13</v>
      </c>
      <c r="E580" s="48" t="str">
        <f>TEXT(Data!B580,"MMM-YYYY")</f>
        <v>Nov-2024</v>
      </c>
      <c r="F580" s="48" t="str">
        <f t="shared" si="65"/>
        <v>Q4-2024</v>
      </c>
      <c r="G580" s="38" t="s">
        <v>78</v>
      </c>
      <c r="H580" s="38" t="s">
        <v>108</v>
      </c>
      <c r="I580" s="38" t="s">
        <v>152</v>
      </c>
      <c r="J580" s="38" t="s">
        <v>19</v>
      </c>
      <c r="K580" s="38" t="s">
        <v>20</v>
      </c>
      <c r="L580" s="38" t="s">
        <v>63</v>
      </c>
      <c r="M580" s="38" t="s">
        <v>35</v>
      </c>
      <c r="N580" s="38" t="s">
        <v>1259</v>
      </c>
      <c r="O580" s="48">
        <v>164.53</v>
      </c>
      <c r="P580" s="49" t="str">
        <f t="shared" si="66"/>
        <v>High</v>
      </c>
      <c r="Q580" s="48">
        <v>327.72</v>
      </c>
      <c r="R580" s="48">
        <v>6.7000000000000004E-2</v>
      </c>
      <c r="S580" s="48">
        <v>14</v>
      </c>
      <c r="T580" s="48">
        <f t="shared" si="63"/>
        <v>8728.9427399999986</v>
      </c>
      <c r="U580" s="38">
        <f t="shared" si="64"/>
        <v>2303.42</v>
      </c>
      <c r="V580" s="48">
        <f t="shared" si="67"/>
        <v>6425.5227399999985</v>
      </c>
      <c r="W580" s="50">
        <f t="shared" si="68"/>
        <v>0.73611695383855846</v>
      </c>
    </row>
    <row r="581" spans="1:23" x14ac:dyDescent="0.3">
      <c r="A581" s="39" t="s">
        <v>1260</v>
      </c>
      <c r="B581" s="40">
        <v>45849</v>
      </c>
      <c r="C581" s="41">
        <v>45872</v>
      </c>
      <c r="D581" s="42">
        <f t="shared" si="69"/>
        <v>23</v>
      </c>
      <c r="E581" s="42" t="str">
        <f>TEXT(Data!B581,"MMM-YYYY")</f>
        <v>Jul-2025</v>
      </c>
      <c r="F581" s="42" t="str">
        <f t="shared" si="65"/>
        <v>Q3-2025</v>
      </c>
      <c r="G581" s="37" t="s">
        <v>16</v>
      </c>
      <c r="H581" s="37" t="s">
        <v>17</v>
      </c>
      <c r="I581" s="37" t="s">
        <v>135</v>
      </c>
      <c r="J581" s="37" t="s">
        <v>62</v>
      </c>
      <c r="K581" s="37" t="s">
        <v>20</v>
      </c>
      <c r="L581" s="37" t="s">
        <v>21</v>
      </c>
      <c r="M581" s="37" t="s">
        <v>42</v>
      </c>
      <c r="N581" s="37" t="s">
        <v>1261</v>
      </c>
      <c r="O581" s="42">
        <v>389.93</v>
      </c>
      <c r="P581" s="43" t="str">
        <f t="shared" si="66"/>
        <v>High</v>
      </c>
      <c r="Q581" s="42">
        <v>486.13</v>
      </c>
      <c r="R581" s="42">
        <v>0.13200000000000001</v>
      </c>
      <c r="S581" s="42">
        <v>17</v>
      </c>
      <c r="T581" s="42">
        <f t="shared" si="63"/>
        <v>20722.29348</v>
      </c>
      <c r="U581" s="37">
        <f t="shared" si="64"/>
        <v>6628.81</v>
      </c>
      <c r="V581" s="42">
        <f t="shared" si="67"/>
        <v>14093.483479999999</v>
      </c>
      <c r="W581" s="44">
        <f t="shared" si="68"/>
        <v>0.6801121455789747</v>
      </c>
    </row>
    <row r="582" spans="1:23" x14ac:dyDescent="0.3">
      <c r="A582" s="45" t="s">
        <v>1262</v>
      </c>
      <c r="B582" s="46">
        <v>45080</v>
      </c>
      <c r="C582" s="47">
        <v>45108</v>
      </c>
      <c r="D582" s="48">
        <f t="shared" si="69"/>
        <v>28</v>
      </c>
      <c r="E582" s="48" t="str">
        <f>TEXT(Data!B582,"MMM-YYYY")</f>
        <v>Jun-2023</v>
      </c>
      <c r="F582" s="48" t="str">
        <f t="shared" si="65"/>
        <v>Q2-2023</v>
      </c>
      <c r="G582" s="38" t="s">
        <v>52</v>
      </c>
      <c r="H582" s="38" t="s">
        <v>73</v>
      </c>
      <c r="I582" s="38" t="s">
        <v>87</v>
      </c>
      <c r="J582" s="38" t="s">
        <v>62</v>
      </c>
      <c r="K582" s="38" t="s">
        <v>40</v>
      </c>
      <c r="L582" s="38" t="s">
        <v>75</v>
      </c>
      <c r="M582" s="38" t="s">
        <v>22</v>
      </c>
      <c r="N582" s="38" t="s">
        <v>1263</v>
      </c>
      <c r="O582" s="48">
        <v>860.4</v>
      </c>
      <c r="P582" s="49" t="str">
        <f t="shared" si="66"/>
        <v>High</v>
      </c>
      <c r="Q582" s="48">
        <v>2066.6</v>
      </c>
      <c r="R582" s="48">
        <v>0.01</v>
      </c>
      <c r="S582" s="48">
        <v>3</v>
      </c>
      <c r="T582" s="48">
        <f t="shared" si="63"/>
        <v>10661.9733</v>
      </c>
      <c r="U582" s="38">
        <f t="shared" si="64"/>
        <v>2581.1999999999998</v>
      </c>
      <c r="V582" s="48">
        <f t="shared" si="67"/>
        <v>8080.7732999999998</v>
      </c>
      <c r="W582" s="50">
        <f t="shared" si="68"/>
        <v>0.7579059778737206</v>
      </c>
    </row>
    <row r="583" spans="1:23" x14ac:dyDescent="0.3">
      <c r="A583" s="39" t="s">
        <v>1264</v>
      </c>
      <c r="B583" s="40">
        <v>44955</v>
      </c>
      <c r="C583" s="41">
        <v>44963</v>
      </c>
      <c r="D583" s="42">
        <f t="shared" si="69"/>
        <v>8</v>
      </c>
      <c r="E583" s="42" t="str">
        <f>TEXT(Data!B583,"MMM-YYYY")</f>
        <v>Jan-2023</v>
      </c>
      <c r="F583" s="42" t="str">
        <f t="shared" si="65"/>
        <v>Q1-2023</v>
      </c>
      <c r="G583" s="37" t="s">
        <v>52</v>
      </c>
      <c r="H583" s="37" t="s">
        <v>73</v>
      </c>
      <c r="I583" s="37" t="s">
        <v>87</v>
      </c>
      <c r="J583" s="37" t="s">
        <v>19</v>
      </c>
      <c r="K583" s="37" t="s">
        <v>40</v>
      </c>
      <c r="L583" s="37" t="s">
        <v>145</v>
      </c>
      <c r="M583" s="37" t="s">
        <v>64</v>
      </c>
      <c r="N583" s="37" t="s">
        <v>1265</v>
      </c>
      <c r="O583" s="42">
        <v>41.84</v>
      </c>
      <c r="P583" s="43" t="str">
        <f t="shared" si="66"/>
        <v>Medium</v>
      </c>
      <c r="Q583" s="42">
        <v>86.2</v>
      </c>
      <c r="R583" s="42">
        <v>0.22600000000000001</v>
      </c>
      <c r="S583" s="42">
        <v>27</v>
      </c>
      <c r="T583" s="42">
        <f t="shared" si="63"/>
        <v>4879.8919799999994</v>
      </c>
      <c r="U583" s="37">
        <f t="shared" si="64"/>
        <v>1129.68</v>
      </c>
      <c r="V583" s="42">
        <f t="shared" si="67"/>
        <v>3750.2119799999991</v>
      </c>
      <c r="W583" s="44">
        <f t="shared" si="68"/>
        <v>0.76850307247989524</v>
      </c>
    </row>
    <row r="584" spans="1:23" x14ac:dyDescent="0.3">
      <c r="A584" s="45" t="s">
        <v>1266</v>
      </c>
      <c r="B584" s="46">
        <v>45541</v>
      </c>
      <c r="C584" s="47">
        <v>45539</v>
      </c>
      <c r="D584" s="48">
        <f>DATEDIF(C584,B584, "MD")</f>
        <v>2</v>
      </c>
      <c r="E584" s="48" t="str">
        <f>TEXT(Data!B584,"MMM-YYYY")</f>
        <v>Sept-2024</v>
      </c>
      <c r="F584" s="48" t="str">
        <f t="shared" si="65"/>
        <v>Q3-2024</v>
      </c>
      <c r="G584" s="38" t="s">
        <v>45</v>
      </c>
      <c r="H584" s="38" t="s">
        <v>46</v>
      </c>
      <c r="I584" s="38" t="s">
        <v>47</v>
      </c>
      <c r="J584" s="38" t="s">
        <v>19</v>
      </c>
      <c r="K584" s="38" t="s">
        <v>98</v>
      </c>
      <c r="L584" s="38" t="s">
        <v>75</v>
      </c>
      <c r="M584" s="38" t="s">
        <v>57</v>
      </c>
      <c r="N584" s="38" t="s">
        <v>1267</v>
      </c>
      <c r="O584" s="48">
        <v>1368.17</v>
      </c>
      <c r="P584" s="49" t="str">
        <f t="shared" si="66"/>
        <v>High</v>
      </c>
      <c r="Q584" s="48">
        <v>2307.75</v>
      </c>
      <c r="R584" s="48">
        <v>0.16300000000000001</v>
      </c>
      <c r="S584" s="48">
        <v>21</v>
      </c>
      <c r="T584" s="48">
        <f t="shared" si="63"/>
        <v>2183.9422500000001</v>
      </c>
      <c r="U584" s="38">
        <f t="shared" si="64"/>
        <v>28731.57</v>
      </c>
      <c r="V584" s="48">
        <f t="shared" si="67"/>
        <v>-26547.62775</v>
      </c>
      <c r="W584" s="50">
        <f t="shared" si="68"/>
        <v>-12.155828639699607</v>
      </c>
    </row>
    <row r="585" spans="1:23" x14ac:dyDescent="0.3">
      <c r="A585" s="39" t="s">
        <v>1268</v>
      </c>
      <c r="B585" s="40">
        <v>45507</v>
      </c>
      <c r="C585" s="41">
        <v>45513</v>
      </c>
      <c r="D585" s="42">
        <f t="shared" si="69"/>
        <v>6</v>
      </c>
      <c r="E585" s="42" t="str">
        <f>TEXT(Data!B585,"MMM-YYYY")</f>
        <v>Aug-2024</v>
      </c>
      <c r="F585" s="42" t="str">
        <f t="shared" si="65"/>
        <v>Q3-2024</v>
      </c>
      <c r="G585" s="37" t="s">
        <v>16</v>
      </c>
      <c r="H585" s="37" t="s">
        <v>17</v>
      </c>
      <c r="I585" s="37" t="s">
        <v>113</v>
      </c>
      <c r="J585" s="37" t="s">
        <v>48</v>
      </c>
      <c r="K585" s="37" t="s">
        <v>40</v>
      </c>
      <c r="L585" s="37" t="s">
        <v>92</v>
      </c>
      <c r="M585" s="37" t="s">
        <v>57</v>
      </c>
      <c r="N585" s="37" t="s">
        <v>1269</v>
      </c>
      <c r="O585" s="42">
        <v>643.21</v>
      </c>
      <c r="P585" s="43" t="str">
        <f t="shared" si="66"/>
        <v>High</v>
      </c>
      <c r="Q585" s="42">
        <v>1112.81</v>
      </c>
      <c r="R585" s="42">
        <v>0.14099999999999999</v>
      </c>
      <c r="S585" s="42">
        <v>4</v>
      </c>
      <c r="T585" s="42">
        <f t="shared" si="63"/>
        <v>4918.1873199999991</v>
      </c>
      <c r="U585" s="37">
        <f t="shared" si="64"/>
        <v>2572.84</v>
      </c>
      <c r="V585" s="42">
        <f t="shared" si="67"/>
        <v>2345.3473199999989</v>
      </c>
      <c r="W585" s="44">
        <f t="shared" si="68"/>
        <v>0.47687230424562183</v>
      </c>
    </row>
    <row r="586" spans="1:23" x14ac:dyDescent="0.3">
      <c r="A586" s="45" t="s">
        <v>1270</v>
      </c>
      <c r="B586" s="46">
        <v>45764</v>
      </c>
      <c r="C586" s="47">
        <v>45764</v>
      </c>
      <c r="D586" s="48">
        <f t="shared" si="69"/>
        <v>0</v>
      </c>
      <c r="E586" s="48" t="str">
        <f>TEXT(Data!B586,"MMM-YYYY")</f>
        <v>Apr-2025</v>
      </c>
      <c r="F586" s="48" t="str">
        <f t="shared" si="65"/>
        <v>Q2-2025</v>
      </c>
      <c r="G586" s="38" t="s">
        <v>52</v>
      </c>
      <c r="H586" s="38" t="s">
        <v>73</v>
      </c>
      <c r="I586" s="38" t="s">
        <v>74</v>
      </c>
      <c r="J586" s="38" t="s">
        <v>19</v>
      </c>
      <c r="K586" s="38" t="s">
        <v>55</v>
      </c>
      <c r="L586" s="38" t="s">
        <v>49</v>
      </c>
      <c r="M586" s="38" t="s">
        <v>42</v>
      </c>
      <c r="N586" s="38" t="s">
        <v>1271</v>
      </c>
      <c r="O586" s="48">
        <v>719.41</v>
      </c>
      <c r="P586" s="49" t="str">
        <f t="shared" si="66"/>
        <v>High</v>
      </c>
      <c r="Q586" s="48">
        <v>1125.99</v>
      </c>
      <c r="R586" s="48">
        <v>4.1000000000000002E-2</v>
      </c>
      <c r="S586" s="48">
        <v>21</v>
      </c>
      <c r="T586" s="48">
        <f t="shared" si="63"/>
        <v>32132.177279999996</v>
      </c>
      <c r="U586" s="38">
        <f t="shared" si="64"/>
        <v>15107.609999999999</v>
      </c>
      <c r="V586" s="48">
        <f t="shared" si="67"/>
        <v>17024.567279999996</v>
      </c>
      <c r="W586" s="50">
        <f t="shared" si="68"/>
        <v>0.52982924660373332</v>
      </c>
    </row>
    <row r="587" spans="1:23" x14ac:dyDescent="0.3">
      <c r="A587" s="39" t="s">
        <v>1272</v>
      </c>
      <c r="B587" s="40">
        <v>45049</v>
      </c>
      <c r="C587" s="41">
        <v>45062</v>
      </c>
      <c r="D587" s="42">
        <f t="shared" si="69"/>
        <v>13</v>
      </c>
      <c r="E587" s="42" t="str">
        <f>TEXT(Data!B587,"MMM-YYYY")</f>
        <v>May-2023</v>
      </c>
      <c r="F587" s="42" t="str">
        <f t="shared" si="65"/>
        <v>Q2-2023</v>
      </c>
      <c r="G587" s="37" t="s">
        <v>52</v>
      </c>
      <c r="H587" s="37" t="s">
        <v>122</v>
      </c>
      <c r="I587" s="37" t="s">
        <v>387</v>
      </c>
      <c r="J587" s="37" t="s">
        <v>19</v>
      </c>
      <c r="K587" s="37" t="s">
        <v>40</v>
      </c>
      <c r="L587" s="37" t="s">
        <v>49</v>
      </c>
      <c r="M587" s="37" t="s">
        <v>42</v>
      </c>
      <c r="N587" s="37" t="s">
        <v>1273</v>
      </c>
      <c r="O587" s="42">
        <v>64.5</v>
      </c>
      <c r="P587" s="43" t="str">
        <f t="shared" si="66"/>
        <v>Medium</v>
      </c>
      <c r="Q587" s="42">
        <v>123.62</v>
      </c>
      <c r="R587" s="42">
        <v>0</v>
      </c>
      <c r="S587" s="42">
        <v>3</v>
      </c>
      <c r="T587" s="42">
        <f t="shared" si="63"/>
        <v>3085.38</v>
      </c>
      <c r="U587" s="37">
        <f t="shared" si="64"/>
        <v>193.5</v>
      </c>
      <c r="V587" s="42">
        <f t="shared" si="67"/>
        <v>2891.88</v>
      </c>
      <c r="W587" s="44">
        <f t="shared" si="68"/>
        <v>0.93728487252785719</v>
      </c>
    </row>
    <row r="588" spans="1:23" x14ac:dyDescent="0.3">
      <c r="A588" s="45" t="s">
        <v>1274</v>
      </c>
      <c r="B588" s="46">
        <v>45364</v>
      </c>
      <c r="C588" s="47">
        <v>45388</v>
      </c>
      <c r="D588" s="48">
        <f t="shared" si="69"/>
        <v>24</v>
      </c>
      <c r="E588" s="48" t="str">
        <f>TEXT(Data!B588,"MMM-YYYY")</f>
        <v>Mar-2024</v>
      </c>
      <c r="F588" s="48" t="str">
        <f t="shared" si="65"/>
        <v>Q1-2024</v>
      </c>
      <c r="G588" s="38" t="s">
        <v>16</v>
      </c>
      <c r="H588" s="38" t="s">
        <v>25</v>
      </c>
      <c r="I588" s="38" t="s">
        <v>67</v>
      </c>
      <c r="J588" s="38" t="s">
        <v>48</v>
      </c>
      <c r="K588" s="38" t="s">
        <v>55</v>
      </c>
      <c r="L588" s="38" t="s">
        <v>49</v>
      </c>
      <c r="M588" s="38" t="s">
        <v>22</v>
      </c>
      <c r="N588" s="38" t="s">
        <v>1275</v>
      </c>
      <c r="O588" s="48">
        <v>1232.78</v>
      </c>
      <c r="P588" s="49" t="str">
        <f t="shared" si="66"/>
        <v>High</v>
      </c>
      <c r="Q588" s="48">
        <v>1731.75</v>
      </c>
      <c r="R588" s="48">
        <v>9.2999999999999999E-2</v>
      </c>
      <c r="S588" s="48">
        <v>16</v>
      </c>
      <c r="T588" s="48">
        <f t="shared" si="63"/>
        <v>46878.839200000002</v>
      </c>
      <c r="U588" s="38">
        <f t="shared" si="64"/>
        <v>19724.48</v>
      </c>
      <c r="V588" s="48">
        <f t="shared" si="67"/>
        <v>27154.359200000003</v>
      </c>
      <c r="W588" s="50">
        <f t="shared" si="68"/>
        <v>0.5792455543566446</v>
      </c>
    </row>
    <row r="589" spans="1:23" x14ac:dyDescent="0.3">
      <c r="A589" s="39" t="s">
        <v>1276</v>
      </c>
      <c r="B589" s="40">
        <v>45459</v>
      </c>
      <c r="C589" s="41">
        <v>45464</v>
      </c>
      <c r="D589" s="42">
        <f t="shared" si="69"/>
        <v>5</v>
      </c>
      <c r="E589" s="42" t="str">
        <f>TEXT(Data!B589,"MMM-YYYY")</f>
        <v>Jun-2024</v>
      </c>
      <c r="F589" s="42" t="str">
        <f t="shared" si="65"/>
        <v>Q2-2024</v>
      </c>
      <c r="G589" s="37" t="s">
        <v>45</v>
      </c>
      <c r="H589" s="37" t="s">
        <v>46</v>
      </c>
      <c r="I589" s="37" t="s">
        <v>214</v>
      </c>
      <c r="J589" s="37" t="s">
        <v>62</v>
      </c>
      <c r="K589" s="37" t="s">
        <v>55</v>
      </c>
      <c r="L589" s="37" t="s">
        <v>84</v>
      </c>
      <c r="M589" s="37" t="s">
        <v>42</v>
      </c>
      <c r="N589" s="37" t="s">
        <v>1277</v>
      </c>
      <c r="O589" s="42">
        <v>1367.13</v>
      </c>
      <c r="P589" s="43" t="str">
        <f t="shared" si="66"/>
        <v>High</v>
      </c>
      <c r="Q589" s="42">
        <v>3062.01</v>
      </c>
      <c r="R589" s="42">
        <v>0.10299999999999999</v>
      </c>
      <c r="S589" s="42">
        <v>25</v>
      </c>
      <c r="T589" s="42">
        <f t="shared" si="63"/>
        <v>62557.004249999998</v>
      </c>
      <c r="U589" s="37">
        <f t="shared" si="64"/>
        <v>34178.25</v>
      </c>
      <c r="V589" s="42">
        <f t="shared" si="67"/>
        <v>28378.754249999998</v>
      </c>
      <c r="W589" s="44">
        <f t="shared" si="68"/>
        <v>0.45364631171576603</v>
      </c>
    </row>
    <row r="590" spans="1:23" x14ac:dyDescent="0.3">
      <c r="A590" s="45" t="s">
        <v>1278</v>
      </c>
      <c r="B590" s="46">
        <v>45703</v>
      </c>
      <c r="C590" s="47">
        <v>45715</v>
      </c>
      <c r="D590" s="48">
        <f t="shared" si="69"/>
        <v>12</v>
      </c>
      <c r="E590" s="48" t="str">
        <f>TEXT(Data!B590,"MMM-YYYY")</f>
        <v>Feb-2025</v>
      </c>
      <c r="F590" s="48" t="str">
        <f t="shared" si="65"/>
        <v>Q1-2025</v>
      </c>
      <c r="G590" s="38" t="s">
        <v>78</v>
      </c>
      <c r="H590" s="38" t="s">
        <v>90</v>
      </c>
      <c r="I590" s="38" t="s">
        <v>138</v>
      </c>
      <c r="J590" s="38" t="s">
        <v>39</v>
      </c>
      <c r="K590" s="38" t="s">
        <v>98</v>
      </c>
      <c r="L590" s="38" t="s">
        <v>95</v>
      </c>
      <c r="M590" s="38" t="s">
        <v>81</v>
      </c>
      <c r="N590" s="38" t="s">
        <v>1279</v>
      </c>
      <c r="O590" s="48">
        <v>1027.26</v>
      </c>
      <c r="P590" s="49" t="str">
        <f t="shared" si="66"/>
        <v>High</v>
      </c>
      <c r="Q590" s="48">
        <v>2200.41</v>
      </c>
      <c r="R590" s="48">
        <v>8.7999999999999995E-2</v>
      </c>
      <c r="S590" s="48">
        <v>6</v>
      </c>
      <c r="T590" s="48">
        <f t="shared" si="63"/>
        <v>10384.433280000001</v>
      </c>
      <c r="U590" s="38">
        <f t="shared" si="64"/>
        <v>6163.5599999999995</v>
      </c>
      <c r="V590" s="48">
        <f t="shared" si="67"/>
        <v>4220.8732800000016</v>
      </c>
      <c r="W590" s="50">
        <f t="shared" si="68"/>
        <v>0.40646159171047236</v>
      </c>
    </row>
    <row r="591" spans="1:23" x14ac:dyDescent="0.3">
      <c r="A591" s="39" t="s">
        <v>1280</v>
      </c>
      <c r="B591" s="40">
        <v>45019</v>
      </c>
      <c r="C591" s="41">
        <v>45032</v>
      </c>
      <c r="D591" s="42">
        <f t="shared" si="69"/>
        <v>13</v>
      </c>
      <c r="E591" s="42" t="str">
        <f>TEXT(Data!B591,"MMM-YYYY")</f>
        <v>Apr-2023</v>
      </c>
      <c r="F591" s="42" t="str">
        <f t="shared" si="65"/>
        <v>Q2-2023</v>
      </c>
      <c r="G591" s="37" t="s">
        <v>78</v>
      </c>
      <c r="H591" s="37" t="s">
        <v>90</v>
      </c>
      <c r="I591" s="37" t="s">
        <v>91</v>
      </c>
      <c r="J591" s="37" t="s">
        <v>39</v>
      </c>
      <c r="K591" s="37" t="s">
        <v>40</v>
      </c>
      <c r="L591" s="37" t="s">
        <v>110</v>
      </c>
      <c r="M591" s="37" t="s">
        <v>81</v>
      </c>
      <c r="N591" s="37" t="s">
        <v>1281</v>
      </c>
      <c r="O591" s="42">
        <v>790.54</v>
      </c>
      <c r="P591" s="43" t="str">
        <f t="shared" si="66"/>
        <v>High</v>
      </c>
      <c r="Q591" s="42">
        <v>601.49</v>
      </c>
      <c r="R591" s="42">
        <v>0</v>
      </c>
      <c r="S591" s="42">
        <v>15</v>
      </c>
      <c r="T591" s="42">
        <f t="shared" si="63"/>
        <v>13537.050000000001</v>
      </c>
      <c r="U591" s="37">
        <f t="shared" si="64"/>
        <v>11858.099999999999</v>
      </c>
      <c r="V591" s="42">
        <f t="shared" si="67"/>
        <v>1678.9500000000025</v>
      </c>
      <c r="W591" s="44">
        <f t="shared" si="68"/>
        <v>0.12402628342216379</v>
      </c>
    </row>
    <row r="592" spans="1:23" x14ac:dyDescent="0.3">
      <c r="A592" s="45" t="s">
        <v>1282</v>
      </c>
      <c r="B592" s="46">
        <v>45899</v>
      </c>
      <c r="C592" s="47">
        <v>45922</v>
      </c>
      <c r="D592" s="48">
        <f t="shared" si="69"/>
        <v>23</v>
      </c>
      <c r="E592" s="48" t="str">
        <f>TEXT(Data!B592,"MMM-YYYY")</f>
        <v>Aug-2025</v>
      </c>
      <c r="F592" s="48" t="str">
        <f t="shared" si="65"/>
        <v>Q3-2025</v>
      </c>
      <c r="G592" s="38" t="s">
        <v>78</v>
      </c>
      <c r="H592" s="38" t="s">
        <v>90</v>
      </c>
      <c r="I592" s="38" t="s">
        <v>91</v>
      </c>
      <c r="J592" s="38" t="s">
        <v>19</v>
      </c>
      <c r="K592" s="38" t="s">
        <v>98</v>
      </c>
      <c r="L592" s="38" t="s">
        <v>63</v>
      </c>
      <c r="M592" s="38" t="s">
        <v>22</v>
      </c>
      <c r="N592" s="38" t="s">
        <v>1283</v>
      </c>
      <c r="O592" s="48">
        <v>663.9</v>
      </c>
      <c r="P592" s="49" t="str">
        <f t="shared" si="66"/>
        <v>High</v>
      </c>
      <c r="Q592" s="48">
        <v>947.77</v>
      </c>
      <c r="R592" s="48">
        <v>0.17399999999999999</v>
      </c>
      <c r="S592" s="48">
        <v>15</v>
      </c>
      <c r="T592" s="48">
        <f t="shared" si="63"/>
        <v>-417.04740000000004</v>
      </c>
      <c r="U592" s="38">
        <f t="shared" si="64"/>
        <v>9958.5</v>
      </c>
      <c r="V592" s="48">
        <f t="shared" si="67"/>
        <v>-10375.547399999999</v>
      </c>
      <c r="W592" s="50">
        <f t="shared" si="68"/>
        <v>24.878580708092169</v>
      </c>
    </row>
    <row r="593" spans="1:23" x14ac:dyDescent="0.3">
      <c r="A593" s="39" t="s">
        <v>1284</v>
      </c>
      <c r="B593" s="40">
        <v>44984</v>
      </c>
      <c r="C593" s="41">
        <v>44983</v>
      </c>
      <c r="D593" s="42">
        <f>DATEDIF(C593,B593, "MD")</f>
        <v>1</v>
      </c>
      <c r="E593" s="42" t="str">
        <f>TEXT(Data!B593,"MMM-YYYY")</f>
        <v>Feb-2023</v>
      </c>
      <c r="F593" s="42" t="str">
        <f t="shared" si="65"/>
        <v>Q1-2023</v>
      </c>
      <c r="G593" s="37" t="s">
        <v>52</v>
      </c>
      <c r="H593" s="37" t="s">
        <v>122</v>
      </c>
      <c r="I593" s="37" t="s">
        <v>167</v>
      </c>
      <c r="J593" s="37" t="s">
        <v>39</v>
      </c>
      <c r="K593" s="37" t="s">
        <v>28</v>
      </c>
      <c r="L593" s="37" t="s">
        <v>49</v>
      </c>
      <c r="M593" s="37" t="s">
        <v>35</v>
      </c>
      <c r="N593" s="37" t="s">
        <v>1285</v>
      </c>
      <c r="O593" s="42">
        <v>1015.91</v>
      </c>
      <c r="P593" s="43" t="str">
        <f t="shared" si="66"/>
        <v>High</v>
      </c>
      <c r="Q593" s="42">
        <v>2331.48</v>
      </c>
      <c r="R593" s="42">
        <v>0.14599999999999999</v>
      </c>
      <c r="S593" s="42">
        <v>26</v>
      </c>
      <c r="T593" s="42">
        <f t="shared" si="63"/>
        <v>24128.64272</v>
      </c>
      <c r="U593" s="37">
        <f t="shared" si="64"/>
        <v>26413.66</v>
      </c>
      <c r="V593" s="42">
        <f t="shared" si="67"/>
        <v>-2285.01728</v>
      </c>
      <c r="W593" s="44">
        <f t="shared" si="68"/>
        <v>-9.4701442866737429E-2</v>
      </c>
    </row>
    <row r="594" spans="1:23" x14ac:dyDescent="0.3">
      <c r="A594" s="45" t="s">
        <v>1286</v>
      </c>
      <c r="B594" s="46">
        <v>45504</v>
      </c>
      <c r="C594" s="47">
        <v>45519</v>
      </c>
      <c r="D594" s="48">
        <f t="shared" si="69"/>
        <v>15</v>
      </c>
      <c r="E594" s="48" t="str">
        <f>TEXT(Data!B594,"MMM-YYYY")</f>
        <v>Jul-2024</v>
      </c>
      <c r="F594" s="48" t="str">
        <f t="shared" si="65"/>
        <v>Q3-2024</v>
      </c>
      <c r="G594" s="38" t="s">
        <v>45</v>
      </c>
      <c r="H594" s="38" t="s">
        <v>46</v>
      </c>
      <c r="I594" s="38" t="s">
        <v>214</v>
      </c>
      <c r="J594" s="38" t="s">
        <v>19</v>
      </c>
      <c r="K594" s="38" t="s">
        <v>40</v>
      </c>
      <c r="L594" s="38" t="s">
        <v>84</v>
      </c>
      <c r="M594" s="38" t="s">
        <v>64</v>
      </c>
      <c r="N594" s="38" t="s">
        <v>1287</v>
      </c>
      <c r="O594" s="48">
        <v>1252.52</v>
      </c>
      <c r="P594" s="49" t="str">
        <f t="shared" si="66"/>
        <v>High</v>
      </c>
      <c r="Q594" s="48">
        <v>1417.24</v>
      </c>
      <c r="R594" s="48">
        <v>0.192</v>
      </c>
      <c r="S594" s="48">
        <v>5</v>
      </c>
      <c r="T594" s="48">
        <f t="shared" si="63"/>
        <v>4083.4300000000003</v>
      </c>
      <c r="U594" s="38">
        <f t="shared" si="64"/>
        <v>6262.6</v>
      </c>
      <c r="V594" s="48">
        <f t="shared" si="67"/>
        <v>-2179.17</v>
      </c>
      <c r="W594" s="50">
        <f t="shared" si="68"/>
        <v>-0.53366165209150151</v>
      </c>
    </row>
    <row r="595" spans="1:23" x14ac:dyDescent="0.3">
      <c r="A595" s="39" t="s">
        <v>1288</v>
      </c>
      <c r="B595" s="40">
        <v>45823</v>
      </c>
      <c r="C595" s="41">
        <v>45850</v>
      </c>
      <c r="D595" s="42">
        <f t="shared" si="69"/>
        <v>27</v>
      </c>
      <c r="E595" s="42" t="str">
        <f>TEXT(Data!B595,"MMM-YYYY")</f>
        <v>Jun-2025</v>
      </c>
      <c r="F595" s="42" t="str">
        <f t="shared" si="65"/>
        <v>Q2-2025</v>
      </c>
      <c r="G595" s="37" t="s">
        <v>78</v>
      </c>
      <c r="H595" s="37" t="s">
        <v>90</v>
      </c>
      <c r="I595" s="37" t="s">
        <v>91</v>
      </c>
      <c r="J595" s="37" t="s">
        <v>48</v>
      </c>
      <c r="K595" s="37" t="s">
        <v>98</v>
      </c>
      <c r="L595" s="37" t="s">
        <v>21</v>
      </c>
      <c r="M595" s="37" t="s">
        <v>81</v>
      </c>
      <c r="N595" s="37" t="s">
        <v>1289</v>
      </c>
      <c r="O595" s="42">
        <v>318.83</v>
      </c>
      <c r="P595" s="43" t="str">
        <f t="shared" si="66"/>
        <v>High</v>
      </c>
      <c r="Q595" s="42">
        <v>699.5</v>
      </c>
      <c r="R595" s="42">
        <v>0.08</v>
      </c>
      <c r="S595" s="42">
        <v>13</v>
      </c>
      <c r="T595" s="42">
        <f t="shared" si="63"/>
        <v>4921.3008</v>
      </c>
      <c r="U595" s="37">
        <f t="shared" si="64"/>
        <v>4144.79</v>
      </c>
      <c r="V595" s="42">
        <f t="shared" si="67"/>
        <v>776.51080000000002</v>
      </c>
      <c r="W595" s="44">
        <f t="shared" si="68"/>
        <v>0.15778568137919957</v>
      </c>
    </row>
    <row r="596" spans="1:23" x14ac:dyDescent="0.3">
      <c r="A596" s="45" t="s">
        <v>1290</v>
      </c>
      <c r="B596" s="46">
        <v>45473</v>
      </c>
      <c r="C596" s="47">
        <v>45494</v>
      </c>
      <c r="D596" s="48">
        <f t="shared" si="69"/>
        <v>21</v>
      </c>
      <c r="E596" s="48" t="str">
        <f>TEXT(Data!B596,"MMM-YYYY")</f>
        <v>Jun-2024</v>
      </c>
      <c r="F596" s="48" t="str">
        <f t="shared" si="65"/>
        <v>Q2-2024</v>
      </c>
      <c r="G596" s="38" t="s">
        <v>16</v>
      </c>
      <c r="H596" s="38" t="s">
        <v>17</v>
      </c>
      <c r="I596" s="38" t="s">
        <v>18</v>
      </c>
      <c r="J596" s="38" t="s">
        <v>62</v>
      </c>
      <c r="K596" s="38" t="s">
        <v>20</v>
      </c>
      <c r="L596" s="38" t="s">
        <v>95</v>
      </c>
      <c r="M596" s="38" t="s">
        <v>57</v>
      </c>
      <c r="N596" s="38" t="s">
        <v>1291</v>
      </c>
      <c r="O596" s="48">
        <v>753.43</v>
      </c>
      <c r="P596" s="49" t="str">
        <f t="shared" si="66"/>
        <v>High</v>
      </c>
      <c r="Q596" s="48">
        <v>1787.2</v>
      </c>
      <c r="R596" s="48">
        <v>7.2999999999999995E-2</v>
      </c>
      <c r="S596" s="48">
        <v>9</v>
      </c>
      <c r="T596" s="48">
        <f t="shared" si="63"/>
        <v>3448.4956200000001</v>
      </c>
      <c r="U596" s="38">
        <f t="shared" si="64"/>
        <v>6780.87</v>
      </c>
      <c r="V596" s="48">
        <f t="shared" si="67"/>
        <v>-3332.3743799999997</v>
      </c>
      <c r="W596" s="50">
        <f t="shared" si="68"/>
        <v>-0.9663269863744236</v>
      </c>
    </row>
    <row r="597" spans="1:23" x14ac:dyDescent="0.3">
      <c r="A597" s="39" t="s">
        <v>1292</v>
      </c>
      <c r="B597" s="40">
        <v>45705</v>
      </c>
      <c r="C597" s="41">
        <v>45703</v>
      </c>
      <c r="D597" s="42">
        <f>DATEDIF(C597,B597, "MD")</f>
        <v>2</v>
      </c>
      <c r="E597" s="42" t="str">
        <f>TEXT(Data!B597,"MMM-YYYY")</f>
        <v>Feb-2025</v>
      </c>
      <c r="F597" s="42" t="str">
        <f t="shared" si="65"/>
        <v>Q1-2025</v>
      </c>
      <c r="G597" s="37" t="s">
        <v>52</v>
      </c>
      <c r="H597" s="37" t="s">
        <v>53</v>
      </c>
      <c r="I597" s="37" t="s">
        <v>54</v>
      </c>
      <c r="J597" s="37" t="s">
        <v>62</v>
      </c>
      <c r="K597" s="37" t="s">
        <v>20</v>
      </c>
      <c r="L597" s="37" t="s">
        <v>145</v>
      </c>
      <c r="M597" s="37" t="s">
        <v>22</v>
      </c>
      <c r="N597" s="37" t="s">
        <v>1293</v>
      </c>
      <c r="O597" s="42">
        <v>1133.47</v>
      </c>
      <c r="P597" s="43" t="str">
        <f t="shared" si="66"/>
        <v>High</v>
      </c>
      <c r="Q597" s="42">
        <v>1698.75</v>
      </c>
      <c r="R597" s="42">
        <v>4.2999999999999997E-2</v>
      </c>
      <c r="S597" s="42">
        <v>5</v>
      </c>
      <c r="T597" s="42">
        <f t="shared" si="63"/>
        <v>7459.2886500000004</v>
      </c>
      <c r="U597" s="37">
        <f t="shared" si="64"/>
        <v>5667.35</v>
      </c>
      <c r="V597" s="42">
        <f t="shared" si="67"/>
        <v>1791.9386500000001</v>
      </c>
      <c r="W597" s="44">
        <f t="shared" si="68"/>
        <v>0.24022916045754578</v>
      </c>
    </row>
    <row r="598" spans="1:23" x14ac:dyDescent="0.3">
      <c r="A598" s="45" t="s">
        <v>1294</v>
      </c>
      <c r="B598" s="46">
        <v>44933</v>
      </c>
      <c r="C598" s="47">
        <v>44956</v>
      </c>
      <c r="D598" s="48">
        <f t="shared" si="69"/>
        <v>23</v>
      </c>
      <c r="E598" s="48" t="str">
        <f>TEXT(Data!B598,"MMM-YYYY")</f>
        <v>Jan-2023</v>
      </c>
      <c r="F598" s="48" t="str">
        <f t="shared" si="65"/>
        <v>Q1-2023</v>
      </c>
      <c r="G598" s="38" t="s">
        <v>16</v>
      </c>
      <c r="H598" s="38" t="s">
        <v>148</v>
      </c>
      <c r="I598" s="38" t="s">
        <v>258</v>
      </c>
      <c r="J598" s="38" t="s">
        <v>48</v>
      </c>
      <c r="K598" s="38" t="s">
        <v>28</v>
      </c>
      <c r="L598" s="38" t="s">
        <v>75</v>
      </c>
      <c r="M598" s="38" t="s">
        <v>30</v>
      </c>
      <c r="N598" s="38" t="s">
        <v>1295</v>
      </c>
      <c r="O598" s="48">
        <v>299.02</v>
      </c>
      <c r="P598" s="49" t="str">
        <f t="shared" si="66"/>
        <v>High</v>
      </c>
      <c r="Q598" s="48">
        <v>724.7</v>
      </c>
      <c r="R598" s="48">
        <v>0.14000000000000001</v>
      </c>
      <c r="S598" s="48">
        <v>5</v>
      </c>
      <c r="T598" s="48">
        <f t="shared" si="63"/>
        <v>3702.9880000000003</v>
      </c>
      <c r="U598" s="38">
        <f t="shared" si="64"/>
        <v>1495.1</v>
      </c>
      <c r="V598" s="48">
        <f t="shared" si="67"/>
        <v>2207.8880000000004</v>
      </c>
      <c r="W598" s="50">
        <f t="shared" si="68"/>
        <v>0.59624497837962209</v>
      </c>
    </row>
    <row r="599" spans="1:23" x14ac:dyDescent="0.3">
      <c r="A599" s="39" t="s">
        <v>1296</v>
      </c>
      <c r="B599" s="40">
        <v>45726</v>
      </c>
      <c r="C599" s="41">
        <v>45751</v>
      </c>
      <c r="D599" s="42">
        <f t="shared" si="69"/>
        <v>25</v>
      </c>
      <c r="E599" s="42" t="str">
        <f>TEXT(Data!B599,"MMM-YYYY")</f>
        <v>Mar-2025</v>
      </c>
      <c r="F599" s="42" t="str">
        <f t="shared" si="65"/>
        <v>Q1-2025</v>
      </c>
      <c r="G599" s="37" t="s">
        <v>45</v>
      </c>
      <c r="H599" s="37" t="s">
        <v>46</v>
      </c>
      <c r="I599" s="37" t="s">
        <v>47</v>
      </c>
      <c r="J599" s="37" t="s">
        <v>19</v>
      </c>
      <c r="K599" s="37" t="s">
        <v>98</v>
      </c>
      <c r="L599" s="37" t="s">
        <v>92</v>
      </c>
      <c r="M599" s="37" t="s">
        <v>30</v>
      </c>
      <c r="N599" s="37" t="s">
        <v>1297</v>
      </c>
      <c r="O599" s="42">
        <v>783.72</v>
      </c>
      <c r="P599" s="43" t="str">
        <f t="shared" si="66"/>
        <v>High</v>
      </c>
      <c r="Q599" s="42">
        <v>1355.94</v>
      </c>
      <c r="R599" s="42">
        <v>0.187</v>
      </c>
      <c r="S599" s="42">
        <v>4</v>
      </c>
      <c r="T599" s="42">
        <f t="shared" si="63"/>
        <v>7467.4049999999997</v>
      </c>
      <c r="U599" s="37">
        <f t="shared" si="64"/>
        <v>3134.88</v>
      </c>
      <c r="V599" s="42">
        <f t="shared" si="67"/>
        <v>4332.5249999999996</v>
      </c>
      <c r="W599" s="44">
        <f t="shared" si="68"/>
        <v>0.58019151231251009</v>
      </c>
    </row>
    <row r="600" spans="1:23" x14ac:dyDescent="0.3">
      <c r="A600" s="45" t="s">
        <v>1298</v>
      </c>
      <c r="B600" s="46">
        <v>45521</v>
      </c>
      <c r="C600" s="47">
        <v>45519</v>
      </c>
      <c r="D600" s="48">
        <f>DATEDIF(C600,B600, "MD")</f>
        <v>2</v>
      </c>
      <c r="E600" s="48" t="str">
        <f>TEXT(Data!B600,"MMM-YYYY")</f>
        <v>Aug-2024</v>
      </c>
      <c r="F600" s="48" t="str">
        <f t="shared" si="65"/>
        <v>Q3-2024</v>
      </c>
      <c r="G600" s="38" t="s">
        <v>52</v>
      </c>
      <c r="H600" s="38" t="s">
        <v>73</v>
      </c>
      <c r="I600" s="38" t="s">
        <v>225</v>
      </c>
      <c r="J600" s="38" t="s">
        <v>48</v>
      </c>
      <c r="K600" s="38" t="s">
        <v>98</v>
      </c>
      <c r="L600" s="38" t="s">
        <v>110</v>
      </c>
      <c r="M600" s="38" t="s">
        <v>64</v>
      </c>
      <c r="N600" s="38" t="s">
        <v>1299</v>
      </c>
      <c r="O600" s="48">
        <v>165.3</v>
      </c>
      <c r="P600" s="49" t="str">
        <f t="shared" si="66"/>
        <v>High</v>
      </c>
      <c r="Q600" s="48">
        <v>275.07</v>
      </c>
      <c r="R600" s="48">
        <v>0.13300000000000001</v>
      </c>
      <c r="S600" s="48">
        <v>25</v>
      </c>
      <c r="T600" s="48">
        <f t="shared" si="63"/>
        <v>57148.305</v>
      </c>
      <c r="U600" s="38">
        <f t="shared" si="64"/>
        <v>4132.5</v>
      </c>
      <c r="V600" s="48">
        <f t="shared" si="67"/>
        <v>53015.805</v>
      </c>
      <c r="W600" s="50">
        <f t="shared" si="68"/>
        <v>0.92768814403156841</v>
      </c>
    </row>
    <row r="601" spans="1:23" x14ac:dyDescent="0.3">
      <c r="A601" s="39" t="s">
        <v>1300</v>
      </c>
      <c r="B601" s="40">
        <v>45360</v>
      </c>
      <c r="C601" s="41">
        <v>45373</v>
      </c>
      <c r="D601" s="42">
        <f t="shared" si="69"/>
        <v>13</v>
      </c>
      <c r="E601" s="42" t="str">
        <f>TEXT(Data!B601,"MMM-YYYY")</f>
        <v>Mar-2024</v>
      </c>
      <c r="F601" s="42" t="str">
        <f t="shared" si="65"/>
        <v>Q1-2024</v>
      </c>
      <c r="G601" s="37" t="s">
        <v>78</v>
      </c>
      <c r="H601" s="37" t="s">
        <v>108</v>
      </c>
      <c r="I601" s="37" t="s">
        <v>228</v>
      </c>
      <c r="J601" s="37" t="s">
        <v>48</v>
      </c>
      <c r="K601" s="37" t="s">
        <v>28</v>
      </c>
      <c r="L601" s="37" t="s">
        <v>63</v>
      </c>
      <c r="M601" s="37" t="s">
        <v>57</v>
      </c>
      <c r="N601" s="37" t="s">
        <v>1301</v>
      </c>
      <c r="O601" s="42">
        <v>985.45</v>
      </c>
      <c r="P601" s="43" t="str">
        <f t="shared" si="66"/>
        <v>High</v>
      </c>
      <c r="Q601" s="42">
        <v>1802.44</v>
      </c>
      <c r="R601" s="42">
        <v>8.9999999999999993E-3</v>
      </c>
      <c r="S601" s="42">
        <v>19</v>
      </c>
      <c r="T601" s="42">
        <f t="shared" si="63"/>
        <v>18416.456609999997</v>
      </c>
      <c r="U601" s="37">
        <f t="shared" si="64"/>
        <v>18723.55</v>
      </c>
      <c r="V601" s="42">
        <f t="shared" si="67"/>
        <v>-307.09339000000182</v>
      </c>
      <c r="W601" s="44">
        <f t="shared" si="68"/>
        <v>-1.6674944399089911E-2</v>
      </c>
    </row>
    <row r="602" spans="1:23" x14ac:dyDescent="0.3">
      <c r="A602" s="45" t="s">
        <v>1302</v>
      </c>
      <c r="B602" s="46">
        <v>45523</v>
      </c>
      <c r="C602" s="47">
        <v>45537</v>
      </c>
      <c r="D602" s="48">
        <f t="shared" si="69"/>
        <v>14</v>
      </c>
      <c r="E602" s="48" t="str">
        <f>TEXT(Data!B602,"MMM-YYYY")</f>
        <v>Aug-2024</v>
      </c>
      <c r="F602" s="48" t="str">
        <f t="shared" si="65"/>
        <v>Q3-2024</v>
      </c>
      <c r="G602" s="38" t="s">
        <v>52</v>
      </c>
      <c r="H602" s="38" t="s">
        <v>53</v>
      </c>
      <c r="I602" s="38" t="s">
        <v>54</v>
      </c>
      <c r="J602" s="38" t="s">
        <v>48</v>
      </c>
      <c r="K602" s="38" t="s">
        <v>55</v>
      </c>
      <c r="L602" s="38" t="s">
        <v>21</v>
      </c>
      <c r="M602" s="38" t="s">
        <v>30</v>
      </c>
      <c r="N602" s="38" t="s">
        <v>1303</v>
      </c>
      <c r="O602" s="48">
        <v>1337.01</v>
      </c>
      <c r="P602" s="49" t="str">
        <f t="shared" si="66"/>
        <v>High</v>
      </c>
      <c r="Q602" s="48">
        <v>1269.78</v>
      </c>
      <c r="R602" s="48">
        <v>0.16</v>
      </c>
      <c r="S602" s="48">
        <v>7</v>
      </c>
      <c r="T602" s="48">
        <f t="shared" si="63"/>
        <v>3208.8335999999999</v>
      </c>
      <c r="U602" s="38">
        <f t="shared" si="64"/>
        <v>9359.07</v>
      </c>
      <c r="V602" s="48">
        <f t="shared" si="67"/>
        <v>-6150.2363999999998</v>
      </c>
      <c r="W602" s="50">
        <f t="shared" si="68"/>
        <v>-1.916657940754547</v>
      </c>
    </row>
    <row r="603" spans="1:23" x14ac:dyDescent="0.3">
      <c r="A603" s="39" t="s">
        <v>1304</v>
      </c>
      <c r="B603" s="40">
        <v>45880</v>
      </c>
      <c r="C603" s="41">
        <v>45897</v>
      </c>
      <c r="D603" s="42">
        <f t="shared" si="69"/>
        <v>17</v>
      </c>
      <c r="E603" s="42" t="str">
        <f>TEXT(Data!B603,"MMM-YYYY")</f>
        <v>Aug-2025</v>
      </c>
      <c r="F603" s="42" t="str">
        <f t="shared" si="65"/>
        <v>Q3-2025</v>
      </c>
      <c r="G603" s="37" t="s">
        <v>78</v>
      </c>
      <c r="H603" s="37" t="s">
        <v>90</v>
      </c>
      <c r="I603" s="37" t="s">
        <v>217</v>
      </c>
      <c r="J603" s="37" t="s">
        <v>27</v>
      </c>
      <c r="K603" s="37" t="s">
        <v>28</v>
      </c>
      <c r="L603" s="37" t="s">
        <v>84</v>
      </c>
      <c r="M603" s="37" t="s">
        <v>35</v>
      </c>
      <c r="N603" s="37" t="s">
        <v>1305</v>
      </c>
      <c r="O603" s="42">
        <v>416.16</v>
      </c>
      <c r="P603" s="43" t="str">
        <f t="shared" si="66"/>
        <v>High</v>
      </c>
      <c r="Q603" s="42">
        <v>571.9</v>
      </c>
      <c r="R603" s="42">
        <v>7.0999999999999994E-2</v>
      </c>
      <c r="S603" s="42">
        <v>2</v>
      </c>
      <c r="T603" s="42">
        <f t="shared" si="63"/>
        <v>2667.2333200000003</v>
      </c>
      <c r="U603" s="37">
        <f t="shared" si="64"/>
        <v>832.32</v>
      </c>
      <c r="V603" s="42">
        <f t="shared" si="67"/>
        <v>1834.9133200000001</v>
      </c>
      <c r="W603" s="44">
        <f t="shared" si="68"/>
        <v>0.6879463098488886</v>
      </c>
    </row>
    <row r="604" spans="1:23" x14ac:dyDescent="0.3">
      <c r="A604" s="45" t="s">
        <v>1306</v>
      </c>
      <c r="B604" s="46">
        <v>45793</v>
      </c>
      <c r="C604" s="47">
        <v>45795</v>
      </c>
      <c r="D604" s="48">
        <f t="shared" si="69"/>
        <v>2</v>
      </c>
      <c r="E604" s="48" t="str">
        <f>TEXT(Data!B604,"MMM-YYYY")</f>
        <v>May-2025</v>
      </c>
      <c r="F604" s="48" t="str">
        <f t="shared" si="65"/>
        <v>Q2-2025</v>
      </c>
      <c r="G604" s="38" t="s">
        <v>45</v>
      </c>
      <c r="H604" s="38" t="s">
        <v>46</v>
      </c>
      <c r="I604" s="38" t="s">
        <v>214</v>
      </c>
      <c r="J604" s="38" t="s">
        <v>105</v>
      </c>
      <c r="K604" s="38" t="s">
        <v>20</v>
      </c>
      <c r="L604" s="38" t="s">
        <v>29</v>
      </c>
      <c r="M604" s="38" t="s">
        <v>30</v>
      </c>
      <c r="N604" s="38" t="s">
        <v>1307</v>
      </c>
      <c r="O604" s="48">
        <v>1144.3800000000001</v>
      </c>
      <c r="P604" s="49" t="str">
        <f t="shared" si="66"/>
        <v>High</v>
      </c>
      <c r="Q604" s="48">
        <v>2755.04</v>
      </c>
      <c r="R604" s="48">
        <v>0.15</v>
      </c>
      <c r="S604" s="48">
        <v>17</v>
      </c>
      <c r="T604" s="48">
        <f t="shared" si="63"/>
        <v>34640.985000000001</v>
      </c>
      <c r="U604" s="38">
        <f t="shared" si="64"/>
        <v>19454.460000000003</v>
      </c>
      <c r="V604" s="48">
        <f t="shared" si="67"/>
        <v>15186.524999999998</v>
      </c>
      <c r="W604" s="50">
        <f t="shared" si="68"/>
        <v>0.4383976090749151</v>
      </c>
    </row>
    <row r="605" spans="1:23" x14ac:dyDescent="0.3">
      <c r="A605" s="39" t="s">
        <v>1308</v>
      </c>
      <c r="B605" s="40">
        <v>45026</v>
      </c>
      <c r="C605" s="41">
        <v>45041</v>
      </c>
      <c r="D605" s="42">
        <f t="shared" si="69"/>
        <v>15</v>
      </c>
      <c r="E605" s="42" t="str">
        <f>TEXT(Data!B605,"MMM-YYYY")</f>
        <v>Apr-2023</v>
      </c>
      <c r="F605" s="42" t="str">
        <f t="shared" si="65"/>
        <v>Q2-2023</v>
      </c>
      <c r="G605" s="37" t="s">
        <v>78</v>
      </c>
      <c r="H605" s="37" t="s">
        <v>108</v>
      </c>
      <c r="I605" s="37" t="s">
        <v>152</v>
      </c>
      <c r="J605" s="37" t="s">
        <v>62</v>
      </c>
      <c r="K605" s="37" t="s">
        <v>20</v>
      </c>
      <c r="L605" s="37" t="s">
        <v>145</v>
      </c>
      <c r="M605" s="37" t="s">
        <v>30</v>
      </c>
      <c r="N605" s="37" t="s">
        <v>1309</v>
      </c>
      <c r="O605" s="42">
        <v>405.66</v>
      </c>
      <c r="P605" s="43" t="str">
        <f t="shared" si="66"/>
        <v>High</v>
      </c>
      <c r="Q605" s="42">
        <v>962.51</v>
      </c>
      <c r="R605" s="42">
        <v>0.19</v>
      </c>
      <c r="S605" s="42">
        <v>7</v>
      </c>
      <c r="T605" s="42">
        <f t="shared" si="63"/>
        <v>10511.386199999999</v>
      </c>
      <c r="U605" s="37">
        <f t="shared" si="64"/>
        <v>2839.6200000000003</v>
      </c>
      <c r="V605" s="42">
        <f t="shared" si="67"/>
        <v>7671.7661999999982</v>
      </c>
      <c r="W605" s="44">
        <f t="shared" si="68"/>
        <v>0.72985294746377016</v>
      </c>
    </row>
    <row r="606" spans="1:23" x14ac:dyDescent="0.3">
      <c r="A606" s="45" t="s">
        <v>1310</v>
      </c>
      <c r="B606" s="46">
        <v>45186</v>
      </c>
      <c r="C606" s="47">
        <v>45201</v>
      </c>
      <c r="D606" s="48">
        <f t="shared" si="69"/>
        <v>15</v>
      </c>
      <c r="E606" s="48" t="str">
        <f>TEXT(Data!B606,"MMM-YYYY")</f>
        <v>Sept-2023</v>
      </c>
      <c r="F606" s="48" t="str">
        <f t="shared" si="65"/>
        <v>Q3-2023</v>
      </c>
      <c r="G606" s="38" t="s">
        <v>52</v>
      </c>
      <c r="H606" s="38" t="s">
        <v>73</v>
      </c>
      <c r="I606" s="38" t="s">
        <v>225</v>
      </c>
      <c r="J606" s="38" t="s">
        <v>62</v>
      </c>
      <c r="K606" s="38" t="s">
        <v>20</v>
      </c>
      <c r="L606" s="38" t="s">
        <v>56</v>
      </c>
      <c r="M606" s="38" t="s">
        <v>57</v>
      </c>
      <c r="N606" s="38" t="s">
        <v>1311</v>
      </c>
      <c r="O606" s="48">
        <v>689.33</v>
      </c>
      <c r="P606" s="49" t="str">
        <f t="shared" si="66"/>
        <v>High</v>
      </c>
      <c r="Q606" s="48">
        <v>668.27</v>
      </c>
      <c r="R606" s="48">
        <v>0.186</v>
      </c>
      <c r="S606" s="48">
        <v>13</v>
      </c>
      <c r="T606" s="48">
        <f t="shared" si="63"/>
        <v>486.56036000000006</v>
      </c>
      <c r="U606" s="38">
        <f t="shared" si="64"/>
        <v>8961.2900000000009</v>
      </c>
      <c r="V606" s="48">
        <f t="shared" si="67"/>
        <v>-8474.7296400000014</v>
      </c>
      <c r="W606" s="50">
        <f t="shared" si="68"/>
        <v>-17.417632706453933</v>
      </c>
    </row>
    <row r="607" spans="1:23" x14ac:dyDescent="0.3">
      <c r="A607" s="39" t="s">
        <v>1312</v>
      </c>
      <c r="B607" s="40">
        <v>45038</v>
      </c>
      <c r="C607" s="41">
        <v>45060</v>
      </c>
      <c r="D607" s="42">
        <f t="shared" si="69"/>
        <v>22</v>
      </c>
      <c r="E607" s="42" t="str">
        <f>TEXT(Data!B607,"MMM-YYYY")</f>
        <v>Apr-2023</v>
      </c>
      <c r="F607" s="42" t="str">
        <f t="shared" si="65"/>
        <v>Q2-2023</v>
      </c>
      <c r="G607" s="37" t="s">
        <v>45</v>
      </c>
      <c r="H607" s="37" t="s">
        <v>46</v>
      </c>
      <c r="I607" s="37" t="s">
        <v>231</v>
      </c>
      <c r="J607" s="37" t="s">
        <v>105</v>
      </c>
      <c r="K607" s="37" t="s">
        <v>20</v>
      </c>
      <c r="L607" s="37" t="s">
        <v>75</v>
      </c>
      <c r="M607" s="37" t="s">
        <v>81</v>
      </c>
      <c r="N607" s="37" t="s">
        <v>1313</v>
      </c>
      <c r="O607" s="42">
        <v>1209.22</v>
      </c>
      <c r="P607" s="43" t="str">
        <f t="shared" si="66"/>
        <v>High</v>
      </c>
      <c r="Q607" s="42">
        <v>1404.33</v>
      </c>
      <c r="R607" s="42">
        <v>0.10299999999999999</v>
      </c>
      <c r="S607" s="42">
        <v>11</v>
      </c>
      <c r="T607" s="42">
        <f t="shared" si="63"/>
        <v>453.68466000000001</v>
      </c>
      <c r="U607" s="37">
        <f t="shared" si="64"/>
        <v>13301.42</v>
      </c>
      <c r="V607" s="42">
        <f t="shared" si="67"/>
        <v>-12847.735339999999</v>
      </c>
      <c r="W607" s="44">
        <f t="shared" si="68"/>
        <v>-28.318646127466597</v>
      </c>
    </row>
    <row r="608" spans="1:23" x14ac:dyDescent="0.3">
      <c r="A608" s="45" t="s">
        <v>1314</v>
      </c>
      <c r="B608" s="46">
        <v>45827</v>
      </c>
      <c r="C608" s="47">
        <v>45829</v>
      </c>
      <c r="D608" s="48">
        <f t="shared" si="69"/>
        <v>2</v>
      </c>
      <c r="E608" s="48" t="str">
        <f>TEXT(Data!B608,"MMM-YYYY")</f>
        <v>Jun-2025</v>
      </c>
      <c r="F608" s="48" t="str">
        <f t="shared" si="65"/>
        <v>Q2-2025</v>
      </c>
      <c r="G608" s="38" t="s">
        <v>16</v>
      </c>
      <c r="H608" s="38" t="s">
        <v>148</v>
      </c>
      <c r="I608" s="38" t="s">
        <v>149</v>
      </c>
      <c r="J608" s="38" t="s">
        <v>62</v>
      </c>
      <c r="K608" s="38" t="s">
        <v>1364</v>
      </c>
      <c r="L608" s="38" t="s">
        <v>92</v>
      </c>
      <c r="M608" s="38" t="s">
        <v>42</v>
      </c>
      <c r="N608" s="38" t="s">
        <v>1315</v>
      </c>
      <c r="O608" s="48">
        <v>1466.27</v>
      </c>
      <c r="P608" s="49" t="str">
        <f t="shared" si="66"/>
        <v>High</v>
      </c>
      <c r="Q608" s="48">
        <v>3589.89</v>
      </c>
      <c r="R608" s="48">
        <v>9.7000000000000003E-2</v>
      </c>
      <c r="S608" s="48">
        <v>9</v>
      </c>
      <c r="T608" s="48">
        <f t="shared" si="63"/>
        <v>0</v>
      </c>
      <c r="U608" s="38">
        <f t="shared" si="64"/>
        <v>13196.43</v>
      </c>
      <c r="V608" s="48">
        <f t="shared" si="67"/>
        <v>-13196.43</v>
      </c>
      <c r="W608" s="50">
        <f t="shared" si="68"/>
        <v>0</v>
      </c>
    </row>
    <row r="609" spans="1:23" x14ac:dyDescent="0.3">
      <c r="A609" s="39" t="s">
        <v>1316</v>
      </c>
      <c r="B609" s="40">
        <v>45623</v>
      </c>
      <c r="C609" s="41">
        <v>45650</v>
      </c>
      <c r="D609" s="42">
        <f t="shared" si="69"/>
        <v>27</v>
      </c>
      <c r="E609" s="42" t="str">
        <f>TEXT(Data!B609,"MMM-YYYY")</f>
        <v>Nov-2024</v>
      </c>
      <c r="F609" s="42" t="str">
        <f t="shared" si="65"/>
        <v>Q4-2024</v>
      </c>
      <c r="G609" s="37" t="s">
        <v>16</v>
      </c>
      <c r="H609" s="37" t="s">
        <v>17</v>
      </c>
      <c r="I609" s="37" t="s">
        <v>113</v>
      </c>
      <c r="J609" s="37" t="s">
        <v>19</v>
      </c>
      <c r="K609" s="37" t="s">
        <v>55</v>
      </c>
      <c r="L609" s="37" t="s">
        <v>56</v>
      </c>
      <c r="M609" s="37" t="s">
        <v>30</v>
      </c>
      <c r="N609" s="37" t="s">
        <v>1317</v>
      </c>
      <c r="O609" s="42">
        <v>143.33000000000001</v>
      </c>
      <c r="P609" s="43" t="str">
        <f t="shared" si="66"/>
        <v>High</v>
      </c>
      <c r="Q609" s="42">
        <v>233.51</v>
      </c>
      <c r="R609" s="42">
        <v>0.16300000000000001</v>
      </c>
      <c r="S609" s="42">
        <v>14</v>
      </c>
      <c r="T609" s="42">
        <f t="shared" si="63"/>
        <v>0</v>
      </c>
      <c r="U609" s="37">
        <f t="shared" si="64"/>
        <v>2006.6200000000001</v>
      </c>
      <c r="V609" s="42">
        <f t="shared" si="67"/>
        <v>-2006.6200000000001</v>
      </c>
      <c r="W609" s="44">
        <f t="shared" si="68"/>
        <v>0</v>
      </c>
    </row>
    <row r="610" spans="1:23" x14ac:dyDescent="0.3">
      <c r="A610" s="45" t="s">
        <v>1318</v>
      </c>
      <c r="B610" s="46">
        <v>45319</v>
      </c>
      <c r="C610" s="47">
        <v>45318</v>
      </c>
      <c r="D610" s="48">
        <f>DATEDIF(C610,B610, "MD")</f>
        <v>1</v>
      </c>
      <c r="E610" s="48" t="str">
        <f>TEXT(Data!B610,"MMM-YYYY")</f>
        <v>Jan-2024</v>
      </c>
      <c r="F610" s="48" t="str">
        <f t="shared" si="65"/>
        <v>Q1-2024</v>
      </c>
      <c r="G610" s="38" t="s">
        <v>16</v>
      </c>
      <c r="H610" s="38" t="s">
        <v>148</v>
      </c>
      <c r="I610" s="38" t="s">
        <v>258</v>
      </c>
      <c r="J610" s="38" t="s">
        <v>105</v>
      </c>
      <c r="K610" s="38" t="s">
        <v>98</v>
      </c>
      <c r="L610" s="38" t="s">
        <v>68</v>
      </c>
      <c r="M610" s="38" t="s">
        <v>22</v>
      </c>
      <c r="N610" s="38" t="s">
        <v>1319</v>
      </c>
      <c r="O610" s="48">
        <v>109.75</v>
      </c>
      <c r="P610" s="49" t="str">
        <f t="shared" si="66"/>
        <v>Medium</v>
      </c>
      <c r="Q610" s="48">
        <v>124.25</v>
      </c>
      <c r="R610" s="48">
        <v>0.12</v>
      </c>
      <c r="S610" s="48">
        <v>19</v>
      </c>
      <c r="T610" s="48">
        <f t="shared" si="63"/>
        <v>0</v>
      </c>
      <c r="U610" s="38">
        <f t="shared" si="64"/>
        <v>2085.25</v>
      </c>
      <c r="V610" s="48">
        <f t="shared" si="67"/>
        <v>-2085.25</v>
      </c>
      <c r="W610" s="50">
        <f t="shared" si="68"/>
        <v>0</v>
      </c>
    </row>
    <row r="611" spans="1:23" x14ac:dyDescent="0.3">
      <c r="A611" s="39" t="s">
        <v>1320</v>
      </c>
      <c r="B611" s="40">
        <v>45032</v>
      </c>
      <c r="C611" s="41">
        <v>45039</v>
      </c>
      <c r="D611" s="42">
        <f t="shared" si="69"/>
        <v>7</v>
      </c>
      <c r="E611" s="42" t="str">
        <f>TEXT(Data!B611,"MMM-YYYY")</f>
        <v>Apr-2023</v>
      </c>
      <c r="F611" s="42" t="str">
        <f t="shared" si="65"/>
        <v>Q2-2023</v>
      </c>
      <c r="G611" s="37" t="s">
        <v>52</v>
      </c>
      <c r="H611" s="37" t="s">
        <v>122</v>
      </c>
      <c r="I611" s="37" t="s">
        <v>326</v>
      </c>
      <c r="J611" s="37" t="s">
        <v>19</v>
      </c>
      <c r="K611" s="37" t="s">
        <v>55</v>
      </c>
      <c r="L611" s="37" t="s">
        <v>68</v>
      </c>
      <c r="M611" s="37" t="s">
        <v>30</v>
      </c>
      <c r="N611" s="37" t="s">
        <v>1321</v>
      </c>
      <c r="O611" s="42">
        <v>1099.1500000000001</v>
      </c>
      <c r="P611" s="43" t="str">
        <f t="shared" si="66"/>
        <v>High</v>
      </c>
      <c r="Q611" s="42">
        <v>1431.37</v>
      </c>
      <c r="R611" s="42">
        <v>0.104</v>
      </c>
      <c r="S611" s="42">
        <v>8</v>
      </c>
      <c r="T611" s="42">
        <f t="shared" si="63"/>
        <v>0</v>
      </c>
      <c r="U611" s="37">
        <f t="shared" si="64"/>
        <v>8793.2000000000007</v>
      </c>
      <c r="V611" s="42">
        <f t="shared" si="67"/>
        <v>-8793.2000000000007</v>
      </c>
      <c r="W611" s="44">
        <f t="shared" si="68"/>
        <v>0</v>
      </c>
    </row>
    <row r="612" spans="1:23" x14ac:dyDescent="0.3">
      <c r="A612" s="45" t="s">
        <v>1322</v>
      </c>
      <c r="B612" s="46">
        <v>45323</v>
      </c>
      <c r="C612" s="47">
        <v>45323</v>
      </c>
      <c r="D612" s="48">
        <f t="shared" si="69"/>
        <v>0</v>
      </c>
      <c r="E612" s="48" t="str">
        <f>TEXT(Data!B612,"MMM-YYYY")</f>
        <v>Feb-2024</v>
      </c>
      <c r="F612" s="48" t="str">
        <f t="shared" si="65"/>
        <v>Q1-2024</v>
      </c>
      <c r="G612" s="38" t="s">
        <v>52</v>
      </c>
      <c r="H612" s="38" t="s">
        <v>122</v>
      </c>
      <c r="I612" s="38" t="s">
        <v>326</v>
      </c>
      <c r="J612" s="38" t="s">
        <v>48</v>
      </c>
      <c r="K612" s="38" t="s">
        <v>55</v>
      </c>
      <c r="L612" s="38" t="s">
        <v>92</v>
      </c>
      <c r="M612" s="38" t="s">
        <v>30</v>
      </c>
      <c r="N612" s="38" t="s">
        <v>1323</v>
      </c>
      <c r="O612" s="48">
        <v>714.43</v>
      </c>
      <c r="P612" s="49" t="str">
        <f t="shared" si="66"/>
        <v>High</v>
      </c>
      <c r="Q612" s="48">
        <v>1595.52</v>
      </c>
      <c r="R612" s="48">
        <v>0.19400000000000001</v>
      </c>
      <c r="S612" s="48">
        <v>14</v>
      </c>
      <c r="T612" s="48">
        <f t="shared" si="63"/>
        <v>0</v>
      </c>
      <c r="U612" s="38">
        <f t="shared" si="64"/>
        <v>10002.019999999999</v>
      </c>
      <c r="V612" s="48">
        <f t="shared" si="67"/>
        <v>-10002.019999999999</v>
      </c>
      <c r="W612" s="50">
        <f t="shared" si="68"/>
        <v>0</v>
      </c>
    </row>
    <row r="613" spans="1:23" x14ac:dyDescent="0.3">
      <c r="A613" s="39" t="s">
        <v>1324</v>
      </c>
      <c r="B613" s="40">
        <v>45584</v>
      </c>
      <c r="C613" s="41">
        <v>45602</v>
      </c>
      <c r="D613" s="42">
        <f t="shared" si="69"/>
        <v>18</v>
      </c>
      <c r="E613" s="42" t="str">
        <f>TEXT(Data!B613,"MMM-YYYY")</f>
        <v>Oct-2024</v>
      </c>
      <c r="F613" s="42" t="str">
        <f t="shared" si="65"/>
        <v>Q4-2024</v>
      </c>
      <c r="G613" s="37" t="s">
        <v>52</v>
      </c>
      <c r="H613" s="37" t="s">
        <v>122</v>
      </c>
      <c r="I613" s="37" t="s">
        <v>123</v>
      </c>
      <c r="J613" s="37" t="s">
        <v>27</v>
      </c>
      <c r="K613" s="37" t="s">
        <v>1364</v>
      </c>
      <c r="L613" s="37" t="s">
        <v>21</v>
      </c>
      <c r="M613" s="37" t="s">
        <v>64</v>
      </c>
      <c r="N613" s="37" t="s">
        <v>1325</v>
      </c>
      <c r="O613" s="42">
        <v>942.02</v>
      </c>
      <c r="P613" s="43" t="str">
        <f t="shared" si="66"/>
        <v>High</v>
      </c>
      <c r="Q613" s="42">
        <v>1028.46</v>
      </c>
      <c r="R613" s="42">
        <v>0</v>
      </c>
      <c r="S613" s="42">
        <v>9</v>
      </c>
      <c r="T613" s="42">
        <f t="shared" si="63"/>
        <v>0</v>
      </c>
      <c r="U613" s="37">
        <f t="shared" si="64"/>
        <v>8478.18</v>
      </c>
      <c r="V613" s="42">
        <f t="shared" si="67"/>
        <v>-8478.18</v>
      </c>
      <c r="W613" s="44">
        <f t="shared" si="68"/>
        <v>0</v>
      </c>
    </row>
    <row r="614" spans="1:23" x14ac:dyDescent="0.3">
      <c r="A614" s="45" t="s">
        <v>1326</v>
      </c>
      <c r="B614" s="46">
        <v>45468</v>
      </c>
      <c r="C614" s="47">
        <v>45473</v>
      </c>
      <c r="D614" s="48">
        <f t="shared" si="69"/>
        <v>5</v>
      </c>
      <c r="E614" s="48" t="str">
        <f>TEXT(Data!B614,"MMM-YYYY")</f>
        <v>Jun-2024</v>
      </c>
      <c r="F614" s="48" t="str">
        <f t="shared" si="65"/>
        <v>Q2-2024</v>
      </c>
      <c r="G614" s="38" t="s">
        <v>16</v>
      </c>
      <c r="H614" s="38" t="s">
        <v>17</v>
      </c>
      <c r="I614" s="38" t="s">
        <v>18</v>
      </c>
      <c r="J614" s="38" t="s">
        <v>27</v>
      </c>
      <c r="K614" s="38" t="s">
        <v>98</v>
      </c>
      <c r="L614" s="38" t="s">
        <v>110</v>
      </c>
      <c r="M614" s="38" t="s">
        <v>35</v>
      </c>
      <c r="N614" s="38" t="s">
        <v>1327</v>
      </c>
      <c r="O614" s="48">
        <v>1323.55</v>
      </c>
      <c r="P614" s="49" t="str">
        <f t="shared" si="66"/>
        <v>High</v>
      </c>
      <c r="Q614" s="48">
        <v>3230.35</v>
      </c>
      <c r="R614" s="48">
        <v>2.1999999999999999E-2</v>
      </c>
      <c r="S614" s="48">
        <v>26</v>
      </c>
      <c r="T614" s="48">
        <f t="shared" si="63"/>
        <v>0</v>
      </c>
      <c r="U614" s="38">
        <f t="shared" si="64"/>
        <v>34412.299999999996</v>
      </c>
      <c r="V614" s="48">
        <f t="shared" si="67"/>
        <v>-34412.299999999996</v>
      </c>
      <c r="W614" s="50">
        <f t="shared" si="68"/>
        <v>0</v>
      </c>
    </row>
    <row r="615" spans="1:23" x14ac:dyDescent="0.3">
      <c r="A615" s="39" t="s">
        <v>1328</v>
      </c>
      <c r="B615" s="40">
        <v>45137</v>
      </c>
      <c r="C615" s="41">
        <v>45157</v>
      </c>
      <c r="D615" s="42">
        <f t="shared" si="69"/>
        <v>20</v>
      </c>
      <c r="E615" s="42" t="str">
        <f>TEXT(Data!B615,"MMM-YYYY")</f>
        <v>Jul-2023</v>
      </c>
      <c r="F615" s="42" t="str">
        <f t="shared" si="65"/>
        <v>Q3-2023</v>
      </c>
      <c r="G615" s="37" t="s">
        <v>78</v>
      </c>
      <c r="H615" s="37" t="s">
        <v>90</v>
      </c>
      <c r="I615" s="37" t="s">
        <v>217</v>
      </c>
      <c r="J615" s="37" t="s">
        <v>105</v>
      </c>
      <c r="K615" s="37" t="s">
        <v>40</v>
      </c>
      <c r="L615" s="37" t="s">
        <v>41</v>
      </c>
      <c r="M615" s="37" t="s">
        <v>35</v>
      </c>
      <c r="N615" s="37" t="s">
        <v>1329</v>
      </c>
      <c r="O615" s="42">
        <v>1418.51</v>
      </c>
      <c r="P615" s="43" t="str">
        <f t="shared" si="66"/>
        <v>High</v>
      </c>
      <c r="Q615" s="42">
        <v>2789.61</v>
      </c>
      <c r="R615" s="42">
        <v>0.17100000000000001</v>
      </c>
      <c r="S615" s="42">
        <v>8</v>
      </c>
      <c r="T615" s="42">
        <f t="shared" si="63"/>
        <v>0</v>
      </c>
      <c r="U615" s="37">
        <f t="shared" si="64"/>
        <v>11348.08</v>
      </c>
      <c r="V615" s="42">
        <f t="shared" si="67"/>
        <v>-11348.08</v>
      </c>
      <c r="W615" s="44">
        <f t="shared" si="68"/>
        <v>0</v>
      </c>
    </row>
    <row r="616" spans="1:23" x14ac:dyDescent="0.3">
      <c r="A616" s="45" t="s">
        <v>1330</v>
      </c>
      <c r="B616" s="46">
        <v>45727</v>
      </c>
      <c r="C616" s="47">
        <v>45743</v>
      </c>
      <c r="D616" s="48">
        <f t="shared" si="69"/>
        <v>16</v>
      </c>
      <c r="E616" s="48" t="str">
        <f>TEXT(Data!B616,"MMM-YYYY")</f>
        <v>Mar-2025</v>
      </c>
      <c r="F616" s="48" t="str">
        <f t="shared" si="65"/>
        <v>Q1-2025</v>
      </c>
      <c r="G616" s="38" t="s">
        <v>45</v>
      </c>
      <c r="H616" s="38" t="s">
        <v>46</v>
      </c>
      <c r="I616" s="38" t="s">
        <v>214</v>
      </c>
      <c r="J616" s="38" t="s">
        <v>105</v>
      </c>
      <c r="K616" s="38" t="s">
        <v>55</v>
      </c>
      <c r="L616" s="38" t="s">
        <v>56</v>
      </c>
      <c r="M616" s="38" t="s">
        <v>30</v>
      </c>
      <c r="N616" s="38" t="s">
        <v>1331</v>
      </c>
      <c r="O616" s="48">
        <v>1317.58</v>
      </c>
      <c r="P616" s="49" t="str">
        <f t="shared" si="66"/>
        <v>High</v>
      </c>
      <c r="Q616" s="48">
        <v>1897.74</v>
      </c>
      <c r="R616" s="48">
        <v>8.1000000000000003E-2</v>
      </c>
      <c r="S616" s="48">
        <v>6</v>
      </c>
      <c r="T616" s="48">
        <f t="shared" si="63"/>
        <v>0</v>
      </c>
      <c r="U616" s="38">
        <f t="shared" si="64"/>
        <v>7905.48</v>
      </c>
      <c r="V616" s="48">
        <f t="shared" si="67"/>
        <v>-7905.48</v>
      </c>
      <c r="W616" s="50">
        <f t="shared" si="68"/>
        <v>0</v>
      </c>
    </row>
    <row r="617" spans="1:23" x14ac:dyDescent="0.3">
      <c r="A617" s="39" t="s">
        <v>1332</v>
      </c>
      <c r="B617" s="40">
        <v>45208</v>
      </c>
      <c r="C617" s="41">
        <v>45210</v>
      </c>
      <c r="D617" s="42">
        <f t="shared" si="69"/>
        <v>2</v>
      </c>
      <c r="E617" s="42" t="str">
        <f>TEXT(Data!B617,"MMM-YYYY")</f>
        <v>Oct-2023</v>
      </c>
      <c r="F617" s="42" t="str">
        <f t="shared" si="65"/>
        <v>Q4-2023</v>
      </c>
      <c r="G617" s="37" t="s">
        <v>16</v>
      </c>
      <c r="H617" s="37" t="s">
        <v>25</v>
      </c>
      <c r="I617" s="37" t="s">
        <v>26</v>
      </c>
      <c r="J617" s="37" t="s">
        <v>27</v>
      </c>
      <c r="K617" s="37" t="s">
        <v>40</v>
      </c>
      <c r="L617" s="37" t="s">
        <v>95</v>
      </c>
      <c r="M617" s="37" t="s">
        <v>35</v>
      </c>
      <c r="N617" s="37" t="s">
        <v>1333</v>
      </c>
      <c r="O617" s="42">
        <v>391.16</v>
      </c>
      <c r="P617" s="43" t="str">
        <f t="shared" si="66"/>
        <v>High</v>
      </c>
      <c r="Q617" s="42">
        <v>902.47</v>
      </c>
      <c r="R617" s="42">
        <v>4.0000000000000001E-3</v>
      </c>
      <c r="S617" s="42">
        <v>12</v>
      </c>
      <c r="T617" s="42">
        <f t="shared" si="63"/>
        <v>0</v>
      </c>
      <c r="U617" s="37">
        <f t="shared" si="64"/>
        <v>4693.92</v>
      </c>
      <c r="V617" s="42">
        <f t="shared" si="67"/>
        <v>-4693.92</v>
      </c>
      <c r="W617" s="44">
        <f t="shared" si="68"/>
        <v>0</v>
      </c>
    </row>
    <row r="618" spans="1:23" x14ac:dyDescent="0.3">
      <c r="A618" s="45" t="s">
        <v>1334</v>
      </c>
      <c r="B618" s="46">
        <v>45643</v>
      </c>
      <c r="C618" s="47">
        <v>45673</v>
      </c>
      <c r="D618" s="48">
        <f t="shared" si="69"/>
        <v>30</v>
      </c>
      <c r="E618" s="48" t="str">
        <f>TEXT(Data!B618,"MMM-YYYY")</f>
        <v>Dec-2024</v>
      </c>
      <c r="F618" s="48" t="str">
        <f t="shared" si="65"/>
        <v>Q4-2024</v>
      </c>
      <c r="G618" s="38" t="s">
        <v>78</v>
      </c>
      <c r="H618" s="38" t="s">
        <v>108</v>
      </c>
      <c r="I618" s="38" t="s">
        <v>228</v>
      </c>
      <c r="J618" s="38" t="s">
        <v>19</v>
      </c>
      <c r="K618" s="38" t="s">
        <v>20</v>
      </c>
      <c r="L618" s="38" t="s">
        <v>145</v>
      </c>
      <c r="M618" s="38" t="s">
        <v>64</v>
      </c>
      <c r="N618" s="38" t="s">
        <v>1335</v>
      </c>
      <c r="O618" s="48">
        <v>722.87</v>
      </c>
      <c r="P618" s="49" t="str">
        <f t="shared" si="66"/>
        <v>Low</v>
      </c>
      <c r="Q618" s="48">
        <v>-33.659999999999997</v>
      </c>
      <c r="R618" s="48">
        <v>0.10199999999999999</v>
      </c>
      <c r="S618" s="48">
        <v>28</v>
      </c>
      <c r="T618" s="48">
        <f t="shared" si="63"/>
        <v>0</v>
      </c>
      <c r="U618" s="38">
        <f t="shared" si="64"/>
        <v>20240.36</v>
      </c>
      <c r="V618" s="48">
        <f t="shared" si="67"/>
        <v>-20240.36</v>
      </c>
      <c r="W618" s="50">
        <f t="shared" si="68"/>
        <v>0</v>
      </c>
    </row>
    <row r="619" spans="1:23" x14ac:dyDescent="0.3">
      <c r="A619" s="39" t="s">
        <v>1336</v>
      </c>
      <c r="B619" s="40">
        <v>45849</v>
      </c>
      <c r="C619" s="41">
        <v>45854</v>
      </c>
      <c r="D619" s="42">
        <f t="shared" si="69"/>
        <v>5</v>
      </c>
      <c r="E619" s="42" t="str">
        <f>TEXT(Data!B619,"MMM-YYYY")</f>
        <v>Jul-2025</v>
      </c>
      <c r="F619" s="42" t="str">
        <f t="shared" si="65"/>
        <v>Q3-2025</v>
      </c>
      <c r="G619" s="37" t="s">
        <v>78</v>
      </c>
      <c r="H619" s="37" t="s">
        <v>108</v>
      </c>
      <c r="I619" s="37" t="s">
        <v>152</v>
      </c>
      <c r="J619" s="37" t="s">
        <v>105</v>
      </c>
      <c r="K619" s="37" t="s">
        <v>28</v>
      </c>
      <c r="L619" s="37" t="s">
        <v>95</v>
      </c>
      <c r="M619" s="37" t="s">
        <v>30</v>
      </c>
      <c r="N619" s="37" t="s">
        <v>1337</v>
      </c>
      <c r="O619" s="42">
        <v>930.03</v>
      </c>
      <c r="P619" s="43" t="str">
        <f t="shared" si="66"/>
        <v>High</v>
      </c>
      <c r="Q619" s="42">
        <v>1086.68</v>
      </c>
      <c r="R619" s="42">
        <v>0.109</v>
      </c>
      <c r="S619" s="42">
        <v>26</v>
      </c>
      <c r="T619" s="42">
        <f t="shared" si="63"/>
        <v>0</v>
      </c>
      <c r="U619" s="37">
        <f t="shared" si="64"/>
        <v>24180.78</v>
      </c>
      <c r="V619" s="42">
        <f t="shared" si="67"/>
        <v>-24180.78</v>
      </c>
      <c r="W619" s="44">
        <f t="shared" si="68"/>
        <v>0</v>
      </c>
    </row>
    <row r="620" spans="1:23" x14ac:dyDescent="0.3">
      <c r="A620" s="45" t="s">
        <v>1338</v>
      </c>
      <c r="B620" s="46">
        <v>45578</v>
      </c>
      <c r="C620" s="47">
        <v>45589</v>
      </c>
      <c r="D620" s="48">
        <f t="shared" si="69"/>
        <v>11</v>
      </c>
      <c r="E620" s="48" t="str">
        <f>TEXT(Data!B620,"MMM-YYYY")</f>
        <v>Oct-2024</v>
      </c>
      <c r="F620" s="48" t="str">
        <f t="shared" si="65"/>
        <v>Q4-2024</v>
      </c>
      <c r="G620" s="38" t="s">
        <v>78</v>
      </c>
      <c r="H620" s="38" t="s">
        <v>90</v>
      </c>
      <c r="I620" s="38" t="s">
        <v>217</v>
      </c>
      <c r="J620" s="38" t="s">
        <v>27</v>
      </c>
      <c r="K620" s="38" t="s">
        <v>55</v>
      </c>
      <c r="L620" s="38" t="s">
        <v>84</v>
      </c>
      <c r="M620" s="38" t="s">
        <v>22</v>
      </c>
      <c r="N620" s="38" t="s">
        <v>1339</v>
      </c>
      <c r="O620" s="48">
        <v>816.7</v>
      </c>
      <c r="P620" s="49" t="str">
        <f t="shared" si="66"/>
        <v>High</v>
      </c>
      <c r="Q620" s="48">
        <v>1010.75</v>
      </c>
      <c r="R620" s="48">
        <v>4.7E-2</v>
      </c>
      <c r="S620" s="48">
        <v>43</v>
      </c>
      <c r="T620" s="48">
        <f t="shared" si="63"/>
        <v>0</v>
      </c>
      <c r="U620" s="38">
        <f t="shared" si="64"/>
        <v>35118.1</v>
      </c>
      <c r="V620" s="48">
        <f t="shared" si="67"/>
        <v>-35118.1</v>
      </c>
      <c r="W620" s="50">
        <f t="shared" si="68"/>
        <v>0</v>
      </c>
    </row>
    <row r="621" spans="1:23" x14ac:dyDescent="0.3">
      <c r="A621" s="39" t="s">
        <v>1340</v>
      </c>
      <c r="B621" s="40">
        <v>45177</v>
      </c>
      <c r="C621" s="41">
        <v>45183</v>
      </c>
      <c r="D621" s="42">
        <f t="shared" si="69"/>
        <v>6</v>
      </c>
      <c r="E621" s="42" t="str">
        <f>TEXT(Data!B621,"MMM-YYYY")</f>
        <v>Sept-2023</v>
      </c>
      <c r="F621" s="42" t="str">
        <f t="shared" si="65"/>
        <v>Q3-2023</v>
      </c>
      <c r="G621" s="37" t="s">
        <v>16</v>
      </c>
      <c r="H621" s="37" t="s">
        <v>17</v>
      </c>
      <c r="I621" s="37" t="s">
        <v>135</v>
      </c>
      <c r="J621" s="37" t="s">
        <v>27</v>
      </c>
      <c r="K621" s="37" t="s">
        <v>98</v>
      </c>
      <c r="L621" s="37" t="s">
        <v>34</v>
      </c>
      <c r="M621" s="37" t="s">
        <v>81</v>
      </c>
      <c r="N621" s="37" t="s">
        <v>1341</v>
      </c>
      <c r="O621" s="42">
        <v>251.03</v>
      </c>
      <c r="P621" s="43" t="str">
        <f t="shared" si="66"/>
        <v>High</v>
      </c>
      <c r="Q621" s="42">
        <v>411.48</v>
      </c>
      <c r="R621" s="42">
        <v>0.16500000000000001</v>
      </c>
      <c r="S621" s="42">
        <v>3</v>
      </c>
      <c r="T621" s="42">
        <f t="shared" si="63"/>
        <v>0</v>
      </c>
      <c r="U621" s="37">
        <f t="shared" si="64"/>
        <v>753.09</v>
      </c>
      <c r="V621" s="42">
        <f t="shared" si="67"/>
        <v>-753.09</v>
      </c>
      <c r="W621" s="44">
        <f t="shared" si="68"/>
        <v>0</v>
      </c>
    </row>
    <row r="622" spans="1:23" x14ac:dyDescent="0.3">
      <c r="A622" s="45" t="s">
        <v>1342</v>
      </c>
      <c r="B622" s="46">
        <v>45764</v>
      </c>
      <c r="C622" s="47">
        <v>45780</v>
      </c>
      <c r="D622" s="48">
        <f t="shared" si="69"/>
        <v>16</v>
      </c>
      <c r="E622" s="48" t="str">
        <f>TEXT(Data!B622,"MMM-YYYY")</f>
        <v>Apr-2025</v>
      </c>
      <c r="F622" s="48" t="str">
        <f t="shared" si="65"/>
        <v>Q2-2025</v>
      </c>
      <c r="G622" s="38" t="s">
        <v>52</v>
      </c>
      <c r="H622" s="38" t="s">
        <v>73</v>
      </c>
      <c r="I622" s="38" t="s">
        <v>225</v>
      </c>
      <c r="J622" s="38" t="s">
        <v>48</v>
      </c>
      <c r="K622" s="38" t="s">
        <v>40</v>
      </c>
      <c r="L622" s="38" t="s">
        <v>29</v>
      </c>
      <c r="M622" s="38" t="s">
        <v>35</v>
      </c>
      <c r="N622" s="38" t="s">
        <v>1343</v>
      </c>
      <c r="O622" s="48">
        <v>168.68</v>
      </c>
      <c r="P622" s="49" t="str">
        <f t="shared" si="66"/>
        <v>High</v>
      </c>
      <c r="Q622" s="48">
        <v>413.34</v>
      </c>
      <c r="R622" s="48">
        <v>0.186</v>
      </c>
      <c r="S622" s="48">
        <v>7</v>
      </c>
      <c r="T622" s="48">
        <f t="shared" si="63"/>
        <v>0</v>
      </c>
      <c r="U622" s="38">
        <f t="shared" si="64"/>
        <v>1180.76</v>
      </c>
      <c r="V622" s="48">
        <f t="shared" si="67"/>
        <v>-1180.76</v>
      </c>
      <c r="W622" s="50">
        <f t="shared" si="68"/>
        <v>0</v>
      </c>
    </row>
    <row r="623" spans="1:23" x14ac:dyDescent="0.3">
      <c r="A623" s="39" t="s">
        <v>1344</v>
      </c>
      <c r="B623" s="40">
        <v>45501</v>
      </c>
      <c r="C623" s="41">
        <v>45527</v>
      </c>
      <c r="D623" s="42">
        <f t="shared" si="69"/>
        <v>26</v>
      </c>
      <c r="E623" s="42" t="str">
        <f>TEXT(Data!B623,"MMM-YYYY")</f>
        <v>Jul-2024</v>
      </c>
      <c r="F623" s="42" t="str">
        <f t="shared" si="65"/>
        <v>Q3-2024</v>
      </c>
      <c r="G623" s="37" t="s">
        <v>45</v>
      </c>
      <c r="H623" s="37" t="s">
        <v>60</v>
      </c>
      <c r="I623" s="37" t="s">
        <v>281</v>
      </c>
      <c r="J623" s="37" t="s">
        <v>19</v>
      </c>
      <c r="K623" s="37" t="s">
        <v>20</v>
      </c>
      <c r="L623" s="37" t="s">
        <v>29</v>
      </c>
      <c r="M623" s="37" t="s">
        <v>35</v>
      </c>
      <c r="N623" s="37" t="s">
        <v>1345</v>
      </c>
      <c r="O623" s="42">
        <v>1339.24</v>
      </c>
      <c r="P623" s="43" t="str">
        <f t="shared" si="66"/>
        <v>High</v>
      </c>
      <c r="Q623" s="42">
        <v>1558.89</v>
      </c>
      <c r="R623" s="42">
        <v>0.192</v>
      </c>
      <c r="S623" s="42">
        <v>24</v>
      </c>
      <c r="T623" s="42">
        <f t="shared" si="63"/>
        <v>0</v>
      </c>
      <c r="U623" s="37">
        <f t="shared" si="64"/>
        <v>32141.760000000002</v>
      </c>
      <c r="V623" s="42">
        <f t="shared" si="67"/>
        <v>-32141.760000000002</v>
      </c>
      <c r="W623" s="44">
        <f t="shared" si="68"/>
        <v>0</v>
      </c>
    </row>
    <row r="624" spans="1:23" x14ac:dyDescent="0.3">
      <c r="A624" s="45" t="s">
        <v>1346</v>
      </c>
      <c r="B624" s="46">
        <v>45857</v>
      </c>
      <c r="C624" s="47">
        <v>45869</v>
      </c>
      <c r="D624" s="48">
        <f t="shared" si="69"/>
        <v>12</v>
      </c>
      <c r="E624" s="48" t="str">
        <f>TEXT(Data!B624,"MMM-YYYY")</f>
        <v>Jul-2025</v>
      </c>
      <c r="F624" s="48" t="str">
        <f t="shared" si="65"/>
        <v>Q3-2025</v>
      </c>
      <c r="G624" s="38" t="s">
        <v>16</v>
      </c>
      <c r="H624" s="38" t="s">
        <v>17</v>
      </c>
      <c r="I624" s="38" t="s">
        <v>33</v>
      </c>
      <c r="J624" s="38" t="s">
        <v>62</v>
      </c>
      <c r="K624" s="38" t="s">
        <v>40</v>
      </c>
      <c r="L624" s="38" t="s">
        <v>68</v>
      </c>
      <c r="M624" s="38" t="s">
        <v>81</v>
      </c>
      <c r="N624" s="38" t="s">
        <v>1347</v>
      </c>
      <c r="O624" s="48">
        <v>619.64</v>
      </c>
      <c r="P624" s="49" t="str">
        <f t="shared" si="66"/>
        <v>High</v>
      </c>
      <c r="Q624" s="48">
        <v>861.16</v>
      </c>
      <c r="R624" s="48">
        <v>0.113</v>
      </c>
      <c r="S624" s="48">
        <v>14</v>
      </c>
      <c r="T624" s="48">
        <f t="shared" si="63"/>
        <v>0</v>
      </c>
      <c r="U624" s="38">
        <f t="shared" si="64"/>
        <v>8674.9599999999991</v>
      </c>
      <c r="V624" s="48">
        <f t="shared" si="67"/>
        <v>-8674.9599999999991</v>
      </c>
      <c r="W624" s="50">
        <f t="shared" si="68"/>
        <v>0</v>
      </c>
    </row>
    <row r="625" spans="1:23" x14ac:dyDescent="0.3">
      <c r="A625" s="39" t="s">
        <v>1348</v>
      </c>
      <c r="B625" s="40">
        <v>45141</v>
      </c>
      <c r="C625" s="41">
        <v>45140</v>
      </c>
      <c r="D625" s="42">
        <f>DATEDIF(C625,B625, "MD")</f>
        <v>1</v>
      </c>
      <c r="E625" s="42" t="str">
        <f>TEXT(Data!B625,"MMM-YYYY")</f>
        <v>Aug-2023</v>
      </c>
      <c r="F625" s="42" t="str">
        <f t="shared" si="65"/>
        <v>Q3-2023</v>
      </c>
      <c r="G625" s="37" t="s">
        <v>45</v>
      </c>
      <c r="H625" s="37" t="s">
        <v>116</v>
      </c>
      <c r="I625" s="37" t="s">
        <v>162</v>
      </c>
      <c r="J625" s="37" t="s">
        <v>39</v>
      </c>
      <c r="K625" s="37" t="s">
        <v>98</v>
      </c>
      <c r="L625" s="37" t="s">
        <v>29</v>
      </c>
      <c r="M625" s="37" t="s">
        <v>35</v>
      </c>
      <c r="N625" s="37" t="s">
        <v>1349</v>
      </c>
      <c r="O625" s="42">
        <v>1021.97</v>
      </c>
      <c r="P625" s="43" t="str">
        <f t="shared" si="66"/>
        <v>High</v>
      </c>
      <c r="Q625" s="42">
        <v>2296.25</v>
      </c>
      <c r="R625" s="42">
        <v>0.161</v>
      </c>
      <c r="S625" s="42">
        <v>26</v>
      </c>
      <c r="T625" s="42">
        <f t="shared" si="63"/>
        <v>0</v>
      </c>
      <c r="U625" s="37">
        <f t="shared" si="64"/>
        <v>26571.22</v>
      </c>
      <c r="V625" s="42">
        <f t="shared" si="67"/>
        <v>-26571.22</v>
      </c>
      <c r="W625" s="44">
        <f t="shared" si="68"/>
        <v>0</v>
      </c>
    </row>
    <row r="626" spans="1:23" x14ac:dyDescent="0.3">
      <c r="A626" s="45" t="s">
        <v>1350</v>
      </c>
      <c r="B626" s="46">
        <v>45249</v>
      </c>
      <c r="C626" s="47">
        <v>45272</v>
      </c>
      <c r="D626" s="48">
        <f t="shared" si="69"/>
        <v>23</v>
      </c>
      <c r="E626" s="48" t="str">
        <f>TEXT(Data!B626,"MMM-YYYY")</f>
        <v>Nov-2023</v>
      </c>
      <c r="F626" s="48" t="str">
        <f t="shared" si="65"/>
        <v>Q4-2023</v>
      </c>
      <c r="G626" s="38" t="s">
        <v>45</v>
      </c>
      <c r="H626" s="38" t="s">
        <v>60</v>
      </c>
      <c r="I626" s="38" t="s">
        <v>141</v>
      </c>
      <c r="J626" s="38" t="s">
        <v>62</v>
      </c>
      <c r="K626" s="38" t="s">
        <v>98</v>
      </c>
      <c r="L626" s="38" t="s">
        <v>21</v>
      </c>
      <c r="M626" s="38" t="s">
        <v>35</v>
      </c>
      <c r="N626" s="38" t="s">
        <v>1351</v>
      </c>
      <c r="O626" s="48">
        <v>1349.04</v>
      </c>
      <c r="P626" s="49" t="str">
        <f t="shared" si="66"/>
        <v>High</v>
      </c>
      <c r="Q626" s="48">
        <v>2636.6</v>
      </c>
      <c r="R626" s="48">
        <v>0.114</v>
      </c>
      <c r="S626" s="48">
        <v>14</v>
      </c>
      <c r="T626" s="48">
        <f t="shared" si="63"/>
        <v>0</v>
      </c>
      <c r="U626" s="38">
        <f t="shared" si="64"/>
        <v>18886.559999999998</v>
      </c>
      <c r="V626" s="48">
        <f t="shared" si="67"/>
        <v>-18886.559999999998</v>
      </c>
      <c r="W626" s="50">
        <f t="shared" si="68"/>
        <v>0</v>
      </c>
    </row>
    <row r="627" spans="1:23" x14ac:dyDescent="0.3">
      <c r="A627" s="39" t="s">
        <v>1352</v>
      </c>
      <c r="B627" s="40">
        <v>45282</v>
      </c>
      <c r="C627" s="41">
        <v>45307</v>
      </c>
      <c r="D627" s="42">
        <f t="shared" si="69"/>
        <v>25</v>
      </c>
      <c r="E627" s="42" t="str">
        <f>TEXT(Data!B627,"MMM-YYYY")</f>
        <v>Dec-2023</v>
      </c>
      <c r="F627" s="42" t="str">
        <f t="shared" si="65"/>
        <v>Q4-2023</v>
      </c>
      <c r="G627" s="37" t="s">
        <v>45</v>
      </c>
      <c r="H627" s="37" t="s">
        <v>60</v>
      </c>
      <c r="I627" s="37" t="s">
        <v>281</v>
      </c>
      <c r="J627" s="37" t="s">
        <v>62</v>
      </c>
      <c r="K627" s="37" t="s">
        <v>20</v>
      </c>
      <c r="L627" s="37" t="s">
        <v>75</v>
      </c>
      <c r="M627" s="37" t="s">
        <v>22</v>
      </c>
      <c r="N627" s="37" t="s">
        <v>1353</v>
      </c>
      <c r="O627" s="42">
        <v>1346.81</v>
      </c>
      <c r="P627" s="43" t="str">
        <f t="shared" si="66"/>
        <v>High</v>
      </c>
      <c r="Q627" s="42">
        <v>978.09</v>
      </c>
      <c r="R627" s="42">
        <v>0.159</v>
      </c>
      <c r="S627" s="42">
        <v>17</v>
      </c>
      <c r="T627" s="42">
        <f t="shared" si="63"/>
        <v>0</v>
      </c>
      <c r="U627" s="37">
        <f t="shared" si="64"/>
        <v>22895.77</v>
      </c>
      <c r="V627" s="42">
        <f t="shared" si="67"/>
        <v>-22895.77</v>
      </c>
      <c r="W627" s="44">
        <f t="shared" si="68"/>
        <v>0</v>
      </c>
    </row>
    <row r="628" spans="1:23" x14ac:dyDescent="0.3">
      <c r="A628" s="45" t="s">
        <v>1354</v>
      </c>
      <c r="B628" s="46">
        <v>45141</v>
      </c>
      <c r="C628" s="47">
        <v>45168</v>
      </c>
      <c r="D628" s="48">
        <f t="shared" si="69"/>
        <v>27</v>
      </c>
      <c r="E628" s="48" t="str">
        <f>TEXT(Data!B628,"MMM-YYYY")</f>
        <v>Aug-2023</v>
      </c>
      <c r="F628" s="48" t="str">
        <f t="shared" si="65"/>
        <v>Q3-2023</v>
      </c>
      <c r="G628" s="38" t="s">
        <v>45</v>
      </c>
      <c r="H628" s="38" t="s">
        <v>116</v>
      </c>
      <c r="I628" s="38" t="s">
        <v>162</v>
      </c>
      <c r="J628" s="38" t="s">
        <v>48</v>
      </c>
      <c r="K628" s="38" t="s">
        <v>55</v>
      </c>
      <c r="L628" s="38" t="s">
        <v>126</v>
      </c>
      <c r="M628" s="38" t="s">
        <v>64</v>
      </c>
      <c r="N628" s="38" t="s">
        <v>1355</v>
      </c>
      <c r="O628" s="48">
        <v>226.04</v>
      </c>
      <c r="P628" s="49" t="str">
        <f t="shared" si="66"/>
        <v>High</v>
      </c>
      <c r="Q628" s="48">
        <v>545.72</v>
      </c>
      <c r="R628" s="48">
        <v>0.151</v>
      </c>
      <c r="S628" s="48">
        <v>11</v>
      </c>
      <c r="T628" s="48">
        <f t="shared" si="63"/>
        <v>0</v>
      </c>
      <c r="U628" s="38">
        <f t="shared" si="64"/>
        <v>2486.44</v>
      </c>
      <c r="V628" s="48">
        <f t="shared" si="67"/>
        <v>-2486.44</v>
      </c>
      <c r="W628" s="50">
        <f t="shared" si="68"/>
        <v>0</v>
      </c>
    </row>
    <row r="629" spans="1:23" x14ac:dyDescent="0.3">
      <c r="A629" s="39" t="s">
        <v>1356</v>
      </c>
      <c r="B629" s="40">
        <v>45100</v>
      </c>
      <c r="C629" s="41">
        <v>45125</v>
      </c>
      <c r="D629" s="42">
        <f t="shared" si="69"/>
        <v>25</v>
      </c>
      <c r="E629" s="42" t="str">
        <f>TEXT(Data!B629,"MMM-YYYY")</f>
        <v>Jun-2023</v>
      </c>
      <c r="F629" s="42" t="str">
        <f t="shared" si="65"/>
        <v>Q2-2023</v>
      </c>
      <c r="G629" s="37" t="s">
        <v>52</v>
      </c>
      <c r="H629" s="37" t="s">
        <v>53</v>
      </c>
      <c r="I629" s="37" t="s">
        <v>179</v>
      </c>
      <c r="J629" s="37" t="s">
        <v>105</v>
      </c>
      <c r="K629" s="37" t="s">
        <v>28</v>
      </c>
      <c r="L629" s="37" t="s">
        <v>126</v>
      </c>
      <c r="M629" s="37" t="s">
        <v>42</v>
      </c>
      <c r="N629" s="37" t="s">
        <v>1357</v>
      </c>
      <c r="O629" s="42">
        <v>807.02</v>
      </c>
      <c r="P629" s="43" t="str">
        <f t="shared" si="66"/>
        <v>High</v>
      </c>
      <c r="Q629" s="42">
        <v>1435.54</v>
      </c>
      <c r="R629" s="42">
        <v>0</v>
      </c>
      <c r="S629" s="42">
        <v>23</v>
      </c>
      <c r="T629" s="42">
        <f t="shared" si="63"/>
        <v>0</v>
      </c>
      <c r="U629" s="37">
        <f t="shared" si="64"/>
        <v>18561.46</v>
      </c>
      <c r="V629" s="42">
        <f t="shared" si="67"/>
        <v>-18561.46</v>
      </c>
      <c r="W629" s="44">
        <f t="shared" si="68"/>
        <v>0</v>
      </c>
    </row>
    <row r="630" spans="1:23" x14ac:dyDescent="0.3">
      <c r="A630" s="45" t="s">
        <v>1358</v>
      </c>
      <c r="B630" s="46">
        <v>45267</v>
      </c>
      <c r="C630" s="47">
        <v>45293</v>
      </c>
      <c r="D630" s="48">
        <f t="shared" si="69"/>
        <v>26</v>
      </c>
      <c r="E630" s="48" t="str">
        <f>TEXT(Data!B630,"MMM-YYYY")</f>
        <v>Dec-2023</v>
      </c>
      <c r="F630" s="48" t="str">
        <f t="shared" si="65"/>
        <v>Q4-2023</v>
      </c>
      <c r="G630" s="38" t="s">
        <v>78</v>
      </c>
      <c r="H630" s="38" t="s">
        <v>79</v>
      </c>
      <c r="I630" s="38" t="s">
        <v>335</v>
      </c>
      <c r="J630" s="38" t="s">
        <v>105</v>
      </c>
      <c r="K630" s="38" t="s">
        <v>55</v>
      </c>
      <c r="L630" s="38" t="s">
        <v>63</v>
      </c>
      <c r="M630" s="38" t="s">
        <v>22</v>
      </c>
      <c r="N630" s="38" t="s">
        <v>1359</v>
      </c>
      <c r="O630" s="48">
        <v>1071.99</v>
      </c>
      <c r="P630" s="49" t="str">
        <f t="shared" si="66"/>
        <v>High</v>
      </c>
      <c r="Q630" s="48">
        <v>2397.3000000000002</v>
      </c>
      <c r="R630" s="48">
        <v>6.2E-2</v>
      </c>
      <c r="S630" s="48">
        <v>18</v>
      </c>
      <c r="T630" s="48">
        <f t="shared" si="63"/>
        <v>0</v>
      </c>
      <c r="U630" s="38">
        <f t="shared" si="64"/>
        <v>19295.82</v>
      </c>
      <c r="V630" s="48">
        <f t="shared" si="67"/>
        <v>-19295.82</v>
      </c>
      <c r="W630" s="50">
        <f t="shared" si="68"/>
        <v>0</v>
      </c>
    </row>
    <row r="631" spans="1:23" x14ac:dyDescent="0.3">
      <c r="A631" s="39" t="s">
        <v>1360</v>
      </c>
      <c r="B631" s="40">
        <v>45249</v>
      </c>
      <c r="C631" s="41">
        <v>45279</v>
      </c>
      <c r="D631" s="42">
        <f t="shared" si="69"/>
        <v>0</v>
      </c>
      <c r="E631" s="42" t="str">
        <f>TEXT(Data!B631,"MMM-YYYY")</f>
        <v>Nov-2023</v>
      </c>
      <c r="F631" s="42" t="str">
        <f t="shared" si="65"/>
        <v>Q4-2023</v>
      </c>
      <c r="G631" s="37" t="s">
        <v>45</v>
      </c>
      <c r="H631" s="37" t="s">
        <v>46</v>
      </c>
      <c r="I631" s="37" t="s">
        <v>231</v>
      </c>
      <c r="J631" s="37" t="s">
        <v>48</v>
      </c>
      <c r="K631" s="37" t="s">
        <v>20</v>
      </c>
      <c r="L631" s="37" t="s">
        <v>1364</v>
      </c>
      <c r="M631" s="37" t="s">
        <v>42</v>
      </c>
      <c r="N631" s="37" t="s">
        <v>1361</v>
      </c>
      <c r="O631" s="42">
        <v>807.11</v>
      </c>
      <c r="P631" s="43" t="str">
        <f t="shared" si="66"/>
        <v>High</v>
      </c>
      <c r="Q631" s="42">
        <v>1853.86</v>
      </c>
      <c r="R631" s="42">
        <v>0.13900000000000001</v>
      </c>
      <c r="S631" s="42">
        <v>8</v>
      </c>
      <c r="T631" s="42">
        <f t="shared" si="63"/>
        <v>0</v>
      </c>
      <c r="U631" s="37">
        <f t="shared" si="64"/>
        <v>6456.88</v>
      </c>
      <c r="V631" s="42">
        <f t="shared" si="67"/>
        <v>-6456.88</v>
      </c>
      <c r="W631" s="44">
        <f t="shared" si="68"/>
        <v>0</v>
      </c>
    </row>
    <row r="632" spans="1:23" x14ac:dyDescent="0.3">
      <c r="A632" s="45" t="s">
        <v>1362</v>
      </c>
      <c r="B632" s="46">
        <v>45716</v>
      </c>
      <c r="C632" s="47">
        <v>45726</v>
      </c>
      <c r="D632" s="48">
        <f t="shared" si="69"/>
        <v>10</v>
      </c>
      <c r="E632" s="48" t="str">
        <f>TEXT(Data!B632,"MMM-YYYY")</f>
        <v>Feb-2025</v>
      </c>
      <c r="F632" s="48" t="str">
        <f t="shared" si="65"/>
        <v>Q1-2025</v>
      </c>
      <c r="G632" s="38" t="s">
        <v>45</v>
      </c>
      <c r="H632" s="38" t="s">
        <v>46</v>
      </c>
      <c r="I632" s="38" t="s">
        <v>47</v>
      </c>
      <c r="J632" s="38" t="s">
        <v>27</v>
      </c>
      <c r="K632" s="38" t="s">
        <v>55</v>
      </c>
      <c r="L632" s="38" t="s">
        <v>126</v>
      </c>
      <c r="M632" s="38" t="s">
        <v>57</v>
      </c>
      <c r="N632" s="38" t="s">
        <v>1363</v>
      </c>
      <c r="O632" s="48">
        <v>51.86</v>
      </c>
      <c r="P632" s="49" t="str">
        <f t="shared" si="66"/>
        <v>Low</v>
      </c>
      <c r="Q632" s="48">
        <v>45.98</v>
      </c>
      <c r="R632" s="48">
        <v>0.17299999999999999</v>
      </c>
      <c r="S632" s="48">
        <v>7</v>
      </c>
      <c r="T632" s="48">
        <f t="shared" si="63"/>
        <v>0</v>
      </c>
      <c r="U632" s="38">
        <f t="shared" si="64"/>
        <v>363.02</v>
      </c>
      <c r="V632" s="48">
        <f t="shared" si="67"/>
        <v>-363.02</v>
      </c>
      <c r="W632" s="50">
        <f t="shared" si="68"/>
        <v>0</v>
      </c>
    </row>
    <row r="633" spans="1:23" x14ac:dyDescent="0.3">
      <c r="A633" t="s">
        <v>1362</v>
      </c>
      <c r="B633" s="7">
        <v>45716</v>
      </c>
      <c r="C633" s="2">
        <v>45726</v>
      </c>
      <c r="D633" s="4">
        <f t="shared" ref="D633" si="70">DATEDIF(B633,C633, "MD")</f>
        <v>10</v>
      </c>
      <c r="E633" s="4" t="str">
        <f>TEXT(Data!B633,"MMM-YYYY")</f>
        <v>Feb-2025</v>
      </c>
      <c r="F633" s="4" t="str">
        <f t="shared" ref="F633" si="71">"Q"&amp;ROUNDUP(MONTH(B633)/3,0)&amp;"-"&amp;YEAR(B633)</f>
        <v>Q1-2025</v>
      </c>
      <c r="G633" t="s">
        <v>45</v>
      </c>
      <c r="H633" t="s">
        <v>46</v>
      </c>
      <c r="I633" t="s">
        <v>47</v>
      </c>
      <c r="J633" t="s">
        <v>27</v>
      </c>
      <c r="K633" t="s">
        <v>55</v>
      </c>
      <c r="L633" t="s">
        <v>126</v>
      </c>
      <c r="M633" t="s">
        <v>57</v>
      </c>
      <c r="N633" t="s">
        <v>1363</v>
      </c>
      <c r="O633" s="4">
        <v>51.86</v>
      </c>
      <c r="P633" s="8" t="str">
        <f t="shared" ref="P633" si="72">IF(Q633&lt;50, "Low", IF(Q633&lt;200, "Medium", "High"))</f>
        <v>Low</v>
      </c>
      <c r="Q633" s="4">
        <v>45.98</v>
      </c>
      <c r="R633" s="4">
        <v>0.17299999999999999</v>
      </c>
      <c r="S633" s="4">
        <v>7</v>
      </c>
      <c r="T633" s="4">
        <f t="shared" ref="T633" si="73">(Q659*S633)*(1-R633)</f>
        <v>0</v>
      </c>
      <c r="U633">
        <f t="shared" ref="U633" si="74">(O633*S633)</f>
        <v>363.02</v>
      </c>
      <c r="V633" s="4">
        <f t="shared" ref="V633" si="75">(T633-U633)</f>
        <v>-363.02</v>
      </c>
      <c r="W633" s="4">
        <f t="shared" ref="W633" si="76">IF(T633=0, 0, V633/T633)</f>
        <v>0</v>
      </c>
    </row>
  </sheetData>
  <conditionalFormatting sqref="Q633:Q1048576">
    <cfRule type="cellIs" dxfId="16" priority="2" operator="lessThan">
      <formula>0</formula>
    </cfRule>
  </conditionalFormatting>
  <conditionalFormatting sqref="Q1:Q632">
    <cfRule type="cellIs" dxfId="15" priority="1" operator="lessThan">
      <formula>0</formula>
    </cfRule>
  </conditionalFormatting>
  <dataValidations count="1">
    <dataValidation type="date" operator="greaterThanOrEqual" allowBlank="1" showInputMessage="1" showErrorMessage="1" error="Invalid Date ;Required date cannot be before the order date" sqref="C1:C633" xr:uid="{D9D6BD48-AF45-4699-B482-766D312AB1F1}">
      <formula1>B1</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B36E2-35DB-4CCC-86F2-887A5A83A256}">
  <dimension ref="A3:C11"/>
  <sheetViews>
    <sheetView workbookViewId="0">
      <selection activeCell="B29" sqref="B29:B30"/>
    </sheetView>
  </sheetViews>
  <sheetFormatPr defaultRowHeight="14.4" x14ac:dyDescent="0.3"/>
  <sheetData>
    <row r="3" spans="1:3" x14ac:dyDescent="0.3">
      <c r="A3">
        <v>1</v>
      </c>
      <c r="B3" t="s">
        <v>1371</v>
      </c>
    </row>
    <row r="5" spans="1:3" x14ac:dyDescent="0.3">
      <c r="A5">
        <v>2</v>
      </c>
      <c r="B5" t="s">
        <v>1370</v>
      </c>
      <c r="C5" t="str">
        <f>"Q"&amp;ROUNDUP(MONTH(Data!B2)/3,0)&amp;"-"&amp;YEAR(Data!B2)</f>
        <v>Q4-2024</v>
      </c>
    </row>
    <row r="7" spans="1:3" x14ac:dyDescent="0.3">
      <c r="A7">
        <v>3</v>
      </c>
      <c r="B7" t="s">
        <v>1372</v>
      </c>
    </row>
    <row r="9" spans="1:3" x14ac:dyDescent="0.3">
      <c r="A9">
        <v>4</v>
      </c>
      <c r="B9" t="s">
        <v>1373</v>
      </c>
    </row>
    <row r="11" spans="1:3" x14ac:dyDescent="0.3">
      <c r="A11">
        <v>5</v>
      </c>
      <c r="B11" t="s">
        <v>1374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41383-D4D8-46A0-897B-2322AE1502B1}">
  <dimension ref="A1:I633"/>
  <sheetViews>
    <sheetView workbookViewId="0">
      <selection activeCell="E29" sqref="E29"/>
    </sheetView>
  </sheetViews>
  <sheetFormatPr defaultRowHeight="14.4" x14ac:dyDescent="0.3"/>
  <cols>
    <col min="1" max="1" width="11.6640625" style="7" bestFit="1" customWidth="1"/>
    <col min="2" max="3" width="14.44140625" style="4" customWidth="1"/>
    <col min="4" max="4" width="8.44140625" bestFit="1" customWidth="1"/>
    <col min="5" max="5" width="14" bestFit="1" customWidth="1"/>
    <col min="6" max="6" width="12.44140625" bestFit="1" customWidth="1"/>
    <col min="7" max="7" width="15.33203125" bestFit="1" customWidth="1"/>
    <col min="8" max="8" width="8.21875" style="4" customWidth="1"/>
    <col min="9" max="9" width="8.6640625" style="4" bestFit="1" customWidth="1"/>
  </cols>
  <sheetData>
    <row r="1" spans="1:9" x14ac:dyDescent="0.3">
      <c r="A1" s="6" t="s">
        <v>1</v>
      </c>
      <c r="B1" s="3" t="s">
        <v>1371</v>
      </c>
      <c r="C1" s="3" t="s">
        <v>1370</v>
      </c>
      <c r="D1" s="1" t="s">
        <v>3</v>
      </c>
      <c r="E1" s="1" t="s">
        <v>4</v>
      </c>
      <c r="F1" s="1" t="s">
        <v>5</v>
      </c>
      <c r="G1" s="1" t="s">
        <v>9</v>
      </c>
      <c r="H1" s="3" t="s">
        <v>1375</v>
      </c>
      <c r="I1" s="3" t="s">
        <v>12</v>
      </c>
    </row>
    <row r="2" spans="1:9" x14ac:dyDescent="0.3">
      <c r="A2" s="13">
        <v>45362</v>
      </c>
      <c r="B2" s="4" t="str">
        <f>TEXT(Data!B2,"MMM-YYYY")</f>
        <v>Oct-2024</v>
      </c>
      <c r="C2" s="4" t="str">
        <f t="shared" ref="C2:C65" si="0">"Q"&amp;ROUNDUP(MONTH(A2)/3,0)&amp;"-"&amp;YEAR(A2)</f>
        <v>Q1-2024</v>
      </c>
      <c r="D2" t="s">
        <v>16</v>
      </c>
      <c r="E2" t="s">
        <v>17</v>
      </c>
      <c r="F2" t="s">
        <v>18</v>
      </c>
      <c r="G2" t="s">
        <v>22</v>
      </c>
      <c r="H2" s="8" t="str">
        <f t="shared" ref="H2:H65" si="1">IF(I2&lt;50, "Low", IF(I2&lt;200, "Medium", "High"))</f>
        <v>High</v>
      </c>
      <c r="I2" s="4">
        <v>608.9</v>
      </c>
    </row>
    <row r="3" spans="1:9" x14ac:dyDescent="0.3">
      <c r="A3" s="13">
        <v>45363</v>
      </c>
      <c r="B3" s="4" t="str">
        <f>TEXT(Data!B3,"MMM-YYYY")</f>
        <v>Feb-2023</v>
      </c>
      <c r="C3" s="4" t="str">
        <f t="shared" si="0"/>
        <v>Q1-2024</v>
      </c>
      <c r="D3" t="s">
        <v>16</v>
      </c>
      <c r="E3" t="s">
        <v>25</v>
      </c>
      <c r="F3" t="s">
        <v>26</v>
      </c>
      <c r="G3" t="s">
        <v>30</v>
      </c>
      <c r="H3" s="8" t="str">
        <f t="shared" si="1"/>
        <v>High</v>
      </c>
      <c r="I3" s="4">
        <v>759.33</v>
      </c>
    </row>
    <row r="4" spans="1:9" x14ac:dyDescent="0.3">
      <c r="A4" s="13">
        <v>45364</v>
      </c>
      <c r="B4" s="4" t="str">
        <f>TEXT(Data!B4,"MMM-YYYY")</f>
        <v>Mar-2025</v>
      </c>
      <c r="C4" s="4" t="str">
        <f t="shared" si="0"/>
        <v>Q1-2024</v>
      </c>
      <c r="D4" t="s">
        <v>16</v>
      </c>
      <c r="E4" t="s">
        <v>17</v>
      </c>
      <c r="F4" t="s">
        <v>33</v>
      </c>
      <c r="G4" t="s">
        <v>35</v>
      </c>
      <c r="H4" s="8" t="str">
        <f t="shared" si="1"/>
        <v>Low</v>
      </c>
      <c r="I4" s="4">
        <v>-30.66</v>
      </c>
    </row>
    <row r="5" spans="1:9" x14ac:dyDescent="0.3">
      <c r="A5" s="13">
        <v>45365</v>
      </c>
      <c r="B5" s="4" t="str">
        <f>TEXT(Data!B5,"MMM-YYYY")</f>
        <v>Dec-2023</v>
      </c>
      <c r="C5" s="4" t="str">
        <f t="shared" si="0"/>
        <v>Q1-2024</v>
      </c>
      <c r="D5" t="s">
        <v>16</v>
      </c>
      <c r="E5" t="s">
        <v>25</v>
      </c>
      <c r="F5" t="s">
        <v>38</v>
      </c>
      <c r="G5" t="s">
        <v>42</v>
      </c>
      <c r="H5" s="8" t="str">
        <f t="shared" si="1"/>
        <v>High</v>
      </c>
      <c r="I5" s="4">
        <v>255.94</v>
      </c>
    </row>
    <row r="6" spans="1:9" x14ac:dyDescent="0.3">
      <c r="A6" s="13">
        <v>45366</v>
      </c>
      <c r="B6" s="4" t="str">
        <f>TEXT(Data!B6,"MMM-YYYY")</f>
        <v>Jan-2023</v>
      </c>
      <c r="C6" s="4" t="str">
        <f t="shared" si="0"/>
        <v>Q1-2024</v>
      </c>
      <c r="D6" t="s">
        <v>45</v>
      </c>
      <c r="E6" t="s">
        <v>46</v>
      </c>
      <c r="F6" t="s">
        <v>47</v>
      </c>
      <c r="G6" t="s">
        <v>30</v>
      </c>
      <c r="H6" s="8" t="str">
        <f t="shared" si="1"/>
        <v>High</v>
      </c>
      <c r="I6" s="4">
        <v>813.51</v>
      </c>
    </row>
    <row r="7" spans="1:9" x14ac:dyDescent="0.3">
      <c r="A7" s="13">
        <v>45367</v>
      </c>
      <c r="B7" s="4" t="str">
        <f>TEXT(Data!B7,"MMM-YYYY")</f>
        <v>Dec-2024</v>
      </c>
      <c r="C7" s="4" t="str">
        <f t="shared" si="0"/>
        <v>Q1-2024</v>
      </c>
      <c r="D7" t="s">
        <v>52</v>
      </c>
      <c r="E7" t="s">
        <v>53</v>
      </c>
      <c r="F7" t="s">
        <v>54</v>
      </c>
      <c r="G7" t="s">
        <v>57</v>
      </c>
      <c r="H7" s="8" t="str">
        <f t="shared" si="1"/>
        <v>High</v>
      </c>
      <c r="I7" s="4">
        <v>591.67999999999995</v>
      </c>
    </row>
    <row r="8" spans="1:9" x14ac:dyDescent="0.3">
      <c r="A8" s="13">
        <v>45368</v>
      </c>
      <c r="B8" s="4" t="str">
        <f>TEXT(Data!B8,"MMM-YYYY")</f>
        <v>Jan-2023</v>
      </c>
      <c r="C8" s="4" t="str">
        <f t="shared" si="0"/>
        <v>Q1-2024</v>
      </c>
      <c r="D8" t="s">
        <v>45</v>
      </c>
      <c r="E8" t="s">
        <v>60</v>
      </c>
      <c r="F8" t="s">
        <v>61</v>
      </c>
      <c r="G8" t="s">
        <v>64</v>
      </c>
      <c r="H8" s="8" t="str">
        <f t="shared" si="1"/>
        <v>High</v>
      </c>
      <c r="I8" s="4">
        <v>845.97</v>
      </c>
    </row>
    <row r="9" spans="1:9" x14ac:dyDescent="0.3">
      <c r="A9" s="13">
        <v>45369</v>
      </c>
      <c r="B9" s="4" t="str">
        <f>TEXT(Data!B9,"MMM-YYYY")</f>
        <v>May-2024</v>
      </c>
      <c r="C9" s="4" t="str">
        <f t="shared" si="0"/>
        <v>Q1-2024</v>
      </c>
      <c r="D9" t="s">
        <v>16</v>
      </c>
      <c r="E9" t="s">
        <v>25</v>
      </c>
      <c r="F9" t="s">
        <v>67</v>
      </c>
      <c r="G9" t="s">
        <v>30</v>
      </c>
      <c r="H9" s="8" t="str">
        <f t="shared" si="1"/>
        <v>Low</v>
      </c>
      <c r="I9" s="4">
        <v>47.22</v>
      </c>
    </row>
    <row r="10" spans="1:9" x14ac:dyDescent="0.3">
      <c r="A10" s="13">
        <v>45370</v>
      </c>
      <c r="B10" s="4" t="str">
        <f>TEXT(Data!B10,"MMM-YYYY")</f>
        <v>May-2025</v>
      </c>
      <c r="C10" s="4" t="str">
        <f t="shared" si="0"/>
        <v>Q1-2024</v>
      </c>
      <c r="D10" t="s">
        <v>16</v>
      </c>
      <c r="E10" t="s">
        <v>25</v>
      </c>
      <c r="F10" t="s">
        <v>67</v>
      </c>
      <c r="G10" t="s">
        <v>64</v>
      </c>
      <c r="H10" s="8" t="str">
        <f t="shared" si="1"/>
        <v>High</v>
      </c>
      <c r="I10" s="4">
        <v>2530.81</v>
      </c>
    </row>
    <row r="11" spans="1:9" x14ac:dyDescent="0.3">
      <c r="A11" s="13">
        <v>45371</v>
      </c>
      <c r="B11" s="4" t="str">
        <f>TEXT(Data!B11,"MMM-YYYY")</f>
        <v>Jan-2024</v>
      </c>
      <c r="C11" s="4" t="str">
        <f t="shared" si="0"/>
        <v>Q1-2024</v>
      </c>
      <c r="D11" t="s">
        <v>52</v>
      </c>
      <c r="E11" t="s">
        <v>73</v>
      </c>
      <c r="F11" t="s">
        <v>74</v>
      </c>
      <c r="G11" t="s">
        <v>22</v>
      </c>
      <c r="H11" s="8" t="str">
        <f t="shared" si="1"/>
        <v>High</v>
      </c>
      <c r="I11" s="4">
        <v>2309.56</v>
      </c>
    </row>
    <row r="12" spans="1:9" x14ac:dyDescent="0.3">
      <c r="A12" s="13">
        <v>45372</v>
      </c>
      <c r="B12" s="4" t="str">
        <f>TEXT(Data!B12,"MMM-YYYY")</f>
        <v>Jan-2025</v>
      </c>
      <c r="C12" s="4" t="str">
        <f t="shared" si="0"/>
        <v>Q1-2024</v>
      </c>
      <c r="D12" t="s">
        <v>78</v>
      </c>
      <c r="E12" t="s">
        <v>79</v>
      </c>
      <c r="F12" t="s">
        <v>80</v>
      </c>
      <c r="G12" t="s">
        <v>81</v>
      </c>
      <c r="H12" s="8" t="str">
        <f t="shared" si="1"/>
        <v>High</v>
      </c>
      <c r="I12" s="4">
        <v>700.12</v>
      </c>
    </row>
    <row r="13" spans="1:9" x14ac:dyDescent="0.3">
      <c r="A13" s="13">
        <v>45373</v>
      </c>
      <c r="B13" s="4" t="str">
        <f>TEXT(Data!B13,"MMM-YYYY")</f>
        <v>Mar-2025</v>
      </c>
      <c r="C13" s="4" t="str">
        <f t="shared" si="0"/>
        <v>Q1-2024</v>
      </c>
      <c r="D13" t="s">
        <v>45</v>
      </c>
      <c r="E13" t="s">
        <v>46</v>
      </c>
      <c r="F13" t="s">
        <v>47</v>
      </c>
      <c r="G13" t="s">
        <v>42</v>
      </c>
      <c r="H13" s="8" t="str">
        <f t="shared" si="1"/>
        <v>High</v>
      </c>
      <c r="I13" s="4">
        <v>691.37</v>
      </c>
    </row>
    <row r="14" spans="1:9" x14ac:dyDescent="0.3">
      <c r="A14" s="13">
        <v>45374</v>
      </c>
      <c r="B14" s="4" t="str">
        <f>TEXT(Data!B14,"MMM-YYYY")</f>
        <v>Jan-2024</v>
      </c>
      <c r="C14" s="4" t="str">
        <f t="shared" si="0"/>
        <v>Q1-2024</v>
      </c>
      <c r="D14" t="s">
        <v>52</v>
      </c>
      <c r="E14" t="s">
        <v>73</v>
      </c>
      <c r="F14" t="s">
        <v>87</v>
      </c>
      <c r="G14" t="s">
        <v>22</v>
      </c>
      <c r="H14" s="8" t="str">
        <f t="shared" si="1"/>
        <v>High</v>
      </c>
      <c r="I14" s="4">
        <v>548.4</v>
      </c>
    </row>
    <row r="15" spans="1:9" x14ac:dyDescent="0.3">
      <c r="A15" s="13">
        <v>45375</v>
      </c>
      <c r="B15" s="4" t="str">
        <f>TEXT(Data!B15,"MMM-YYYY")</f>
        <v>Sept-2025</v>
      </c>
      <c r="C15" s="4" t="str">
        <f t="shared" si="0"/>
        <v>Q1-2024</v>
      </c>
      <c r="D15" t="s">
        <v>78</v>
      </c>
      <c r="E15" t="s">
        <v>90</v>
      </c>
      <c r="F15" t="s">
        <v>91</v>
      </c>
      <c r="G15" t="s">
        <v>30</v>
      </c>
      <c r="H15" s="8" t="str">
        <f t="shared" si="1"/>
        <v>High</v>
      </c>
      <c r="I15" s="4">
        <v>1439.01</v>
      </c>
    </row>
    <row r="16" spans="1:9" x14ac:dyDescent="0.3">
      <c r="A16" s="13">
        <v>45376</v>
      </c>
      <c r="B16" s="4" t="str">
        <f>TEXT(Data!B16,"MMM-YYYY")</f>
        <v>Apr-2023</v>
      </c>
      <c r="C16" s="4" t="str">
        <f t="shared" si="0"/>
        <v>Q1-2024</v>
      </c>
      <c r="D16" t="s">
        <v>52</v>
      </c>
      <c r="E16" t="s">
        <v>73</v>
      </c>
      <c r="F16" t="s">
        <v>87</v>
      </c>
      <c r="G16" t="s">
        <v>81</v>
      </c>
      <c r="H16" s="8" t="str">
        <f t="shared" si="1"/>
        <v>High</v>
      </c>
      <c r="I16" s="4">
        <v>631.57000000000005</v>
      </c>
    </row>
    <row r="17" spans="1:9" x14ac:dyDescent="0.3">
      <c r="A17" s="13">
        <v>45377</v>
      </c>
      <c r="B17" s="4" t="str">
        <f>TEXT(Data!B17,"MMM-YYYY")</f>
        <v>Dec-2024</v>
      </c>
      <c r="C17" s="4" t="str">
        <f t="shared" si="0"/>
        <v>Q1-2024</v>
      </c>
      <c r="D17" t="s">
        <v>16</v>
      </c>
      <c r="E17" t="s">
        <v>17</v>
      </c>
      <c r="F17" t="s">
        <v>33</v>
      </c>
      <c r="G17" t="s">
        <v>57</v>
      </c>
      <c r="H17" s="8" t="str">
        <f t="shared" si="1"/>
        <v>High</v>
      </c>
      <c r="I17" s="4">
        <v>850.8</v>
      </c>
    </row>
    <row r="18" spans="1:9" x14ac:dyDescent="0.3">
      <c r="A18" s="13">
        <v>45378</v>
      </c>
      <c r="B18" s="4" t="str">
        <f>TEXT(Data!B18,"MMM-YYYY")</f>
        <v>Sept-2025</v>
      </c>
      <c r="C18" s="4" t="str">
        <f t="shared" si="0"/>
        <v>Q1-2024</v>
      </c>
      <c r="D18" t="s">
        <v>78</v>
      </c>
      <c r="E18" t="s">
        <v>90</v>
      </c>
      <c r="F18" t="s">
        <v>91</v>
      </c>
      <c r="G18" t="s">
        <v>30</v>
      </c>
      <c r="H18" s="8" t="str">
        <f t="shared" si="1"/>
        <v>High</v>
      </c>
      <c r="I18" s="4">
        <v>1040.0999999999999</v>
      </c>
    </row>
    <row r="19" spans="1:9" x14ac:dyDescent="0.3">
      <c r="A19" s="13">
        <v>45379</v>
      </c>
      <c r="B19" s="4" t="str">
        <f>TEXT(Data!B19,"MMM-YYYY")</f>
        <v>Jul-2025</v>
      </c>
      <c r="C19" s="4" t="str">
        <f t="shared" si="0"/>
        <v>Q1-2024</v>
      </c>
      <c r="D19" t="s">
        <v>45</v>
      </c>
      <c r="E19" t="s">
        <v>46</v>
      </c>
      <c r="F19" t="s">
        <v>47</v>
      </c>
      <c r="G19" t="s">
        <v>42</v>
      </c>
      <c r="H19" s="8" t="str">
        <f t="shared" si="1"/>
        <v>High</v>
      </c>
      <c r="I19" s="4">
        <v>2705.57</v>
      </c>
    </row>
    <row r="20" spans="1:9" x14ac:dyDescent="0.3">
      <c r="A20" s="13">
        <v>45380</v>
      </c>
      <c r="B20" s="4" t="str">
        <f>TEXT(Data!B20,"MMM-YYYY")</f>
        <v>May-2025</v>
      </c>
      <c r="C20" s="4" t="str">
        <f t="shared" si="0"/>
        <v>Q1-2024</v>
      </c>
      <c r="D20" t="s">
        <v>52</v>
      </c>
      <c r="E20" t="s">
        <v>73</v>
      </c>
      <c r="F20" t="s">
        <v>87</v>
      </c>
      <c r="G20" t="s">
        <v>81</v>
      </c>
      <c r="H20" s="8" t="str">
        <f t="shared" si="1"/>
        <v>High</v>
      </c>
      <c r="I20" s="4">
        <v>2375.37</v>
      </c>
    </row>
    <row r="21" spans="1:9" x14ac:dyDescent="0.3">
      <c r="A21" s="13">
        <v>45381</v>
      </c>
      <c r="B21" s="4" t="str">
        <f>TEXT(Data!B21,"MMM-YYYY")</f>
        <v>Jul-2024</v>
      </c>
      <c r="C21" s="4" t="str">
        <f t="shared" si="0"/>
        <v>Q1-2024</v>
      </c>
      <c r="D21" t="s">
        <v>78</v>
      </c>
      <c r="E21" t="s">
        <v>108</v>
      </c>
      <c r="F21" t="s">
        <v>109</v>
      </c>
      <c r="G21" t="s">
        <v>57</v>
      </c>
      <c r="H21" s="8" t="str">
        <f t="shared" si="1"/>
        <v>High</v>
      </c>
      <c r="I21" s="4">
        <v>2148.14</v>
      </c>
    </row>
    <row r="22" spans="1:9" x14ac:dyDescent="0.3">
      <c r="A22" s="13">
        <v>45382</v>
      </c>
      <c r="B22" s="4" t="str">
        <f>TEXT(Data!B22,"MMM-YYYY")</f>
        <v>May-2023</v>
      </c>
      <c r="C22" s="4" t="str">
        <f t="shared" si="0"/>
        <v>Q1-2024</v>
      </c>
      <c r="D22" t="s">
        <v>16</v>
      </c>
      <c r="E22" t="s">
        <v>17</v>
      </c>
      <c r="F22" t="s">
        <v>113</v>
      </c>
      <c r="G22" t="s">
        <v>57</v>
      </c>
      <c r="H22" s="8" t="str">
        <f t="shared" si="1"/>
        <v>High</v>
      </c>
      <c r="I22" s="4">
        <v>3661.07</v>
      </c>
    </row>
    <row r="23" spans="1:9" x14ac:dyDescent="0.3">
      <c r="A23" s="13">
        <v>45383</v>
      </c>
      <c r="B23" s="4" t="str">
        <f>TEXT(Data!B23,"MMM-YYYY")</f>
        <v>Jun-2025</v>
      </c>
      <c r="C23" s="4" t="str">
        <f t="shared" si="0"/>
        <v>Q2-2024</v>
      </c>
      <c r="D23" t="s">
        <v>45</v>
      </c>
      <c r="E23" t="s">
        <v>116</v>
      </c>
      <c r="F23" t="s">
        <v>117</v>
      </c>
      <c r="G23" t="s">
        <v>35</v>
      </c>
      <c r="H23" s="8" t="str">
        <f t="shared" si="1"/>
        <v>High</v>
      </c>
      <c r="I23" s="4">
        <v>2903.09</v>
      </c>
    </row>
    <row r="24" spans="1:9" x14ac:dyDescent="0.3">
      <c r="A24" s="13">
        <v>45384</v>
      </c>
      <c r="B24" s="4" t="str">
        <f>TEXT(Data!B24,"MMM-YYYY")</f>
        <v>May-2024</v>
      </c>
      <c r="C24" s="4" t="str">
        <f t="shared" si="0"/>
        <v>Q2-2024</v>
      </c>
      <c r="D24" t="s">
        <v>16</v>
      </c>
      <c r="E24" t="s">
        <v>25</v>
      </c>
      <c r="F24" t="s">
        <v>26</v>
      </c>
      <c r="G24" t="s">
        <v>81</v>
      </c>
      <c r="H24" s="8" t="str">
        <f t="shared" si="1"/>
        <v>High</v>
      </c>
      <c r="I24" s="4">
        <v>1242.8399999999999</v>
      </c>
    </row>
    <row r="25" spans="1:9" x14ac:dyDescent="0.3">
      <c r="A25" s="13">
        <v>45385</v>
      </c>
      <c r="B25" s="4" t="str">
        <f>TEXT(Data!B25,"MMM-YYYY")</f>
        <v>Feb-2023</v>
      </c>
      <c r="C25" s="4" t="str">
        <f t="shared" si="0"/>
        <v>Q2-2024</v>
      </c>
      <c r="D25" t="s">
        <v>52</v>
      </c>
      <c r="E25" t="s">
        <v>122</v>
      </c>
      <c r="F25" t="s">
        <v>123</v>
      </c>
      <c r="G25" t="s">
        <v>57</v>
      </c>
      <c r="H25" s="8" t="str">
        <f t="shared" si="1"/>
        <v>High</v>
      </c>
      <c r="I25" s="4">
        <v>2553.69</v>
      </c>
    </row>
    <row r="26" spans="1:9" x14ac:dyDescent="0.3">
      <c r="A26" s="13">
        <v>45386</v>
      </c>
      <c r="B26" s="4" t="str">
        <f>TEXT(Data!B26,"MMM-YYYY")</f>
        <v>Jun-2024</v>
      </c>
      <c r="C26" s="4" t="str">
        <f t="shared" si="0"/>
        <v>Q2-2024</v>
      </c>
      <c r="D26" t="s">
        <v>52</v>
      </c>
      <c r="E26" t="s">
        <v>73</v>
      </c>
      <c r="F26" t="s">
        <v>74</v>
      </c>
      <c r="G26" t="s">
        <v>22</v>
      </c>
      <c r="H26" s="8" t="str">
        <f t="shared" si="1"/>
        <v>High</v>
      </c>
      <c r="I26" s="4">
        <v>2089.16</v>
      </c>
    </row>
    <row r="27" spans="1:9" x14ac:dyDescent="0.3">
      <c r="A27" s="13">
        <v>45387</v>
      </c>
      <c r="B27" s="4" t="str">
        <f>TEXT(Data!B27,"MMM-YYYY")</f>
        <v>Nov-2024</v>
      </c>
      <c r="C27" s="4" t="str">
        <f t="shared" si="0"/>
        <v>Q2-2024</v>
      </c>
      <c r="D27" t="s">
        <v>52</v>
      </c>
      <c r="E27" t="s">
        <v>73</v>
      </c>
      <c r="F27" t="s">
        <v>87</v>
      </c>
      <c r="G27" t="s">
        <v>81</v>
      </c>
      <c r="H27" s="8" t="str">
        <f t="shared" si="1"/>
        <v>High</v>
      </c>
      <c r="I27" s="4">
        <v>2583.02</v>
      </c>
    </row>
    <row r="28" spans="1:9" x14ac:dyDescent="0.3">
      <c r="A28" s="13">
        <v>45388</v>
      </c>
      <c r="B28" s="4" t="str">
        <f>TEXT(Data!B28,"MMM-YYYY")</f>
        <v>Jul-2024</v>
      </c>
      <c r="C28" s="4" t="str">
        <f t="shared" si="0"/>
        <v>Q2-2024</v>
      </c>
      <c r="D28" t="s">
        <v>78</v>
      </c>
      <c r="E28" t="s">
        <v>90</v>
      </c>
      <c r="F28" t="s">
        <v>91</v>
      </c>
      <c r="G28" t="s">
        <v>30</v>
      </c>
      <c r="H28" s="8" t="str">
        <f t="shared" si="1"/>
        <v>Medium</v>
      </c>
      <c r="I28" s="4">
        <v>175.67</v>
      </c>
    </row>
    <row r="29" spans="1:9" x14ac:dyDescent="0.3">
      <c r="A29" s="13">
        <v>45389</v>
      </c>
      <c r="B29" s="4" t="str">
        <f>TEXT(Data!B29,"MMM-YYYY")</f>
        <v>Apr-2023</v>
      </c>
      <c r="C29" s="4" t="str">
        <f t="shared" si="0"/>
        <v>Q2-2024</v>
      </c>
      <c r="D29" t="s">
        <v>16</v>
      </c>
      <c r="E29" t="s">
        <v>17</v>
      </c>
      <c r="F29" t="s">
        <v>18</v>
      </c>
      <c r="G29" t="s">
        <v>42</v>
      </c>
      <c r="H29" s="8" t="str">
        <f t="shared" si="1"/>
        <v>High</v>
      </c>
      <c r="I29" s="4">
        <v>758.23</v>
      </c>
    </row>
    <row r="30" spans="1:9" x14ac:dyDescent="0.3">
      <c r="A30" s="13">
        <v>45390</v>
      </c>
      <c r="B30" s="4" t="str">
        <f>TEXT(Data!B30,"MMM-YYYY")</f>
        <v>Apr-2025</v>
      </c>
      <c r="C30" s="4" t="str">
        <f t="shared" si="0"/>
        <v>Q2-2024</v>
      </c>
      <c r="D30" t="s">
        <v>16</v>
      </c>
      <c r="E30" t="s">
        <v>17</v>
      </c>
      <c r="F30" t="s">
        <v>135</v>
      </c>
      <c r="G30" t="s">
        <v>42</v>
      </c>
      <c r="H30" s="8" t="str">
        <f t="shared" si="1"/>
        <v>High</v>
      </c>
      <c r="I30" s="4">
        <v>434.8</v>
      </c>
    </row>
    <row r="31" spans="1:9" x14ac:dyDescent="0.3">
      <c r="A31" s="13">
        <v>45391</v>
      </c>
      <c r="B31" s="4" t="str">
        <f>TEXT(Data!B31,"MMM-YYYY")</f>
        <v>Dec-2024</v>
      </c>
      <c r="C31" s="4" t="str">
        <f t="shared" si="0"/>
        <v>Q2-2024</v>
      </c>
      <c r="D31" t="s">
        <v>78</v>
      </c>
      <c r="E31" t="s">
        <v>90</v>
      </c>
      <c r="F31" t="s">
        <v>138</v>
      </c>
      <c r="G31" t="s">
        <v>35</v>
      </c>
      <c r="H31" s="8" t="str">
        <f t="shared" si="1"/>
        <v>High</v>
      </c>
      <c r="I31" s="4">
        <v>1666.18</v>
      </c>
    </row>
    <row r="32" spans="1:9" x14ac:dyDescent="0.3">
      <c r="A32" s="13">
        <v>45392</v>
      </c>
      <c r="B32" s="4" t="str">
        <f>TEXT(Data!B32,"MMM-YYYY")</f>
        <v>Feb-2023</v>
      </c>
      <c r="C32" s="4" t="str">
        <f t="shared" si="0"/>
        <v>Q2-2024</v>
      </c>
      <c r="D32" t="s">
        <v>45</v>
      </c>
      <c r="E32" t="s">
        <v>60</v>
      </c>
      <c r="F32" t="s">
        <v>141</v>
      </c>
      <c r="G32" t="s">
        <v>22</v>
      </c>
      <c r="H32" s="8" t="str">
        <f t="shared" si="1"/>
        <v>High</v>
      </c>
      <c r="I32" s="4">
        <v>631.78</v>
      </c>
    </row>
    <row r="33" spans="1:9" x14ac:dyDescent="0.3">
      <c r="A33" s="13">
        <v>45393</v>
      </c>
      <c r="B33" s="4" t="str">
        <f>TEXT(Data!B33,"MMM-YYYY")</f>
        <v>Jul-2025</v>
      </c>
      <c r="C33" s="4" t="str">
        <f t="shared" si="0"/>
        <v>Q2-2024</v>
      </c>
      <c r="D33" t="s">
        <v>52</v>
      </c>
      <c r="E33" t="s">
        <v>53</v>
      </c>
      <c r="F33" t="s">
        <v>144</v>
      </c>
      <c r="G33" t="s">
        <v>42</v>
      </c>
      <c r="H33" s="8" t="str">
        <f t="shared" si="1"/>
        <v>High</v>
      </c>
      <c r="I33" s="4">
        <v>1794.07</v>
      </c>
    </row>
    <row r="34" spans="1:9" x14ac:dyDescent="0.3">
      <c r="A34" s="13">
        <v>45394</v>
      </c>
      <c r="B34" s="4" t="str">
        <f>TEXT(Data!B34,"MMM-YYYY")</f>
        <v>Apr-2024</v>
      </c>
      <c r="C34" s="4" t="str">
        <f t="shared" si="0"/>
        <v>Q2-2024</v>
      </c>
      <c r="D34" t="s">
        <v>16</v>
      </c>
      <c r="E34" t="s">
        <v>148</v>
      </c>
      <c r="F34" t="s">
        <v>149</v>
      </c>
      <c r="G34" t="s">
        <v>35</v>
      </c>
      <c r="H34" s="8" t="str">
        <f t="shared" si="1"/>
        <v>High</v>
      </c>
      <c r="I34" s="4">
        <v>2633.02</v>
      </c>
    </row>
    <row r="35" spans="1:9" x14ac:dyDescent="0.3">
      <c r="A35" s="13">
        <v>45395</v>
      </c>
      <c r="B35" s="4" t="str">
        <f>TEXT(Data!B35,"MMM-YYYY")</f>
        <v>Aug-2024</v>
      </c>
      <c r="C35" s="4" t="str">
        <f t="shared" si="0"/>
        <v>Q2-2024</v>
      </c>
      <c r="D35" t="s">
        <v>78</v>
      </c>
      <c r="E35" t="s">
        <v>108</v>
      </c>
      <c r="F35" t="s">
        <v>152</v>
      </c>
      <c r="G35" t="s">
        <v>57</v>
      </c>
      <c r="H35" s="8" t="str">
        <f t="shared" si="1"/>
        <v>High</v>
      </c>
      <c r="I35" s="4">
        <v>1321.85</v>
      </c>
    </row>
    <row r="36" spans="1:9" x14ac:dyDescent="0.3">
      <c r="A36" s="13">
        <v>45396</v>
      </c>
      <c r="B36" s="4" t="str">
        <f>TEXT(Data!B36,"MMM-YYYY")</f>
        <v>Mar-2023</v>
      </c>
      <c r="C36" s="4" t="str">
        <f t="shared" si="0"/>
        <v>Q2-2024</v>
      </c>
      <c r="D36" t="s">
        <v>16</v>
      </c>
      <c r="E36" t="s">
        <v>148</v>
      </c>
      <c r="F36" t="s">
        <v>149</v>
      </c>
      <c r="G36" t="s">
        <v>22</v>
      </c>
      <c r="H36" s="8" t="str">
        <f t="shared" si="1"/>
        <v>High</v>
      </c>
      <c r="I36" s="4">
        <v>3036.87</v>
      </c>
    </row>
    <row r="37" spans="1:9" x14ac:dyDescent="0.3">
      <c r="A37" s="13">
        <v>45397</v>
      </c>
      <c r="B37" s="4" t="str">
        <f>TEXT(Data!B37,"MMM-YYYY")</f>
        <v>Mar-2024</v>
      </c>
      <c r="C37" s="4" t="str">
        <f t="shared" si="0"/>
        <v>Q2-2024</v>
      </c>
      <c r="D37" t="s">
        <v>45</v>
      </c>
      <c r="E37" t="s">
        <v>60</v>
      </c>
      <c r="F37" t="s">
        <v>141</v>
      </c>
      <c r="G37" t="s">
        <v>30</v>
      </c>
      <c r="H37" s="8" t="str">
        <f t="shared" si="1"/>
        <v>Medium</v>
      </c>
      <c r="I37" s="4">
        <v>199.37</v>
      </c>
    </row>
    <row r="38" spans="1:9" x14ac:dyDescent="0.3">
      <c r="A38" s="13">
        <v>45398</v>
      </c>
      <c r="B38" s="4" t="str">
        <f>TEXT(Data!B38,"MMM-YYYY")</f>
        <v>Jun-2025</v>
      </c>
      <c r="C38" s="4" t="str">
        <f t="shared" si="0"/>
        <v>Q2-2024</v>
      </c>
      <c r="D38" t="s">
        <v>78</v>
      </c>
      <c r="E38" t="s">
        <v>79</v>
      </c>
      <c r="F38" t="s">
        <v>159</v>
      </c>
      <c r="G38" t="s">
        <v>22</v>
      </c>
      <c r="H38" s="8" t="str">
        <f t="shared" si="1"/>
        <v>High</v>
      </c>
      <c r="I38" s="4">
        <v>927.51</v>
      </c>
    </row>
    <row r="39" spans="1:9" x14ac:dyDescent="0.3">
      <c r="A39" s="13">
        <v>45399</v>
      </c>
      <c r="B39" s="4" t="str">
        <f>TEXT(Data!B39,"MMM-YYYY")</f>
        <v>Apr-2024</v>
      </c>
      <c r="C39" s="4" t="str">
        <f t="shared" si="0"/>
        <v>Q2-2024</v>
      </c>
      <c r="D39" t="s">
        <v>45</v>
      </c>
      <c r="E39" t="s">
        <v>116</v>
      </c>
      <c r="F39" t="s">
        <v>162</v>
      </c>
      <c r="G39" t="s">
        <v>22</v>
      </c>
      <c r="H39" s="8" t="str">
        <f t="shared" si="1"/>
        <v>High</v>
      </c>
      <c r="I39" s="4">
        <v>1735.41</v>
      </c>
    </row>
    <row r="40" spans="1:9" x14ac:dyDescent="0.3">
      <c r="A40" s="13">
        <v>45400</v>
      </c>
      <c r="B40" s="4" t="str">
        <f>TEXT(Data!B40,"MMM-YYYY")</f>
        <v>Jun-2023</v>
      </c>
      <c r="C40" s="4" t="str">
        <f t="shared" si="0"/>
        <v>Q2-2024</v>
      </c>
      <c r="D40" t="s">
        <v>16</v>
      </c>
      <c r="E40" t="s">
        <v>25</v>
      </c>
      <c r="F40" t="s">
        <v>26</v>
      </c>
      <c r="G40" t="s">
        <v>30</v>
      </c>
      <c r="H40" s="8" t="str">
        <f t="shared" si="1"/>
        <v>High</v>
      </c>
      <c r="I40" s="4">
        <v>1395.64</v>
      </c>
    </row>
    <row r="41" spans="1:9" x14ac:dyDescent="0.3">
      <c r="A41" s="13">
        <v>45401</v>
      </c>
      <c r="B41" s="4" t="str">
        <f>TEXT(Data!B41,"MMM-YYYY")</f>
        <v>Aug-2024</v>
      </c>
      <c r="C41" s="4" t="str">
        <f t="shared" si="0"/>
        <v>Q2-2024</v>
      </c>
      <c r="D41" t="s">
        <v>52</v>
      </c>
      <c r="E41" t="s">
        <v>122</v>
      </c>
      <c r="F41" t="s">
        <v>167</v>
      </c>
      <c r="G41" t="s">
        <v>30</v>
      </c>
      <c r="H41" s="8" t="str">
        <f t="shared" si="1"/>
        <v>High</v>
      </c>
      <c r="I41" s="4">
        <v>454.42</v>
      </c>
    </row>
    <row r="42" spans="1:9" x14ac:dyDescent="0.3">
      <c r="A42" s="13">
        <v>45402</v>
      </c>
      <c r="B42" s="4" t="str">
        <f>TEXT(Data!B42,"MMM-YYYY")</f>
        <v>Jan-2024</v>
      </c>
      <c r="C42" s="4" t="str">
        <f t="shared" si="0"/>
        <v>Q2-2024</v>
      </c>
      <c r="D42" t="s">
        <v>78</v>
      </c>
      <c r="E42" t="s">
        <v>79</v>
      </c>
      <c r="F42" t="s">
        <v>80</v>
      </c>
      <c r="G42" t="s">
        <v>64</v>
      </c>
      <c r="H42" s="8" t="str">
        <f t="shared" si="1"/>
        <v>High</v>
      </c>
      <c r="I42" s="4">
        <v>1580.97</v>
      </c>
    </row>
    <row r="43" spans="1:9" x14ac:dyDescent="0.3">
      <c r="A43" s="13">
        <v>45403</v>
      </c>
      <c r="B43" s="4" t="str">
        <f>TEXT(Data!B43,"MMM-YYYY")</f>
        <v>Oct-2024</v>
      </c>
      <c r="C43" s="4" t="str">
        <f t="shared" si="0"/>
        <v>Q2-2024</v>
      </c>
      <c r="D43" t="s">
        <v>16</v>
      </c>
      <c r="E43" t="s">
        <v>148</v>
      </c>
      <c r="F43" t="s">
        <v>172</v>
      </c>
      <c r="G43" t="s">
        <v>35</v>
      </c>
      <c r="H43" s="8" t="str">
        <f t="shared" si="1"/>
        <v>High</v>
      </c>
      <c r="I43" s="4">
        <v>1759.79</v>
      </c>
    </row>
    <row r="44" spans="1:9" x14ac:dyDescent="0.3">
      <c r="A44" s="13">
        <v>45404</v>
      </c>
      <c r="B44" s="4" t="str">
        <f>TEXT(Data!B44,"MMM-YYYY")</f>
        <v>May-2025</v>
      </c>
      <c r="C44" s="4" t="str">
        <f t="shared" si="0"/>
        <v>Q2-2024</v>
      </c>
      <c r="D44" t="s">
        <v>16</v>
      </c>
      <c r="E44" t="s">
        <v>17</v>
      </c>
      <c r="F44" t="s">
        <v>113</v>
      </c>
      <c r="G44" t="s">
        <v>30</v>
      </c>
      <c r="H44" s="8" t="str">
        <f t="shared" si="1"/>
        <v>High</v>
      </c>
      <c r="I44" s="4">
        <v>3204.5</v>
      </c>
    </row>
    <row r="45" spans="1:9" x14ac:dyDescent="0.3">
      <c r="A45" s="13">
        <v>45405</v>
      </c>
      <c r="B45" s="4" t="str">
        <f>TEXT(Data!B45,"MMM-YYYY")</f>
        <v>May-2024</v>
      </c>
      <c r="C45" s="4" t="str">
        <f t="shared" si="0"/>
        <v>Q2-2024</v>
      </c>
      <c r="D45" t="s">
        <v>78</v>
      </c>
      <c r="E45" t="s">
        <v>79</v>
      </c>
      <c r="F45" t="s">
        <v>80</v>
      </c>
      <c r="G45" t="s">
        <v>30</v>
      </c>
      <c r="H45" s="8" t="str">
        <f t="shared" si="1"/>
        <v>High</v>
      </c>
      <c r="I45" s="4">
        <v>1135.43</v>
      </c>
    </row>
    <row r="46" spans="1:9" x14ac:dyDescent="0.3">
      <c r="A46" s="13">
        <v>45406</v>
      </c>
      <c r="B46" s="4" t="str">
        <f>TEXT(Data!B46,"MMM-YYYY")</f>
        <v>Apr-2023</v>
      </c>
      <c r="C46" s="4" t="str">
        <f t="shared" si="0"/>
        <v>Q2-2024</v>
      </c>
      <c r="D46" t="s">
        <v>52</v>
      </c>
      <c r="E46" t="s">
        <v>53</v>
      </c>
      <c r="F46" t="s">
        <v>179</v>
      </c>
      <c r="G46" t="s">
        <v>22</v>
      </c>
      <c r="H46" s="8" t="str">
        <f t="shared" si="1"/>
        <v>High</v>
      </c>
      <c r="I46" s="4">
        <v>996.36</v>
      </c>
    </row>
    <row r="47" spans="1:9" x14ac:dyDescent="0.3">
      <c r="A47" s="13">
        <v>45407</v>
      </c>
      <c r="B47" s="4" t="str">
        <f>TEXT(Data!B47,"MMM-YYYY")</f>
        <v>Jun-2023</v>
      </c>
      <c r="C47" s="4" t="str">
        <f t="shared" si="0"/>
        <v>Q2-2024</v>
      </c>
      <c r="D47" t="s">
        <v>45</v>
      </c>
      <c r="E47" t="s">
        <v>60</v>
      </c>
      <c r="F47" t="s">
        <v>141</v>
      </c>
      <c r="G47" t="s">
        <v>35</v>
      </c>
      <c r="H47" s="8" t="str">
        <f t="shared" si="1"/>
        <v>High</v>
      </c>
      <c r="I47" s="4">
        <v>1397.05</v>
      </c>
    </row>
    <row r="48" spans="1:9" x14ac:dyDescent="0.3">
      <c r="A48" s="13">
        <v>45408</v>
      </c>
      <c r="B48" s="4" t="str">
        <f>TEXT(Data!B48,"MMM-YYYY")</f>
        <v>May-2024</v>
      </c>
      <c r="C48" s="4" t="str">
        <f t="shared" si="0"/>
        <v>Q2-2024</v>
      </c>
      <c r="D48" t="s">
        <v>16</v>
      </c>
      <c r="E48" t="s">
        <v>25</v>
      </c>
      <c r="F48" t="s">
        <v>67</v>
      </c>
      <c r="G48" t="s">
        <v>30</v>
      </c>
      <c r="H48" s="8" t="str">
        <f t="shared" si="1"/>
        <v>High</v>
      </c>
      <c r="I48" s="4">
        <v>548.89</v>
      </c>
    </row>
    <row r="49" spans="1:9" x14ac:dyDescent="0.3">
      <c r="A49" s="13">
        <v>45409</v>
      </c>
      <c r="B49" s="4" t="str">
        <f>TEXT(Data!B49,"MMM-YYYY")</f>
        <v>Oct-2024</v>
      </c>
      <c r="C49" s="4" t="str">
        <f t="shared" si="0"/>
        <v>Q2-2024</v>
      </c>
      <c r="D49" t="s">
        <v>78</v>
      </c>
      <c r="E49" t="s">
        <v>108</v>
      </c>
      <c r="F49" t="s">
        <v>109</v>
      </c>
      <c r="G49" t="s">
        <v>35</v>
      </c>
      <c r="H49" s="8" t="str">
        <f t="shared" si="1"/>
        <v>High</v>
      </c>
      <c r="I49" s="4">
        <v>3524</v>
      </c>
    </row>
    <row r="50" spans="1:9" x14ac:dyDescent="0.3">
      <c r="A50" s="13">
        <v>45410</v>
      </c>
      <c r="B50" s="4" t="str">
        <f>TEXT(Data!B50,"MMM-YYYY")</f>
        <v>Jul-2023</v>
      </c>
      <c r="C50" s="4" t="str">
        <f t="shared" si="0"/>
        <v>Q2-2024</v>
      </c>
      <c r="D50" t="s">
        <v>16</v>
      </c>
      <c r="E50" t="s">
        <v>25</v>
      </c>
      <c r="F50" t="s">
        <v>38</v>
      </c>
      <c r="G50" t="s">
        <v>35</v>
      </c>
      <c r="H50" s="8" t="str">
        <f t="shared" si="1"/>
        <v>High</v>
      </c>
      <c r="I50" s="4">
        <v>1825.61</v>
      </c>
    </row>
    <row r="51" spans="1:9" x14ac:dyDescent="0.3">
      <c r="A51" s="13">
        <v>45411</v>
      </c>
      <c r="B51" s="4" t="str">
        <f>TEXT(Data!B51,"MMM-YYYY")</f>
        <v>Nov-2024</v>
      </c>
      <c r="C51" s="4" t="str">
        <f t="shared" si="0"/>
        <v>Q2-2024</v>
      </c>
      <c r="D51" t="s">
        <v>78</v>
      </c>
      <c r="E51" t="s">
        <v>90</v>
      </c>
      <c r="F51" t="s">
        <v>91</v>
      </c>
      <c r="G51" t="s">
        <v>30</v>
      </c>
      <c r="H51" s="8" t="str">
        <f t="shared" si="1"/>
        <v>High</v>
      </c>
      <c r="I51" s="4">
        <v>1791.37</v>
      </c>
    </row>
    <row r="52" spans="1:9" x14ac:dyDescent="0.3">
      <c r="A52" s="13">
        <v>45412</v>
      </c>
      <c r="B52" s="4" t="str">
        <f>TEXT(Data!B52,"MMM-YYYY")</f>
        <v>Oct-2024</v>
      </c>
      <c r="C52" s="4" t="str">
        <f t="shared" si="0"/>
        <v>Q2-2024</v>
      </c>
      <c r="D52" t="s">
        <v>52</v>
      </c>
      <c r="E52" t="s">
        <v>53</v>
      </c>
      <c r="F52" t="s">
        <v>54</v>
      </c>
      <c r="G52" t="s">
        <v>81</v>
      </c>
      <c r="H52" s="8" t="str">
        <f t="shared" si="1"/>
        <v>High</v>
      </c>
      <c r="I52" s="4">
        <v>2629.75</v>
      </c>
    </row>
    <row r="53" spans="1:9" x14ac:dyDescent="0.3">
      <c r="A53" s="13">
        <v>45413</v>
      </c>
      <c r="B53" s="4" t="str">
        <f>TEXT(Data!B53,"MMM-YYYY")</f>
        <v>Mar-2023</v>
      </c>
      <c r="C53" s="4" t="str">
        <f t="shared" si="0"/>
        <v>Q2-2024</v>
      </c>
      <c r="D53" t="s">
        <v>45</v>
      </c>
      <c r="E53" t="s">
        <v>60</v>
      </c>
      <c r="F53" t="s">
        <v>61</v>
      </c>
      <c r="G53" t="s">
        <v>64</v>
      </c>
      <c r="H53" s="8" t="str">
        <f t="shared" si="1"/>
        <v>Medium</v>
      </c>
      <c r="I53" s="4">
        <v>106.3</v>
      </c>
    </row>
    <row r="54" spans="1:9" x14ac:dyDescent="0.3">
      <c r="A54" s="13">
        <v>45414</v>
      </c>
      <c r="B54" s="4" t="str">
        <f>TEXT(Data!B54,"MMM-YYYY")</f>
        <v>Jan-2025</v>
      </c>
      <c r="C54" s="4" t="str">
        <f t="shared" si="0"/>
        <v>Q2-2024</v>
      </c>
      <c r="D54" t="s">
        <v>16</v>
      </c>
      <c r="E54" t="s">
        <v>17</v>
      </c>
      <c r="F54" t="s">
        <v>135</v>
      </c>
      <c r="G54" t="s">
        <v>57</v>
      </c>
      <c r="H54" s="8" t="str">
        <f t="shared" si="1"/>
        <v>High</v>
      </c>
      <c r="I54" s="4">
        <v>385.72</v>
      </c>
    </row>
    <row r="55" spans="1:9" x14ac:dyDescent="0.3">
      <c r="A55" s="13">
        <v>45415</v>
      </c>
      <c r="B55" s="4" t="str">
        <f>TEXT(Data!B55,"MMM-YYYY")</f>
        <v>Aug-2023</v>
      </c>
      <c r="C55" s="4" t="str">
        <f t="shared" si="0"/>
        <v>Q2-2024</v>
      </c>
      <c r="D55" t="s">
        <v>78</v>
      </c>
      <c r="E55" t="s">
        <v>90</v>
      </c>
      <c r="F55" t="s">
        <v>138</v>
      </c>
      <c r="G55" t="s">
        <v>57</v>
      </c>
      <c r="H55" s="8" t="str">
        <f t="shared" si="1"/>
        <v>High</v>
      </c>
      <c r="I55" s="4">
        <v>236.87</v>
      </c>
    </row>
    <row r="56" spans="1:9" x14ac:dyDescent="0.3">
      <c r="A56" s="13">
        <v>45416</v>
      </c>
      <c r="B56" s="4" t="str">
        <f>TEXT(Data!B56,"MMM-YYYY")</f>
        <v>Apr-2025</v>
      </c>
      <c r="C56" s="4" t="str">
        <f t="shared" si="0"/>
        <v>Q2-2024</v>
      </c>
      <c r="D56" t="s">
        <v>78</v>
      </c>
      <c r="E56" t="s">
        <v>79</v>
      </c>
      <c r="F56" t="s">
        <v>159</v>
      </c>
      <c r="G56" t="s">
        <v>35</v>
      </c>
      <c r="H56" s="8" t="str">
        <f t="shared" si="1"/>
        <v>Low</v>
      </c>
      <c r="I56" s="4">
        <v>41.9</v>
      </c>
    </row>
    <row r="57" spans="1:9" x14ac:dyDescent="0.3">
      <c r="A57" s="13">
        <v>45417</v>
      </c>
      <c r="B57" s="4" t="str">
        <f>TEXT(Data!B57,"MMM-YYYY")</f>
        <v>Feb-2025</v>
      </c>
      <c r="C57" s="4" t="str">
        <f t="shared" si="0"/>
        <v>Q2-2024</v>
      </c>
      <c r="D57" t="s">
        <v>52</v>
      </c>
      <c r="E57" t="s">
        <v>73</v>
      </c>
      <c r="F57" t="s">
        <v>87</v>
      </c>
      <c r="G57" t="s">
        <v>64</v>
      </c>
      <c r="H57" s="8" t="str">
        <f t="shared" si="1"/>
        <v>High</v>
      </c>
      <c r="I57" s="4">
        <v>977.38</v>
      </c>
    </row>
    <row r="58" spans="1:9" x14ac:dyDescent="0.3">
      <c r="A58" s="13">
        <v>45418</v>
      </c>
      <c r="B58" s="4" t="str">
        <f>TEXT(Data!B58,"MMM-YYYY")</f>
        <v>Dec-2024</v>
      </c>
      <c r="C58" s="4" t="str">
        <f t="shared" si="0"/>
        <v>Q2-2024</v>
      </c>
      <c r="D58" t="s">
        <v>52</v>
      </c>
      <c r="E58" t="s">
        <v>73</v>
      </c>
      <c r="F58" t="s">
        <v>74</v>
      </c>
      <c r="G58" t="s">
        <v>57</v>
      </c>
      <c r="H58" s="8" t="str">
        <f t="shared" si="1"/>
        <v>High</v>
      </c>
      <c r="I58" s="4">
        <v>2794.13</v>
      </c>
    </row>
    <row r="59" spans="1:9" x14ac:dyDescent="0.3">
      <c r="A59" s="13">
        <v>45419</v>
      </c>
      <c r="B59" s="4" t="str">
        <f>TEXT(Data!B59,"MMM-YYYY")</f>
        <v>Jun-2025</v>
      </c>
      <c r="C59" s="4" t="str">
        <f t="shared" si="0"/>
        <v>Q2-2024</v>
      </c>
      <c r="D59" t="s">
        <v>78</v>
      </c>
      <c r="E59" t="s">
        <v>79</v>
      </c>
      <c r="F59" t="s">
        <v>159</v>
      </c>
      <c r="G59" t="s">
        <v>81</v>
      </c>
      <c r="H59" s="8" t="str">
        <f t="shared" si="1"/>
        <v>High</v>
      </c>
      <c r="I59" s="4">
        <v>701.95</v>
      </c>
    </row>
    <row r="60" spans="1:9" x14ac:dyDescent="0.3">
      <c r="A60" s="13">
        <v>45420</v>
      </c>
      <c r="B60" s="4" t="str">
        <f>TEXT(Data!B60,"MMM-YYYY")</f>
        <v>May-2025</v>
      </c>
      <c r="C60" s="4" t="str">
        <f t="shared" si="0"/>
        <v>Q2-2024</v>
      </c>
      <c r="D60" t="s">
        <v>78</v>
      </c>
      <c r="E60" t="s">
        <v>90</v>
      </c>
      <c r="F60" t="s">
        <v>91</v>
      </c>
      <c r="G60" t="s">
        <v>81</v>
      </c>
      <c r="H60" s="8" t="str">
        <f t="shared" si="1"/>
        <v>Low</v>
      </c>
      <c r="I60" s="4">
        <v>-5.27</v>
      </c>
    </row>
    <row r="61" spans="1:9" x14ac:dyDescent="0.3">
      <c r="A61" s="13">
        <v>45421</v>
      </c>
      <c r="B61" s="4" t="str">
        <f>TEXT(Data!B61,"MMM-YYYY")</f>
        <v>Mar-2024</v>
      </c>
      <c r="C61" s="4" t="str">
        <f t="shared" si="0"/>
        <v>Q2-2024</v>
      </c>
      <c r="D61" t="s">
        <v>16</v>
      </c>
      <c r="E61" t="s">
        <v>17</v>
      </c>
      <c r="F61" t="s">
        <v>135</v>
      </c>
      <c r="G61" t="s">
        <v>81</v>
      </c>
      <c r="H61" s="8" t="str">
        <f t="shared" si="1"/>
        <v>High</v>
      </c>
      <c r="I61" s="4">
        <v>1437.06</v>
      </c>
    </row>
    <row r="62" spans="1:9" x14ac:dyDescent="0.3">
      <c r="A62" s="13">
        <v>45422</v>
      </c>
      <c r="B62" s="4" t="str">
        <f>TEXT(Data!B62,"MMM-YYYY")</f>
        <v>Sept-2025</v>
      </c>
      <c r="C62" s="4" t="str">
        <f t="shared" si="0"/>
        <v>Q2-2024</v>
      </c>
      <c r="D62" t="s">
        <v>78</v>
      </c>
      <c r="E62" t="s">
        <v>90</v>
      </c>
      <c r="F62" t="s">
        <v>138</v>
      </c>
      <c r="G62" t="s">
        <v>22</v>
      </c>
      <c r="H62" s="8" t="str">
        <f t="shared" si="1"/>
        <v>High</v>
      </c>
      <c r="I62" s="4">
        <v>1911.89</v>
      </c>
    </row>
    <row r="63" spans="1:9" x14ac:dyDescent="0.3">
      <c r="A63" s="13">
        <v>45423</v>
      </c>
      <c r="B63" s="4" t="str">
        <f>TEXT(Data!B63,"MMM-YYYY")</f>
        <v>Apr-2025</v>
      </c>
      <c r="C63" s="4" t="str">
        <f t="shared" si="0"/>
        <v>Q2-2024</v>
      </c>
      <c r="D63" t="s">
        <v>45</v>
      </c>
      <c r="E63" t="s">
        <v>46</v>
      </c>
      <c r="F63" t="s">
        <v>214</v>
      </c>
      <c r="G63" t="s">
        <v>22</v>
      </c>
      <c r="H63" s="8" t="str">
        <f t="shared" si="1"/>
        <v>High</v>
      </c>
      <c r="I63" s="4">
        <v>2593.7800000000002</v>
      </c>
    </row>
    <row r="64" spans="1:9" x14ac:dyDescent="0.3">
      <c r="A64" s="13">
        <v>45424</v>
      </c>
      <c r="B64" s="4" t="str">
        <f>TEXT(Data!B64,"MMM-YYYY")</f>
        <v>Nov-2024</v>
      </c>
      <c r="C64" s="4" t="str">
        <f t="shared" si="0"/>
        <v>Q2-2024</v>
      </c>
      <c r="D64" t="s">
        <v>78</v>
      </c>
      <c r="E64" t="s">
        <v>90</v>
      </c>
      <c r="F64" t="s">
        <v>217</v>
      </c>
      <c r="G64" t="s">
        <v>42</v>
      </c>
      <c r="H64" s="8" t="str">
        <f t="shared" si="1"/>
        <v>High</v>
      </c>
      <c r="I64" s="4">
        <v>1244.08</v>
      </c>
    </row>
    <row r="65" spans="1:9" x14ac:dyDescent="0.3">
      <c r="A65" s="13">
        <v>45425</v>
      </c>
      <c r="B65" s="4" t="str">
        <f>TEXT(Data!B65,"MMM-YYYY")</f>
        <v>Feb-2023</v>
      </c>
      <c r="C65" s="4" t="str">
        <f t="shared" si="0"/>
        <v>Q2-2024</v>
      </c>
      <c r="D65" t="s">
        <v>45</v>
      </c>
      <c r="E65" t="s">
        <v>60</v>
      </c>
      <c r="F65" t="s">
        <v>220</v>
      </c>
      <c r="G65" t="s">
        <v>64</v>
      </c>
      <c r="H65" s="8" t="str">
        <f t="shared" si="1"/>
        <v>High</v>
      </c>
      <c r="I65" s="4">
        <v>1912.51</v>
      </c>
    </row>
    <row r="66" spans="1:9" x14ac:dyDescent="0.3">
      <c r="A66" s="13">
        <v>45426</v>
      </c>
      <c r="B66" s="4" t="str">
        <f>TEXT(Data!B66,"MMM-YYYY")</f>
        <v>Dec-2023</v>
      </c>
      <c r="C66" s="4" t="str">
        <f t="shared" ref="C66:C129" si="2">"Q"&amp;ROUNDUP(MONTH(A66)/3,0)&amp;"-"&amp;YEAR(A66)</f>
        <v>Q2-2024</v>
      </c>
      <c r="D66" t="s">
        <v>16</v>
      </c>
      <c r="E66" t="s">
        <v>148</v>
      </c>
      <c r="F66" t="s">
        <v>149</v>
      </c>
      <c r="G66" t="s">
        <v>57</v>
      </c>
      <c r="H66" s="8" t="str">
        <f t="shared" ref="H66:H129" si="3">IF(I66&lt;50, "Low", IF(I66&lt;200, "Medium", "High"))</f>
        <v>High</v>
      </c>
      <c r="I66" s="4">
        <v>755.87</v>
      </c>
    </row>
    <row r="67" spans="1:9" x14ac:dyDescent="0.3">
      <c r="A67" s="13">
        <v>45427</v>
      </c>
      <c r="B67" s="4" t="str">
        <f>TEXT(Data!B67,"MMM-YYYY")</f>
        <v>Mar-2023</v>
      </c>
      <c r="C67" s="4" t="str">
        <f t="shared" si="2"/>
        <v>Q2-2024</v>
      </c>
      <c r="D67" t="s">
        <v>52</v>
      </c>
      <c r="E67" t="s">
        <v>73</v>
      </c>
      <c r="F67" t="s">
        <v>225</v>
      </c>
      <c r="G67" t="s">
        <v>42</v>
      </c>
      <c r="H67" s="8" t="str">
        <f t="shared" si="3"/>
        <v>High</v>
      </c>
      <c r="I67" s="4">
        <v>1145.67</v>
      </c>
    </row>
    <row r="68" spans="1:9" x14ac:dyDescent="0.3">
      <c r="A68" s="13">
        <v>45428</v>
      </c>
      <c r="B68" s="4" t="str">
        <f>TEXT(Data!B68,"MMM-YYYY")</f>
        <v>May-2024</v>
      </c>
      <c r="C68" s="4" t="str">
        <f t="shared" si="2"/>
        <v>Q2-2024</v>
      </c>
      <c r="D68" t="s">
        <v>78</v>
      </c>
      <c r="E68" t="s">
        <v>108</v>
      </c>
      <c r="F68" t="s">
        <v>228</v>
      </c>
      <c r="G68" t="s">
        <v>81</v>
      </c>
      <c r="H68" s="8" t="str">
        <f t="shared" si="3"/>
        <v>High</v>
      </c>
      <c r="I68" s="4">
        <v>1234.0999999999999</v>
      </c>
    </row>
    <row r="69" spans="1:9" x14ac:dyDescent="0.3">
      <c r="A69" s="13">
        <v>45429</v>
      </c>
      <c r="B69" s="4" t="str">
        <f>TEXT(Data!B69,"MMM-YYYY")</f>
        <v>Aug-2023</v>
      </c>
      <c r="C69" s="4" t="str">
        <f t="shared" si="2"/>
        <v>Q2-2024</v>
      </c>
      <c r="D69" t="s">
        <v>45</v>
      </c>
      <c r="E69" t="s">
        <v>46</v>
      </c>
      <c r="F69" t="s">
        <v>231</v>
      </c>
      <c r="G69" t="s">
        <v>64</v>
      </c>
      <c r="H69" s="8" t="str">
        <f t="shared" si="3"/>
        <v>High</v>
      </c>
      <c r="I69" s="4">
        <v>1228.01</v>
      </c>
    </row>
    <row r="70" spans="1:9" x14ac:dyDescent="0.3">
      <c r="A70" s="13">
        <v>45430</v>
      </c>
      <c r="B70" s="4" t="str">
        <f>TEXT(Data!B70,"MMM-YYYY")</f>
        <v>Apr-2023</v>
      </c>
      <c r="C70" s="4" t="str">
        <f t="shared" si="2"/>
        <v>Q2-2024</v>
      </c>
      <c r="D70" t="s">
        <v>16</v>
      </c>
      <c r="E70" t="s">
        <v>148</v>
      </c>
      <c r="F70" t="s">
        <v>149</v>
      </c>
      <c r="G70" t="s">
        <v>64</v>
      </c>
      <c r="H70" s="8" t="str">
        <f t="shared" si="3"/>
        <v>High</v>
      </c>
      <c r="I70" s="4">
        <v>605.23</v>
      </c>
    </row>
    <row r="71" spans="1:9" x14ac:dyDescent="0.3">
      <c r="A71" s="13">
        <v>45431</v>
      </c>
      <c r="B71" s="4" t="str">
        <f>TEXT(Data!B71,"MMM-YYYY")</f>
        <v>Mar-2024</v>
      </c>
      <c r="C71" s="4" t="str">
        <f t="shared" si="2"/>
        <v>Q2-2024</v>
      </c>
      <c r="D71" t="s">
        <v>45</v>
      </c>
      <c r="E71" t="s">
        <v>116</v>
      </c>
      <c r="F71" t="s">
        <v>162</v>
      </c>
      <c r="G71" t="s">
        <v>22</v>
      </c>
      <c r="H71" s="8" t="str">
        <f t="shared" si="3"/>
        <v>High</v>
      </c>
      <c r="I71" s="4">
        <v>1880.15</v>
      </c>
    </row>
    <row r="72" spans="1:9" x14ac:dyDescent="0.3">
      <c r="A72" s="13">
        <v>45432</v>
      </c>
      <c r="B72" s="4" t="str">
        <f>TEXT(Data!B72,"MMM-YYYY")</f>
        <v>Apr-2025</v>
      </c>
      <c r="C72" s="4" t="str">
        <f t="shared" si="2"/>
        <v>Q2-2024</v>
      </c>
      <c r="D72" t="s">
        <v>78</v>
      </c>
      <c r="E72" t="s">
        <v>79</v>
      </c>
      <c r="F72" t="s">
        <v>159</v>
      </c>
      <c r="G72" t="s">
        <v>81</v>
      </c>
      <c r="H72" s="8" t="str">
        <f t="shared" si="3"/>
        <v>High</v>
      </c>
      <c r="I72" s="4">
        <v>1269.4000000000001</v>
      </c>
    </row>
    <row r="73" spans="1:9" x14ac:dyDescent="0.3">
      <c r="A73" s="13">
        <v>45433</v>
      </c>
      <c r="B73" s="4" t="str">
        <f>TEXT(Data!B73,"MMM-YYYY")</f>
        <v>Apr-2024</v>
      </c>
      <c r="C73" s="4" t="str">
        <f t="shared" si="2"/>
        <v>Q2-2024</v>
      </c>
      <c r="D73" t="s">
        <v>52</v>
      </c>
      <c r="E73" t="s">
        <v>73</v>
      </c>
      <c r="F73" t="s">
        <v>87</v>
      </c>
      <c r="G73" t="s">
        <v>57</v>
      </c>
      <c r="H73" s="8" t="str">
        <f t="shared" si="3"/>
        <v>High</v>
      </c>
      <c r="I73" s="4">
        <v>620.92999999999995</v>
      </c>
    </row>
    <row r="74" spans="1:9" x14ac:dyDescent="0.3">
      <c r="A74" s="13">
        <v>45434</v>
      </c>
      <c r="B74" s="4" t="str">
        <f>TEXT(Data!B74,"MMM-YYYY")</f>
        <v>Dec-2024</v>
      </c>
      <c r="C74" s="4" t="str">
        <f t="shared" si="2"/>
        <v>Q2-2024</v>
      </c>
      <c r="D74" t="s">
        <v>16</v>
      </c>
      <c r="E74" t="s">
        <v>148</v>
      </c>
      <c r="F74" t="s">
        <v>149</v>
      </c>
      <c r="G74" t="s">
        <v>57</v>
      </c>
      <c r="H74" s="8" t="str">
        <f t="shared" si="3"/>
        <v>High</v>
      </c>
      <c r="I74" s="4">
        <v>1455.91</v>
      </c>
    </row>
    <row r="75" spans="1:9" x14ac:dyDescent="0.3">
      <c r="A75" s="13">
        <v>45435</v>
      </c>
      <c r="B75" s="4" t="str">
        <f>TEXT(Data!B75,"MMM-YYYY")</f>
        <v>May-2023</v>
      </c>
      <c r="C75" s="4" t="str">
        <f t="shared" si="2"/>
        <v>Q2-2024</v>
      </c>
      <c r="D75" t="s">
        <v>45</v>
      </c>
      <c r="E75" t="s">
        <v>116</v>
      </c>
      <c r="F75" t="s">
        <v>117</v>
      </c>
      <c r="G75" t="s">
        <v>35</v>
      </c>
      <c r="H75" s="8" t="str">
        <f t="shared" si="3"/>
        <v>High</v>
      </c>
      <c r="I75" s="4">
        <v>546.42999999999995</v>
      </c>
    </row>
    <row r="76" spans="1:9" x14ac:dyDescent="0.3">
      <c r="A76" s="13">
        <v>45436</v>
      </c>
      <c r="B76" s="4" t="str">
        <f>TEXT(Data!B76,"MMM-YYYY")</f>
        <v>Sept-2023</v>
      </c>
      <c r="C76" s="4" t="str">
        <f t="shared" si="2"/>
        <v>Q2-2024</v>
      </c>
      <c r="D76" t="s">
        <v>16</v>
      </c>
      <c r="E76" t="s">
        <v>148</v>
      </c>
      <c r="F76" t="s">
        <v>172</v>
      </c>
      <c r="G76" t="s">
        <v>22</v>
      </c>
      <c r="H76" s="8" t="str">
        <f t="shared" si="3"/>
        <v>High</v>
      </c>
      <c r="I76" s="4">
        <v>1347.92</v>
      </c>
    </row>
    <row r="77" spans="1:9" x14ac:dyDescent="0.3">
      <c r="A77" s="13">
        <v>45437</v>
      </c>
      <c r="B77" s="4" t="str">
        <f>TEXT(Data!B77,"MMM-YYYY")</f>
        <v>Aug-2024</v>
      </c>
      <c r="C77" s="4" t="str">
        <f t="shared" si="2"/>
        <v>Q2-2024</v>
      </c>
      <c r="D77" t="s">
        <v>45</v>
      </c>
      <c r="E77" t="s">
        <v>60</v>
      </c>
      <c r="F77" t="s">
        <v>141</v>
      </c>
      <c r="G77" t="s">
        <v>22</v>
      </c>
      <c r="H77" s="8" t="str">
        <f t="shared" si="3"/>
        <v>High</v>
      </c>
      <c r="I77" s="4">
        <v>1108.43</v>
      </c>
    </row>
    <row r="78" spans="1:9" x14ac:dyDescent="0.3">
      <c r="A78" s="13">
        <v>45438</v>
      </c>
      <c r="B78" s="4" t="str">
        <f>TEXT(Data!B78,"MMM-YYYY")</f>
        <v>Jun-2024</v>
      </c>
      <c r="C78" s="4" t="str">
        <f t="shared" si="2"/>
        <v>Q2-2024</v>
      </c>
      <c r="D78" t="s">
        <v>52</v>
      </c>
      <c r="E78" t="s">
        <v>73</v>
      </c>
      <c r="F78" t="s">
        <v>225</v>
      </c>
      <c r="G78" t="s">
        <v>81</v>
      </c>
      <c r="H78" s="8" t="str">
        <f t="shared" si="3"/>
        <v>High</v>
      </c>
      <c r="I78" s="4">
        <v>3144.1</v>
      </c>
    </row>
    <row r="79" spans="1:9" x14ac:dyDescent="0.3">
      <c r="A79" s="13">
        <v>45439</v>
      </c>
      <c r="B79" s="4" t="str">
        <f>TEXT(Data!B79,"MMM-YYYY")</f>
        <v>Jun-2023</v>
      </c>
      <c r="C79" s="4" t="str">
        <f t="shared" si="2"/>
        <v>Q2-2024</v>
      </c>
      <c r="D79" t="s">
        <v>52</v>
      </c>
      <c r="E79" t="s">
        <v>73</v>
      </c>
      <c r="F79" t="s">
        <v>225</v>
      </c>
      <c r="G79" t="s">
        <v>81</v>
      </c>
      <c r="H79" s="8" t="str">
        <f t="shared" si="3"/>
        <v>High</v>
      </c>
      <c r="I79" s="4">
        <v>2095.73</v>
      </c>
    </row>
    <row r="80" spans="1:9" x14ac:dyDescent="0.3">
      <c r="A80" s="13">
        <v>45440</v>
      </c>
      <c r="B80" s="4" t="str">
        <f>TEXT(Data!B80,"MMM-YYYY")</f>
        <v>Nov-2024</v>
      </c>
      <c r="C80" s="4" t="str">
        <f t="shared" si="2"/>
        <v>Q2-2024</v>
      </c>
      <c r="D80" t="s">
        <v>78</v>
      </c>
      <c r="E80" t="s">
        <v>108</v>
      </c>
      <c r="F80" t="s">
        <v>228</v>
      </c>
      <c r="G80" t="s">
        <v>22</v>
      </c>
      <c r="H80" s="8" t="str">
        <f t="shared" si="3"/>
        <v>High</v>
      </c>
      <c r="I80" s="4">
        <v>703.62</v>
      </c>
    </row>
    <row r="81" spans="1:9" x14ac:dyDescent="0.3">
      <c r="A81" s="13">
        <v>45441</v>
      </c>
      <c r="B81" s="4" t="str">
        <f>TEXT(Data!B81,"MMM-YYYY")</f>
        <v>Feb-2023</v>
      </c>
      <c r="C81" s="4" t="str">
        <f t="shared" si="2"/>
        <v>Q2-2024</v>
      </c>
      <c r="D81" t="s">
        <v>78</v>
      </c>
      <c r="E81" t="s">
        <v>90</v>
      </c>
      <c r="F81" t="s">
        <v>91</v>
      </c>
      <c r="G81" t="s">
        <v>64</v>
      </c>
      <c r="H81" s="8" t="str">
        <f t="shared" si="3"/>
        <v>High</v>
      </c>
      <c r="I81" s="4">
        <v>1997.19</v>
      </c>
    </row>
    <row r="82" spans="1:9" x14ac:dyDescent="0.3">
      <c r="A82" s="13">
        <v>45442</v>
      </c>
      <c r="B82" s="4" t="str">
        <f>TEXT(Data!B82,"MMM-YYYY")</f>
        <v>Aug-2023</v>
      </c>
      <c r="C82" s="4" t="str">
        <f t="shared" si="2"/>
        <v>Q2-2024</v>
      </c>
      <c r="D82" t="s">
        <v>16</v>
      </c>
      <c r="E82" t="s">
        <v>148</v>
      </c>
      <c r="F82" t="s">
        <v>258</v>
      </c>
      <c r="G82" t="s">
        <v>35</v>
      </c>
      <c r="H82" s="8" t="str">
        <f t="shared" si="3"/>
        <v>High</v>
      </c>
      <c r="I82" s="4">
        <v>2763.95</v>
      </c>
    </row>
    <row r="83" spans="1:9" x14ac:dyDescent="0.3">
      <c r="A83" s="13">
        <v>45443</v>
      </c>
      <c r="B83" s="4" t="str">
        <f>TEXT(Data!B83,"MMM-YYYY")</f>
        <v>May-2025</v>
      </c>
      <c r="C83" s="4" t="str">
        <f t="shared" si="2"/>
        <v>Q2-2024</v>
      </c>
      <c r="D83" t="s">
        <v>52</v>
      </c>
      <c r="E83" t="s">
        <v>53</v>
      </c>
      <c r="F83" t="s">
        <v>179</v>
      </c>
      <c r="G83" t="s">
        <v>30</v>
      </c>
      <c r="H83" s="8" t="str">
        <f t="shared" si="3"/>
        <v>High</v>
      </c>
      <c r="I83" s="4">
        <v>1503.53</v>
      </c>
    </row>
    <row r="84" spans="1:9" x14ac:dyDescent="0.3">
      <c r="A84" s="13">
        <v>45444</v>
      </c>
      <c r="B84" s="4" t="str">
        <f>TEXT(Data!B84,"MMM-YYYY")</f>
        <v>Apr-2025</v>
      </c>
      <c r="C84" s="4" t="str">
        <f t="shared" si="2"/>
        <v>Q2-2024</v>
      </c>
      <c r="D84" t="s">
        <v>78</v>
      </c>
      <c r="E84" t="s">
        <v>90</v>
      </c>
      <c r="F84" t="s">
        <v>217</v>
      </c>
      <c r="G84" t="s">
        <v>22</v>
      </c>
      <c r="H84" s="8" t="str">
        <f t="shared" si="3"/>
        <v>High</v>
      </c>
      <c r="I84" s="4">
        <v>388.04</v>
      </c>
    </row>
    <row r="85" spans="1:9" x14ac:dyDescent="0.3">
      <c r="A85" s="13">
        <v>45445</v>
      </c>
      <c r="B85" s="4" t="str">
        <f>TEXT(Data!B85,"MMM-YYYY")</f>
        <v>Mar-2025</v>
      </c>
      <c r="C85" s="4" t="str">
        <f t="shared" si="2"/>
        <v>Q2-2024</v>
      </c>
      <c r="D85" t="s">
        <v>52</v>
      </c>
      <c r="E85" t="s">
        <v>122</v>
      </c>
      <c r="F85" t="s">
        <v>167</v>
      </c>
      <c r="G85" t="s">
        <v>64</v>
      </c>
      <c r="H85" s="8" t="str">
        <f t="shared" si="3"/>
        <v>Low</v>
      </c>
      <c r="I85" s="4">
        <v>44.57</v>
      </c>
    </row>
    <row r="86" spans="1:9" x14ac:dyDescent="0.3">
      <c r="A86" s="13">
        <v>45446</v>
      </c>
      <c r="B86" s="4" t="str">
        <f>TEXT(Data!B86,"MMM-YYYY")</f>
        <v>Dec-2023</v>
      </c>
      <c r="C86" s="4" t="str">
        <f t="shared" si="2"/>
        <v>Q2-2024</v>
      </c>
      <c r="D86" t="s">
        <v>78</v>
      </c>
      <c r="E86" t="s">
        <v>108</v>
      </c>
      <c r="F86" t="s">
        <v>152</v>
      </c>
      <c r="G86" t="s">
        <v>35</v>
      </c>
      <c r="H86" s="8" t="str">
        <f t="shared" si="3"/>
        <v>High</v>
      </c>
      <c r="I86" s="4">
        <v>1808.26</v>
      </c>
    </row>
    <row r="87" spans="1:9" x14ac:dyDescent="0.3">
      <c r="A87" s="13">
        <v>45447</v>
      </c>
      <c r="B87" s="4" t="str">
        <f>TEXT(Data!B87,"MMM-YYYY")</f>
        <v>Apr-2024</v>
      </c>
      <c r="C87" s="4" t="str">
        <f t="shared" si="2"/>
        <v>Q2-2024</v>
      </c>
      <c r="D87" t="s">
        <v>16</v>
      </c>
      <c r="E87" t="s">
        <v>148</v>
      </c>
      <c r="F87" t="s">
        <v>258</v>
      </c>
      <c r="G87" t="s">
        <v>22</v>
      </c>
      <c r="H87" s="8" t="str">
        <f t="shared" si="3"/>
        <v>High</v>
      </c>
      <c r="I87" s="4">
        <v>1285.0899999999999</v>
      </c>
    </row>
    <row r="88" spans="1:9" x14ac:dyDescent="0.3">
      <c r="A88" s="13">
        <v>45448</v>
      </c>
      <c r="B88" s="4" t="str">
        <f>TEXT(Data!B88,"MMM-YYYY")</f>
        <v>Aug-2025</v>
      </c>
      <c r="C88" s="4" t="str">
        <f t="shared" si="2"/>
        <v>Q2-2024</v>
      </c>
      <c r="D88" t="s">
        <v>45</v>
      </c>
      <c r="E88" t="s">
        <v>116</v>
      </c>
      <c r="F88" t="s">
        <v>162</v>
      </c>
      <c r="G88" t="s">
        <v>22</v>
      </c>
      <c r="H88" s="8" t="str">
        <f t="shared" si="3"/>
        <v>High</v>
      </c>
      <c r="I88" s="4">
        <v>1678.14</v>
      </c>
    </row>
    <row r="89" spans="1:9" x14ac:dyDescent="0.3">
      <c r="A89" s="13">
        <v>45449</v>
      </c>
      <c r="B89" s="4" t="str">
        <f>TEXT(Data!B89,"MMM-YYYY")</f>
        <v>Jan-2024</v>
      </c>
      <c r="C89" s="4" t="str">
        <f t="shared" si="2"/>
        <v>Q2-2024</v>
      </c>
      <c r="D89" t="s">
        <v>16</v>
      </c>
      <c r="E89" t="s">
        <v>17</v>
      </c>
      <c r="F89" t="s">
        <v>135</v>
      </c>
      <c r="G89" t="s">
        <v>22</v>
      </c>
      <c r="H89" s="8" t="str">
        <f t="shared" si="3"/>
        <v>High</v>
      </c>
      <c r="I89" s="4">
        <v>679.35</v>
      </c>
    </row>
    <row r="90" spans="1:9" x14ac:dyDescent="0.3">
      <c r="A90" s="13">
        <v>45450</v>
      </c>
      <c r="B90" s="4" t="str">
        <f>TEXT(Data!B90,"MMM-YYYY")</f>
        <v>Jun-2023</v>
      </c>
      <c r="C90" s="4" t="str">
        <f t="shared" si="2"/>
        <v>Q2-2024</v>
      </c>
      <c r="D90" t="s">
        <v>45</v>
      </c>
      <c r="E90" t="s">
        <v>60</v>
      </c>
      <c r="F90" t="s">
        <v>141</v>
      </c>
      <c r="G90" t="s">
        <v>64</v>
      </c>
      <c r="H90" s="8" t="str">
        <f t="shared" si="3"/>
        <v>High</v>
      </c>
      <c r="I90" s="4">
        <v>1109.92</v>
      </c>
    </row>
    <row r="91" spans="1:9" x14ac:dyDescent="0.3">
      <c r="A91" s="13">
        <v>45451</v>
      </c>
      <c r="B91" s="4" t="str">
        <f>TEXT(Data!B91,"MMM-YYYY")</f>
        <v>Apr-2025</v>
      </c>
      <c r="C91" s="4" t="str">
        <f t="shared" si="2"/>
        <v>Q2-2024</v>
      </c>
      <c r="D91" t="s">
        <v>45</v>
      </c>
      <c r="E91" t="s">
        <v>46</v>
      </c>
      <c r="F91" t="s">
        <v>231</v>
      </c>
      <c r="G91" t="s">
        <v>64</v>
      </c>
      <c r="H91" s="8" t="str">
        <f t="shared" si="3"/>
        <v>Medium</v>
      </c>
      <c r="I91" s="4">
        <v>83.57</v>
      </c>
    </row>
    <row r="92" spans="1:9" x14ac:dyDescent="0.3">
      <c r="A92" s="13">
        <v>45452</v>
      </c>
      <c r="B92" s="4" t="str">
        <f>TEXT(Data!B92,"MMM-YYYY")</f>
        <v>Jun-2025</v>
      </c>
      <c r="C92" s="4" t="str">
        <f t="shared" si="2"/>
        <v>Q2-2024</v>
      </c>
      <c r="D92" t="s">
        <v>45</v>
      </c>
      <c r="E92" t="s">
        <v>46</v>
      </c>
      <c r="F92" t="s">
        <v>231</v>
      </c>
      <c r="G92" t="s">
        <v>35</v>
      </c>
      <c r="H92" s="8" t="str">
        <f t="shared" si="3"/>
        <v>High</v>
      </c>
      <c r="I92" s="4">
        <v>1284.3</v>
      </c>
    </row>
    <row r="93" spans="1:9" x14ac:dyDescent="0.3">
      <c r="A93" s="13">
        <v>45453</v>
      </c>
      <c r="B93" s="4" t="str">
        <f>TEXT(Data!B93,"MMM-YYYY")</f>
        <v>Jun-2023</v>
      </c>
      <c r="C93" s="4" t="str">
        <f t="shared" si="2"/>
        <v>Q2-2024</v>
      </c>
      <c r="D93" t="s">
        <v>45</v>
      </c>
      <c r="E93" t="s">
        <v>60</v>
      </c>
      <c r="F93" t="s">
        <v>281</v>
      </c>
      <c r="G93" t="s">
        <v>42</v>
      </c>
      <c r="H93" s="8" t="str">
        <f t="shared" si="3"/>
        <v>High</v>
      </c>
      <c r="I93" s="4">
        <v>911.72</v>
      </c>
    </row>
    <row r="94" spans="1:9" x14ac:dyDescent="0.3">
      <c r="A94" s="13">
        <v>45454</v>
      </c>
      <c r="B94" s="4" t="str">
        <f>TEXT(Data!B94,"MMM-YYYY")</f>
        <v>Oct-2024</v>
      </c>
      <c r="C94" s="4" t="str">
        <f t="shared" si="2"/>
        <v>Q2-2024</v>
      </c>
      <c r="D94" t="s">
        <v>52</v>
      </c>
      <c r="E94" t="s">
        <v>73</v>
      </c>
      <c r="F94" t="s">
        <v>225</v>
      </c>
      <c r="G94" t="s">
        <v>30</v>
      </c>
      <c r="H94" s="8" t="str">
        <f t="shared" si="3"/>
        <v>High</v>
      </c>
      <c r="I94" s="4">
        <v>1405.07</v>
      </c>
    </row>
    <row r="95" spans="1:9" x14ac:dyDescent="0.3">
      <c r="A95" s="13">
        <v>45455</v>
      </c>
      <c r="B95" s="4" t="str">
        <f>TEXT(Data!B95,"MMM-YYYY")</f>
        <v>Sept-2025</v>
      </c>
      <c r="C95" s="4" t="str">
        <f t="shared" si="2"/>
        <v>Q2-2024</v>
      </c>
      <c r="D95" t="s">
        <v>16</v>
      </c>
      <c r="E95" t="s">
        <v>25</v>
      </c>
      <c r="F95" t="s">
        <v>67</v>
      </c>
      <c r="G95" t="s">
        <v>81</v>
      </c>
      <c r="H95" s="8" t="str">
        <f t="shared" si="3"/>
        <v>High</v>
      </c>
      <c r="I95" s="4">
        <v>968.94</v>
      </c>
    </row>
    <row r="96" spans="1:9" x14ac:dyDescent="0.3">
      <c r="A96" s="13">
        <v>45456</v>
      </c>
      <c r="B96" s="4" t="str">
        <f>TEXT(Data!B96,"MMM-YYYY")</f>
        <v>Apr-2023</v>
      </c>
      <c r="C96" s="4" t="str">
        <f t="shared" si="2"/>
        <v>Q2-2024</v>
      </c>
      <c r="D96" t="s">
        <v>16</v>
      </c>
      <c r="E96" t="s">
        <v>17</v>
      </c>
      <c r="F96" t="s">
        <v>113</v>
      </c>
      <c r="G96" t="s">
        <v>42</v>
      </c>
      <c r="H96" s="8" t="str">
        <f t="shared" si="3"/>
        <v>High</v>
      </c>
      <c r="I96" s="4">
        <v>1088.81</v>
      </c>
    </row>
    <row r="97" spans="1:9" x14ac:dyDescent="0.3">
      <c r="A97" s="13">
        <v>45457</v>
      </c>
      <c r="B97" s="4" t="str">
        <f>TEXT(Data!B97,"MMM-YYYY")</f>
        <v>Aug-2025</v>
      </c>
      <c r="C97" s="4" t="str">
        <f t="shared" si="2"/>
        <v>Q2-2024</v>
      </c>
      <c r="D97" t="s">
        <v>78</v>
      </c>
      <c r="E97" t="s">
        <v>108</v>
      </c>
      <c r="F97" t="s">
        <v>228</v>
      </c>
      <c r="G97" t="s">
        <v>30</v>
      </c>
      <c r="H97" s="8" t="str">
        <f t="shared" si="3"/>
        <v>High</v>
      </c>
      <c r="I97" s="4">
        <v>2484.9899999999998</v>
      </c>
    </row>
    <row r="98" spans="1:9" x14ac:dyDescent="0.3">
      <c r="A98" s="13">
        <v>45458</v>
      </c>
      <c r="B98" s="4" t="str">
        <f>TEXT(Data!B98,"MMM-YYYY")</f>
        <v>May-2024</v>
      </c>
      <c r="C98" s="4" t="str">
        <f t="shared" si="2"/>
        <v>Q2-2024</v>
      </c>
      <c r="D98" t="s">
        <v>45</v>
      </c>
      <c r="E98" t="s">
        <v>60</v>
      </c>
      <c r="F98" t="s">
        <v>1364</v>
      </c>
      <c r="G98" t="s">
        <v>64</v>
      </c>
      <c r="H98" s="8" t="str">
        <f t="shared" si="3"/>
        <v>Low</v>
      </c>
      <c r="I98" s="4">
        <v>28.69</v>
      </c>
    </row>
    <row r="99" spans="1:9" x14ac:dyDescent="0.3">
      <c r="A99" s="13">
        <v>45459</v>
      </c>
      <c r="B99" s="4" t="str">
        <f>TEXT(Data!B99,"MMM-YYYY")</f>
        <v>Jul-2025</v>
      </c>
      <c r="C99" s="4" t="str">
        <f t="shared" si="2"/>
        <v>Q2-2024</v>
      </c>
      <c r="D99" t="s">
        <v>16</v>
      </c>
      <c r="E99" t="s">
        <v>25</v>
      </c>
      <c r="F99" t="s">
        <v>67</v>
      </c>
      <c r="G99" t="s">
        <v>81</v>
      </c>
      <c r="H99" s="8" t="str">
        <f t="shared" si="3"/>
        <v>High</v>
      </c>
      <c r="I99" s="4">
        <v>1896.62</v>
      </c>
    </row>
    <row r="100" spans="1:9" x14ac:dyDescent="0.3">
      <c r="A100" s="13">
        <v>45460</v>
      </c>
      <c r="B100" s="4" t="str">
        <f>TEXT(Data!B100,"MMM-YYYY")</f>
        <v>Feb-2023</v>
      </c>
      <c r="C100" s="4" t="str">
        <f t="shared" si="2"/>
        <v>Q2-2024</v>
      </c>
      <c r="D100" t="s">
        <v>45</v>
      </c>
      <c r="E100" t="s">
        <v>116</v>
      </c>
      <c r="F100" t="s">
        <v>117</v>
      </c>
      <c r="G100" t="s">
        <v>35</v>
      </c>
      <c r="H100" s="8" t="str">
        <f t="shared" si="3"/>
        <v>High</v>
      </c>
      <c r="I100" s="4">
        <v>419.17</v>
      </c>
    </row>
    <row r="101" spans="1:9" x14ac:dyDescent="0.3">
      <c r="A101" s="13">
        <v>45461</v>
      </c>
      <c r="B101" s="4" t="str">
        <f>TEXT(Data!B101,"MMM-YYYY")</f>
        <v>Jan-2025</v>
      </c>
      <c r="C101" s="4" t="str">
        <f t="shared" si="2"/>
        <v>Q2-2024</v>
      </c>
      <c r="D101" t="s">
        <v>78</v>
      </c>
      <c r="E101" t="s">
        <v>79</v>
      </c>
      <c r="F101" t="s">
        <v>80</v>
      </c>
      <c r="G101" t="s">
        <v>57</v>
      </c>
      <c r="H101" s="8" t="str">
        <f t="shared" si="3"/>
        <v>High</v>
      </c>
      <c r="I101" s="4">
        <v>2001.17</v>
      </c>
    </row>
    <row r="102" spans="1:9" x14ac:dyDescent="0.3">
      <c r="A102" s="13">
        <v>45462</v>
      </c>
      <c r="B102" s="4" t="str">
        <f>TEXT(Data!B102,"MMM-YYYY")</f>
        <v>Jan-2024</v>
      </c>
      <c r="C102" s="4" t="str">
        <f t="shared" si="2"/>
        <v>Q2-2024</v>
      </c>
      <c r="D102" t="s">
        <v>45</v>
      </c>
      <c r="E102" t="s">
        <v>116</v>
      </c>
      <c r="F102" t="s">
        <v>117</v>
      </c>
      <c r="G102" t="s">
        <v>42</v>
      </c>
      <c r="H102" s="8" t="str">
        <f t="shared" si="3"/>
        <v>High</v>
      </c>
      <c r="I102" s="4">
        <v>3104.71</v>
      </c>
    </row>
    <row r="103" spans="1:9" x14ac:dyDescent="0.3">
      <c r="A103" s="13">
        <v>45463</v>
      </c>
      <c r="B103" s="4" t="str">
        <f>TEXT(Data!B103,"MMM-YYYY")</f>
        <v>Mar-2025</v>
      </c>
      <c r="C103" s="4" t="str">
        <f t="shared" si="2"/>
        <v>Q2-2024</v>
      </c>
      <c r="D103" t="s">
        <v>45</v>
      </c>
      <c r="E103" t="s">
        <v>60</v>
      </c>
      <c r="F103" t="s">
        <v>220</v>
      </c>
      <c r="G103" t="s">
        <v>22</v>
      </c>
      <c r="H103" s="8" t="str">
        <f t="shared" si="3"/>
        <v>High</v>
      </c>
      <c r="I103" s="4">
        <v>334.28</v>
      </c>
    </row>
    <row r="104" spans="1:9" x14ac:dyDescent="0.3">
      <c r="A104" s="13">
        <v>45464</v>
      </c>
      <c r="B104" s="4" t="str">
        <f>TEXT(Data!B104,"MMM-YYYY")</f>
        <v>Dec-2024</v>
      </c>
      <c r="C104" s="4" t="str">
        <f t="shared" si="2"/>
        <v>Q2-2024</v>
      </c>
      <c r="D104" t="s">
        <v>16</v>
      </c>
      <c r="E104" t="s">
        <v>17</v>
      </c>
      <c r="F104" t="s">
        <v>135</v>
      </c>
      <c r="G104" t="s">
        <v>57</v>
      </c>
      <c r="H104" s="8" t="str">
        <f t="shared" si="3"/>
        <v>High</v>
      </c>
      <c r="I104" s="4">
        <v>1952.83</v>
      </c>
    </row>
    <row r="105" spans="1:9" x14ac:dyDescent="0.3">
      <c r="A105" s="13">
        <v>45465</v>
      </c>
      <c r="B105" s="4" t="str">
        <f>TEXT(Data!B105,"MMM-YYYY")</f>
        <v>Sept-2024</v>
      </c>
      <c r="C105" s="4" t="str">
        <f t="shared" si="2"/>
        <v>Q2-2024</v>
      </c>
      <c r="D105" t="s">
        <v>52</v>
      </c>
      <c r="E105" t="s">
        <v>53</v>
      </c>
      <c r="F105" t="s">
        <v>179</v>
      </c>
      <c r="G105" t="s">
        <v>81</v>
      </c>
      <c r="H105" s="8" t="str">
        <f t="shared" si="3"/>
        <v>High</v>
      </c>
      <c r="I105" s="4">
        <v>242.29</v>
      </c>
    </row>
    <row r="106" spans="1:9" x14ac:dyDescent="0.3">
      <c r="A106" s="13">
        <v>45466</v>
      </c>
      <c r="B106" s="4" t="str">
        <f>TEXT(Data!B106,"MMM-YYYY")</f>
        <v>May-2024</v>
      </c>
      <c r="C106" s="4" t="str">
        <f t="shared" si="2"/>
        <v>Q2-2024</v>
      </c>
      <c r="D106" t="s">
        <v>45</v>
      </c>
      <c r="E106" t="s">
        <v>116</v>
      </c>
      <c r="F106" t="s">
        <v>162</v>
      </c>
      <c r="G106" t="s">
        <v>57</v>
      </c>
      <c r="H106" s="8" t="str">
        <f t="shared" si="3"/>
        <v>High</v>
      </c>
      <c r="I106" s="4">
        <v>2968.87</v>
      </c>
    </row>
    <row r="107" spans="1:9" x14ac:dyDescent="0.3">
      <c r="A107" s="13">
        <v>45467</v>
      </c>
      <c r="B107" s="4" t="str">
        <f>TEXT(Data!B107,"MMM-YYYY")</f>
        <v>May-2023</v>
      </c>
      <c r="C107" s="4" t="str">
        <f t="shared" si="2"/>
        <v>Q2-2024</v>
      </c>
      <c r="D107" t="s">
        <v>16</v>
      </c>
      <c r="E107" t="s">
        <v>148</v>
      </c>
      <c r="F107" t="s">
        <v>149</v>
      </c>
      <c r="G107" t="s">
        <v>22</v>
      </c>
      <c r="H107" s="8" t="str">
        <f t="shared" si="3"/>
        <v>High</v>
      </c>
      <c r="I107" s="4">
        <v>1394.3</v>
      </c>
    </row>
    <row r="108" spans="1:9" x14ac:dyDescent="0.3">
      <c r="A108" s="13">
        <v>45468</v>
      </c>
      <c r="B108" s="4" t="str">
        <f>TEXT(Data!B108,"MMM-YYYY")</f>
        <v>Aug-2024</v>
      </c>
      <c r="C108" s="4" t="str">
        <f t="shared" si="2"/>
        <v>Q2-2024</v>
      </c>
      <c r="D108" t="s">
        <v>16</v>
      </c>
      <c r="E108" t="s">
        <v>17</v>
      </c>
      <c r="F108" t="s">
        <v>113</v>
      </c>
      <c r="G108" t="s">
        <v>42</v>
      </c>
      <c r="H108" s="8" t="str">
        <f t="shared" si="3"/>
        <v>Low</v>
      </c>
      <c r="I108" s="4">
        <v>15.41</v>
      </c>
    </row>
    <row r="109" spans="1:9" x14ac:dyDescent="0.3">
      <c r="A109" s="13">
        <v>45469</v>
      </c>
      <c r="B109" s="4" t="str">
        <f>TEXT(Data!B109,"MMM-YYYY")</f>
        <v>Oct-2024</v>
      </c>
      <c r="C109" s="4" t="str">
        <f t="shared" si="2"/>
        <v>Q2-2024</v>
      </c>
      <c r="D109" t="s">
        <v>78</v>
      </c>
      <c r="E109" t="s">
        <v>108</v>
      </c>
      <c r="F109" t="s">
        <v>228</v>
      </c>
      <c r="G109" t="s">
        <v>42</v>
      </c>
      <c r="H109" s="8" t="str">
        <f t="shared" si="3"/>
        <v>High</v>
      </c>
      <c r="I109" s="4">
        <v>2250.81</v>
      </c>
    </row>
    <row r="110" spans="1:9" x14ac:dyDescent="0.3">
      <c r="A110" s="13">
        <v>45470</v>
      </c>
      <c r="B110" s="4" t="str">
        <f>TEXT(Data!B110,"MMM-YYYY")</f>
        <v>Jun-2024</v>
      </c>
      <c r="C110" s="4" t="str">
        <f t="shared" si="2"/>
        <v>Q2-2024</v>
      </c>
      <c r="D110" t="s">
        <v>45</v>
      </c>
      <c r="E110" t="s">
        <v>46</v>
      </c>
      <c r="F110" t="s">
        <v>47</v>
      </c>
      <c r="G110" t="s">
        <v>35</v>
      </c>
      <c r="H110" s="8" t="str">
        <f t="shared" si="3"/>
        <v>Medium</v>
      </c>
      <c r="I110" s="4">
        <v>166.04</v>
      </c>
    </row>
    <row r="111" spans="1:9" x14ac:dyDescent="0.3">
      <c r="A111" s="13">
        <v>45471</v>
      </c>
      <c r="B111" s="4" t="str">
        <f>TEXT(Data!B111,"MMM-YYYY")</f>
        <v>Jun-2024</v>
      </c>
      <c r="C111" s="4" t="str">
        <f t="shared" si="2"/>
        <v>Q2-2024</v>
      </c>
      <c r="D111" t="s">
        <v>16</v>
      </c>
      <c r="E111" t="s">
        <v>17</v>
      </c>
      <c r="F111" t="s">
        <v>18</v>
      </c>
      <c r="G111" t="s">
        <v>81</v>
      </c>
      <c r="H111" s="8" t="str">
        <f t="shared" si="3"/>
        <v>High</v>
      </c>
      <c r="I111" s="4">
        <v>356.55</v>
      </c>
    </row>
    <row r="112" spans="1:9" x14ac:dyDescent="0.3">
      <c r="A112" s="13">
        <v>45472</v>
      </c>
      <c r="B112" s="4" t="str">
        <f>TEXT(Data!B112,"MMM-YYYY")</f>
        <v>Jun-2024</v>
      </c>
      <c r="C112" s="4" t="str">
        <f t="shared" si="2"/>
        <v>Q2-2024</v>
      </c>
      <c r="D112" t="s">
        <v>45</v>
      </c>
      <c r="E112" t="s">
        <v>116</v>
      </c>
      <c r="F112" t="s">
        <v>117</v>
      </c>
      <c r="G112" t="s">
        <v>22</v>
      </c>
      <c r="H112" s="8" t="str">
        <f t="shared" si="3"/>
        <v>High</v>
      </c>
      <c r="I112" s="4">
        <v>1025.05</v>
      </c>
    </row>
    <row r="113" spans="1:9" x14ac:dyDescent="0.3">
      <c r="A113" s="13">
        <v>45473</v>
      </c>
      <c r="B113" s="4" t="str">
        <f>TEXT(Data!B113,"MMM-YYYY")</f>
        <v>Jun-2024</v>
      </c>
      <c r="C113" s="4" t="str">
        <f t="shared" si="2"/>
        <v>Q2-2024</v>
      </c>
      <c r="D113" t="s">
        <v>78</v>
      </c>
      <c r="E113" t="s">
        <v>108</v>
      </c>
      <c r="F113" t="s">
        <v>109</v>
      </c>
      <c r="G113" t="s">
        <v>57</v>
      </c>
      <c r="H113" s="8" t="str">
        <f t="shared" si="3"/>
        <v>High</v>
      </c>
      <c r="I113" s="4">
        <v>1795.17</v>
      </c>
    </row>
    <row r="114" spans="1:9" x14ac:dyDescent="0.3">
      <c r="A114" s="13">
        <v>45474</v>
      </c>
      <c r="B114" s="4" t="str">
        <f>TEXT(Data!B114,"MMM-YYYY")</f>
        <v>Jan-2025</v>
      </c>
      <c r="C114" s="4" t="str">
        <f t="shared" si="2"/>
        <v>Q3-2024</v>
      </c>
      <c r="D114" t="s">
        <v>16</v>
      </c>
      <c r="E114" t="s">
        <v>148</v>
      </c>
      <c r="F114" t="s">
        <v>172</v>
      </c>
      <c r="G114" t="s">
        <v>35</v>
      </c>
      <c r="H114" s="8" t="str">
        <f t="shared" si="3"/>
        <v>Low</v>
      </c>
      <c r="I114" s="4">
        <v>4.37</v>
      </c>
    </row>
    <row r="115" spans="1:9" x14ac:dyDescent="0.3">
      <c r="A115" s="13">
        <v>45475</v>
      </c>
      <c r="B115" s="4" t="str">
        <f>TEXT(Data!B115,"MMM-YYYY")</f>
        <v>Nov-2023</v>
      </c>
      <c r="C115" s="4" t="str">
        <f t="shared" si="2"/>
        <v>Q3-2024</v>
      </c>
      <c r="D115" t="s">
        <v>52</v>
      </c>
      <c r="E115" t="s">
        <v>122</v>
      </c>
      <c r="F115" t="s">
        <v>326</v>
      </c>
      <c r="G115" t="s">
        <v>81</v>
      </c>
      <c r="H115" s="8" t="str">
        <f t="shared" si="3"/>
        <v>High</v>
      </c>
      <c r="I115" s="4">
        <v>218.5</v>
      </c>
    </row>
    <row r="116" spans="1:9" x14ac:dyDescent="0.3">
      <c r="A116" s="13">
        <v>45476</v>
      </c>
      <c r="B116" s="4" t="str">
        <f>TEXT(Data!B116,"MMM-YYYY")</f>
        <v>Mar-2023</v>
      </c>
      <c r="C116" s="4" t="str">
        <f t="shared" si="2"/>
        <v>Q3-2024</v>
      </c>
      <c r="D116" t="s">
        <v>45</v>
      </c>
      <c r="E116" t="s">
        <v>46</v>
      </c>
      <c r="F116" t="s">
        <v>214</v>
      </c>
      <c r="G116" t="s">
        <v>35</v>
      </c>
      <c r="H116" s="8" t="str">
        <f t="shared" si="3"/>
        <v>High</v>
      </c>
      <c r="I116" s="4">
        <v>249.87</v>
      </c>
    </row>
    <row r="117" spans="1:9" x14ac:dyDescent="0.3">
      <c r="A117" s="13">
        <v>45477</v>
      </c>
      <c r="B117" s="4" t="str">
        <f>TEXT(Data!B117,"MMM-YYYY")</f>
        <v>Jun-2025</v>
      </c>
      <c r="C117" s="4" t="str">
        <f t="shared" si="2"/>
        <v>Q3-2024</v>
      </c>
      <c r="D117" t="s">
        <v>52</v>
      </c>
      <c r="E117" t="s">
        <v>73</v>
      </c>
      <c r="F117" t="s">
        <v>87</v>
      </c>
      <c r="G117" t="s">
        <v>64</v>
      </c>
      <c r="H117" s="8" t="str">
        <f t="shared" si="3"/>
        <v>High</v>
      </c>
      <c r="I117" s="4">
        <v>3436.52</v>
      </c>
    </row>
    <row r="118" spans="1:9" x14ac:dyDescent="0.3">
      <c r="A118" s="13">
        <v>45478</v>
      </c>
      <c r="B118" s="4" t="str">
        <f>TEXT(Data!B118,"MMM-YYYY")</f>
        <v>Dec-2024</v>
      </c>
      <c r="C118" s="4" t="str">
        <f t="shared" si="2"/>
        <v>Q3-2024</v>
      </c>
      <c r="D118" t="s">
        <v>52</v>
      </c>
      <c r="E118" t="s">
        <v>53</v>
      </c>
      <c r="F118" t="s">
        <v>54</v>
      </c>
      <c r="G118" t="s">
        <v>30</v>
      </c>
      <c r="H118" s="8" t="str">
        <f t="shared" si="3"/>
        <v>Medium</v>
      </c>
      <c r="I118" s="4">
        <v>53.45</v>
      </c>
    </row>
    <row r="119" spans="1:9" x14ac:dyDescent="0.3">
      <c r="A119" s="13">
        <v>45479</v>
      </c>
      <c r="B119" s="4" t="str">
        <f>TEXT(Data!B119,"MMM-YYYY")</f>
        <v>Jun-2023</v>
      </c>
      <c r="C119" s="4" t="str">
        <f t="shared" si="2"/>
        <v>Q3-2024</v>
      </c>
      <c r="D119" t="s">
        <v>78</v>
      </c>
      <c r="E119" t="s">
        <v>79</v>
      </c>
      <c r="F119" t="s">
        <v>335</v>
      </c>
      <c r="G119" t="s">
        <v>57</v>
      </c>
      <c r="H119" s="8" t="str">
        <f t="shared" si="3"/>
        <v>High</v>
      </c>
      <c r="I119" s="4">
        <v>3469.7</v>
      </c>
    </row>
    <row r="120" spans="1:9" x14ac:dyDescent="0.3">
      <c r="A120" s="13">
        <v>45480</v>
      </c>
      <c r="B120" s="4" t="str">
        <f>TEXT(Data!B120,"MMM-YYYY")</f>
        <v>Jul-2025</v>
      </c>
      <c r="C120" s="4" t="str">
        <f t="shared" si="2"/>
        <v>Q3-2024</v>
      </c>
      <c r="D120" t="s">
        <v>45</v>
      </c>
      <c r="E120" t="s">
        <v>116</v>
      </c>
      <c r="F120" t="s">
        <v>338</v>
      </c>
      <c r="G120" t="s">
        <v>64</v>
      </c>
      <c r="H120" s="8" t="str">
        <f t="shared" si="3"/>
        <v>High</v>
      </c>
      <c r="I120" s="4">
        <v>621.02</v>
      </c>
    </row>
    <row r="121" spans="1:9" x14ac:dyDescent="0.3">
      <c r="A121" s="13">
        <v>45481</v>
      </c>
      <c r="B121" s="4" t="str">
        <f>TEXT(Data!B121,"MMM-YYYY")</f>
        <v>Jun-2025</v>
      </c>
      <c r="C121" s="4" t="str">
        <f t="shared" si="2"/>
        <v>Q3-2024</v>
      </c>
      <c r="D121" t="s">
        <v>52</v>
      </c>
      <c r="E121" t="s">
        <v>53</v>
      </c>
      <c r="F121" t="s">
        <v>179</v>
      </c>
      <c r="G121" t="s">
        <v>57</v>
      </c>
      <c r="H121" s="8" t="str">
        <f t="shared" si="3"/>
        <v>Medium</v>
      </c>
      <c r="I121" s="4">
        <v>88.51</v>
      </c>
    </row>
    <row r="122" spans="1:9" x14ac:dyDescent="0.3">
      <c r="A122" s="13">
        <v>45482</v>
      </c>
      <c r="B122" s="4" t="str">
        <f>TEXT(Data!B122,"MMM-YYYY")</f>
        <v>Nov-2023</v>
      </c>
      <c r="C122" s="4" t="str">
        <f t="shared" si="2"/>
        <v>Q3-2024</v>
      </c>
      <c r="D122" t="s">
        <v>78</v>
      </c>
      <c r="E122" t="s">
        <v>108</v>
      </c>
      <c r="F122" t="s">
        <v>1364</v>
      </c>
      <c r="G122" t="s">
        <v>35</v>
      </c>
      <c r="H122" s="8" t="str">
        <f t="shared" si="3"/>
        <v>High</v>
      </c>
      <c r="I122" s="4">
        <v>1959.09</v>
      </c>
    </row>
    <row r="123" spans="1:9" x14ac:dyDescent="0.3">
      <c r="A123" s="13">
        <v>45483</v>
      </c>
      <c r="B123" s="4" t="str">
        <f>TEXT(Data!B123,"MMM-YYYY")</f>
        <v>Dec-2023</v>
      </c>
      <c r="C123" s="4" t="str">
        <f t="shared" si="2"/>
        <v>Q3-2024</v>
      </c>
      <c r="D123" t="s">
        <v>78</v>
      </c>
      <c r="E123" t="s">
        <v>90</v>
      </c>
      <c r="F123" t="s">
        <v>138</v>
      </c>
      <c r="G123" t="s">
        <v>64</v>
      </c>
      <c r="H123" s="8" t="str">
        <f t="shared" si="3"/>
        <v>High</v>
      </c>
      <c r="I123" s="4">
        <v>2742.97</v>
      </c>
    </row>
    <row r="124" spans="1:9" x14ac:dyDescent="0.3">
      <c r="A124" s="13">
        <v>45484</v>
      </c>
      <c r="B124" s="4" t="str">
        <f>TEXT(Data!B124,"MMM-YYYY")</f>
        <v>Nov-2024</v>
      </c>
      <c r="C124" s="4" t="str">
        <f t="shared" si="2"/>
        <v>Q3-2024</v>
      </c>
      <c r="D124" t="s">
        <v>16</v>
      </c>
      <c r="E124" t="s">
        <v>17</v>
      </c>
      <c r="F124" t="s">
        <v>18</v>
      </c>
      <c r="G124" t="s">
        <v>42</v>
      </c>
      <c r="H124" s="8" t="str">
        <f t="shared" si="3"/>
        <v>High</v>
      </c>
      <c r="I124" s="4">
        <v>1679.42</v>
      </c>
    </row>
    <row r="125" spans="1:9" x14ac:dyDescent="0.3">
      <c r="A125" s="13">
        <v>45485</v>
      </c>
      <c r="B125" s="4" t="str">
        <f>TEXT(Data!B125,"MMM-YYYY")</f>
        <v>Aug-2023</v>
      </c>
      <c r="C125" s="4" t="str">
        <f t="shared" si="2"/>
        <v>Q3-2024</v>
      </c>
      <c r="D125" t="s">
        <v>52</v>
      </c>
      <c r="E125" t="s">
        <v>73</v>
      </c>
      <c r="F125" t="s">
        <v>87</v>
      </c>
      <c r="G125" t="s">
        <v>35</v>
      </c>
      <c r="H125" s="8" t="str">
        <f t="shared" si="3"/>
        <v>High</v>
      </c>
      <c r="I125" s="4">
        <v>1433.9</v>
      </c>
    </row>
    <row r="126" spans="1:9" x14ac:dyDescent="0.3">
      <c r="A126" s="13">
        <v>45486</v>
      </c>
      <c r="B126" s="4" t="str">
        <f>TEXT(Data!B126,"MMM-YYYY")</f>
        <v>Aug-2023</v>
      </c>
      <c r="C126" s="4" t="str">
        <f t="shared" si="2"/>
        <v>Q3-2024</v>
      </c>
      <c r="D126" t="s">
        <v>52</v>
      </c>
      <c r="E126" t="s">
        <v>53</v>
      </c>
      <c r="F126" t="s">
        <v>144</v>
      </c>
      <c r="G126" t="s">
        <v>22</v>
      </c>
      <c r="H126" s="8" t="str">
        <f t="shared" si="3"/>
        <v>High</v>
      </c>
      <c r="I126" s="4">
        <v>284.43</v>
      </c>
    </row>
    <row r="127" spans="1:9" x14ac:dyDescent="0.3">
      <c r="A127" s="13">
        <v>45487</v>
      </c>
      <c r="B127" s="4" t="str">
        <f>TEXT(Data!B127,"MMM-YYYY")</f>
        <v>Jun-2024</v>
      </c>
      <c r="C127" s="4" t="str">
        <f t="shared" si="2"/>
        <v>Q3-2024</v>
      </c>
      <c r="D127" t="s">
        <v>45</v>
      </c>
      <c r="E127" t="s">
        <v>116</v>
      </c>
      <c r="F127" t="s">
        <v>162</v>
      </c>
      <c r="G127" t="s">
        <v>22</v>
      </c>
      <c r="H127" s="8" t="str">
        <f t="shared" si="3"/>
        <v>High</v>
      </c>
      <c r="I127" s="4">
        <v>694.78</v>
      </c>
    </row>
    <row r="128" spans="1:9" x14ac:dyDescent="0.3">
      <c r="A128" s="13">
        <v>45488</v>
      </c>
      <c r="B128" s="4" t="str">
        <f>TEXT(Data!B128,"MMM-YYYY")</f>
        <v>Aug-2025</v>
      </c>
      <c r="C128" s="4" t="str">
        <f t="shared" si="2"/>
        <v>Q3-2024</v>
      </c>
      <c r="D128" t="s">
        <v>78</v>
      </c>
      <c r="E128" t="s">
        <v>79</v>
      </c>
      <c r="F128" t="s">
        <v>80</v>
      </c>
      <c r="G128" t="s">
        <v>22</v>
      </c>
      <c r="H128" s="8" t="str">
        <f t="shared" si="3"/>
        <v>High</v>
      </c>
      <c r="I128" s="4">
        <v>1848.39</v>
      </c>
    </row>
    <row r="129" spans="1:9" x14ac:dyDescent="0.3">
      <c r="A129" s="13">
        <v>45489</v>
      </c>
      <c r="B129" s="4" t="str">
        <f>TEXT(Data!B129,"MMM-YYYY")</f>
        <v>May-2024</v>
      </c>
      <c r="C129" s="4" t="str">
        <f t="shared" si="2"/>
        <v>Q3-2024</v>
      </c>
      <c r="D129" t="s">
        <v>78</v>
      </c>
      <c r="E129" t="s">
        <v>108</v>
      </c>
      <c r="F129" t="s">
        <v>152</v>
      </c>
      <c r="G129" t="s">
        <v>22</v>
      </c>
      <c r="H129" s="8" t="str">
        <f t="shared" si="3"/>
        <v>Low</v>
      </c>
      <c r="I129" s="4">
        <v>45.19</v>
      </c>
    </row>
    <row r="130" spans="1:9" x14ac:dyDescent="0.3">
      <c r="A130" s="13">
        <v>45490</v>
      </c>
      <c r="B130" s="4" t="str">
        <f>TEXT(Data!B130,"MMM-YYYY")</f>
        <v>Jan-2023</v>
      </c>
      <c r="C130" s="4" t="str">
        <f t="shared" ref="C130:C193" si="4">"Q"&amp;ROUNDUP(MONTH(A130)/3,0)&amp;"-"&amp;YEAR(A130)</f>
        <v>Q3-2024</v>
      </c>
      <c r="D130" t="s">
        <v>52</v>
      </c>
      <c r="E130" t="s">
        <v>122</v>
      </c>
      <c r="F130" t="s">
        <v>167</v>
      </c>
      <c r="G130" t="s">
        <v>42</v>
      </c>
      <c r="H130" s="8" t="str">
        <f t="shared" ref="H130:H193" si="5">IF(I130&lt;50, "Low", IF(I130&lt;200, "Medium", "High"))</f>
        <v>High</v>
      </c>
      <c r="I130" s="4">
        <v>361.1</v>
      </c>
    </row>
    <row r="131" spans="1:9" x14ac:dyDescent="0.3">
      <c r="A131" s="13">
        <v>45491</v>
      </c>
      <c r="B131" s="4" t="str">
        <f>TEXT(Data!B131,"MMM-YYYY")</f>
        <v>Feb-2025</v>
      </c>
      <c r="C131" s="4" t="str">
        <f t="shared" si="4"/>
        <v>Q3-2024</v>
      </c>
      <c r="D131" t="s">
        <v>52</v>
      </c>
      <c r="E131" t="s">
        <v>122</v>
      </c>
      <c r="F131" t="s">
        <v>167</v>
      </c>
      <c r="G131" t="s">
        <v>35</v>
      </c>
      <c r="H131" s="8" t="str">
        <f t="shared" si="5"/>
        <v>High</v>
      </c>
      <c r="I131" s="4">
        <v>1004.34</v>
      </c>
    </row>
    <row r="132" spans="1:9" x14ac:dyDescent="0.3">
      <c r="A132" s="13">
        <v>45492</v>
      </c>
      <c r="B132" s="4" t="str">
        <f>TEXT(Data!B132,"MMM-YYYY")</f>
        <v>Mar-2025</v>
      </c>
      <c r="C132" s="4" t="str">
        <f t="shared" si="4"/>
        <v>Q3-2024</v>
      </c>
      <c r="D132" t="s">
        <v>52</v>
      </c>
      <c r="E132" t="s">
        <v>73</v>
      </c>
      <c r="F132" t="s">
        <v>74</v>
      </c>
      <c r="G132" t="s">
        <v>64</v>
      </c>
      <c r="H132" s="8" t="str">
        <f t="shared" si="5"/>
        <v>High</v>
      </c>
      <c r="I132" s="4">
        <v>1027.73</v>
      </c>
    </row>
    <row r="133" spans="1:9" x14ac:dyDescent="0.3">
      <c r="A133" s="13">
        <v>45493</v>
      </c>
      <c r="B133" s="4" t="str">
        <f>TEXT(Data!B133,"MMM-YYYY")</f>
        <v>Jan-2023</v>
      </c>
      <c r="C133" s="4" t="str">
        <f t="shared" si="4"/>
        <v>Q3-2024</v>
      </c>
      <c r="D133" t="s">
        <v>16</v>
      </c>
      <c r="E133" t="s">
        <v>25</v>
      </c>
      <c r="F133" t="s">
        <v>67</v>
      </c>
      <c r="G133" t="s">
        <v>81</v>
      </c>
      <c r="H133" s="8" t="str">
        <f t="shared" si="5"/>
        <v>High</v>
      </c>
      <c r="I133" s="4">
        <v>468.09</v>
      </c>
    </row>
    <row r="134" spans="1:9" x14ac:dyDescent="0.3">
      <c r="A134" s="13">
        <v>45494</v>
      </c>
      <c r="B134" s="4" t="str">
        <f>TEXT(Data!B134,"MMM-YYYY")</f>
        <v>Jan-2025</v>
      </c>
      <c r="C134" s="4" t="str">
        <f t="shared" si="4"/>
        <v>Q3-2024</v>
      </c>
      <c r="D134" t="s">
        <v>78</v>
      </c>
      <c r="E134" t="s">
        <v>108</v>
      </c>
      <c r="F134" t="s">
        <v>228</v>
      </c>
      <c r="G134" t="s">
        <v>57</v>
      </c>
      <c r="H134" s="8" t="str">
        <f t="shared" si="5"/>
        <v>High</v>
      </c>
      <c r="I134" s="4">
        <v>668.02</v>
      </c>
    </row>
    <row r="135" spans="1:9" x14ac:dyDescent="0.3">
      <c r="A135" s="13">
        <v>45495</v>
      </c>
      <c r="B135" s="4" t="str">
        <f>TEXT(Data!B135,"MMM-YYYY")</f>
        <v>Dec-2024</v>
      </c>
      <c r="C135" s="4" t="str">
        <f t="shared" si="4"/>
        <v>Q3-2024</v>
      </c>
      <c r="D135" t="s">
        <v>45</v>
      </c>
      <c r="E135" t="s">
        <v>116</v>
      </c>
      <c r="F135" t="s">
        <v>338</v>
      </c>
      <c r="G135" t="s">
        <v>42</v>
      </c>
      <c r="H135" s="8" t="str">
        <f t="shared" si="5"/>
        <v>High</v>
      </c>
      <c r="I135" s="4">
        <v>537.27</v>
      </c>
    </row>
    <row r="136" spans="1:9" x14ac:dyDescent="0.3">
      <c r="A136" s="13">
        <v>45496</v>
      </c>
      <c r="B136" s="4" t="str">
        <f>TEXT(Data!B136,"MMM-YYYY")</f>
        <v>Apr-2023</v>
      </c>
      <c r="C136" s="4" t="str">
        <f t="shared" si="4"/>
        <v>Q3-2024</v>
      </c>
      <c r="D136" t="s">
        <v>52</v>
      </c>
      <c r="E136" t="s">
        <v>122</v>
      </c>
      <c r="F136" t="s">
        <v>167</v>
      </c>
      <c r="G136" t="s">
        <v>30</v>
      </c>
      <c r="H136" s="8" t="str">
        <f t="shared" si="5"/>
        <v>High</v>
      </c>
      <c r="I136" s="4">
        <v>572.71</v>
      </c>
    </row>
    <row r="137" spans="1:9" x14ac:dyDescent="0.3">
      <c r="A137" s="13">
        <v>45497</v>
      </c>
      <c r="B137" s="4" t="str">
        <f>TEXT(Data!B137,"MMM-YYYY")</f>
        <v>Dec-2024</v>
      </c>
      <c r="C137" s="4" t="str">
        <f t="shared" si="4"/>
        <v>Q3-2024</v>
      </c>
      <c r="D137" t="s">
        <v>78</v>
      </c>
      <c r="E137" t="s">
        <v>90</v>
      </c>
      <c r="F137" t="s">
        <v>138</v>
      </c>
      <c r="G137" t="s">
        <v>64</v>
      </c>
      <c r="H137" s="8" t="str">
        <f t="shared" si="5"/>
        <v>High</v>
      </c>
      <c r="I137" s="4">
        <v>2323.87</v>
      </c>
    </row>
    <row r="138" spans="1:9" x14ac:dyDescent="0.3">
      <c r="A138" s="13">
        <v>45498</v>
      </c>
      <c r="B138" s="4" t="str">
        <f>TEXT(Data!B138,"MMM-YYYY")</f>
        <v>Mar-2023</v>
      </c>
      <c r="C138" s="4" t="str">
        <f t="shared" si="4"/>
        <v>Q3-2024</v>
      </c>
      <c r="D138" t="s">
        <v>45</v>
      </c>
      <c r="E138" t="s">
        <v>116</v>
      </c>
      <c r="F138" t="s">
        <v>117</v>
      </c>
      <c r="G138" t="s">
        <v>22</v>
      </c>
      <c r="H138" s="8" t="str">
        <f t="shared" si="5"/>
        <v>High</v>
      </c>
      <c r="I138" s="4">
        <v>1631.04</v>
      </c>
    </row>
    <row r="139" spans="1:9" x14ac:dyDescent="0.3">
      <c r="A139" s="13">
        <v>45499</v>
      </c>
      <c r="B139" s="4" t="str">
        <f>TEXT(Data!B139,"MMM-YYYY")</f>
        <v>Nov-2024</v>
      </c>
      <c r="C139" s="4" t="str">
        <f t="shared" si="4"/>
        <v>Q3-2024</v>
      </c>
      <c r="D139" t="s">
        <v>16</v>
      </c>
      <c r="E139" t="s">
        <v>17</v>
      </c>
      <c r="F139" t="s">
        <v>113</v>
      </c>
      <c r="G139" t="s">
        <v>42</v>
      </c>
      <c r="H139" s="8" t="str">
        <f t="shared" si="5"/>
        <v>High</v>
      </c>
      <c r="I139" s="4">
        <v>393.31</v>
      </c>
    </row>
    <row r="140" spans="1:9" x14ac:dyDescent="0.3">
      <c r="A140" s="13">
        <v>45500</v>
      </c>
      <c r="B140" s="4" t="str">
        <f>TEXT(Data!B140,"MMM-YYYY")</f>
        <v>Feb-2024</v>
      </c>
      <c r="C140" s="4" t="str">
        <f t="shared" si="4"/>
        <v>Q3-2024</v>
      </c>
      <c r="D140" t="s">
        <v>78</v>
      </c>
      <c r="E140" t="s">
        <v>90</v>
      </c>
      <c r="F140" t="s">
        <v>217</v>
      </c>
      <c r="G140" t="s">
        <v>30</v>
      </c>
      <c r="H140" s="8" t="str">
        <f t="shared" si="5"/>
        <v>High</v>
      </c>
      <c r="I140" s="4">
        <v>1856.16</v>
      </c>
    </row>
    <row r="141" spans="1:9" x14ac:dyDescent="0.3">
      <c r="A141" s="13">
        <v>45501</v>
      </c>
      <c r="B141" s="4" t="str">
        <f>TEXT(Data!B141,"MMM-YYYY")</f>
        <v>May-2023</v>
      </c>
      <c r="C141" s="4" t="str">
        <f t="shared" si="4"/>
        <v>Q3-2024</v>
      </c>
      <c r="D141" t="s">
        <v>45</v>
      </c>
      <c r="E141" t="s">
        <v>116</v>
      </c>
      <c r="F141" t="s">
        <v>338</v>
      </c>
      <c r="G141" t="s">
        <v>81</v>
      </c>
      <c r="H141" s="8" t="str">
        <f t="shared" si="5"/>
        <v>Medium</v>
      </c>
      <c r="I141" s="4">
        <v>84.9</v>
      </c>
    </row>
    <row r="142" spans="1:9" x14ac:dyDescent="0.3">
      <c r="A142" s="13">
        <v>45502</v>
      </c>
      <c r="B142" s="4" t="str">
        <f>TEXT(Data!B142,"MMM-YYYY")</f>
        <v>Dec-2024</v>
      </c>
      <c r="C142" s="4" t="str">
        <f t="shared" si="4"/>
        <v>Q3-2024</v>
      </c>
      <c r="D142" t="s">
        <v>45</v>
      </c>
      <c r="E142" t="s">
        <v>60</v>
      </c>
      <c r="F142" t="s">
        <v>141</v>
      </c>
      <c r="G142" t="s">
        <v>64</v>
      </c>
      <c r="H142" s="8" t="str">
        <f t="shared" si="5"/>
        <v>High</v>
      </c>
      <c r="I142" s="4">
        <v>2252.2399999999998</v>
      </c>
    </row>
    <row r="143" spans="1:9" x14ac:dyDescent="0.3">
      <c r="A143" s="13">
        <v>45503</v>
      </c>
      <c r="B143" s="4" t="str">
        <f>TEXT(Data!B143,"MMM-YYYY")</f>
        <v>Jul-2023</v>
      </c>
      <c r="C143" s="4" t="str">
        <f t="shared" si="4"/>
        <v>Q3-2024</v>
      </c>
      <c r="D143" t="s">
        <v>78</v>
      </c>
      <c r="E143" t="s">
        <v>79</v>
      </c>
      <c r="F143" t="s">
        <v>80</v>
      </c>
      <c r="G143" t="s">
        <v>42</v>
      </c>
      <c r="H143" s="8" t="str">
        <f t="shared" si="5"/>
        <v>High</v>
      </c>
      <c r="I143" s="4">
        <v>921.62</v>
      </c>
    </row>
    <row r="144" spans="1:9" x14ac:dyDescent="0.3">
      <c r="A144" s="13">
        <v>45504</v>
      </c>
      <c r="B144" s="4" t="str">
        <f>TEXT(Data!B144,"MMM-YYYY")</f>
        <v>Jun-2024</v>
      </c>
      <c r="C144" s="4" t="str">
        <f t="shared" si="4"/>
        <v>Q3-2024</v>
      </c>
      <c r="D144" t="s">
        <v>52</v>
      </c>
      <c r="E144" t="s">
        <v>122</v>
      </c>
      <c r="F144" t="s">
        <v>387</v>
      </c>
      <c r="G144" t="s">
        <v>81</v>
      </c>
      <c r="H144" s="8" t="str">
        <f t="shared" si="5"/>
        <v>High</v>
      </c>
      <c r="I144" s="4">
        <v>1643.18</v>
      </c>
    </row>
    <row r="145" spans="1:9" x14ac:dyDescent="0.3">
      <c r="A145" s="13">
        <v>45505</v>
      </c>
      <c r="B145" s="4" t="str">
        <f>TEXT(Data!B145,"MMM-YYYY")</f>
        <v>Jul-2023</v>
      </c>
      <c r="C145" s="4" t="str">
        <f t="shared" si="4"/>
        <v>Q3-2024</v>
      </c>
      <c r="D145" t="s">
        <v>52</v>
      </c>
      <c r="E145" t="s">
        <v>53</v>
      </c>
      <c r="F145" t="s">
        <v>54</v>
      </c>
      <c r="G145" t="s">
        <v>30</v>
      </c>
      <c r="H145" s="8" t="str">
        <f t="shared" si="5"/>
        <v>High</v>
      </c>
      <c r="I145" s="4">
        <v>1467.17</v>
      </c>
    </row>
    <row r="146" spans="1:9" x14ac:dyDescent="0.3">
      <c r="A146" s="13">
        <v>45506</v>
      </c>
      <c r="B146" s="4" t="str">
        <f>TEXT(Data!B146,"MMM-YYYY")</f>
        <v>Nov-2023</v>
      </c>
      <c r="C146" s="4" t="str">
        <f t="shared" si="4"/>
        <v>Q3-2024</v>
      </c>
      <c r="D146" t="s">
        <v>52</v>
      </c>
      <c r="E146" t="s">
        <v>73</v>
      </c>
      <c r="F146" t="s">
        <v>87</v>
      </c>
      <c r="G146" t="s">
        <v>35</v>
      </c>
      <c r="H146" s="8" t="str">
        <f t="shared" si="5"/>
        <v>High</v>
      </c>
      <c r="I146" s="4">
        <v>998.76</v>
      </c>
    </row>
    <row r="147" spans="1:9" x14ac:dyDescent="0.3">
      <c r="A147" s="13">
        <v>45507</v>
      </c>
      <c r="B147" s="4" t="str">
        <f>TEXT(Data!B147,"MMM-YYYY")</f>
        <v>Sept-2025</v>
      </c>
      <c r="C147" s="4" t="str">
        <f t="shared" si="4"/>
        <v>Q3-2024</v>
      </c>
      <c r="D147" t="s">
        <v>16</v>
      </c>
      <c r="E147" t="s">
        <v>148</v>
      </c>
      <c r="F147" t="s">
        <v>172</v>
      </c>
      <c r="G147" t="s">
        <v>57</v>
      </c>
      <c r="H147" s="8" t="str">
        <f t="shared" si="5"/>
        <v>High</v>
      </c>
      <c r="I147" s="4">
        <v>630.72</v>
      </c>
    </row>
    <row r="148" spans="1:9" x14ac:dyDescent="0.3">
      <c r="A148" s="13">
        <v>45508</v>
      </c>
      <c r="B148" s="4" t="str">
        <f>TEXT(Data!B148,"MMM-YYYY")</f>
        <v>Apr-2024</v>
      </c>
      <c r="C148" s="4" t="str">
        <f t="shared" si="4"/>
        <v>Q3-2024</v>
      </c>
      <c r="D148" t="s">
        <v>16</v>
      </c>
      <c r="E148" t="s">
        <v>17</v>
      </c>
      <c r="F148" t="s">
        <v>33</v>
      </c>
      <c r="G148" t="s">
        <v>57</v>
      </c>
      <c r="H148" s="8" t="str">
        <f t="shared" si="5"/>
        <v>High</v>
      </c>
      <c r="I148" s="4">
        <v>728.61</v>
      </c>
    </row>
    <row r="149" spans="1:9" x14ac:dyDescent="0.3">
      <c r="A149" s="13">
        <v>45509</v>
      </c>
      <c r="B149" s="4" t="str">
        <f>TEXT(Data!B149,"MMM-YYYY")</f>
        <v>Sept-2023</v>
      </c>
      <c r="C149" s="4" t="str">
        <f t="shared" si="4"/>
        <v>Q3-2024</v>
      </c>
      <c r="D149" t="s">
        <v>78</v>
      </c>
      <c r="E149" t="s">
        <v>79</v>
      </c>
      <c r="F149" t="s">
        <v>335</v>
      </c>
      <c r="G149" t="s">
        <v>81</v>
      </c>
      <c r="H149" s="8" t="str">
        <f t="shared" si="5"/>
        <v>High</v>
      </c>
      <c r="I149" s="4">
        <v>951.51</v>
      </c>
    </row>
    <row r="150" spans="1:9" x14ac:dyDescent="0.3">
      <c r="A150" s="13">
        <v>45510</v>
      </c>
      <c r="B150" s="4" t="str">
        <f>TEXT(Data!B150,"MMM-YYYY")</f>
        <v>Sept-2024</v>
      </c>
      <c r="C150" s="4" t="str">
        <f t="shared" si="4"/>
        <v>Q3-2024</v>
      </c>
      <c r="D150" t="s">
        <v>78</v>
      </c>
      <c r="E150" t="s">
        <v>90</v>
      </c>
      <c r="F150" t="s">
        <v>138</v>
      </c>
      <c r="G150" t="s">
        <v>30</v>
      </c>
      <c r="H150" s="8" t="str">
        <f t="shared" si="5"/>
        <v>High</v>
      </c>
      <c r="I150" s="4">
        <v>732.88</v>
      </c>
    </row>
    <row r="151" spans="1:9" x14ac:dyDescent="0.3">
      <c r="A151" s="13">
        <v>45511</v>
      </c>
      <c r="B151" s="4" t="str">
        <f>TEXT(Data!B151,"MMM-YYYY")</f>
        <v>Apr-2025</v>
      </c>
      <c r="C151" s="4" t="str">
        <f t="shared" si="4"/>
        <v>Q3-2024</v>
      </c>
      <c r="D151" t="s">
        <v>52</v>
      </c>
      <c r="E151" t="s">
        <v>53</v>
      </c>
      <c r="F151" t="s">
        <v>179</v>
      </c>
      <c r="G151" t="s">
        <v>42</v>
      </c>
      <c r="H151" s="8" t="str">
        <f t="shared" si="5"/>
        <v>High</v>
      </c>
      <c r="I151" s="4">
        <v>2411.52</v>
      </c>
    </row>
    <row r="152" spans="1:9" x14ac:dyDescent="0.3">
      <c r="A152" s="13">
        <v>45512</v>
      </c>
      <c r="B152" s="4" t="str">
        <f>TEXT(Data!B152,"MMM-YYYY")</f>
        <v>Jul-2023</v>
      </c>
      <c r="C152" s="4" t="str">
        <f t="shared" si="4"/>
        <v>Q3-2024</v>
      </c>
      <c r="D152" t="s">
        <v>52</v>
      </c>
      <c r="E152" t="s">
        <v>53</v>
      </c>
      <c r="F152" t="s">
        <v>144</v>
      </c>
      <c r="G152" t="s">
        <v>30</v>
      </c>
      <c r="H152" s="8" t="str">
        <f t="shared" si="5"/>
        <v>High</v>
      </c>
      <c r="I152" s="4">
        <v>568.29</v>
      </c>
    </row>
    <row r="153" spans="1:9" x14ac:dyDescent="0.3">
      <c r="A153" s="13">
        <v>45513</v>
      </c>
      <c r="B153" s="4" t="str">
        <f>TEXT(Data!B153,"MMM-YYYY")</f>
        <v>Dec-2023</v>
      </c>
      <c r="C153" s="4" t="str">
        <f t="shared" si="4"/>
        <v>Q3-2024</v>
      </c>
      <c r="D153" t="s">
        <v>16</v>
      </c>
      <c r="E153" t="s">
        <v>148</v>
      </c>
      <c r="F153" t="s">
        <v>149</v>
      </c>
      <c r="G153" t="s">
        <v>57</v>
      </c>
      <c r="H153" s="8" t="str">
        <f t="shared" si="5"/>
        <v>High</v>
      </c>
      <c r="I153" s="4">
        <v>1254.95</v>
      </c>
    </row>
    <row r="154" spans="1:9" x14ac:dyDescent="0.3">
      <c r="A154" s="13">
        <v>45514</v>
      </c>
      <c r="B154" s="4" t="str">
        <f>TEXT(Data!B154,"MMM-YYYY")</f>
        <v>Feb-2024</v>
      </c>
      <c r="C154" s="4" t="str">
        <f t="shared" si="4"/>
        <v>Q3-2024</v>
      </c>
      <c r="D154" t="s">
        <v>45</v>
      </c>
      <c r="E154" t="s">
        <v>46</v>
      </c>
      <c r="F154" t="s">
        <v>214</v>
      </c>
      <c r="G154" t="s">
        <v>30</v>
      </c>
      <c r="H154" s="8" t="str">
        <f t="shared" si="5"/>
        <v>High</v>
      </c>
      <c r="I154" s="4">
        <v>845.55</v>
      </c>
    </row>
    <row r="155" spans="1:9" x14ac:dyDescent="0.3">
      <c r="A155" s="13">
        <v>45515</v>
      </c>
      <c r="B155" s="4" t="str">
        <f>TEXT(Data!B155,"MMM-YYYY")</f>
        <v>Oct-2023</v>
      </c>
      <c r="C155" s="4" t="str">
        <f t="shared" si="4"/>
        <v>Q3-2024</v>
      </c>
      <c r="D155" t="s">
        <v>16</v>
      </c>
      <c r="E155" t="s">
        <v>17</v>
      </c>
      <c r="F155" t="s">
        <v>18</v>
      </c>
      <c r="G155" t="s">
        <v>30</v>
      </c>
      <c r="H155" s="8" t="str">
        <f t="shared" si="5"/>
        <v>High</v>
      </c>
      <c r="I155" s="4">
        <v>2145.17</v>
      </c>
    </row>
    <row r="156" spans="1:9" x14ac:dyDescent="0.3">
      <c r="A156" s="13">
        <v>45516</v>
      </c>
      <c r="B156" s="4" t="str">
        <f>TEXT(Data!B156,"MMM-YYYY")</f>
        <v>Aug-2024</v>
      </c>
      <c r="C156" s="4" t="str">
        <f t="shared" si="4"/>
        <v>Q3-2024</v>
      </c>
      <c r="D156" t="s">
        <v>16</v>
      </c>
      <c r="E156" t="s">
        <v>17</v>
      </c>
      <c r="F156" t="s">
        <v>18</v>
      </c>
      <c r="G156" t="s">
        <v>81</v>
      </c>
      <c r="H156" s="8" t="str">
        <f t="shared" si="5"/>
        <v>High</v>
      </c>
      <c r="I156" s="4">
        <v>1349.94</v>
      </c>
    </row>
    <row r="157" spans="1:9" x14ac:dyDescent="0.3">
      <c r="A157" s="13">
        <v>45517</v>
      </c>
      <c r="B157" s="4" t="str">
        <f>TEXT(Data!B157,"MMM-YYYY")</f>
        <v>Feb-2024</v>
      </c>
      <c r="C157" s="4" t="str">
        <f t="shared" si="4"/>
        <v>Q3-2024</v>
      </c>
      <c r="D157" t="s">
        <v>45</v>
      </c>
      <c r="E157" t="s">
        <v>46</v>
      </c>
      <c r="F157" t="s">
        <v>47</v>
      </c>
      <c r="G157" t="s">
        <v>35</v>
      </c>
      <c r="H157" s="8" t="str">
        <f t="shared" si="5"/>
        <v>High</v>
      </c>
      <c r="I157" s="4">
        <v>527.48</v>
      </c>
    </row>
    <row r="158" spans="1:9" x14ac:dyDescent="0.3">
      <c r="A158" s="13">
        <v>45518</v>
      </c>
      <c r="B158" s="4" t="str">
        <f>TEXT(Data!B158,"MMM-YYYY")</f>
        <v>Aug-2024</v>
      </c>
      <c r="C158" s="4" t="str">
        <f t="shared" si="4"/>
        <v>Q3-2024</v>
      </c>
      <c r="D158" t="s">
        <v>78</v>
      </c>
      <c r="E158" t="s">
        <v>90</v>
      </c>
      <c r="F158" t="s">
        <v>217</v>
      </c>
      <c r="G158" t="s">
        <v>35</v>
      </c>
      <c r="H158" s="8" t="str">
        <f t="shared" si="5"/>
        <v>High</v>
      </c>
      <c r="I158" s="4">
        <v>1467.17</v>
      </c>
    </row>
    <row r="159" spans="1:9" x14ac:dyDescent="0.3">
      <c r="A159" s="13">
        <v>45519</v>
      </c>
      <c r="B159" s="4" t="str">
        <f>TEXT(Data!B159,"MMM-YYYY")</f>
        <v>Feb-2025</v>
      </c>
      <c r="C159" s="4" t="str">
        <f t="shared" si="4"/>
        <v>Q3-2024</v>
      </c>
      <c r="D159" t="s">
        <v>45</v>
      </c>
      <c r="E159" t="s">
        <v>60</v>
      </c>
      <c r="F159" t="s">
        <v>141</v>
      </c>
      <c r="G159" t="s">
        <v>22</v>
      </c>
      <c r="H159" s="8" t="str">
        <f t="shared" si="5"/>
        <v>High</v>
      </c>
      <c r="I159" s="4">
        <v>1651.14</v>
      </c>
    </row>
    <row r="160" spans="1:9" x14ac:dyDescent="0.3">
      <c r="A160" s="13">
        <v>45520</v>
      </c>
      <c r="B160" s="4" t="str">
        <f>TEXT(Data!B160,"MMM-YYYY")</f>
        <v>Aug-2025</v>
      </c>
      <c r="C160" s="4" t="str">
        <f t="shared" si="4"/>
        <v>Q3-2024</v>
      </c>
      <c r="D160" t="s">
        <v>78</v>
      </c>
      <c r="E160" t="s">
        <v>79</v>
      </c>
      <c r="F160" t="s">
        <v>335</v>
      </c>
      <c r="G160" t="s">
        <v>81</v>
      </c>
      <c r="H160" s="8" t="str">
        <f t="shared" si="5"/>
        <v>High</v>
      </c>
      <c r="I160" s="4">
        <v>1982.18</v>
      </c>
    </row>
    <row r="161" spans="1:9" x14ac:dyDescent="0.3">
      <c r="A161" s="13">
        <v>45521</v>
      </c>
      <c r="B161" s="4" t="str">
        <f>TEXT(Data!B161,"MMM-YYYY")</f>
        <v>Feb-2023</v>
      </c>
      <c r="C161" s="4" t="str">
        <f t="shared" si="4"/>
        <v>Q3-2024</v>
      </c>
      <c r="D161" t="s">
        <v>45</v>
      </c>
      <c r="E161" t="s">
        <v>116</v>
      </c>
      <c r="F161" t="s">
        <v>162</v>
      </c>
      <c r="G161" t="s">
        <v>42</v>
      </c>
      <c r="H161" s="8" t="str">
        <f t="shared" si="5"/>
        <v>High</v>
      </c>
      <c r="I161" s="4">
        <v>2552.2199999999998</v>
      </c>
    </row>
    <row r="162" spans="1:9" x14ac:dyDescent="0.3">
      <c r="A162" s="13">
        <v>45522</v>
      </c>
      <c r="B162" s="4" t="str">
        <f>TEXT(Data!B162,"MMM-YYYY")</f>
        <v>Oct-2024</v>
      </c>
      <c r="C162" s="4" t="str">
        <f t="shared" si="4"/>
        <v>Q3-2024</v>
      </c>
      <c r="D162" t="s">
        <v>45</v>
      </c>
      <c r="E162" t="s">
        <v>60</v>
      </c>
      <c r="F162" t="s">
        <v>141</v>
      </c>
      <c r="G162" t="s">
        <v>64</v>
      </c>
      <c r="H162" s="8" t="str">
        <f t="shared" si="5"/>
        <v>High</v>
      </c>
      <c r="I162" s="4">
        <v>523.01</v>
      </c>
    </row>
    <row r="163" spans="1:9" x14ac:dyDescent="0.3">
      <c r="A163" s="13">
        <v>45523</v>
      </c>
      <c r="B163" s="4" t="str">
        <f>TEXT(Data!B163,"MMM-YYYY")</f>
        <v>Apr-2024</v>
      </c>
      <c r="C163" s="4" t="str">
        <f t="shared" si="4"/>
        <v>Q3-2024</v>
      </c>
      <c r="D163" t="s">
        <v>45</v>
      </c>
      <c r="E163" t="s">
        <v>116</v>
      </c>
      <c r="F163" t="s">
        <v>117</v>
      </c>
      <c r="G163" t="s">
        <v>22</v>
      </c>
      <c r="H163" s="8" t="str">
        <f t="shared" si="5"/>
        <v>High</v>
      </c>
      <c r="I163" s="4">
        <v>1217.71</v>
      </c>
    </row>
    <row r="164" spans="1:9" x14ac:dyDescent="0.3">
      <c r="A164" s="13">
        <v>45524</v>
      </c>
      <c r="B164" s="4" t="str">
        <f>TEXT(Data!B164,"MMM-YYYY")</f>
        <v>Mar-2023</v>
      </c>
      <c r="C164" s="4" t="str">
        <f t="shared" si="4"/>
        <v>Q3-2024</v>
      </c>
      <c r="D164" t="s">
        <v>52</v>
      </c>
      <c r="E164" t="s">
        <v>73</v>
      </c>
      <c r="F164" t="s">
        <v>87</v>
      </c>
      <c r="G164" t="s">
        <v>42</v>
      </c>
      <c r="H164" s="8" t="str">
        <f t="shared" si="5"/>
        <v>High</v>
      </c>
      <c r="I164" s="4">
        <v>1343.64</v>
      </c>
    </row>
    <row r="165" spans="1:9" x14ac:dyDescent="0.3">
      <c r="A165" s="13">
        <v>45525</v>
      </c>
      <c r="B165" s="4" t="str">
        <f>TEXT(Data!B165,"MMM-YYYY")</f>
        <v>Jun-2024</v>
      </c>
      <c r="C165" s="4" t="str">
        <f t="shared" si="4"/>
        <v>Q3-2024</v>
      </c>
      <c r="D165" t="s">
        <v>45</v>
      </c>
      <c r="E165" t="s">
        <v>46</v>
      </c>
      <c r="F165" t="s">
        <v>47</v>
      </c>
      <c r="G165" t="s">
        <v>64</v>
      </c>
      <c r="H165" s="8" t="str">
        <f t="shared" si="5"/>
        <v>High</v>
      </c>
      <c r="I165" s="4">
        <v>301.7</v>
      </c>
    </row>
    <row r="166" spans="1:9" x14ac:dyDescent="0.3">
      <c r="A166" s="13">
        <v>45526</v>
      </c>
      <c r="B166" s="4" t="str">
        <f>TEXT(Data!B166,"MMM-YYYY")</f>
        <v>Feb-2023</v>
      </c>
      <c r="C166" s="4" t="str">
        <f t="shared" si="4"/>
        <v>Q3-2024</v>
      </c>
      <c r="D166" t="s">
        <v>45</v>
      </c>
      <c r="E166" t="s">
        <v>116</v>
      </c>
      <c r="F166" t="s">
        <v>162</v>
      </c>
      <c r="G166" t="s">
        <v>30</v>
      </c>
      <c r="H166" s="8" t="str">
        <f t="shared" si="5"/>
        <v>High</v>
      </c>
      <c r="I166" s="4">
        <v>1511.71</v>
      </c>
    </row>
    <row r="167" spans="1:9" x14ac:dyDescent="0.3">
      <c r="A167" s="13">
        <v>45527</v>
      </c>
      <c r="B167" s="4" t="str">
        <f>TEXT(Data!B167,"MMM-YYYY")</f>
        <v>Apr-2023</v>
      </c>
      <c r="C167" s="4" t="str">
        <f t="shared" si="4"/>
        <v>Q3-2024</v>
      </c>
      <c r="D167" t="s">
        <v>78</v>
      </c>
      <c r="E167" t="s">
        <v>79</v>
      </c>
      <c r="F167" t="s">
        <v>80</v>
      </c>
      <c r="G167" t="s">
        <v>64</v>
      </c>
      <c r="H167" s="8" t="str">
        <f t="shared" si="5"/>
        <v>High</v>
      </c>
      <c r="I167" s="4">
        <v>2055.2399999999998</v>
      </c>
    </row>
    <row r="168" spans="1:9" x14ac:dyDescent="0.3">
      <c r="A168" s="13">
        <v>45528</v>
      </c>
      <c r="B168" s="4" t="str">
        <f>TEXT(Data!B168,"MMM-YYYY")</f>
        <v>May-2024</v>
      </c>
      <c r="C168" s="4" t="str">
        <f t="shared" si="4"/>
        <v>Q3-2024</v>
      </c>
      <c r="D168" t="s">
        <v>45</v>
      </c>
      <c r="E168" t="s">
        <v>116</v>
      </c>
      <c r="F168" t="s">
        <v>117</v>
      </c>
      <c r="G168" t="s">
        <v>57</v>
      </c>
      <c r="H168" s="8" t="str">
        <f t="shared" si="5"/>
        <v>High</v>
      </c>
      <c r="I168" s="4">
        <v>391.15</v>
      </c>
    </row>
    <row r="169" spans="1:9" x14ac:dyDescent="0.3">
      <c r="A169" s="13">
        <v>45529</v>
      </c>
      <c r="B169" s="4" t="str">
        <f>TEXT(Data!B169,"MMM-YYYY")</f>
        <v>Oct-2023</v>
      </c>
      <c r="C169" s="4" t="str">
        <f t="shared" si="4"/>
        <v>Q3-2024</v>
      </c>
      <c r="D169" t="s">
        <v>78</v>
      </c>
      <c r="E169" t="s">
        <v>90</v>
      </c>
      <c r="F169" t="s">
        <v>91</v>
      </c>
      <c r="G169" t="s">
        <v>64</v>
      </c>
      <c r="H169" s="8" t="str">
        <f t="shared" si="5"/>
        <v>High</v>
      </c>
      <c r="I169" s="4">
        <v>1848.97</v>
      </c>
    </row>
    <row r="170" spans="1:9" x14ac:dyDescent="0.3">
      <c r="A170" s="13">
        <v>45530</v>
      </c>
      <c r="B170" s="4" t="str">
        <f>TEXT(Data!B170,"MMM-YYYY")</f>
        <v>Oct-2024</v>
      </c>
      <c r="C170" s="4" t="str">
        <f t="shared" si="4"/>
        <v>Q3-2024</v>
      </c>
      <c r="D170" t="s">
        <v>45</v>
      </c>
      <c r="E170" t="s">
        <v>60</v>
      </c>
      <c r="F170" t="s">
        <v>281</v>
      </c>
      <c r="G170" t="s">
        <v>64</v>
      </c>
      <c r="H170" s="8" t="str">
        <f t="shared" si="5"/>
        <v>High</v>
      </c>
      <c r="I170" s="4">
        <v>1395.56</v>
      </c>
    </row>
    <row r="171" spans="1:9" x14ac:dyDescent="0.3">
      <c r="A171" s="13">
        <v>45531</v>
      </c>
      <c r="B171" s="4" t="str">
        <f>TEXT(Data!B171,"MMM-YYYY")</f>
        <v>Jul-2024</v>
      </c>
      <c r="C171" s="4" t="str">
        <f t="shared" si="4"/>
        <v>Q3-2024</v>
      </c>
      <c r="D171" t="s">
        <v>78</v>
      </c>
      <c r="E171" t="s">
        <v>108</v>
      </c>
      <c r="F171" t="s">
        <v>228</v>
      </c>
      <c r="G171" t="s">
        <v>22</v>
      </c>
      <c r="H171" s="8" t="str">
        <f t="shared" si="5"/>
        <v>High</v>
      </c>
      <c r="I171" s="4">
        <v>538.04</v>
      </c>
    </row>
    <row r="172" spans="1:9" x14ac:dyDescent="0.3">
      <c r="A172" s="13">
        <v>45532</v>
      </c>
      <c r="B172" s="4" t="str">
        <f>TEXT(Data!B172,"MMM-YYYY")</f>
        <v>Sept-2023</v>
      </c>
      <c r="C172" s="4" t="str">
        <f t="shared" si="4"/>
        <v>Q3-2024</v>
      </c>
      <c r="D172" t="s">
        <v>45</v>
      </c>
      <c r="E172" t="s">
        <v>46</v>
      </c>
      <c r="F172" t="s">
        <v>214</v>
      </c>
      <c r="G172" t="s">
        <v>81</v>
      </c>
      <c r="H172" s="8" t="str">
        <f t="shared" si="5"/>
        <v>High</v>
      </c>
      <c r="I172" s="4">
        <v>1218.92</v>
      </c>
    </row>
    <row r="173" spans="1:9" x14ac:dyDescent="0.3">
      <c r="A173" s="13">
        <v>45533</v>
      </c>
      <c r="B173" s="4" t="str">
        <f>TEXT(Data!B173,"MMM-YYYY")</f>
        <v>Feb-2023</v>
      </c>
      <c r="C173" s="4" t="str">
        <f t="shared" si="4"/>
        <v>Q3-2024</v>
      </c>
      <c r="D173" t="s">
        <v>45</v>
      </c>
      <c r="E173" t="s">
        <v>46</v>
      </c>
      <c r="F173" t="s">
        <v>214</v>
      </c>
      <c r="G173" t="s">
        <v>22</v>
      </c>
      <c r="H173" s="8" t="str">
        <f t="shared" si="5"/>
        <v>High</v>
      </c>
      <c r="I173" s="4">
        <v>2062.12</v>
      </c>
    </row>
    <row r="174" spans="1:9" x14ac:dyDescent="0.3">
      <c r="A174" s="13">
        <v>45534</v>
      </c>
      <c r="B174" s="4" t="str">
        <f>TEXT(Data!B174,"MMM-YYYY")</f>
        <v>May-2025</v>
      </c>
      <c r="C174" s="4" t="str">
        <f t="shared" si="4"/>
        <v>Q3-2024</v>
      </c>
      <c r="D174" t="s">
        <v>52</v>
      </c>
      <c r="E174" t="s">
        <v>122</v>
      </c>
      <c r="F174" t="s">
        <v>387</v>
      </c>
      <c r="G174" t="s">
        <v>22</v>
      </c>
      <c r="H174" s="8" t="str">
        <f t="shared" si="5"/>
        <v>Low</v>
      </c>
      <c r="I174" s="4">
        <v>10.18</v>
      </c>
    </row>
    <row r="175" spans="1:9" x14ac:dyDescent="0.3">
      <c r="A175" s="13">
        <v>45535</v>
      </c>
      <c r="B175" s="4" t="str">
        <f>TEXT(Data!B175,"MMM-YYYY")</f>
        <v>May-2024</v>
      </c>
      <c r="C175" s="4" t="str">
        <f t="shared" si="4"/>
        <v>Q3-2024</v>
      </c>
      <c r="D175" t="s">
        <v>16</v>
      </c>
      <c r="E175" t="s">
        <v>148</v>
      </c>
      <c r="F175" t="s">
        <v>149</v>
      </c>
      <c r="G175" t="s">
        <v>57</v>
      </c>
      <c r="H175" s="8" t="str">
        <f t="shared" si="5"/>
        <v>High</v>
      </c>
      <c r="I175" s="4">
        <v>2281.7199999999998</v>
      </c>
    </row>
    <row r="176" spans="1:9" x14ac:dyDescent="0.3">
      <c r="A176" s="13">
        <v>45536</v>
      </c>
      <c r="B176" s="4" t="str">
        <f>TEXT(Data!B176,"MMM-YYYY")</f>
        <v>Apr-2025</v>
      </c>
      <c r="C176" s="4" t="str">
        <f t="shared" si="4"/>
        <v>Q3-2024</v>
      </c>
      <c r="D176" t="s">
        <v>16</v>
      </c>
      <c r="E176" t="s">
        <v>148</v>
      </c>
      <c r="F176" t="s">
        <v>149</v>
      </c>
      <c r="G176" t="s">
        <v>30</v>
      </c>
      <c r="H176" s="8" t="str">
        <f t="shared" si="5"/>
        <v>High</v>
      </c>
      <c r="I176" s="4">
        <v>249.57</v>
      </c>
    </row>
    <row r="177" spans="1:9" x14ac:dyDescent="0.3">
      <c r="A177" s="13">
        <v>45537</v>
      </c>
      <c r="B177" s="4" t="str">
        <f>TEXT(Data!B177,"MMM-YYYY")</f>
        <v>Aug-2023</v>
      </c>
      <c r="C177" s="4" t="str">
        <f t="shared" si="4"/>
        <v>Q3-2024</v>
      </c>
      <c r="D177" t="s">
        <v>78</v>
      </c>
      <c r="E177" t="s">
        <v>108</v>
      </c>
      <c r="F177" t="s">
        <v>109</v>
      </c>
      <c r="G177" t="s">
        <v>64</v>
      </c>
      <c r="H177" s="8" t="str">
        <f t="shared" si="5"/>
        <v>High</v>
      </c>
      <c r="I177" s="4">
        <v>3275</v>
      </c>
    </row>
    <row r="178" spans="1:9" x14ac:dyDescent="0.3">
      <c r="A178" s="13">
        <v>45538</v>
      </c>
      <c r="B178" s="4" t="str">
        <f>TEXT(Data!B178,"MMM-YYYY")</f>
        <v>Feb-2024</v>
      </c>
      <c r="C178" s="4" t="str">
        <f t="shared" si="4"/>
        <v>Q3-2024</v>
      </c>
      <c r="D178" t="s">
        <v>78</v>
      </c>
      <c r="E178" t="s">
        <v>108</v>
      </c>
      <c r="F178" t="s">
        <v>152</v>
      </c>
      <c r="G178" t="s">
        <v>30</v>
      </c>
      <c r="H178" s="8" t="str">
        <f t="shared" si="5"/>
        <v>High</v>
      </c>
      <c r="I178" s="4">
        <v>1913.76</v>
      </c>
    </row>
    <row r="179" spans="1:9" x14ac:dyDescent="0.3">
      <c r="A179" s="13">
        <v>45539</v>
      </c>
      <c r="B179" s="4" t="str">
        <f>TEXT(Data!B179,"MMM-YYYY")</f>
        <v>Apr-2023</v>
      </c>
      <c r="C179" s="4" t="str">
        <f t="shared" si="4"/>
        <v>Q3-2024</v>
      </c>
      <c r="D179" t="s">
        <v>78</v>
      </c>
      <c r="E179" t="s">
        <v>79</v>
      </c>
      <c r="F179" t="s">
        <v>335</v>
      </c>
      <c r="G179" t="s">
        <v>22</v>
      </c>
      <c r="H179" s="8" t="str">
        <f t="shared" si="5"/>
        <v>Low</v>
      </c>
      <c r="I179" s="4">
        <v>30.09</v>
      </c>
    </row>
    <row r="180" spans="1:9" x14ac:dyDescent="0.3">
      <c r="A180" s="13">
        <v>45540</v>
      </c>
      <c r="B180" s="4" t="str">
        <f>TEXT(Data!B180,"MMM-YYYY")</f>
        <v>Aug-2025</v>
      </c>
      <c r="C180" s="4" t="str">
        <f t="shared" si="4"/>
        <v>Q3-2024</v>
      </c>
      <c r="D180" t="s">
        <v>52</v>
      </c>
      <c r="E180" t="s">
        <v>53</v>
      </c>
      <c r="F180" t="s">
        <v>179</v>
      </c>
      <c r="G180" t="s">
        <v>64</v>
      </c>
      <c r="H180" s="8" t="str">
        <f t="shared" si="5"/>
        <v>High</v>
      </c>
      <c r="I180" s="4">
        <v>501.31</v>
      </c>
    </row>
    <row r="181" spans="1:9" x14ac:dyDescent="0.3">
      <c r="A181" s="13">
        <v>45541</v>
      </c>
      <c r="B181" s="4" t="str">
        <f>TEXT(Data!B181,"MMM-YYYY")</f>
        <v>Sept-2025</v>
      </c>
      <c r="C181" s="4" t="str">
        <f t="shared" si="4"/>
        <v>Q3-2024</v>
      </c>
      <c r="D181" t="s">
        <v>45</v>
      </c>
      <c r="E181" t="s">
        <v>116</v>
      </c>
      <c r="F181" t="s">
        <v>117</v>
      </c>
      <c r="G181" t="s">
        <v>30</v>
      </c>
      <c r="H181" s="8" t="str">
        <f t="shared" si="5"/>
        <v>High</v>
      </c>
      <c r="I181" s="4">
        <v>411.18</v>
      </c>
    </row>
    <row r="182" spans="1:9" x14ac:dyDescent="0.3">
      <c r="A182" s="13">
        <v>45542</v>
      </c>
      <c r="B182" s="4" t="str">
        <f>TEXT(Data!B182,"MMM-YYYY")</f>
        <v>Oct-2024</v>
      </c>
      <c r="C182" s="4" t="str">
        <f t="shared" si="4"/>
        <v>Q3-2024</v>
      </c>
      <c r="D182" t="s">
        <v>52</v>
      </c>
      <c r="E182" t="s">
        <v>73</v>
      </c>
      <c r="F182" t="s">
        <v>225</v>
      </c>
      <c r="G182" t="s">
        <v>81</v>
      </c>
      <c r="H182" s="8" t="str">
        <f t="shared" si="5"/>
        <v>Low</v>
      </c>
      <c r="I182" s="4">
        <v>5.92</v>
      </c>
    </row>
    <row r="183" spans="1:9" x14ac:dyDescent="0.3">
      <c r="A183" s="13">
        <v>45543</v>
      </c>
      <c r="B183" s="4" t="str">
        <f>TEXT(Data!B183,"MMM-YYYY")</f>
        <v>Feb-2025</v>
      </c>
      <c r="C183" s="4" t="str">
        <f t="shared" si="4"/>
        <v>Q3-2024</v>
      </c>
      <c r="D183" t="s">
        <v>45</v>
      </c>
      <c r="E183" t="s">
        <v>116</v>
      </c>
      <c r="F183" t="s">
        <v>338</v>
      </c>
      <c r="G183" t="s">
        <v>42</v>
      </c>
      <c r="H183" s="8" t="str">
        <f t="shared" si="5"/>
        <v>High</v>
      </c>
      <c r="I183" s="4">
        <v>2206.63</v>
      </c>
    </row>
    <row r="184" spans="1:9" x14ac:dyDescent="0.3">
      <c r="A184" s="13">
        <v>45544</v>
      </c>
      <c r="B184" s="4" t="str">
        <f>TEXT(Data!B184,"MMM-YYYY")</f>
        <v>Aug-2023</v>
      </c>
      <c r="C184" s="4" t="str">
        <f t="shared" si="4"/>
        <v>Q3-2024</v>
      </c>
      <c r="D184" t="s">
        <v>45</v>
      </c>
      <c r="E184" t="s">
        <v>46</v>
      </c>
      <c r="F184" t="s">
        <v>47</v>
      </c>
      <c r="G184" t="s">
        <v>81</v>
      </c>
      <c r="H184" s="8" t="str">
        <f t="shared" si="5"/>
        <v>High</v>
      </c>
      <c r="I184" s="4">
        <v>1912.8</v>
      </c>
    </row>
    <row r="185" spans="1:9" x14ac:dyDescent="0.3">
      <c r="A185" s="13">
        <v>45545</v>
      </c>
      <c r="B185" s="4" t="str">
        <f>TEXT(Data!B185,"MMM-YYYY")</f>
        <v>Oct-2024</v>
      </c>
      <c r="C185" s="4" t="str">
        <f t="shared" si="4"/>
        <v>Q3-2024</v>
      </c>
      <c r="D185" t="s">
        <v>16</v>
      </c>
      <c r="E185" t="s">
        <v>25</v>
      </c>
      <c r="F185" t="s">
        <v>67</v>
      </c>
      <c r="G185" t="s">
        <v>64</v>
      </c>
      <c r="H185" s="8" t="str">
        <f t="shared" si="5"/>
        <v>High</v>
      </c>
      <c r="I185" s="4">
        <v>1382.31</v>
      </c>
    </row>
    <row r="186" spans="1:9" x14ac:dyDescent="0.3">
      <c r="A186" s="13">
        <v>45546</v>
      </c>
      <c r="B186" s="4" t="str">
        <f>TEXT(Data!B186,"MMM-YYYY")</f>
        <v>Jun-2023</v>
      </c>
      <c r="C186" s="4" t="str">
        <f t="shared" si="4"/>
        <v>Q3-2024</v>
      </c>
      <c r="D186" t="s">
        <v>16</v>
      </c>
      <c r="E186" t="s">
        <v>25</v>
      </c>
      <c r="F186" t="s">
        <v>26</v>
      </c>
      <c r="G186" t="s">
        <v>64</v>
      </c>
      <c r="H186" s="8" t="str">
        <f t="shared" si="5"/>
        <v>High</v>
      </c>
      <c r="I186" s="4">
        <v>1355.61</v>
      </c>
    </row>
    <row r="187" spans="1:9" x14ac:dyDescent="0.3">
      <c r="A187" s="13">
        <v>45547</v>
      </c>
      <c r="B187" s="4" t="str">
        <f>TEXT(Data!B187,"MMM-YYYY")</f>
        <v>Jan-2025</v>
      </c>
      <c r="C187" s="4" t="str">
        <f t="shared" si="4"/>
        <v>Q3-2024</v>
      </c>
      <c r="D187" t="s">
        <v>78</v>
      </c>
      <c r="E187" t="s">
        <v>90</v>
      </c>
      <c r="F187" t="s">
        <v>138</v>
      </c>
      <c r="G187" t="s">
        <v>81</v>
      </c>
      <c r="H187" s="8" t="str">
        <f t="shared" si="5"/>
        <v>High</v>
      </c>
      <c r="I187" s="4">
        <v>887.9</v>
      </c>
    </row>
    <row r="188" spans="1:9" x14ac:dyDescent="0.3">
      <c r="A188" s="13">
        <v>45548</v>
      </c>
      <c r="B188" s="4" t="str">
        <f>TEXT(Data!B188,"MMM-YYYY")</f>
        <v>Jan-2023</v>
      </c>
      <c r="C188" s="4" t="str">
        <f t="shared" si="4"/>
        <v>Q3-2024</v>
      </c>
      <c r="D188" t="s">
        <v>78</v>
      </c>
      <c r="E188" t="s">
        <v>90</v>
      </c>
      <c r="F188" t="s">
        <v>217</v>
      </c>
      <c r="G188" t="s">
        <v>64</v>
      </c>
      <c r="H188" s="8" t="str">
        <f t="shared" si="5"/>
        <v>High</v>
      </c>
      <c r="I188" s="4">
        <v>1020.69</v>
      </c>
    </row>
    <row r="189" spans="1:9" x14ac:dyDescent="0.3">
      <c r="A189" s="13">
        <v>45549</v>
      </c>
      <c r="B189" s="4" t="str">
        <f>TEXT(Data!B189,"MMM-YYYY")</f>
        <v>Jul-2023</v>
      </c>
      <c r="C189" s="4" t="str">
        <f t="shared" si="4"/>
        <v>Q3-2024</v>
      </c>
      <c r="D189" t="s">
        <v>45</v>
      </c>
      <c r="E189" t="s">
        <v>60</v>
      </c>
      <c r="F189" t="s">
        <v>61</v>
      </c>
      <c r="G189" t="s">
        <v>81</v>
      </c>
      <c r="H189" s="8" t="str">
        <f t="shared" si="5"/>
        <v>High</v>
      </c>
      <c r="I189" s="4">
        <v>1395.53</v>
      </c>
    </row>
    <row r="190" spans="1:9" x14ac:dyDescent="0.3">
      <c r="A190" s="13">
        <v>45550</v>
      </c>
      <c r="B190" s="4" t="str">
        <f>TEXT(Data!B190,"MMM-YYYY")</f>
        <v>May-2024</v>
      </c>
      <c r="C190" s="4" t="str">
        <f t="shared" si="4"/>
        <v>Q3-2024</v>
      </c>
      <c r="D190" t="s">
        <v>52</v>
      </c>
      <c r="E190" t="s">
        <v>73</v>
      </c>
      <c r="F190" t="s">
        <v>225</v>
      </c>
      <c r="G190" t="s">
        <v>64</v>
      </c>
      <c r="H190" s="8" t="str">
        <f t="shared" si="5"/>
        <v>High</v>
      </c>
      <c r="I190" s="4">
        <v>2273.42</v>
      </c>
    </row>
    <row r="191" spans="1:9" x14ac:dyDescent="0.3">
      <c r="A191" s="13">
        <v>45551</v>
      </c>
      <c r="B191" s="4" t="str">
        <f>TEXT(Data!B191,"MMM-YYYY")</f>
        <v>Feb-2024</v>
      </c>
      <c r="C191" s="4" t="str">
        <f t="shared" si="4"/>
        <v>Q3-2024</v>
      </c>
      <c r="D191" t="s">
        <v>52</v>
      </c>
      <c r="E191" t="s">
        <v>73</v>
      </c>
      <c r="F191" t="s">
        <v>87</v>
      </c>
      <c r="G191" t="s">
        <v>64</v>
      </c>
      <c r="H191" s="8" t="str">
        <f t="shared" si="5"/>
        <v>High</v>
      </c>
      <c r="I191" s="4">
        <v>1242.1500000000001</v>
      </c>
    </row>
    <row r="192" spans="1:9" x14ac:dyDescent="0.3">
      <c r="A192" s="13">
        <v>45552</v>
      </c>
      <c r="B192" s="4" t="str">
        <f>TEXT(Data!B192,"MMM-YYYY")</f>
        <v>Aug-2023</v>
      </c>
      <c r="C192" s="4" t="str">
        <f t="shared" si="4"/>
        <v>Q3-2024</v>
      </c>
      <c r="D192" t="s">
        <v>45</v>
      </c>
      <c r="E192" t="s">
        <v>116</v>
      </c>
      <c r="F192" t="s">
        <v>117</v>
      </c>
      <c r="G192" t="s">
        <v>57</v>
      </c>
      <c r="H192" s="8" t="str">
        <f t="shared" si="5"/>
        <v>High</v>
      </c>
      <c r="I192" s="4">
        <v>1310.29</v>
      </c>
    </row>
    <row r="193" spans="1:9" x14ac:dyDescent="0.3">
      <c r="A193" s="13">
        <v>45553</v>
      </c>
      <c r="B193" s="4" t="str">
        <f>TEXT(Data!B193,"MMM-YYYY")</f>
        <v>Aug-2024</v>
      </c>
      <c r="C193" s="4" t="str">
        <f t="shared" si="4"/>
        <v>Q3-2024</v>
      </c>
      <c r="D193" t="s">
        <v>78</v>
      </c>
      <c r="E193" t="s">
        <v>108</v>
      </c>
      <c r="F193" t="s">
        <v>109</v>
      </c>
      <c r="G193" t="s">
        <v>64</v>
      </c>
      <c r="H193" s="8" t="str">
        <f t="shared" si="5"/>
        <v>High</v>
      </c>
      <c r="I193" s="4">
        <v>967.25</v>
      </c>
    </row>
    <row r="194" spans="1:9" x14ac:dyDescent="0.3">
      <c r="A194" s="13">
        <v>45554</v>
      </c>
      <c r="B194" s="4" t="str">
        <f>TEXT(Data!B194,"MMM-YYYY")</f>
        <v>Oct-2023</v>
      </c>
      <c r="C194" s="4" t="str">
        <f t="shared" ref="C194:C257" si="6">"Q"&amp;ROUNDUP(MONTH(A194)/3,0)&amp;"-"&amp;YEAR(A194)</f>
        <v>Q3-2024</v>
      </c>
      <c r="D194" t="s">
        <v>52</v>
      </c>
      <c r="E194" t="s">
        <v>122</v>
      </c>
      <c r="F194" t="s">
        <v>326</v>
      </c>
      <c r="G194" t="s">
        <v>57</v>
      </c>
      <c r="H194" s="8" t="str">
        <f t="shared" ref="H194:H257" si="7">IF(I194&lt;50, "Low", IF(I194&lt;200, "Medium", "High"))</f>
        <v>High</v>
      </c>
      <c r="I194" s="4">
        <v>886.22</v>
      </c>
    </row>
    <row r="195" spans="1:9" x14ac:dyDescent="0.3">
      <c r="A195" s="13">
        <v>45555</v>
      </c>
      <c r="B195" s="4" t="str">
        <f>TEXT(Data!B195,"MMM-YYYY")</f>
        <v>May-2023</v>
      </c>
      <c r="C195" s="4" t="str">
        <f t="shared" si="6"/>
        <v>Q3-2024</v>
      </c>
      <c r="D195" t="s">
        <v>45</v>
      </c>
      <c r="E195" t="s">
        <v>116</v>
      </c>
      <c r="F195" t="s">
        <v>117</v>
      </c>
      <c r="G195" t="s">
        <v>30</v>
      </c>
      <c r="H195" s="8" t="str">
        <f t="shared" si="7"/>
        <v>High</v>
      </c>
      <c r="I195" s="4">
        <v>790.61</v>
      </c>
    </row>
    <row r="196" spans="1:9" x14ac:dyDescent="0.3">
      <c r="A196" s="13">
        <v>45556</v>
      </c>
      <c r="B196" s="4" t="str">
        <f>TEXT(Data!B196,"MMM-YYYY")</f>
        <v>Sept-2024</v>
      </c>
      <c r="C196" s="4" t="str">
        <f t="shared" si="6"/>
        <v>Q3-2024</v>
      </c>
      <c r="D196" t="s">
        <v>52</v>
      </c>
      <c r="E196" t="s">
        <v>122</v>
      </c>
      <c r="F196" t="s">
        <v>167</v>
      </c>
      <c r="G196" t="s">
        <v>35</v>
      </c>
      <c r="H196" s="8" t="str">
        <f t="shared" si="7"/>
        <v>High</v>
      </c>
      <c r="I196" s="4">
        <v>361.33</v>
      </c>
    </row>
    <row r="197" spans="1:9" x14ac:dyDescent="0.3">
      <c r="A197" s="13">
        <v>45557</v>
      </c>
      <c r="B197" s="4" t="str">
        <f>TEXT(Data!B197,"MMM-YYYY")</f>
        <v>Oct-2024</v>
      </c>
      <c r="C197" s="4" t="str">
        <f t="shared" si="6"/>
        <v>Q3-2024</v>
      </c>
      <c r="D197" t="s">
        <v>52</v>
      </c>
      <c r="E197" t="s">
        <v>73</v>
      </c>
      <c r="F197" t="s">
        <v>74</v>
      </c>
      <c r="G197" t="s">
        <v>64</v>
      </c>
      <c r="H197" s="8" t="str">
        <f t="shared" si="7"/>
        <v>High</v>
      </c>
      <c r="I197" s="4">
        <v>1952.04</v>
      </c>
    </row>
    <row r="198" spans="1:9" x14ac:dyDescent="0.3">
      <c r="A198" s="13">
        <v>45558</v>
      </c>
      <c r="B198" s="4" t="str">
        <f>TEXT(Data!B198,"MMM-YYYY")</f>
        <v>Feb-2024</v>
      </c>
      <c r="C198" s="4" t="str">
        <f t="shared" si="6"/>
        <v>Q3-2024</v>
      </c>
      <c r="D198" t="s">
        <v>45</v>
      </c>
      <c r="E198" t="s">
        <v>46</v>
      </c>
      <c r="F198" t="s">
        <v>47</v>
      </c>
      <c r="G198" t="s">
        <v>42</v>
      </c>
      <c r="H198" s="8" t="str">
        <f t="shared" si="7"/>
        <v>High</v>
      </c>
      <c r="I198" s="4">
        <v>1564.76</v>
      </c>
    </row>
    <row r="199" spans="1:9" x14ac:dyDescent="0.3">
      <c r="A199" s="13">
        <v>45559</v>
      </c>
      <c r="B199" s="4" t="str">
        <f>TEXT(Data!B199,"MMM-YYYY")</f>
        <v>Jan-2023</v>
      </c>
      <c r="C199" s="4" t="str">
        <f t="shared" si="6"/>
        <v>Q3-2024</v>
      </c>
      <c r="D199" t="s">
        <v>16</v>
      </c>
      <c r="E199" t="s">
        <v>17</v>
      </c>
      <c r="F199" t="s">
        <v>18</v>
      </c>
      <c r="G199" t="s">
        <v>42</v>
      </c>
      <c r="H199" s="8" t="str">
        <f t="shared" si="7"/>
        <v>High</v>
      </c>
      <c r="I199" s="4">
        <v>852.54</v>
      </c>
    </row>
    <row r="200" spans="1:9" x14ac:dyDescent="0.3">
      <c r="A200" s="13">
        <v>45560</v>
      </c>
      <c r="B200" s="4" t="str">
        <f>TEXT(Data!B200,"MMM-YYYY")</f>
        <v>Apr-2023</v>
      </c>
      <c r="C200" s="4" t="str">
        <f t="shared" si="6"/>
        <v>Q3-2024</v>
      </c>
      <c r="D200" t="s">
        <v>78</v>
      </c>
      <c r="E200" t="s">
        <v>79</v>
      </c>
      <c r="F200" t="s">
        <v>159</v>
      </c>
      <c r="G200" t="s">
        <v>35</v>
      </c>
      <c r="H200" s="8" t="str">
        <f t="shared" si="7"/>
        <v>High</v>
      </c>
      <c r="I200" s="4">
        <v>1465.29</v>
      </c>
    </row>
    <row r="201" spans="1:9" x14ac:dyDescent="0.3">
      <c r="A201" s="13">
        <v>45561</v>
      </c>
      <c r="B201" s="4" t="str">
        <f>TEXT(Data!B201,"MMM-YYYY")</f>
        <v>Jan-2023</v>
      </c>
      <c r="C201" s="4" t="str">
        <f t="shared" si="6"/>
        <v>Q3-2024</v>
      </c>
      <c r="D201" t="s">
        <v>78</v>
      </c>
      <c r="E201" t="s">
        <v>79</v>
      </c>
      <c r="F201" t="s">
        <v>335</v>
      </c>
      <c r="G201" t="s">
        <v>30</v>
      </c>
      <c r="H201" s="8" t="str">
        <f t="shared" si="7"/>
        <v>High</v>
      </c>
      <c r="I201" s="4">
        <v>2645.23</v>
      </c>
    </row>
    <row r="202" spans="1:9" x14ac:dyDescent="0.3">
      <c r="A202" s="13">
        <v>45562</v>
      </c>
      <c r="B202" s="4" t="str">
        <f>TEXT(Data!B202,"MMM-YYYY")</f>
        <v>Jan-2024</v>
      </c>
      <c r="C202" s="4" t="str">
        <f t="shared" si="6"/>
        <v>Q3-2024</v>
      </c>
      <c r="D202" t="s">
        <v>52</v>
      </c>
      <c r="E202" t="s">
        <v>122</v>
      </c>
      <c r="F202" t="s">
        <v>123</v>
      </c>
      <c r="G202" t="s">
        <v>42</v>
      </c>
      <c r="H202" s="8" t="str">
        <f t="shared" si="7"/>
        <v>High</v>
      </c>
      <c r="I202" s="4">
        <v>881.57</v>
      </c>
    </row>
    <row r="203" spans="1:9" x14ac:dyDescent="0.3">
      <c r="A203" s="13">
        <v>45563</v>
      </c>
      <c r="B203" s="4" t="str">
        <f>TEXT(Data!B203,"MMM-YYYY")</f>
        <v>Aug-2023</v>
      </c>
      <c r="C203" s="4" t="str">
        <f t="shared" si="6"/>
        <v>Q3-2024</v>
      </c>
      <c r="D203" t="s">
        <v>52</v>
      </c>
      <c r="E203" t="s">
        <v>122</v>
      </c>
      <c r="F203" t="s">
        <v>123</v>
      </c>
      <c r="G203" t="s">
        <v>30</v>
      </c>
      <c r="H203" s="8" t="str">
        <f t="shared" si="7"/>
        <v>High</v>
      </c>
      <c r="I203" s="4">
        <v>625.04</v>
      </c>
    </row>
    <row r="204" spans="1:9" x14ac:dyDescent="0.3">
      <c r="A204" s="13">
        <v>45564</v>
      </c>
      <c r="B204" s="4" t="str">
        <f>TEXT(Data!B204,"MMM-YYYY")</f>
        <v>Jan-2023</v>
      </c>
      <c r="C204" s="4" t="str">
        <f t="shared" si="6"/>
        <v>Q3-2024</v>
      </c>
      <c r="D204" t="s">
        <v>52</v>
      </c>
      <c r="E204" t="s">
        <v>122</v>
      </c>
      <c r="F204" t="s">
        <v>387</v>
      </c>
      <c r="G204" t="s">
        <v>42</v>
      </c>
      <c r="H204" s="8" t="str">
        <f t="shared" si="7"/>
        <v>High</v>
      </c>
      <c r="I204" s="4">
        <v>973.04</v>
      </c>
    </row>
    <row r="205" spans="1:9" x14ac:dyDescent="0.3">
      <c r="A205" s="13">
        <v>45565</v>
      </c>
      <c r="B205" s="4" t="str">
        <f>TEXT(Data!B205,"MMM-YYYY")</f>
        <v>Feb-2025</v>
      </c>
      <c r="C205" s="4" t="str">
        <f t="shared" si="6"/>
        <v>Q3-2024</v>
      </c>
      <c r="D205" t="s">
        <v>16</v>
      </c>
      <c r="E205" t="s">
        <v>17</v>
      </c>
      <c r="F205" t="s">
        <v>18</v>
      </c>
      <c r="G205" t="s">
        <v>35</v>
      </c>
      <c r="H205" s="8" t="str">
        <f t="shared" si="7"/>
        <v>High</v>
      </c>
      <c r="I205" s="4">
        <v>1545.34</v>
      </c>
    </row>
    <row r="206" spans="1:9" x14ac:dyDescent="0.3">
      <c r="A206" s="13">
        <v>45566</v>
      </c>
      <c r="B206" s="4" t="str">
        <f>TEXT(Data!B206,"MMM-YYYY")</f>
        <v>Apr-2023</v>
      </c>
      <c r="C206" s="4" t="str">
        <f t="shared" si="6"/>
        <v>Q4-2024</v>
      </c>
      <c r="D206" t="s">
        <v>78</v>
      </c>
      <c r="E206" t="s">
        <v>108</v>
      </c>
      <c r="F206" t="s">
        <v>109</v>
      </c>
      <c r="G206" t="s">
        <v>64</v>
      </c>
      <c r="H206" s="8" t="str">
        <f t="shared" si="7"/>
        <v>High</v>
      </c>
      <c r="I206" s="4">
        <v>2253.42</v>
      </c>
    </row>
    <row r="207" spans="1:9" x14ac:dyDescent="0.3">
      <c r="A207" s="13">
        <v>45567</v>
      </c>
      <c r="B207" s="4" t="str">
        <f>TEXT(Data!B207,"MMM-YYYY")</f>
        <v>Jul-2023</v>
      </c>
      <c r="C207" s="4" t="str">
        <f t="shared" si="6"/>
        <v>Q4-2024</v>
      </c>
      <c r="D207" t="s">
        <v>78</v>
      </c>
      <c r="E207" t="s">
        <v>79</v>
      </c>
      <c r="F207" t="s">
        <v>80</v>
      </c>
      <c r="G207" t="s">
        <v>64</v>
      </c>
      <c r="H207" s="8" t="str">
        <f t="shared" si="7"/>
        <v>High</v>
      </c>
      <c r="I207" s="4">
        <v>2446.56</v>
      </c>
    </row>
    <row r="208" spans="1:9" x14ac:dyDescent="0.3">
      <c r="A208" s="13">
        <v>45568</v>
      </c>
      <c r="B208" s="4" t="str">
        <f>TEXT(Data!B208,"MMM-YYYY")</f>
        <v>Jan-2025</v>
      </c>
      <c r="C208" s="4" t="str">
        <f t="shared" si="6"/>
        <v>Q4-2024</v>
      </c>
      <c r="D208" t="s">
        <v>78</v>
      </c>
      <c r="E208" t="s">
        <v>108</v>
      </c>
      <c r="F208" t="s">
        <v>109</v>
      </c>
      <c r="G208" t="s">
        <v>22</v>
      </c>
      <c r="H208" s="8" t="str">
        <f t="shared" si="7"/>
        <v>Medium</v>
      </c>
      <c r="I208" s="4">
        <v>188.3</v>
      </c>
    </row>
    <row r="209" spans="1:9" x14ac:dyDescent="0.3">
      <c r="A209" s="13">
        <v>45569</v>
      </c>
      <c r="B209" s="4" t="str">
        <f>TEXT(Data!B209,"MMM-YYYY")</f>
        <v>Sept-2024</v>
      </c>
      <c r="C209" s="4" t="str">
        <f t="shared" si="6"/>
        <v>Q4-2024</v>
      </c>
      <c r="D209" t="s">
        <v>16</v>
      </c>
      <c r="E209" t="s">
        <v>17</v>
      </c>
      <c r="F209" t="s">
        <v>33</v>
      </c>
      <c r="G209" t="s">
        <v>81</v>
      </c>
      <c r="H209" s="8" t="str">
        <f t="shared" si="7"/>
        <v>High</v>
      </c>
      <c r="I209" s="4">
        <v>2562.84</v>
      </c>
    </row>
    <row r="210" spans="1:9" x14ac:dyDescent="0.3">
      <c r="A210" s="13">
        <v>45570</v>
      </c>
      <c r="B210" s="4" t="str">
        <f>TEXT(Data!B210,"MMM-YYYY")</f>
        <v>Jul-2025</v>
      </c>
      <c r="C210" s="4" t="str">
        <f t="shared" si="6"/>
        <v>Q4-2024</v>
      </c>
      <c r="D210" t="s">
        <v>16</v>
      </c>
      <c r="E210" t="s">
        <v>17</v>
      </c>
      <c r="F210" t="s">
        <v>18</v>
      </c>
      <c r="G210" t="s">
        <v>30</v>
      </c>
      <c r="H210" s="8" t="str">
        <f t="shared" si="7"/>
        <v>High</v>
      </c>
      <c r="I210" s="4">
        <v>1805.11</v>
      </c>
    </row>
    <row r="211" spans="1:9" x14ac:dyDescent="0.3">
      <c r="A211" s="13">
        <v>45571</v>
      </c>
      <c r="B211" s="4" t="str">
        <f>TEXT(Data!B211,"MMM-YYYY")</f>
        <v>Oct-2024</v>
      </c>
      <c r="C211" s="4" t="str">
        <f t="shared" si="6"/>
        <v>Q4-2024</v>
      </c>
      <c r="D211" t="s">
        <v>16</v>
      </c>
      <c r="E211" t="s">
        <v>25</v>
      </c>
      <c r="F211" t="s">
        <v>38</v>
      </c>
      <c r="G211" t="s">
        <v>81</v>
      </c>
      <c r="H211" s="8" t="str">
        <f t="shared" si="7"/>
        <v>High</v>
      </c>
      <c r="I211" s="4">
        <v>2065.73</v>
      </c>
    </row>
    <row r="212" spans="1:9" x14ac:dyDescent="0.3">
      <c r="A212" s="13">
        <v>45572</v>
      </c>
      <c r="B212" s="4" t="str">
        <f>TEXT(Data!B212,"MMM-YYYY")</f>
        <v>Jul-2025</v>
      </c>
      <c r="C212" s="4" t="str">
        <f t="shared" si="6"/>
        <v>Q4-2024</v>
      </c>
      <c r="D212" t="s">
        <v>16</v>
      </c>
      <c r="E212" t="s">
        <v>148</v>
      </c>
      <c r="F212" t="s">
        <v>172</v>
      </c>
      <c r="G212" t="s">
        <v>22</v>
      </c>
      <c r="H212" s="8" t="str">
        <f t="shared" si="7"/>
        <v>High</v>
      </c>
      <c r="I212" s="4">
        <v>2366.5100000000002</v>
      </c>
    </row>
    <row r="213" spans="1:9" x14ac:dyDescent="0.3">
      <c r="A213" s="13">
        <v>45573</v>
      </c>
      <c r="B213" s="4" t="str">
        <f>TEXT(Data!B213,"MMM-YYYY")</f>
        <v>Sept-2024</v>
      </c>
      <c r="C213" s="4" t="str">
        <f t="shared" si="6"/>
        <v>Q4-2024</v>
      </c>
      <c r="D213" t="s">
        <v>52</v>
      </c>
      <c r="E213" t="s">
        <v>53</v>
      </c>
      <c r="F213" t="s">
        <v>144</v>
      </c>
      <c r="G213" t="s">
        <v>64</v>
      </c>
      <c r="H213" s="8" t="str">
        <f t="shared" si="7"/>
        <v>Medium</v>
      </c>
      <c r="I213" s="4">
        <v>131.76</v>
      </c>
    </row>
    <row r="214" spans="1:9" x14ac:dyDescent="0.3">
      <c r="A214" s="13">
        <v>45574</v>
      </c>
      <c r="B214" s="4" t="str">
        <f>TEXT(Data!B214,"MMM-YYYY")</f>
        <v>Jan-2025</v>
      </c>
      <c r="C214" s="4" t="str">
        <f t="shared" si="6"/>
        <v>Q4-2024</v>
      </c>
      <c r="D214" t="s">
        <v>45</v>
      </c>
      <c r="E214" t="s">
        <v>116</v>
      </c>
      <c r="F214" t="s">
        <v>117</v>
      </c>
      <c r="G214" t="s">
        <v>30</v>
      </c>
      <c r="H214" s="8" t="str">
        <f t="shared" si="7"/>
        <v>High</v>
      </c>
      <c r="I214" s="4">
        <v>1335.02</v>
      </c>
    </row>
    <row r="215" spans="1:9" x14ac:dyDescent="0.3">
      <c r="A215" s="13">
        <v>45575</v>
      </c>
      <c r="B215" s="4" t="str">
        <f>TEXT(Data!B215,"MMM-YYYY")</f>
        <v>Nov-2023</v>
      </c>
      <c r="C215" s="4" t="str">
        <f t="shared" si="6"/>
        <v>Q4-2024</v>
      </c>
      <c r="D215" t="s">
        <v>16</v>
      </c>
      <c r="E215" t="s">
        <v>17</v>
      </c>
      <c r="F215" t="s">
        <v>18</v>
      </c>
      <c r="G215" t="s">
        <v>42</v>
      </c>
      <c r="H215" s="8" t="str">
        <f t="shared" si="7"/>
        <v>High</v>
      </c>
      <c r="I215" s="4">
        <v>2691.45</v>
      </c>
    </row>
    <row r="216" spans="1:9" x14ac:dyDescent="0.3">
      <c r="A216" s="13">
        <v>45576</v>
      </c>
      <c r="B216" s="4" t="str">
        <f>TEXT(Data!B216,"MMM-YYYY")</f>
        <v>Feb-2024</v>
      </c>
      <c r="C216" s="4" t="str">
        <f t="shared" si="6"/>
        <v>Q4-2024</v>
      </c>
      <c r="D216" t="s">
        <v>52</v>
      </c>
      <c r="E216" t="s">
        <v>73</v>
      </c>
      <c r="F216" t="s">
        <v>87</v>
      </c>
      <c r="G216" t="s">
        <v>81</v>
      </c>
      <c r="H216" s="8" t="str">
        <f t="shared" si="7"/>
        <v>High</v>
      </c>
      <c r="I216" s="4">
        <v>776.46</v>
      </c>
    </row>
    <row r="217" spans="1:9" x14ac:dyDescent="0.3">
      <c r="A217" s="13">
        <v>45577</v>
      </c>
      <c r="B217" s="4" t="str">
        <f>TEXT(Data!B217,"MMM-YYYY")</f>
        <v>Dec-2023</v>
      </c>
      <c r="C217" s="4" t="str">
        <f t="shared" si="6"/>
        <v>Q4-2024</v>
      </c>
      <c r="D217" t="s">
        <v>45</v>
      </c>
      <c r="E217" t="s">
        <v>46</v>
      </c>
      <c r="F217" t="s">
        <v>231</v>
      </c>
      <c r="G217" t="s">
        <v>35</v>
      </c>
      <c r="H217" s="8" t="str">
        <f t="shared" si="7"/>
        <v>High</v>
      </c>
      <c r="I217" s="4">
        <v>318.17</v>
      </c>
    </row>
    <row r="218" spans="1:9" x14ac:dyDescent="0.3">
      <c r="A218" s="13">
        <v>45578</v>
      </c>
      <c r="B218" s="4" t="str">
        <f>TEXT(Data!B218,"MMM-YYYY")</f>
        <v>Jan-2023</v>
      </c>
      <c r="C218" s="4" t="str">
        <f t="shared" si="6"/>
        <v>Q4-2024</v>
      </c>
      <c r="D218" t="s">
        <v>45</v>
      </c>
      <c r="E218" t="s">
        <v>60</v>
      </c>
      <c r="F218" t="s">
        <v>220</v>
      </c>
      <c r="G218" t="s">
        <v>64</v>
      </c>
      <c r="H218" s="8" t="str">
        <f t="shared" si="7"/>
        <v>High</v>
      </c>
      <c r="I218" s="4">
        <v>1246.4100000000001</v>
      </c>
    </row>
    <row r="219" spans="1:9" x14ac:dyDescent="0.3">
      <c r="A219" s="13">
        <v>45579</v>
      </c>
      <c r="B219" s="4" t="str">
        <f>TEXT(Data!B219,"MMM-YYYY")</f>
        <v>Oct-2024</v>
      </c>
      <c r="C219" s="4" t="str">
        <f t="shared" si="6"/>
        <v>Q4-2024</v>
      </c>
      <c r="D219" t="s">
        <v>78</v>
      </c>
      <c r="E219" t="s">
        <v>79</v>
      </c>
      <c r="F219" t="s">
        <v>159</v>
      </c>
      <c r="G219" t="s">
        <v>64</v>
      </c>
      <c r="H219" s="8" t="str">
        <f t="shared" si="7"/>
        <v>High</v>
      </c>
      <c r="I219" s="4">
        <v>346.96</v>
      </c>
    </row>
    <row r="220" spans="1:9" x14ac:dyDescent="0.3">
      <c r="A220" s="13">
        <v>45580</v>
      </c>
      <c r="B220" s="4" t="str">
        <f>TEXT(Data!B220,"MMM-YYYY")</f>
        <v>Sept-2024</v>
      </c>
      <c r="C220" s="4" t="str">
        <f t="shared" si="6"/>
        <v>Q4-2024</v>
      </c>
      <c r="D220" t="s">
        <v>45</v>
      </c>
      <c r="E220" t="s">
        <v>116</v>
      </c>
      <c r="F220" t="s">
        <v>162</v>
      </c>
      <c r="G220" t="s">
        <v>30</v>
      </c>
      <c r="H220" s="8" t="str">
        <f t="shared" si="7"/>
        <v>High</v>
      </c>
      <c r="I220" s="4">
        <v>504.76</v>
      </c>
    </row>
    <row r="221" spans="1:9" x14ac:dyDescent="0.3">
      <c r="A221" s="13">
        <v>45581</v>
      </c>
      <c r="B221" s="4" t="str">
        <f>TEXT(Data!B221,"MMM-YYYY")</f>
        <v>Aug-2025</v>
      </c>
      <c r="C221" s="4" t="str">
        <f t="shared" si="6"/>
        <v>Q4-2024</v>
      </c>
      <c r="D221" t="s">
        <v>52</v>
      </c>
      <c r="E221" t="s">
        <v>73</v>
      </c>
      <c r="F221" t="s">
        <v>225</v>
      </c>
      <c r="G221" t="s">
        <v>30</v>
      </c>
      <c r="H221" s="8" t="str">
        <f t="shared" si="7"/>
        <v>High</v>
      </c>
      <c r="I221" s="4">
        <v>937.46</v>
      </c>
    </row>
    <row r="222" spans="1:9" x14ac:dyDescent="0.3">
      <c r="A222" s="13">
        <v>45582</v>
      </c>
      <c r="B222" s="4" t="str">
        <f>TEXT(Data!B222,"MMM-YYYY")</f>
        <v>Sept-2023</v>
      </c>
      <c r="C222" s="4" t="str">
        <f t="shared" si="6"/>
        <v>Q4-2024</v>
      </c>
      <c r="D222" t="s">
        <v>16</v>
      </c>
      <c r="E222" t="s">
        <v>17</v>
      </c>
      <c r="F222" t="s">
        <v>33</v>
      </c>
      <c r="G222" t="s">
        <v>22</v>
      </c>
      <c r="H222" s="8" t="str">
        <f t="shared" si="7"/>
        <v>High</v>
      </c>
      <c r="I222" s="4">
        <v>1300.58</v>
      </c>
    </row>
    <row r="223" spans="1:9" x14ac:dyDescent="0.3">
      <c r="A223" s="13">
        <v>45583</v>
      </c>
      <c r="B223" s="4" t="str">
        <f>TEXT(Data!B223,"MMM-YYYY")</f>
        <v>Aug-2023</v>
      </c>
      <c r="C223" s="4" t="str">
        <f t="shared" si="6"/>
        <v>Q4-2024</v>
      </c>
      <c r="D223" t="s">
        <v>52</v>
      </c>
      <c r="E223" t="s">
        <v>122</v>
      </c>
      <c r="F223" t="s">
        <v>387</v>
      </c>
      <c r="G223" t="s">
        <v>81</v>
      </c>
      <c r="H223" s="8" t="str">
        <f t="shared" si="7"/>
        <v>High</v>
      </c>
      <c r="I223" s="4">
        <v>228.15</v>
      </c>
    </row>
    <row r="224" spans="1:9" x14ac:dyDescent="0.3">
      <c r="A224" s="13">
        <v>45584</v>
      </c>
      <c r="B224" s="4" t="str">
        <f>TEXT(Data!B224,"MMM-YYYY")</f>
        <v>Jul-2025</v>
      </c>
      <c r="C224" s="4" t="str">
        <f t="shared" si="6"/>
        <v>Q4-2024</v>
      </c>
      <c r="D224" t="s">
        <v>16</v>
      </c>
      <c r="E224" t="s">
        <v>148</v>
      </c>
      <c r="F224" t="s">
        <v>258</v>
      </c>
      <c r="G224" t="s">
        <v>22</v>
      </c>
      <c r="H224" s="8" t="str">
        <f t="shared" si="7"/>
        <v>High</v>
      </c>
      <c r="I224" s="4">
        <v>496.52</v>
      </c>
    </row>
    <row r="225" spans="1:9" x14ac:dyDescent="0.3">
      <c r="A225" s="13">
        <v>45585</v>
      </c>
      <c r="B225" s="4" t="str">
        <f>TEXT(Data!B225,"MMM-YYYY")</f>
        <v>Apr-2023</v>
      </c>
      <c r="C225" s="4" t="str">
        <f t="shared" si="6"/>
        <v>Q4-2024</v>
      </c>
      <c r="D225" t="s">
        <v>16</v>
      </c>
      <c r="E225" t="s">
        <v>148</v>
      </c>
      <c r="F225" t="s">
        <v>172</v>
      </c>
      <c r="G225" t="s">
        <v>35</v>
      </c>
      <c r="H225" s="8" t="str">
        <f t="shared" si="7"/>
        <v>High</v>
      </c>
      <c r="I225" s="4">
        <v>2941.2</v>
      </c>
    </row>
    <row r="226" spans="1:9" x14ac:dyDescent="0.3">
      <c r="A226" s="13">
        <v>45586</v>
      </c>
      <c r="B226" s="4" t="str">
        <f>TEXT(Data!B226,"MMM-YYYY")</f>
        <v>Dec-2023</v>
      </c>
      <c r="C226" s="4" t="str">
        <f t="shared" si="6"/>
        <v>Q4-2024</v>
      </c>
      <c r="D226" t="s">
        <v>78</v>
      </c>
      <c r="E226" t="s">
        <v>108</v>
      </c>
      <c r="F226" t="s">
        <v>109</v>
      </c>
      <c r="G226" t="s">
        <v>57</v>
      </c>
      <c r="H226" s="8" t="str">
        <f t="shared" si="7"/>
        <v>High</v>
      </c>
      <c r="I226" s="4">
        <v>1088.2</v>
      </c>
    </row>
    <row r="227" spans="1:9" x14ac:dyDescent="0.3">
      <c r="A227" s="13">
        <v>45587</v>
      </c>
      <c r="B227" s="4" t="str">
        <f>TEXT(Data!B227,"MMM-YYYY")</f>
        <v>Jul-2023</v>
      </c>
      <c r="C227" s="4" t="str">
        <f t="shared" si="6"/>
        <v>Q4-2024</v>
      </c>
      <c r="D227" t="s">
        <v>52</v>
      </c>
      <c r="E227" t="s">
        <v>73</v>
      </c>
      <c r="F227" t="s">
        <v>225</v>
      </c>
      <c r="G227" t="s">
        <v>42</v>
      </c>
      <c r="H227" s="8" t="str">
        <f t="shared" si="7"/>
        <v>High</v>
      </c>
      <c r="I227" s="4">
        <v>2529.15</v>
      </c>
    </row>
    <row r="228" spans="1:9" x14ac:dyDescent="0.3">
      <c r="A228" s="13">
        <v>45588</v>
      </c>
      <c r="B228" s="4" t="str">
        <f>TEXT(Data!B228,"MMM-YYYY")</f>
        <v>Oct-2023</v>
      </c>
      <c r="C228" s="4" t="str">
        <f t="shared" si="6"/>
        <v>Q4-2024</v>
      </c>
      <c r="D228" t="s">
        <v>45</v>
      </c>
      <c r="E228" t="s">
        <v>46</v>
      </c>
      <c r="F228" t="s">
        <v>231</v>
      </c>
      <c r="G228" t="s">
        <v>35</v>
      </c>
      <c r="H228" s="8" t="str">
        <f t="shared" si="7"/>
        <v>High</v>
      </c>
      <c r="I228" s="4">
        <v>2698.01</v>
      </c>
    </row>
    <row r="229" spans="1:9" x14ac:dyDescent="0.3">
      <c r="A229" s="13">
        <v>45589</v>
      </c>
      <c r="B229" s="4" t="str">
        <f>TEXT(Data!B229,"MMM-YYYY")</f>
        <v>Aug-2025</v>
      </c>
      <c r="C229" s="4" t="str">
        <f t="shared" si="6"/>
        <v>Q4-2024</v>
      </c>
      <c r="D229" t="s">
        <v>52</v>
      </c>
      <c r="E229" t="s">
        <v>122</v>
      </c>
      <c r="F229" t="s">
        <v>167</v>
      </c>
      <c r="G229" t="s">
        <v>81</v>
      </c>
      <c r="H229" s="8" t="str">
        <f t="shared" si="7"/>
        <v>High</v>
      </c>
      <c r="I229" s="4">
        <v>1482.75</v>
      </c>
    </row>
    <row r="230" spans="1:9" x14ac:dyDescent="0.3">
      <c r="A230" s="13">
        <v>45590</v>
      </c>
      <c r="B230" s="4" t="str">
        <f>TEXT(Data!B230,"MMM-YYYY")</f>
        <v>Mar-2023</v>
      </c>
      <c r="C230" s="4" t="str">
        <f t="shared" si="6"/>
        <v>Q4-2024</v>
      </c>
      <c r="D230" t="s">
        <v>52</v>
      </c>
      <c r="E230" t="s">
        <v>122</v>
      </c>
      <c r="F230" t="s">
        <v>167</v>
      </c>
      <c r="G230" t="s">
        <v>30</v>
      </c>
      <c r="H230" s="8" t="str">
        <f t="shared" si="7"/>
        <v>High</v>
      </c>
      <c r="I230" s="4">
        <v>1456.81</v>
      </c>
    </row>
    <row r="231" spans="1:9" x14ac:dyDescent="0.3">
      <c r="A231" s="13">
        <v>45591</v>
      </c>
      <c r="B231" s="4" t="str">
        <f>TEXT(Data!B231,"MMM-YYYY")</f>
        <v>May-2023</v>
      </c>
      <c r="C231" s="4" t="str">
        <f t="shared" si="6"/>
        <v>Q4-2024</v>
      </c>
      <c r="D231" t="s">
        <v>16</v>
      </c>
      <c r="E231" t="s">
        <v>17</v>
      </c>
      <c r="F231" t="s">
        <v>33</v>
      </c>
      <c r="G231" t="s">
        <v>30</v>
      </c>
      <c r="H231" s="8" t="str">
        <f t="shared" si="7"/>
        <v>High</v>
      </c>
      <c r="I231" s="4">
        <v>918.19</v>
      </c>
    </row>
    <row r="232" spans="1:9" x14ac:dyDescent="0.3">
      <c r="A232" s="13">
        <v>45592</v>
      </c>
      <c r="B232" s="4" t="str">
        <f>TEXT(Data!B232,"MMM-YYYY")</f>
        <v>Apr-2025</v>
      </c>
      <c r="C232" s="4" t="str">
        <f t="shared" si="6"/>
        <v>Q4-2024</v>
      </c>
      <c r="D232" t="s">
        <v>45</v>
      </c>
      <c r="E232" t="s">
        <v>116</v>
      </c>
      <c r="F232" t="s">
        <v>162</v>
      </c>
      <c r="G232" t="s">
        <v>22</v>
      </c>
      <c r="H232" s="8" t="str">
        <f t="shared" si="7"/>
        <v>Low</v>
      </c>
      <c r="I232" s="4">
        <v>48.94</v>
      </c>
    </row>
    <row r="233" spans="1:9" x14ac:dyDescent="0.3">
      <c r="A233" s="13">
        <v>45593</v>
      </c>
      <c r="B233" s="4" t="str">
        <f>TEXT(Data!B233,"MMM-YYYY")</f>
        <v>Sept-2024</v>
      </c>
      <c r="C233" s="4" t="str">
        <f t="shared" si="6"/>
        <v>Q4-2024</v>
      </c>
      <c r="D233" t="s">
        <v>52</v>
      </c>
      <c r="E233" t="s">
        <v>73</v>
      </c>
      <c r="F233" t="s">
        <v>87</v>
      </c>
      <c r="G233" t="s">
        <v>42</v>
      </c>
      <c r="H233" s="8" t="str">
        <f t="shared" si="7"/>
        <v>High</v>
      </c>
      <c r="I233" s="4">
        <v>932.29</v>
      </c>
    </row>
    <row r="234" spans="1:9" x14ac:dyDescent="0.3">
      <c r="A234" s="13">
        <v>45594</v>
      </c>
      <c r="B234" s="4" t="str">
        <f>TEXT(Data!B234,"MMM-YYYY")</f>
        <v>Sept-2024</v>
      </c>
      <c r="C234" s="4" t="str">
        <f t="shared" si="6"/>
        <v>Q4-2024</v>
      </c>
      <c r="D234" t="s">
        <v>16</v>
      </c>
      <c r="E234" t="s">
        <v>25</v>
      </c>
      <c r="F234" t="s">
        <v>38</v>
      </c>
      <c r="G234" t="s">
        <v>30</v>
      </c>
      <c r="H234" s="8" t="str">
        <f t="shared" si="7"/>
        <v>High</v>
      </c>
      <c r="I234" s="4">
        <v>325.79000000000002</v>
      </c>
    </row>
    <row r="235" spans="1:9" x14ac:dyDescent="0.3">
      <c r="A235" s="13">
        <v>45595</v>
      </c>
      <c r="B235" s="4" t="str">
        <f>TEXT(Data!B235,"MMM-YYYY")</f>
        <v>Mar-2023</v>
      </c>
      <c r="C235" s="4" t="str">
        <f t="shared" si="6"/>
        <v>Q4-2024</v>
      </c>
      <c r="D235" t="s">
        <v>45</v>
      </c>
      <c r="E235" t="s">
        <v>46</v>
      </c>
      <c r="F235" t="s">
        <v>47</v>
      </c>
      <c r="G235" t="s">
        <v>64</v>
      </c>
      <c r="H235" s="8" t="str">
        <f t="shared" si="7"/>
        <v>High</v>
      </c>
      <c r="I235" s="4">
        <v>405.97</v>
      </c>
    </row>
    <row r="236" spans="1:9" x14ac:dyDescent="0.3">
      <c r="A236" s="13">
        <v>45596</v>
      </c>
      <c r="B236" s="4" t="str">
        <f>TEXT(Data!B236,"MMM-YYYY")</f>
        <v>Jan-2024</v>
      </c>
      <c r="C236" s="4" t="str">
        <f t="shared" si="6"/>
        <v>Q4-2024</v>
      </c>
      <c r="D236" t="s">
        <v>16</v>
      </c>
      <c r="E236" t="s">
        <v>148</v>
      </c>
      <c r="F236" t="s">
        <v>258</v>
      </c>
      <c r="G236" t="s">
        <v>22</v>
      </c>
      <c r="H236" s="8" t="str">
        <f t="shared" si="7"/>
        <v>High</v>
      </c>
      <c r="I236" s="4">
        <v>1589.07</v>
      </c>
    </row>
    <row r="237" spans="1:9" x14ac:dyDescent="0.3">
      <c r="A237" s="13">
        <v>45597</v>
      </c>
      <c r="B237" s="4" t="str">
        <f>TEXT(Data!B237,"MMM-YYYY")</f>
        <v>Sept-2024</v>
      </c>
      <c r="C237" s="4" t="str">
        <f t="shared" si="6"/>
        <v>Q4-2024</v>
      </c>
      <c r="D237" t="s">
        <v>45</v>
      </c>
      <c r="E237" t="s">
        <v>46</v>
      </c>
      <c r="F237" t="s">
        <v>231</v>
      </c>
      <c r="G237" t="s">
        <v>30</v>
      </c>
      <c r="H237" s="8" t="str">
        <f t="shared" si="7"/>
        <v>High</v>
      </c>
      <c r="I237" s="4">
        <v>1432.8</v>
      </c>
    </row>
    <row r="238" spans="1:9" x14ac:dyDescent="0.3">
      <c r="A238" s="13">
        <v>45598</v>
      </c>
      <c r="B238" s="4" t="str">
        <f>TEXT(Data!B238,"MMM-YYYY")</f>
        <v>Jul-2025</v>
      </c>
      <c r="C238" s="4" t="str">
        <f t="shared" si="6"/>
        <v>Q4-2024</v>
      </c>
      <c r="D238" t="s">
        <v>16</v>
      </c>
      <c r="E238" t="s">
        <v>17</v>
      </c>
      <c r="F238" t="s">
        <v>113</v>
      </c>
      <c r="G238" t="s">
        <v>42</v>
      </c>
      <c r="H238" s="8" t="str">
        <f t="shared" si="7"/>
        <v>High</v>
      </c>
      <c r="I238" s="4">
        <v>1765.76</v>
      </c>
    </row>
    <row r="239" spans="1:9" x14ac:dyDescent="0.3">
      <c r="A239" s="13">
        <v>45599</v>
      </c>
      <c r="B239" s="4" t="str">
        <f>TEXT(Data!B239,"MMM-YYYY")</f>
        <v>Nov-2023</v>
      </c>
      <c r="C239" s="4" t="str">
        <f t="shared" si="6"/>
        <v>Q4-2024</v>
      </c>
      <c r="D239" t="s">
        <v>52</v>
      </c>
      <c r="E239" t="s">
        <v>53</v>
      </c>
      <c r="F239" t="s">
        <v>179</v>
      </c>
      <c r="G239" t="s">
        <v>22</v>
      </c>
      <c r="H239" s="8" t="str">
        <f t="shared" si="7"/>
        <v>High</v>
      </c>
      <c r="I239" s="4">
        <v>2757.54</v>
      </c>
    </row>
    <row r="240" spans="1:9" x14ac:dyDescent="0.3">
      <c r="A240" s="13">
        <v>45600</v>
      </c>
      <c r="B240" s="4" t="str">
        <f>TEXT(Data!B240,"MMM-YYYY")</f>
        <v>Mar-2024</v>
      </c>
      <c r="C240" s="4" t="str">
        <f t="shared" si="6"/>
        <v>Q4-2024</v>
      </c>
      <c r="D240" t="s">
        <v>45</v>
      </c>
      <c r="E240" t="s">
        <v>60</v>
      </c>
      <c r="F240" t="s">
        <v>141</v>
      </c>
      <c r="G240" t="s">
        <v>42</v>
      </c>
      <c r="H240" s="8" t="str">
        <f t="shared" si="7"/>
        <v>High</v>
      </c>
      <c r="I240" s="4">
        <v>873.75</v>
      </c>
    </row>
    <row r="241" spans="1:9" x14ac:dyDescent="0.3">
      <c r="A241" s="13">
        <v>45601</v>
      </c>
      <c r="B241" s="4" t="str">
        <f>TEXT(Data!B241,"MMM-YYYY")</f>
        <v>Sept-2023</v>
      </c>
      <c r="C241" s="4" t="str">
        <f t="shared" si="6"/>
        <v>Q4-2024</v>
      </c>
      <c r="D241" t="s">
        <v>52</v>
      </c>
      <c r="E241" t="s">
        <v>122</v>
      </c>
      <c r="F241" t="s">
        <v>326</v>
      </c>
      <c r="G241" t="s">
        <v>57</v>
      </c>
      <c r="H241" s="8" t="str">
        <f t="shared" si="7"/>
        <v>High</v>
      </c>
      <c r="I241" s="4">
        <v>258.52</v>
      </c>
    </row>
    <row r="242" spans="1:9" x14ac:dyDescent="0.3">
      <c r="A242" s="13">
        <v>45602</v>
      </c>
      <c r="B242" s="4" t="str">
        <f>TEXT(Data!B242,"MMM-YYYY")</f>
        <v>May-2025</v>
      </c>
      <c r="C242" s="4" t="str">
        <f t="shared" si="6"/>
        <v>Q4-2024</v>
      </c>
      <c r="D242" t="s">
        <v>45</v>
      </c>
      <c r="E242" t="s">
        <v>60</v>
      </c>
      <c r="F242" t="s">
        <v>61</v>
      </c>
      <c r="G242" t="s">
        <v>30</v>
      </c>
      <c r="H242" s="8" t="str">
        <f t="shared" si="7"/>
        <v>High</v>
      </c>
      <c r="I242" s="4">
        <v>606.76</v>
      </c>
    </row>
    <row r="243" spans="1:9" x14ac:dyDescent="0.3">
      <c r="A243" s="13">
        <v>45603</v>
      </c>
      <c r="B243" s="4" t="str">
        <f>TEXT(Data!B243,"MMM-YYYY")</f>
        <v>Aug-2025</v>
      </c>
      <c r="C243" s="4" t="str">
        <f t="shared" si="6"/>
        <v>Q4-2024</v>
      </c>
      <c r="D243" t="s">
        <v>45</v>
      </c>
      <c r="E243" t="s">
        <v>116</v>
      </c>
      <c r="F243" t="s">
        <v>338</v>
      </c>
      <c r="G243" t="s">
        <v>42</v>
      </c>
      <c r="H243" s="8" t="str">
        <f t="shared" si="7"/>
        <v>High</v>
      </c>
      <c r="I243" s="4">
        <v>1337.69</v>
      </c>
    </row>
    <row r="244" spans="1:9" x14ac:dyDescent="0.3">
      <c r="A244" s="13">
        <v>45604</v>
      </c>
      <c r="B244" s="4" t="str">
        <f>TEXT(Data!B244,"MMM-YYYY")</f>
        <v>Dec-2024</v>
      </c>
      <c r="C244" s="4" t="str">
        <f t="shared" si="6"/>
        <v>Q4-2024</v>
      </c>
      <c r="D244" t="s">
        <v>45</v>
      </c>
      <c r="E244" t="s">
        <v>46</v>
      </c>
      <c r="F244" t="s">
        <v>47</v>
      </c>
      <c r="G244" t="s">
        <v>57</v>
      </c>
      <c r="H244" s="8" t="str">
        <f t="shared" si="7"/>
        <v>High</v>
      </c>
      <c r="I244" s="4">
        <v>1793.08</v>
      </c>
    </row>
    <row r="245" spans="1:9" x14ac:dyDescent="0.3">
      <c r="A245" s="13">
        <v>45605</v>
      </c>
      <c r="B245" s="4" t="str">
        <f>TEXT(Data!B245,"MMM-YYYY")</f>
        <v>Apr-2023</v>
      </c>
      <c r="C245" s="4" t="str">
        <f t="shared" si="6"/>
        <v>Q4-2024</v>
      </c>
      <c r="D245" t="s">
        <v>78</v>
      </c>
      <c r="E245" t="s">
        <v>79</v>
      </c>
      <c r="F245" t="s">
        <v>335</v>
      </c>
      <c r="G245" t="s">
        <v>30</v>
      </c>
      <c r="H245" s="8" t="str">
        <f t="shared" si="7"/>
        <v>Medium</v>
      </c>
      <c r="I245" s="4">
        <v>122.74</v>
      </c>
    </row>
    <row r="246" spans="1:9" x14ac:dyDescent="0.3">
      <c r="A246" s="13">
        <v>45606</v>
      </c>
      <c r="B246" s="4" t="str">
        <f>TEXT(Data!B246,"MMM-YYYY")</f>
        <v>Mar-2024</v>
      </c>
      <c r="C246" s="4" t="str">
        <f t="shared" si="6"/>
        <v>Q4-2024</v>
      </c>
      <c r="D246" t="s">
        <v>52</v>
      </c>
      <c r="E246" t="s">
        <v>73</v>
      </c>
      <c r="F246" t="s">
        <v>225</v>
      </c>
      <c r="G246" t="s">
        <v>42</v>
      </c>
      <c r="H246" s="8" t="str">
        <f t="shared" si="7"/>
        <v>High</v>
      </c>
      <c r="I246" s="4">
        <v>927.93</v>
      </c>
    </row>
    <row r="247" spans="1:9" x14ac:dyDescent="0.3">
      <c r="A247" s="13">
        <v>45607</v>
      </c>
      <c r="B247" s="4" t="str">
        <f>TEXT(Data!B247,"MMM-YYYY")</f>
        <v>Feb-2024</v>
      </c>
      <c r="C247" s="4" t="str">
        <f t="shared" si="6"/>
        <v>Q4-2024</v>
      </c>
      <c r="D247" t="s">
        <v>16</v>
      </c>
      <c r="E247" t="s">
        <v>25</v>
      </c>
      <c r="F247" t="s">
        <v>26</v>
      </c>
      <c r="G247" t="s">
        <v>42</v>
      </c>
      <c r="H247" s="8" t="str">
        <f t="shared" si="7"/>
        <v>Medium</v>
      </c>
      <c r="I247" s="4">
        <v>151.88</v>
      </c>
    </row>
    <row r="248" spans="1:9" x14ac:dyDescent="0.3">
      <c r="A248" s="13">
        <v>45608</v>
      </c>
      <c r="B248" s="4" t="str">
        <f>TEXT(Data!B248,"MMM-YYYY")</f>
        <v>Apr-2025</v>
      </c>
      <c r="C248" s="4" t="str">
        <f t="shared" si="6"/>
        <v>Q4-2024</v>
      </c>
      <c r="D248" t="s">
        <v>52</v>
      </c>
      <c r="E248" t="s">
        <v>53</v>
      </c>
      <c r="F248" t="s">
        <v>144</v>
      </c>
      <c r="G248" t="s">
        <v>57</v>
      </c>
      <c r="H248" s="8" t="str">
        <f t="shared" si="7"/>
        <v>High</v>
      </c>
      <c r="I248" s="4">
        <v>2210.4</v>
      </c>
    </row>
    <row r="249" spans="1:9" x14ac:dyDescent="0.3">
      <c r="A249" s="13">
        <v>45609</v>
      </c>
      <c r="B249" s="4" t="str">
        <f>TEXT(Data!B249,"MMM-YYYY")</f>
        <v>Nov-2024</v>
      </c>
      <c r="C249" s="4" t="str">
        <f t="shared" si="6"/>
        <v>Q4-2024</v>
      </c>
      <c r="D249" t="s">
        <v>78</v>
      </c>
      <c r="E249" t="s">
        <v>79</v>
      </c>
      <c r="F249" t="s">
        <v>80</v>
      </c>
      <c r="G249" t="s">
        <v>64</v>
      </c>
      <c r="H249" s="8" t="str">
        <f t="shared" si="7"/>
        <v>Low</v>
      </c>
      <c r="I249" s="4">
        <v>39.74</v>
      </c>
    </row>
    <row r="250" spans="1:9" x14ac:dyDescent="0.3">
      <c r="A250" s="13">
        <v>45610</v>
      </c>
      <c r="B250" s="4" t="str">
        <f>TEXT(Data!B250,"MMM-YYYY")</f>
        <v>Sept-2025</v>
      </c>
      <c r="C250" s="4" t="str">
        <f t="shared" si="6"/>
        <v>Q4-2024</v>
      </c>
      <c r="D250" t="s">
        <v>16</v>
      </c>
      <c r="E250" t="s">
        <v>17</v>
      </c>
      <c r="F250" t="s">
        <v>135</v>
      </c>
      <c r="G250" t="s">
        <v>35</v>
      </c>
      <c r="H250" s="8" t="str">
        <f t="shared" si="7"/>
        <v>High</v>
      </c>
      <c r="I250" s="4">
        <v>1009</v>
      </c>
    </row>
    <row r="251" spans="1:9" x14ac:dyDescent="0.3">
      <c r="A251" s="13">
        <v>45611</v>
      </c>
      <c r="B251" s="4" t="str">
        <f>TEXT(Data!B251,"MMM-YYYY")</f>
        <v>Sept-2024</v>
      </c>
      <c r="C251" s="4" t="str">
        <f t="shared" si="6"/>
        <v>Q4-2024</v>
      </c>
      <c r="D251" t="s">
        <v>45</v>
      </c>
      <c r="E251" t="s">
        <v>46</v>
      </c>
      <c r="F251" t="s">
        <v>231</v>
      </c>
      <c r="G251" t="s">
        <v>64</v>
      </c>
      <c r="H251" s="8" t="str">
        <f t="shared" si="7"/>
        <v>High</v>
      </c>
      <c r="I251" s="4">
        <v>1653.64</v>
      </c>
    </row>
    <row r="252" spans="1:9" x14ac:dyDescent="0.3">
      <c r="A252" s="13">
        <v>45612</v>
      </c>
      <c r="B252" s="4" t="str">
        <f>TEXT(Data!B252,"MMM-YYYY")</f>
        <v>Mar-2023</v>
      </c>
      <c r="C252" s="4" t="str">
        <f t="shared" si="6"/>
        <v>Q4-2024</v>
      </c>
      <c r="D252" t="s">
        <v>52</v>
      </c>
      <c r="E252" t="s">
        <v>122</v>
      </c>
      <c r="F252" t="s">
        <v>326</v>
      </c>
      <c r="G252" t="s">
        <v>22</v>
      </c>
      <c r="H252" s="8" t="str">
        <f t="shared" si="7"/>
        <v>High</v>
      </c>
      <c r="I252" s="4">
        <v>1015.7</v>
      </c>
    </row>
    <row r="253" spans="1:9" x14ac:dyDescent="0.3">
      <c r="A253" s="13">
        <v>45613</v>
      </c>
      <c r="B253" s="4" t="str">
        <f>TEXT(Data!B253,"MMM-YYYY")</f>
        <v>Mar-2024</v>
      </c>
      <c r="C253" s="4" t="str">
        <f t="shared" si="6"/>
        <v>Q4-2024</v>
      </c>
      <c r="D253" t="s">
        <v>52</v>
      </c>
      <c r="E253" t="s">
        <v>53</v>
      </c>
      <c r="F253" t="s">
        <v>144</v>
      </c>
      <c r="G253" t="s">
        <v>57</v>
      </c>
      <c r="H253" s="8" t="str">
        <f t="shared" si="7"/>
        <v>High</v>
      </c>
      <c r="I253" s="4">
        <v>912.45</v>
      </c>
    </row>
    <row r="254" spans="1:9" x14ac:dyDescent="0.3">
      <c r="A254" s="13">
        <v>45614</v>
      </c>
      <c r="B254" s="4" t="str">
        <f>TEXT(Data!B254,"MMM-YYYY")</f>
        <v>Jul-2024</v>
      </c>
      <c r="C254" s="4" t="str">
        <f t="shared" si="6"/>
        <v>Q4-2024</v>
      </c>
      <c r="D254" t="s">
        <v>52</v>
      </c>
      <c r="E254" t="s">
        <v>53</v>
      </c>
      <c r="F254" t="s">
        <v>179</v>
      </c>
      <c r="G254" t="s">
        <v>64</v>
      </c>
      <c r="H254" s="8" t="str">
        <f t="shared" si="7"/>
        <v>High</v>
      </c>
      <c r="I254" s="4">
        <v>815.19</v>
      </c>
    </row>
    <row r="255" spans="1:9" x14ac:dyDescent="0.3">
      <c r="A255" s="13">
        <v>45615</v>
      </c>
      <c r="B255" s="4" t="str">
        <f>TEXT(Data!B255,"MMM-YYYY")</f>
        <v>Oct-2024</v>
      </c>
      <c r="C255" s="4" t="str">
        <f t="shared" si="6"/>
        <v>Q4-2024</v>
      </c>
      <c r="D255" t="s">
        <v>52</v>
      </c>
      <c r="E255" t="s">
        <v>122</v>
      </c>
      <c r="F255" t="s">
        <v>387</v>
      </c>
      <c r="G255" t="s">
        <v>30</v>
      </c>
      <c r="H255" s="8" t="str">
        <f t="shared" si="7"/>
        <v>High</v>
      </c>
      <c r="I255" s="4">
        <v>1814.06</v>
      </c>
    </row>
    <row r="256" spans="1:9" x14ac:dyDescent="0.3">
      <c r="A256" s="13">
        <v>45616</v>
      </c>
      <c r="B256" s="4" t="str">
        <f>TEXT(Data!B256,"MMM-YYYY")</f>
        <v>Apr-2024</v>
      </c>
      <c r="C256" s="4" t="str">
        <f t="shared" si="6"/>
        <v>Q4-2024</v>
      </c>
      <c r="D256" t="s">
        <v>45</v>
      </c>
      <c r="E256" t="s">
        <v>46</v>
      </c>
      <c r="F256" t="s">
        <v>231</v>
      </c>
      <c r="G256" t="s">
        <v>64</v>
      </c>
      <c r="H256" s="8" t="str">
        <f t="shared" si="7"/>
        <v>High</v>
      </c>
      <c r="I256" s="4">
        <v>758.92</v>
      </c>
    </row>
    <row r="257" spans="1:9" x14ac:dyDescent="0.3">
      <c r="A257" s="13">
        <v>45617</v>
      </c>
      <c r="B257" s="4" t="str">
        <f>TEXT(Data!B257,"MMM-YYYY")</f>
        <v>Oct-2023</v>
      </c>
      <c r="C257" s="4" t="str">
        <f t="shared" si="6"/>
        <v>Q4-2024</v>
      </c>
      <c r="D257" t="s">
        <v>78</v>
      </c>
      <c r="E257" t="s">
        <v>79</v>
      </c>
      <c r="F257" t="s">
        <v>335</v>
      </c>
      <c r="G257" t="s">
        <v>57</v>
      </c>
      <c r="H257" s="8" t="str">
        <f t="shared" si="7"/>
        <v>High</v>
      </c>
      <c r="I257" s="4">
        <v>1667.44</v>
      </c>
    </row>
    <row r="258" spans="1:9" x14ac:dyDescent="0.3">
      <c r="A258" s="13">
        <v>45618</v>
      </c>
      <c r="B258" s="4" t="str">
        <f>TEXT(Data!B258,"MMM-YYYY")</f>
        <v>Apr-2023</v>
      </c>
      <c r="C258" s="4" t="str">
        <f t="shared" ref="C258:C321" si="8">"Q"&amp;ROUNDUP(MONTH(A258)/3,0)&amp;"-"&amp;YEAR(A258)</f>
        <v>Q4-2024</v>
      </c>
      <c r="D258" t="s">
        <v>45</v>
      </c>
      <c r="E258" t="s">
        <v>60</v>
      </c>
      <c r="F258" t="s">
        <v>61</v>
      </c>
      <c r="G258" t="s">
        <v>22</v>
      </c>
      <c r="H258" s="8" t="str">
        <f t="shared" ref="H258:H321" si="9">IF(I258&lt;50, "Low", IF(I258&lt;200, "Medium", "High"))</f>
        <v>High</v>
      </c>
      <c r="I258" s="4">
        <v>2562.5500000000002</v>
      </c>
    </row>
    <row r="259" spans="1:9" x14ac:dyDescent="0.3">
      <c r="A259" s="13">
        <v>45619</v>
      </c>
      <c r="B259" s="4" t="str">
        <f>TEXT(Data!B259,"MMM-YYYY")</f>
        <v>Jun-2025</v>
      </c>
      <c r="C259" s="4" t="str">
        <f t="shared" si="8"/>
        <v>Q4-2024</v>
      </c>
      <c r="D259" t="s">
        <v>78</v>
      </c>
      <c r="E259" t="s">
        <v>108</v>
      </c>
      <c r="F259" t="s">
        <v>152</v>
      </c>
      <c r="G259" t="s">
        <v>35</v>
      </c>
      <c r="H259" s="8" t="str">
        <f t="shared" si="9"/>
        <v>High</v>
      </c>
      <c r="I259" s="4">
        <v>745.38</v>
      </c>
    </row>
    <row r="260" spans="1:9" x14ac:dyDescent="0.3">
      <c r="A260" s="13">
        <v>45620</v>
      </c>
      <c r="B260" s="4" t="str">
        <f>TEXT(Data!B260,"MMM-YYYY")</f>
        <v>Oct-2023</v>
      </c>
      <c r="C260" s="4" t="str">
        <f t="shared" si="8"/>
        <v>Q4-2024</v>
      </c>
      <c r="D260" t="s">
        <v>78</v>
      </c>
      <c r="E260" t="s">
        <v>79</v>
      </c>
      <c r="F260" t="s">
        <v>159</v>
      </c>
      <c r="G260" t="s">
        <v>64</v>
      </c>
      <c r="H260" s="8" t="str">
        <f t="shared" si="9"/>
        <v>High</v>
      </c>
      <c r="I260" s="4">
        <v>687.95</v>
      </c>
    </row>
    <row r="261" spans="1:9" x14ac:dyDescent="0.3">
      <c r="A261" s="13">
        <v>45621</v>
      </c>
      <c r="B261" s="4" t="str">
        <f>TEXT(Data!B261,"MMM-YYYY")</f>
        <v>May-2023</v>
      </c>
      <c r="C261" s="4" t="str">
        <f t="shared" si="8"/>
        <v>Q4-2024</v>
      </c>
      <c r="D261" t="s">
        <v>52</v>
      </c>
      <c r="E261" t="s">
        <v>73</v>
      </c>
      <c r="F261" t="s">
        <v>87</v>
      </c>
      <c r="G261" t="s">
        <v>81</v>
      </c>
      <c r="H261" s="8" t="str">
        <f t="shared" si="9"/>
        <v>High</v>
      </c>
      <c r="I261" s="4">
        <v>550.07000000000005</v>
      </c>
    </row>
    <row r="262" spans="1:9" x14ac:dyDescent="0.3">
      <c r="A262" s="13">
        <v>45622</v>
      </c>
      <c r="B262" s="4" t="str">
        <f>TEXT(Data!B262,"MMM-YYYY")</f>
        <v>May-2023</v>
      </c>
      <c r="C262" s="4" t="str">
        <f t="shared" si="8"/>
        <v>Q4-2024</v>
      </c>
      <c r="D262" t="s">
        <v>16</v>
      </c>
      <c r="E262" t="s">
        <v>25</v>
      </c>
      <c r="F262" t="s">
        <v>26</v>
      </c>
      <c r="G262" t="s">
        <v>22</v>
      </c>
      <c r="H262" s="8" t="str">
        <f t="shared" si="9"/>
        <v>High</v>
      </c>
      <c r="I262" s="4">
        <v>2068.21</v>
      </c>
    </row>
    <row r="263" spans="1:9" x14ac:dyDescent="0.3">
      <c r="A263" s="13">
        <v>45623</v>
      </c>
      <c r="B263" s="4" t="str">
        <f>TEXT(Data!B263,"MMM-YYYY")</f>
        <v>Aug-2023</v>
      </c>
      <c r="C263" s="4" t="str">
        <f t="shared" si="8"/>
        <v>Q4-2024</v>
      </c>
      <c r="D263" t="s">
        <v>78</v>
      </c>
      <c r="E263" t="s">
        <v>79</v>
      </c>
      <c r="F263" t="s">
        <v>80</v>
      </c>
      <c r="G263" t="s">
        <v>81</v>
      </c>
      <c r="H263" s="8" t="str">
        <f t="shared" si="9"/>
        <v>High</v>
      </c>
      <c r="I263" s="4">
        <v>2576.65</v>
      </c>
    </row>
    <row r="264" spans="1:9" x14ac:dyDescent="0.3">
      <c r="A264" s="13">
        <v>45624</v>
      </c>
      <c r="B264" s="4" t="str">
        <f>TEXT(Data!B264,"MMM-YYYY")</f>
        <v>Jun-2025</v>
      </c>
      <c r="C264" s="4" t="str">
        <f t="shared" si="8"/>
        <v>Q4-2024</v>
      </c>
      <c r="D264" t="s">
        <v>52</v>
      </c>
      <c r="E264" t="s">
        <v>73</v>
      </c>
      <c r="F264" t="s">
        <v>87</v>
      </c>
      <c r="G264" t="s">
        <v>35</v>
      </c>
      <c r="H264" s="8" t="str">
        <f t="shared" si="9"/>
        <v>High</v>
      </c>
      <c r="I264" s="4">
        <v>1044.1400000000001</v>
      </c>
    </row>
    <row r="265" spans="1:9" x14ac:dyDescent="0.3">
      <c r="A265" s="13">
        <v>45625</v>
      </c>
      <c r="B265" s="4" t="str">
        <f>TEXT(Data!B265,"MMM-YYYY")</f>
        <v>Apr-2025</v>
      </c>
      <c r="C265" s="4" t="str">
        <f t="shared" si="8"/>
        <v>Q4-2024</v>
      </c>
      <c r="D265" t="s">
        <v>16</v>
      </c>
      <c r="E265" t="s">
        <v>148</v>
      </c>
      <c r="F265" t="s">
        <v>172</v>
      </c>
      <c r="G265" t="s">
        <v>42</v>
      </c>
      <c r="H265" s="8" t="str">
        <f t="shared" si="9"/>
        <v>Medium</v>
      </c>
      <c r="I265" s="4">
        <v>99.04</v>
      </c>
    </row>
    <row r="266" spans="1:9" x14ac:dyDescent="0.3">
      <c r="A266" s="13">
        <v>45626</v>
      </c>
      <c r="B266" s="4" t="str">
        <f>TEXT(Data!B266,"MMM-YYYY")</f>
        <v>Sept-2025</v>
      </c>
      <c r="C266" s="4" t="str">
        <f t="shared" si="8"/>
        <v>Q4-2024</v>
      </c>
      <c r="D266" t="s">
        <v>16</v>
      </c>
      <c r="E266" t="s">
        <v>25</v>
      </c>
      <c r="F266" t="s">
        <v>26</v>
      </c>
      <c r="G266" t="s">
        <v>57</v>
      </c>
      <c r="H266" s="8" t="str">
        <f t="shared" si="9"/>
        <v>High</v>
      </c>
      <c r="I266" s="4">
        <v>1996.81</v>
      </c>
    </row>
    <row r="267" spans="1:9" x14ac:dyDescent="0.3">
      <c r="A267" s="13">
        <v>45627</v>
      </c>
      <c r="B267" s="4" t="str">
        <f>TEXT(Data!B267,"MMM-YYYY")</f>
        <v>Oct-2024</v>
      </c>
      <c r="C267" s="4" t="str">
        <f t="shared" si="8"/>
        <v>Q4-2024</v>
      </c>
      <c r="D267" t="s">
        <v>52</v>
      </c>
      <c r="E267" t="s">
        <v>53</v>
      </c>
      <c r="F267" t="s">
        <v>54</v>
      </c>
      <c r="G267" t="s">
        <v>30</v>
      </c>
      <c r="H267" s="8" t="str">
        <f t="shared" si="9"/>
        <v>High</v>
      </c>
      <c r="I267" s="4">
        <v>921.68</v>
      </c>
    </row>
    <row r="268" spans="1:9" x14ac:dyDescent="0.3">
      <c r="A268" s="13">
        <v>45628</v>
      </c>
      <c r="B268" s="4" t="str">
        <f>TEXT(Data!B268,"MMM-YYYY")</f>
        <v>May-2023</v>
      </c>
      <c r="C268" s="4" t="str">
        <f t="shared" si="8"/>
        <v>Q4-2024</v>
      </c>
      <c r="D268" t="s">
        <v>78</v>
      </c>
      <c r="E268" t="s">
        <v>108</v>
      </c>
      <c r="F268" t="s">
        <v>152</v>
      </c>
      <c r="G268" t="s">
        <v>64</v>
      </c>
      <c r="H268" s="8" t="str">
        <f t="shared" si="9"/>
        <v>High</v>
      </c>
      <c r="I268" s="4">
        <v>2503.79</v>
      </c>
    </row>
    <row r="269" spans="1:9" x14ac:dyDescent="0.3">
      <c r="A269" s="13">
        <v>45629</v>
      </c>
      <c r="B269" s="4" t="str">
        <f>TEXT(Data!B269,"MMM-YYYY")</f>
        <v>Dec-2023</v>
      </c>
      <c r="C269" s="4" t="str">
        <f t="shared" si="8"/>
        <v>Q4-2024</v>
      </c>
      <c r="D269" t="s">
        <v>16</v>
      </c>
      <c r="E269" t="s">
        <v>25</v>
      </c>
      <c r="F269" t="s">
        <v>26</v>
      </c>
      <c r="G269" t="s">
        <v>22</v>
      </c>
      <c r="H269" s="8" t="str">
        <f t="shared" si="9"/>
        <v>High</v>
      </c>
      <c r="I269" s="4">
        <v>2462.77</v>
      </c>
    </row>
    <row r="270" spans="1:9" x14ac:dyDescent="0.3">
      <c r="A270" s="13">
        <v>45630</v>
      </c>
      <c r="B270" s="4" t="str">
        <f>TEXT(Data!B270,"MMM-YYYY")</f>
        <v>Jan-2024</v>
      </c>
      <c r="C270" s="4" t="str">
        <f t="shared" si="8"/>
        <v>Q4-2024</v>
      </c>
      <c r="D270" t="s">
        <v>52</v>
      </c>
      <c r="E270" t="s">
        <v>73</v>
      </c>
      <c r="F270" t="s">
        <v>74</v>
      </c>
      <c r="G270" t="s">
        <v>42</v>
      </c>
      <c r="H270" s="8" t="str">
        <f t="shared" si="9"/>
        <v>High</v>
      </c>
      <c r="I270" s="4">
        <v>496.2</v>
      </c>
    </row>
    <row r="271" spans="1:9" x14ac:dyDescent="0.3">
      <c r="A271" s="13">
        <v>45631</v>
      </c>
      <c r="B271" s="4" t="str">
        <f>TEXT(Data!B271,"MMM-YYYY")</f>
        <v>Aug-2023</v>
      </c>
      <c r="C271" s="4" t="str">
        <f t="shared" si="8"/>
        <v>Q4-2024</v>
      </c>
      <c r="D271" t="s">
        <v>78</v>
      </c>
      <c r="E271" t="s">
        <v>90</v>
      </c>
      <c r="F271" t="s">
        <v>91</v>
      </c>
      <c r="G271" t="s">
        <v>30</v>
      </c>
      <c r="H271" s="8" t="str">
        <f t="shared" si="9"/>
        <v>High</v>
      </c>
      <c r="I271" s="4">
        <v>907.59</v>
      </c>
    </row>
    <row r="272" spans="1:9" x14ac:dyDescent="0.3">
      <c r="A272" s="13">
        <v>45632</v>
      </c>
      <c r="B272" s="4" t="str">
        <f>TEXT(Data!B272,"MMM-YYYY")</f>
        <v>Feb-2025</v>
      </c>
      <c r="C272" s="4" t="str">
        <f t="shared" si="8"/>
        <v>Q4-2024</v>
      </c>
      <c r="D272" t="s">
        <v>52</v>
      </c>
      <c r="E272" t="s">
        <v>73</v>
      </c>
      <c r="F272" t="s">
        <v>87</v>
      </c>
      <c r="G272" t="s">
        <v>81</v>
      </c>
      <c r="H272" s="8" t="str">
        <f t="shared" si="9"/>
        <v>High</v>
      </c>
      <c r="I272" s="4">
        <v>334.19</v>
      </c>
    </row>
    <row r="273" spans="1:9" x14ac:dyDescent="0.3">
      <c r="A273" s="13">
        <v>45633</v>
      </c>
      <c r="B273" s="4" t="str">
        <f>TEXT(Data!B273,"MMM-YYYY")</f>
        <v>Mar-2024</v>
      </c>
      <c r="C273" s="4" t="str">
        <f t="shared" si="8"/>
        <v>Q4-2024</v>
      </c>
      <c r="D273" t="s">
        <v>45</v>
      </c>
      <c r="E273" t="s">
        <v>60</v>
      </c>
      <c r="F273" t="s">
        <v>141</v>
      </c>
      <c r="G273" t="s">
        <v>64</v>
      </c>
      <c r="H273" s="8" t="str">
        <f t="shared" si="9"/>
        <v>High</v>
      </c>
      <c r="I273" s="4">
        <v>538.79</v>
      </c>
    </row>
    <row r="274" spans="1:9" x14ac:dyDescent="0.3">
      <c r="A274" s="13">
        <v>45634</v>
      </c>
      <c r="B274" s="4" t="str">
        <f>TEXT(Data!B274,"MMM-YYYY")</f>
        <v>Jul-2023</v>
      </c>
      <c r="C274" s="4" t="str">
        <f t="shared" si="8"/>
        <v>Q4-2024</v>
      </c>
      <c r="D274" t="s">
        <v>78</v>
      </c>
      <c r="E274" t="s">
        <v>79</v>
      </c>
      <c r="F274" t="s">
        <v>335</v>
      </c>
      <c r="G274" t="s">
        <v>64</v>
      </c>
      <c r="H274" s="8" t="str">
        <f t="shared" si="9"/>
        <v>High</v>
      </c>
      <c r="I274" s="4">
        <v>1436.54</v>
      </c>
    </row>
    <row r="275" spans="1:9" x14ac:dyDescent="0.3">
      <c r="A275" s="13">
        <v>45635</v>
      </c>
      <c r="B275" s="4" t="str">
        <f>TEXT(Data!B275,"MMM-YYYY")</f>
        <v>Mar-2024</v>
      </c>
      <c r="C275" s="4" t="str">
        <f t="shared" si="8"/>
        <v>Q4-2024</v>
      </c>
      <c r="D275" t="s">
        <v>52</v>
      </c>
      <c r="E275" t="s">
        <v>53</v>
      </c>
      <c r="F275" t="s">
        <v>144</v>
      </c>
      <c r="G275" t="s">
        <v>64</v>
      </c>
      <c r="H275" s="8" t="str">
        <f t="shared" si="9"/>
        <v>High</v>
      </c>
      <c r="I275" s="4">
        <v>1766.55</v>
      </c>
    </row>
    <row r="276" spans="1:9" x14ac:dyDescent="0.3">
      <c r="A276" s="13">
        <v>45636</v>
      </c>
      <c r="B276" s="4" t="str">
        <f>TEXT(Data!B276,"MMM-YYYY")</f>
        <v>Jan-2024</v>
      </c>
      <c r="C276" s="4" t="str">
        <f t="shared" si="8"/>
        <v>Q4-2024</v>
      </c>
      <c r="D276" t="s">
        <v>78</v>
      </c>
      <c r="E276" t="s">
        <v>90</v>
      </c>
      <c r="F276" t="s">
        <v>217</v>
      </c>
      <c r="G276" t="s">
        <v>30</v>
      </c>
      <c r="H276" s="8" t="str">
        <f t="shared" si="9"/>
        <v>High</v>
      </c>
      <c r="I276" s="4">
        <v>628.54</v>
      </c>
    </row>
    <row r="277" spans="1:9" x14ac:dyDescent="0.3">
      <c r="A277" s="13">
        <v>45637</v>
      </c>
      <c r="B277" s="4" t="str">
        <f>TEXT(Data!B277,"MMM-YYYY")</f>
        <v>Mar-2024</v>
      </c>
      <c r="C277" s="4" t="str">
        <f t="shared" si="8"/>
        <v>Q4-2024</v>
      </c>
      <c r="D277" t="s">
        <v>52</v>
      </c>
      <c r="E277" t="s">
        <v>73</v>
      </c>
      <c r="F277" t="s">
        <v>74</v>
      </c>
      <c r="G277" t="s">
        <v>57</v>
      </c>
      <c r="H277" s="8" t="str">
        <f t="shared" si="9"/>
        <v>High</v>
      </c>
      <c r="I277" s="4">
        <v>1650.75</v>
      </c>
    </row>
    <row r="278" spans="1:9" x14ac:dyDescent="0.3">
      <c r="A278" s="13">
        <v>45638</v>
      </c>
      <c r="B278" s="4" t="str">
        <f>TEXT(Data!B278,"MMM-YYYY")</f>
        <v>Jun-2025</v>
      </c>
      <c r="C278" s="4" t="str">
        <f t="shared" si="8"/>
        <v>Q4-2024</v>
      </c>
      <c r="D278" t="s">
        <v>52</v>
      </c>
      <c r="E278" t="s">
        <v>122</v>
      </c>
      <c r="F278" t="s">
        <v>167</v>
      </c>
      <c r="G278" t="s">
        <v>35</v>
      </c>
      <c r="H278" s="8" t="str">
        <f t="shared" si="9"/>
        <v>High</v>
      </c>
      <c r="I278" s="4">
        <v>2247.14</v>
      </c>
    </row>
    <row r="279" spans="1:9" x14ac:dyDescent="0.3">
      <c r="A279" s="13">
        <v>45639</v>
      </c>
      <c r="B279" s="4" t="str">
        <f>TEXT(Data!B279,"MMM-YYYY")</f>
        <v>Jun-2024</v>
      </c>
      <c r="C279" s="4" t="str">
        <f t="shared" si="8"/>
        <v>Q4-2024</v>
      </c>
      <c r="D279" t="s">
        <v>78</v>
      </c>
      <c r="E279" t="s">
        <v>79</v>
      </c>
      <c r="F279" t="s">
        <v>80</v>
      </c>
      <c r="G279" t="s">
        <v>81</v>
      </c>
      <c r="H279" s="8" t="str">
        <f t="shared" si="9"/>
        <v>High</v>
      </c>
      <c r="I279" s="4">
        <v>893.19</v>
      </c>
    </row>
    <row r="280" spans="1:9" x14ac:dyDescent="0.3">
      <c r="A280" s="13">
        <v>45640</v>
      </c>
      <c r="B280" s="4" t="str">
        <f>TEXT(Data!B280,"MMM-YYYY")</f>
        <v>Oct-2023</v>
      </c>
      <c r="C280" s="4" t="str">
        <f t="shared" si="8"/>
        <v>Q4-2024</v>
      </c>
      <c r="D280" t="s">
        <v>16</v>
      </c>
      <c r="E280" t="s">
        <v>148</v>
      </c>
      <c r="F280" t="s">
        <v>149</v>
      </c>
      <c r="G280" t="s">
        <v>42</v>
      </c>
      <c r="H280" s="8" t="str">
        <f t="shared" si="9"/>
        <v>High</v>
      </c>
      <c r="I280" s="4">
        <v>2328.9</v>
      </c>
    </row>
    <row r="281" spans="1:9" x14ac:dyDescent="0.3">
      <c r="A281" s="13">
        <v>45641</v>
      </c>
      <c r="B281" s="4" t="str">
        <f>TEXT(Data!B281,"MMM-YYYY")</f>
        <v>Jun-2023</v>
      </c>
      <c r="C281" s="4" t="str">
        <f t="shared" si="8"/>
        <v>Q4-2024</v>
      </c>
      <c r="D281" t="s">
        <v>45</v>
      </c>
      <c r="E281" t="s">
        <v>60</v>
      </c>
      <c r="F281" t="s">
        <v>61</v>
      </c>
      <c r="G281" t="s">
        <v>57</v>
      </c>
      <c r="H281" s="8" t="str">
        <f t="shared" si="9"/>
        <v>High</v>
      </c>
      <c r="I281" s="4">
        <v>2066.75</v>
      </c>
    </row>
    <row r="282" spans="1:9" x14ac:dyDescent="0.3">
      <c r="A282" s="13">
        <v>45642</v>
      </c>
      <c r="B282" s="4" t="str">
        <f>TEXT(Data!B282,"MMM-YYYY")</f>
        <v>Mar-2025</v>
      </c>
      <c r="C282" s="4" t="str">
        <f t="shared" si="8"/>
        <v>Q4-2024</v>
      </c>
      <c r="D282" t="s">
        <v>52</v>
      </c>
      <c r="E282" t="s">
        <v>122</v>
      </c>
      <c r="F282" t="s">
        <v>167</v>
      </c>
      <c r="G282" t="s">
        <v>64</v>
      </c>
      <c r="H282" s="8" t="str">
        <f t="shared" si="9"/>
        <v>High</v>
      </c>
      <c r="I282" s="4">
        <v>2182.31</v>
      </c>
    </row>
    <row r="283" spans="1:9" x14ac:dyDescent="0.3">
      <c r="A283" s="13">
        <v>45643</v>
      </c>
      <c r="B283" s="4" t="str">
        <f>TEXT(Data!B283,"MMM-YYYY")</f>
        <v>Aug-2023</v>
      </c>
      <c r="C283" s="4" t="str">
        <f t="shared" si="8"/>
        <v>Q4-2024</v>
      </c>
      <c r="D283" t="s">
        <v>45</v>
      </c>
      <c r="E283" t="s">
        <v>46</v>
      </c>
      <c r="F283" t="s">
        <v>214</v>
      </c>
      <c r="G283" t="s">
        <v>35</v>
      </c>
      <c r="H283" s="8" t="str">
        <f t="shared" si="9"/>
        <v>High</v>
      </c>
      <c r="I283" s="4">
        <v>2726.62</v>
      </c>
    </row>
    <row r="284" spans="1:9" x14ac:dyDescent="0.3">
      <c r="A284" s="13">
        <v>45644</v>
      </c>
      <c r="B284" s="4" t="str">
        <f>TEXT(Data!B284,"MMM-YYYY")</f>
        <v>May-2025</v>
      </c>
      <c r="C284" s="4" t="str">
        <f t="shared" si="8"/>
        <v>Q4-2024</v>
      </c>
      <c r="D284" t="s">
        <v>16</v>
      </c>
      <c r="E284" t="s">
        <v>17</v>
      </c>
      <c r="F284" t="s">
        <v>33</v>
      </c>
      <c r="G284" t="s">
        <v>42</v>
      </c>
      <c r="H284" s="8" t="str">
        <f t="shared" si="9"/>
        <v>Medium</v>
      </c>
      <c r="I284" s="4">
        <v>111.29</v>
      </c>
    </row>
    <row r="285" spans="1:9" x14ac:dyDescent="0.3">
      <c r="A285" s="13">
        <v>45645</v>
      </c>
      <c r="B285" s="4" t="str">
        <f>TEXT(Data!B285,"MMM-YYYY")</f>
        <v>Jan-2024</v>
      </c>
      <c r="C285" s="4" t="str">
        <f t="shared" si="8"/>
        <v>Q4-2024</v>
      </c>
      <c r="D285" t="s">
        <v>45</v>
      </c>
      <c r="E285" t="s">
        <v>60</v>
      </c>
      <c r="F285" t="s">
        <v>61</v>
      </c>
      <c r="G285" t="s">
        <v>57</v>
      </c>
      <c r="H285" s="8" t="str">
        <f t="shared" si="9"/>
        <v>High</v>
      </c>
      <c r="I285" s="4">
        <v>1100.0899999999999</v>
      </c>
    </row>
    <row r="286" spans="1:9" x14ac:dyDescent="0.3">
      <c r="A286" s="13">
        <v>45646</v>
      </c>
      <c r="B286" s="4" t="str">
        <f>TEXT(Data!B286,"MMM-YYYY")</f>
        <v>Jun-2023</v>
      </c>
      <c r="C286" s="4" t="str">
        <f t="shared" si="8"/>
        <v>Q4-2024</v>
      </c>
      <c r="D286" t="s">
        <v>78</v>
      </c>
      <c r="E286" t="s">
        <v>79</v>
      </c>
      <c r="F286" t="s">
        <v>335</v>
      </c>
      <c r="G286" t="s">
        <v>57</v>
      </c>
      <c r="H286" s="8" t="str">
        <f t="shared" si="9"/>
        <v>High</v>
      </c>
      <c r="I286" s="4">
        <v>1529.14</v>
      </c>
    </row>
    <row r="287" spans="1:9" x14ac:dyDescent="0.3">
      <c r="A287" s="13">
        <v>45647</v>
      </c>
      <c r="B287" s="4" t="str">
        <f>TEXT(Data!B287,"MMM-YYYY")</f>
        <v>Apr-2025</v>
      </c>
      <c r="C287" s="4" t="str">
        <f t="shared" si="8"/>
        <v>Q4-2024</v>
      </c>
      <c r="D287" t="s">
        <v>45</v>
      </c>
      <c r="E287" t="s">
        <v>46</v>
      </c>
      <c r="F287" t="s">
        <v>231</v>
      </c>
      <c r="G287" t="s">
        <v>42</v>
      </c>
      <c r="H287" s="8" t="str">
        <f t="shared" si="9"/>
        <v>High</v>
      </c>
      <c r="I287" s="4">
        <v>728.69</v>
      </c>
    </row>
    <row r="288" spans="1:9" x14ac:dyDescent="0.3">
      <c r="A288" s="13">
        <v>45648</v>
      </c>
      <c r="B288" s="4" t="str">
        <f>TEXT(Data!B288,"MMM-YYYY")</f>
        <v>Sept-2024</v>
      </c>
      <c r="C288" s="4" t="str">
        <f t="shared" si="8"/>
        <v>Q4-2024</v>
      </c>
      <c r="D288" t="s">
        <v>78</v>
      </c>
      <c r="E288" t="s">
        <v>79</v>
      </c>
      <c r="F288" t="s">
        <v>159</v>
      </c>
      <c r="G288" t="s">
        <v>42</v>
      </c>
      <c r="H288" s="8" t="str">
        <f t="shared" si="9"/>
        <v>Low</v>
      </c>
      <c r="I288" s="4">
        <v>6.28</v>
      </c>
    </row>
    <row r="289" spans="1:9" x14ac:dyDescent="0.3">
      <c r="A289" s="13">
        <v>45649</v>
      </c>
      <c r="B289" s="4" t="str">
        <f>TEXT(Data!B289,"MMM-YYYY")</f>
        <v>Jan-2024</v>
      </c>
      <c r="C289" s="4" t="str">
        <f t="shared" si="8"/>
        <v>Q4-2024</v>
      </c>
      <c r="D289" t="s">
        <v>45</v>
      </c>
      <c r="E289" t="s">
        <v>60</v>
      </c>
      <c r="F289" t="s">
        <v>220</v>
      </c>
      <c r="G289" t="s">
        <v>35</v>
      </c>
      <c r="H289" s="8" t="str">
        <f t="shared" si="9"/>
        <v>High</v>
      </c>
      <c r="I289" s="4">
        <v>2569.77</v>
      </c>
    </row>
    <row r="290" spans="1:9" x14ac:dyDescent="0.3">
      <c r="A290" s="13">
        <v>45650</v>
      </c>
      <c r="B290" s="4" t="str">
        <f>TEXT(Data!B290,"MMM-YYYY")</f>
        <v>Jul-2023</v>
      </c>
      <c r="C290" s="4" t="str">
        <f t="shared" si="8"/>
        <v>Q4-2024</v>
      </c>
      <c r="D290" t="s">
        <v>16</v>
      </c>
      <c r="E290" t="s">
        <v>148</v>
      </c>
      <c r="F290" t="s">
        <v>258</v>
      </c>
      <c r="G290" t="s">
        <v>81</v>
      </c>
      <c r="H290" s="8" t="str">
        <f t="shared" si="9"/>
        <v>High</v>
      </c>
      <c r="I290" s="4">
        <v>1592.02</v>
      </c>
    </row>
    <row r="291" spans="1:9" x14ac:dyDescent="0.3">
      <c r="A291" s="13">
        <v>45651</v>
      </c>
      <c r="B291" s="4" t="str">
        <f>TEXT(Data!B291,"MMM-YYYY")</f>
        <v>Aug-2025</v>
      </c>
      <c r="C291" s="4" t="str">
        <f t="shared" si="8"/>
        <v>Q4-2024</v>
      </c>
      <c r="D291" t="s">
        <v>16</v>
      </c>
      <c r="E291" t="s">
        <v>148</v>
      </c>
      <c r="F291" t="s">
        <v>149</v>
      </c>
      <c r="G291" t="s">
        <v>22</v>
      </c>
      <c r="H291" s="8" t="str">
        <f t="shared" si="9"/>
        <v>High</v>
      </c>
      <c r="I291" s="4">
        <v>995.47</v>
      </c>
    </row>
    <row r="292" spans="1:9" x14ac:dyDescent="0.3">
      <c r="A292" s="13">
        <v>45652</v>
      </c>
      <c r="B292" s="4" t="str">
        <f>TEXT(Data!B292,"MMM-YYYY")</f>
        <v>Mar-2025</v>
      </c>
      <c r="C292" s="4" t="str">
        <f t="shared" si="8"/>
        <v>Q4-2024</v>
      </c>
      <c r="D292" t="s">
        <v>16</v>
      </c>
      <c r="E292" t="s">
        <v>25</v>
      </c>
      <c r="F292" t="s">
        <v>26</v>
      </c>
      <c r="G292" t="s">
        <v>81</v>
      </c>
      <c r="H292" s="8" t="str">
        <f t="shared" si="9"/>
        <v>High</v>
      </c>
      <c r="I292" s="4">
        <v>1240.31</v>
      </c>
    </row>
    <row r="293" spans="1:9" x14ac:dyDescent="0.3">
      <c r="A293" s="13">
        <v>45653</v>
      </c>
      <c r="B293" s="4" t="str">
        <f>TEXT(Data!B293,"MMM-YYYY")</f>
        <v>Oct-2023</v>
      </c>
      <c r="C293" s="4" t="str">
        <f t="shared" si="8"/>
        <v>Q4-2024</v>
      </c>
      <c r="D293" t="s">
        <v>52</v>
      </c>
      <c r="E293" t="s">
        <v>73</v>
      </c>
      <c r="F293" t="s">
        <v>74</v>
      </c>
      <c r="G293" t="s">
        <v>30</v>
      </c>
      <c r="H293" s="8" t="str">
        <f t="shared" si="9"/>
        <v>Medium</v>
      </c>
      <c r="I293" s="4">
        <v>118.37</v>
      </c>
    </row>
    <row r="294" spans="1:9" x14ac:dyDescent="0.3">
      <c r="A294" s="13">
        <v>45654</v>
      </c>
      <c r="B294" s="4" t="str">
        <f>TEXT(Data!B294,"MMM-YYYY")</f>
        <v>Aug-2023</v>
      </c>
      <c r="C294" s="4" t="str">
        <f t="shared" si="8"/>
        <v>Q4-2024</v>
      </c>
      <c r="D294" t="s">
        <v>78</v>
      </c>
      <c r="E294" t="s">
        <v>108</v>
      </c>
      <c r="F294" t="s">
        <v>152</v>
      </c>
      <c r="G294" t="s">
        <v>81</v>
      </c>
      <c r="H294" s="8" t="str">
        <f t="shared" si="9"/>
        <v>High</v>
      </c>
      <c r="I294" s="4">
        <v>2105.5300000000002</v>
      </c>
    </row>
    <row r="295" spans="1:9" x14ac:dyDescent="0.3">
      <c r="A295" s="13">
        <v>45655</v>
      </c>
      <c r="B295" s="4" t="str">
        <f>TEXT(Data!B295,"MMM-YYYY")</f>
        <v>Apr-2025</v>
      </c>
      <c r="C295" s="4" t="str">
        <f t="shared" si="8"/>
        <v>Q4-2024</v>
      </c>
      <c r="D295" t="s">
        <v>78</v>
      </c>
      <c r="E295" t="s">
        <v>108</v>
      </c>
      <c r="F295" t="s">
        <v>152</v>
      </c>
      <c r="G295" t="s">
        <v>81</v>
      </c>
      <c r="H295" s="8" t="str">
        <f t="shared" si="9"/>
        <v>High</v>
      </c>
      <c r="I295" s="4">
        <v>523</v>
      </c>
    </row>
    <row r="296" spans="1:9" x14ac:dyDescent="0.3">
      <c r="A296" s="13">
        <v>45656</v>
      </c>
      <c r="B296" s="4" t="str">
        <f>TEXT(Data!B296,"MMM-YYYY")</f>
        <v>Jun-2025</v>
      </c>
      <c r="C296" s="4" t="str">
        <f t="shared" si="8"/>
        <v>Q4-2024</v>
      </c>
      <c r="D296" t="s">
        <v>45</v>
      </c>
      <c r="E296" t="s">
        <v>46</v>
      </c>
      <c r="F296" t="s">
        <v>47</v>
      </c>
      <c r="G296" t="s">
        <v>22</v>
      </c>
      <c r="H296" s="8" t="str">
        <f t="shared" si="9"/>
        <v>High</v>
      </c>
      <c r="I296" s="4">
        <v>1075.3</v>
      </c>
    </row>
    <row r="297" spans="1:9" x14ac:dyDescent="0.3">
      <c r="A297" s="13">
        <v>45657</v>
      </c>
      <c r="B297" s="4" t="str">
        <f>TEXT(Data!B297,"MMM-YYYY")</f>
        <v>Mar-2024</v>
      </c>
      <c r="C297" s="4" t="str">
        <f t="shared" si="8"/>
        <v>Q4-2024</v>
      </c>
      <c r="D297" t="s">
        <v>78</v>
      </c>
      <c r="E297" t="s">
        <v>79</v>
      </c>
      <c r="F297" t="s">
        <v>159</v>
      </c>
      <c r="G297" t="s">
        <v>57</v>
      </c>
      <c r="H297" s="8" t="str">
        <f t="shared" si="9"/>
        <v>High</v>
      </c>
      <c r="I297" s="4">
        <v>3294.57</v>
      </c>
    </row>
    <row r="298" spans="1:9" x14ac:dyDescent="0.3">
      <c r="A298" s="13">
        <v>45658</v>
      </c>
      <c r="B298" s="4" t="str">
        <f>TEXT(Data!B298,"MMM-YYYY")</f>
        <v>Jun-2023</v>
      </c>
      <c r="C298" s="4" t="str">
        <f t="shared" si="8"/>
        <v>Q1-2025</v>
      </c>
      <c r="D298" t="s">
        <v>52</v>
      </c>
      <c r="E298" t="s">
        <v>53</v>
      </c>
      <c r="F298" t="s">
        <v>179</v>
      </c>
      <c r="G298" t="s">
        <v>30</v>
      </c>
      <c r="H298" s="8" t="str">
        <f t="shared" si="9"/>
        <v>High</v>
      </c>
      <c r="I298" s="4">
        <v>464.05</v>
      </c>
    </row>
    <row r="299" spans="1:9" x14ac:dyDescent="0.3">
      <c r="A299" s="13">
        <v>45659</v>
      </c>
      <c r="B299" s="4" t="str">
        <f>TEXT(Data!B299,"MMM-YYYY")</f>
        <v>Mar-2024</v>
      </c>
      <c r="C299" s="4" t="str">
        <f t="shared" si="8"/>
        <v>Q1-2025</v>
      </c>
      <c r="D299" t="s">
        <v>52</v>
      </c>
      <c r="E299" t="s">
        <v>122</v>
      </c>
      <c r="F299" t="s">
        <v>326</v>
      </c>
      <c r="G299" t="s">
        <v>64</v>
      </c>
      <c r="H299" s="8" t="str">
        <f t="shared" si="9"/>
        <v>High</v>
      </c>
      <c r="I299" s="4">
        <v>511.03</v>
      </c>
    </row>
    <row r="300" spans="1:9" x14ac:dyDescent="0.3">
      <c r="A300" s="13">
        <v>45660</v>
      </c>
      <c r="B300" s="4" t="str">
        <f>TEXT(Data!B300,"MMM-YYYY")</f>
        <v>Jan-2025</v>
      </c>
      <c r="C300" s="4" t="str">
        <f t="shared" si="8"/>
        <v>Q1-2025</v>
      </c>
      <c r="D300" t="s">
        <v>52</v>
      </c>
      <c r="E300" t="s">
        <v>122</v>
      </c>
      <c r="F300" t="s">
        <v>326</v>
      </c>
      <c r="G300" t="s">
        <v>64</v>
      </c>
      <c r="H300" s="8" t="str">
        <f t="shared" si="9"/>
        <v>Low</v>
      </c>
      <c r="I300" s="4">
        <v>4.22</v>
      </c>
    </row>
    <row r="301" spans="1:9" x14ac:dyDescent="0.3">
      <c r="A301" s="13">
        <v>45661</v>
      </c>
      <c r="B301" s="4" t="str">
        <f>TEXT(Data!B301,"MMM-YYYY")</f>
        <v>May-2025</v>
      </c>
      <c r="C301" s="4" t="str">
        <f t="shared" si="8"/>
        <v>Q1-2025</v>
      </c>
      <c r="D301" t="s">
        <v>78</v>
      </c>
      <c r="E301" t="s">
        <v>90</v>
      </c>
      <c r="F301" t="s">
        <v>138</v>
      </c>
      <c r="G301" t="s">
        <v>81</v>
      </c>
      <c r="H301" s="8" t="str">
        <f t="shared" si="9"/>
        <v>High</v>
      </c>
      <c r="I301" s="4">
        <v>577.24</v>
      </c>
    </row>
    <row r="302" spans="1:9" x14ac:dyDescent="0.3">
      <c r="A302" s="13">
        <v>45662</v>
      </c>
      <c r="B302" s="4" t="str">
        <f>TEXT(Data!B302,"MMM-YYYY")</f>
        <v>Oct-2023</v>
      </c>
      <c r="C302" s="4" t="str">
        <f t="shared" si="8"/>
        <v>Q1-2025</v>
      </c>
      <c r="D302" t="s">
        <v>52</v>
      </c>
      <c r="E302" t="s">
        <v>53</v>
      </c>
      <c r="F302" t="s">
        <v>179</v>
      </c>
      <c r="G302" t="s">
        <v>22</v>
      </c>
      <c r="H302" s="8" t="str">
        <f t="shared" si="9"/>
        <v>High</v>
      </c>
      <c r="I302" s="4">
        <v>1426.03</v>
      </c>
    </row>
    <row r="303" spans="1:9" x14ac:dyDescent="0.3">
      <c r="A303" s="13">
        <v>45663</v>
      </c>
      <c r="B303" s="4" t="str">
        <f>TEXT(Data!B303,"MMM-YYYY")</f>
        <v>Jul-2023</v>
      </c>
      <c r="C303" s="4" t="str">
        <f t="shared" si="8"/>
        <v>Q1-2025</v>
      </c>
      <c r="D303" t="s">
        <v>45</v>
      </c>
      <c r="E303" t="s">
        <v>116</v>
      </c>
      <c r="F303" t="s">
        <v>162</v>
      </c>
      <c r="G303" t="s">
        <v>30</v>
      </c>
      <c r="H303" s="8" t="str">
        <f t="shared" si="9"/>
        <v>High</v>
      </c>
      <c r="I303" s="4">
        <v>1360.12</v>
      </c>
    </row>
    <row r="304" spans="1:9" x14ac:dyDescent="0.3">
      <c r="A304" s="13">
        <v>45664</v>
      </c>
      <c r="B304" s="4" t="str">
        <f>TEXT(Data!B304,"MMM-YYYY")</f>
        <v>Jun-2025</v>
      </c>
      <c r="C304" s="4" t="str">
        <f t="shared" si="8"/>
        <v>Q1-2025</v>
      </c>
      <c r="D304" t="s">
        <v>52</v>
      </c>
      <c r="E304" t="s">
        <v>73</v>
      </c>
      <c r="F304" t="s">
        <v>74</v>
      </c>
      <c r="G304" t="s">
        <v>35</v>
      </c>
      <c r="H304" s="8" t="str">
        <f t="shared" si="9"/>
        <v>High</v>
      </c>
      <c r="I304" s="4">
        <v>2071.1</v>
      </c>
    </row>
    <row r="305" spans="1:9" x14ac:dyDescent="0.3">
      <c r="A305" s="13">
        <v>45665</v>
      </c>
      <c r="B305" s="4" t="str">
        <f>TEXT(Data!B305,"MMM-YYYY")</f>
        <v>Jun-2024</v>
      </c>
      <c r="C305" s="4" t="str">
        <f t="shared" si="8"/>
        <v>Q1-2025</v>
      </c>
      <c r="D305" t="s">
        <v>78</v>
      </c>
      <c r="E305" t="s">
        <v>108</v>
      </c>
      <c r="F305" t="s">
        <v>152</v>
      </c>
      <c r="G305" t="s">
        <v>42</v>
      </c>
      <c r="H305" s="8" t="str">
        <f t="shared" si="9"/>
        <v>High</v>
      </c>
      <c r="I305" s="4">
        <v>979.84</v>
      </c>
    </row>
    <row r="306" spans="1:9" x14ac:dyDescent="0.3">
      <c r="A306" s="13">
        <v>45666</v>
      </c>
      <c r="B306" s="4" t="str">
        <f>TEXT(Data!B306,"MMM-YYYY")</f>
        <v>Apr-2025</v>
      </c>
      <c r="C306" s="4" t="str">
        <f t="shared" si="8"/>
        <v>Q1-2025</v>
      </c>
      <c r="D306" t="s">
        <v>16</v>
      </c>
      <c r="E306" t="s">
        <v>17</v>
      </c>
      <c r="F306" t="s">
        <v>18</v>
      </c>
      <c r="G306" t="s">
        <v>57</v>
      </c>
      <c r="H306" s="8" t="str">
        <f t="shared" si="9"/>
        <v>High</v>
      </c>
      <c r="I306" s="4">
        <v>537.39</v>
      </c>
    </row>
    <row r="307" spans="1:9" x14ac:dyDescent="0.3">
      <c r="A307" s="13">
        <v>45667</v>
      </c>
      <c r="B307" s="4" t="str">
        <f>TEXT(Data!B307,"MMM-YYYY")</f>
        <v>Mar-2025</v>
      </c>
      <c r="C307" s="4" t="str">
        <f t="shared" si="8"/>
        <v>Q1-2025</v>
      </c>
      <c r="D307" t="s">
        <v>78</v>
      </c>
      <c r="E307" t="s">
        <v>90</v>
      </c>
      <c r="F307" t="s">
        <v>138</v>
      </c>
      <c r="G307" t="s">
        <v>64</v>
      </c>
      <c r="H307" s="8" t="str">
        <f t="shared" si="9"/>
        <v>High</v>
      </c>
      <c r="I307" s="4">
        <v>213.32</v>
      </c>
    </row>
    <row r="308" spans="1:9" x14ac:dyDescent="0.3">
      <c r="A308" s="13">
        <v>45668</v>
      </c>
      <c r="B308" s="4" t="str">
        <f>TEXT(Data!B308,"MMM-YYYY")</f>
        <v>May-2025</v>
      </c>
      <c r="C308" s="4" t="str">
        <f t="shared" si="8"/>
        <v>Q1-2025</v>
      </c>
      <c r="D308" t="s">
        <v>16</v>
      </c>
      <c r="E308" t="s">
        <v>25</v>
      </c>
      <c r="F308" t="s">
        <v>38</v>
      </c>
      <c r="G308" t="s">
        <v>81</v>
      </c>
      <c r="H308" s="8" t="str">
        <f t="shared" si="9"/>
        <v>High</v>
      </c>
      <c r="I308" s="4">
        <v>1994.67</v>
      </c>
    </row>
    <row r="309" spans="1:9" x14ac:dyDescent="0.3">
      <c r="A309" s="13">
        <v>45669</v>
      </c>
      <c r="B309" s="4" t="str">
        <f>TEXT(Data!B309,"MMM-YYYY")</f>
        <v>Jan-2025</v>
      </c>
      <c r="C309" s="4" t="str">
        <f t="shared" si="8"/>
        <v>Q1-2025</v>
      </c>
      <c r="D309" t="s">
        <v>52</v>
      </c>
      <c r="E309" t="s">
        <v>122</v>
      </c>
      <c r="F309" t="s">
        <v>387</v>
      </c>
      <c r="G309" t="s">
        <v>35</v>
      </c>
      <c r="H309" s="8" t="str">
        <f t="shared" si="9"/>
        <v>High</v>
      </c>
      <c r="I309" s="4">
        <v>552.84</v>
      </c>
    </row>
    <row r="310" spans="1:9" x14ac:dyDescent="0.3">
      <c r="A310" s="13">
        <v>45670</v>
      </c>
      <c r="B310" s="4" t="str">
        <f>TEXT(Data!B310,"MMM-YYYY")</f>
        <v>Jan-2023</v>
      </c>
      <c r="C310" s="4" t="str">
        <f t="shared" si="8"/>
        <v>Q1-2025</v>
      </c>
      <c r="D310" t="s">
        <v>45</v>
      </c>
      <c r="E310" t="s">
        <v>46</v>
      </c>
      <c r="F310" t="s">
        <v>214</v>
      </c>
      <c r="G310" t="s">
        <v>30</v>
      </c>
      <c r="H310" s="8" t="str">
        <f t="shared" si="9"/>
        <v>High</v>
      </c>
      <c r="I310" s="4">
        <v>224.95</v>
      </c>
    </row>
    <row r="311" spans="1:9" x14ac:dyDescent="0.3">
      <c r="A311" s="13">
        <v>45671</v>
      </c>
      <c r="B311" s="4" t="str">
        <f>TEXT(Data!B311,"MMM-YYYY")</f>
        <v>Dec-2024</v>
      </c>
      <c r="C311" s="4" t="str">
        <f t="shared" si="8"/>
        <v>Q1-2025</v>
      </c>
      <c r="D311" t="s">
        <v>78</v>
      </c>
      <c r="E311" t="s">
        <v>90</v>
      </c>
      <c r="F311" t="s">
        <v>138</v>
      </c>
      <c r="G311" t="s">
        <v>57</v>
      </c>
      <c r="H311" s="8" t="str">
        <f t="shared" si="9"/>
        <v>High</v>
      </c>
      <c r="I311" s="4">
        <v>772.09</v>
      </c>
    </row>
    <row r="312" spans="1:9" x14ac:dyDescent="0.3">
      <c r="A312" s="13">
        <v>45672</v>
      </c>
      <c r="B312" s="4" t="str">
        <f>TEXT(Data!B312,"MMM-YYYY")</f>
        <v>May-2024</v>
      </c>
      <c r="C312" s="4" t="str">
        <f t="shared" si="8"/>
        <v>Q1-2025</v>
      </c>
      <c r="D312" t="s">
        <v>78</v>
      </c>
      <c r="E312" t="s">
        <v>108</v>
      </c>
      <c r="F312" t="s">
        <v>228</v>
      </c>
      <c r="G312" t="s">
        <v>64</v>
      </c>
      <c r="H312" s="8" t="str">
        <f t="shared" si="9"/>
        <v>High</v>
      </c>
      <c r="I312" s="4">
        <v>3149.21</v>
      </c>
    </row>
    <row r="313" spans="1:9" x14ac:dyDescent="0.3">
      <c r="A313" s="13">
        <v>45673</v>
      </c>
      <c r="B313" s="4" t="str">
        <f>TEXT(Data!B313,"MMM-YYYY")</f>
        <v>Jun-2023</v>
      </c>
      <c r="C313" s="4" t="str">
        <f t="shared" si="8"/>
        <v>Q1-2025</v>
      </c>
      <c r="D313" t="s">
        <v>52</v>
      </c>
      <c r="E313" t="s">
        <v>73</v>
      </c>
      <c r="F313" t="s">
        <v>225</v>
      </c>
      <c r="G313" t="s">
        <v>35</v>
      </c>
      <c r="H313" s="8" t="str">
        <f t="shared" si="9"/>
        <v>Medium</v>
      </c>
      <c r="I313" s="4">
        <v>57.53</v>
      </c>
    </row>
    <row r="314" spans="1:9" x14ac:dyDescent="0.3">
      <c r="A314" s="13">
        <v>45674</v>
      </c>
      <c r="B314" s="4" t="str">
        <f>TEXT(Data!B314,"MMM-YYYY")</f>
        <v>Nov-2024</v>
      </c>
      <c r="C314" s="4" t="str">
        <f t="shared" si="8"/>
        <v>Q1-2025</v>
      </c>
      <c r="D314" t="s">
        <v>52</v>
      </c>
      <c r="E314" t="s">
        <v>53</v>
      </c>
      <c r="F314" t="s">
        <v>54</v>
      </c>
      <c r="G314" t="s">
        <v>81</v>
      </c>
      <c r="H314" s="8" t="str">
        <f t="shared" si="9"/>
        <v>High</v>
      </c>
      <c r="I314" s="4">
        <v>824.81</v>
      </c>
    </row>
    <row r="315" spans="1:9" x14ac:dyDescent="0.3">
      <c r="A315" s="13">
        <v>45675</v>
      </c>
      <c r="B315" s="4" t="str">
        <f>TEXT(Data!B315,"MMM-YYYY")</f>
        <v>Jun-2024</v>
      </c>
      <c r="C315" s="4" t="str">
        <f t="shared" si="8"/>
        <v>Q1-2025</v>
      </c>
      <c r="D315" t="s">
        <v>78</v>
      </c>
      <c r="E315" t="s">
        <v>108</v>
      </c>
      <c r="F315" t="s">
        <v>152</v>
      </c>
      <c r="G315" t="s">
        <v>30</v>
      </c>
      <c r="H315" s="8" t="str">
        <f t="shared" si="9"/>
        <v>High</v>
      </c>
      <c r="I315" s="4">
        <v>1493.53</v>
      </c>
    </row>
    <row r="316" spans="1:9" x14ac:dyDescent="0.3">
      <c r="A316" s="13">
        <v>45676</v>
      </c>
      <c r="B316" s="4" t="str">
        <f>TEXT(Data!B316,"MMM-YYYY")</f>
        <v>Jun-2025</v>
      </c>
      <c r="C316" s="4" t="str">
        <f t="shared" si="8"/>
        <v>Q1-2025</v>
      </c>
      <c r="D316" t="s">
        <v>16</v>
      </c>
      <c r="E316" t="s">
        <v>148</v>
      </c>
      <c r="F316" t="s">
        <v>172</v>
      </c>
      <c r="G316" t="s">
        <v>64</v>
      </c>
      <c r="H316" s="8" t="str">
        <f t="shared" si="9"/>
        <v>High</v>
      </c>
      <c r="I316" s="4">
        <v>741.92</v>
      </c>
    </row>
    <row r="317" spans="1:9" x14ac:dyDescent="0.3">
      <c r="A317" s="13">
        <v>45677</v>
      </c>
      <c r="B317" s="4" t="str">
        <f>TEXT(Data!B317,"MMM-YYYY")</f>
        <v>May-2023</v>
      </c>
      <c r="C317" s="4" t="str">
        <f t="shared" si="8"/>
        <v>Q1-2025</v>
      </c>
      <c r="D317" t="s">
        <v>78</v>
      </c>
      <c r="E317" t="s">
        <v>90</v>
      </c>
      <c r="F317" t="s">
        <v>217</v>
      </c>
      <c r="G317" t="s">
        <v>22</v>
      </c>
      <c r="H317" s="8" t="str">
        <f t="shared" si="9"/>
        <v>High</v>
      </c>
      <c r="I317" s="4">
        <v>742.23</v>
      </c>
    </row>
    <row r="318" spans="1:9" x14ac:dyDescent="0.3">
      <c r="A318" s="13">
        <v>45678</v>
      </c>
      <c r="B318" s="4" t="str">
        <f>TEXT(Data!B318,"MMM-YYYY")</f>
        <v>Nov-2023</v>
      </c>
      <c r="C318" s="4" t="str">
        <f t="shared" si="8"/>
        <v>Q1-2025</v>
      </c>
      <c r="D318" t="s">
        <v>45</v>
      </c>
      <c r="E318" t="s">
        <v>46</v>
      </c>
      <c r="F318" t="s">
        <v>47</v>
      </c>
      <c r="G318" t="s">
        <v>42</v>
      </c>
      <c r="H318" s="8" t="str">
        <f t="shared" si="9"/>
        <v>High</v>
      </c>
      <c r="I318" s="4">
        <v>479.54</v>
      </c>
    </row>
    <row r="319" spans="1:9" x14ac:dyDescent="0.3">
      <c r="A319" s="13">
        <v>45679</v>
      </c>
      <c r="B319" s="4" t="str">
        <f>TEXT(Data!B319,"MMM-YYYY")</f>
        <v>Apr-2025</v>
      </c>
      <c r="C319" s="4" t="str">
        <f t="shared" si="8"/>
        <v>Q1-2025</v>
      </c>
      <c r="D319" t="s">
        <v>52</v>
      </c>
      <c r="E319" t="s">
        <v>73</v>
      </c>
      <c r="F319" t="s">
        <v>74</v>
      </c>
      <c r="G319" t="s">
        <v>35</v>
      </c>
      <c r="H319" s="8" t="str">
        <f t="shared" si="9"/>
        <v>High</v>
      </c>
      <c r="I319" s="4">
        <v>1175.25</v>
      </c>
    </row>
    <row r="320" spans="1:9" x14ac:dyDescent="0.3">
      <c r="A320" s="13">
        <v>45680</v>
      </c>
      <c r="B320" s="4" t="str">
        <f>TEXT(Data!B320,"MMM-YYYY")</f>
        <v>Mar-2023</v>
      </c>
      <c r="C320" s="4" t="str">
        <f t="shared" si="8"/>
        <v>Q1-2025</v>
      </c>
      <c r="D320" t="s">
        <v>52</v>
      </c>
      <c r="E320" t="s">
        <v>122</v>
      </c>
      <c r="F320" t="s">
        <v>167</v>
      </c>
      <c r="G320" t="s">
        <v>64</v>
      </c>
      <c r="H320" s="8" t="str">
        <f t="shared" si="9"/>
        <v>High</v>
      </c>
      <c r="I320" s="4">
        <v>227.45</v>
      </c>
    </row>
    <row r="321" spans="1:9" x14ac:dyDescent="0.3">
      <c r="A321" s="13">
        <v>45681</v>
      </c>
      <c r="B321" s="4" t="str">
        <f>TEXT(Data!B321,"MMM-YYYY")</f>
        <v>May-2024</v>
      </c>
      <c r="C321" s="4" t="str">
        <f t="shared" si="8"/>
        <v>Q1-2025</v>
      </c>
      <c r="D321" t="s">
        <v>16</v>
      </c>
      <c r="E321" t="s">
        <v>17</v>
      </c>
      <c r="F321" t="s">
        <v>113</v>
      </c>
      <c r="G321" t="s">
        <v>81</v>
      </c>
      <c r="H321" s="8" t="str">
        <f t="shared" si="9"/>
        <v>High</v>
      </c>
      <c r="I321" s="4">
        <v>1178.6199999999999</v>
      </c>
    </row>
    <row r="322" spans="1:9" x14ac:dyDescent="0.3">
      <c r="A322" s="13">
        <v>45682</v>
      </c>
      <c r="B322" s="4" t="str">
        <f>TEXT(Data!B322,"MMM-YYYY")</f>
        <v>Jan-2024</v>
      </c>
      <c r="C322" s="4" t="str">
        <f t="shared" ref="C322:C385" si="10">"Q"&amp;ROUNDUP(MONTH(A322)/3,0)&amp;"-"&amp;YEAR(A322)</f>
        <v>Q1-2025</v>
      </c>
      <c r="D322" t="s">
        <v>78</v>
      </c>
      <c r="E322" t="s">
        <v>79</v>
      </c>
      <c r="F322" t="s">
        <v>335</v>
      </c>
      <c r="G322" t="s">
        <v>42</v>
      </c>
      <c r="H322" s="8" t="str">
        <f t="shared" ref="H322:H385" si="11">IF(I322&lt;50, "Low", IF(I322&lt;200, "Medium", "High"))</f>
        <v>High</v>
      </c>
      <c r="I322" s="4">
        <v>2422.1</v>
      </c>
    </row>
    <row r="323" spans="1:9" x14ac:dyDescent="0.3">
      <c r="A323" s="13">
        <v>45683</v>
      </c>
      <c r="B323" s="4" t="str">
        <f>TEXT(Data!B323,"MMM-YYYY")</f>
        <v>Feb-2023</v>
      </c>
      <c r="C323" s="4" t="str">
        <f t="shared" si="10"/>
        <v>Q1-2025</v>
      </c>
      <c r="D323" t="s">
        <v>52</v>
      </c>
      <c r="E323" t="s">
        <v>122</v>
      </c>
      <c r="F323" t="s">
        <v>123</v>
      </c>
      <c r="G323" t="s">
        <v>35</v>
      </c>
      <c r="H323" s="8" t="str">
        <f t="shared" si="11"/>
        <v>High</v>
      </c>
      <c r="I323" s="4">
        <v>433.88</v>
      </c>
    </row>
    <row r="324" spans="1:9" x14ac:dyDescent="0.3">
      <c r="A324" s="13">
        <v>45684</v>
      </c>
      <c r="B324" s="4" t="str">
        <f>TEXT(Data!B324,"MMM-YYYY")</f>
        <v>Feb-2024</v>
      </c>
      <c r="C324" s="4" t="str">
        <f t="shared" si="10"/>
        <v>Q1-2025</v>
      </c>
      <c r="D324" t="s">
        <v>78</v>
      </c>
      <c r="E324" t="s">
        <v>90</v>
      </c>
      <c r="F324" t="s">
        <v>91</v>
      </c>
      <c r="G324" t="s">
        <v>35</v>
      </c>
      <c r="H324" s="8" t="str">
        <f t="shared" si="11"/>
        <v>High</v>
      </c>
      <c r="I324" s="4">
        <v>3149.13</v>
      </c>
    </row>
    <row r="325" spans="1:9" x14ac:dyDescent="0.3">
      <c r="A325" s="13">
        <v>45685</v>
      </c>
      <c r="B325" s="4" t="str">
        <f>TEXT(Data!B325,"MMM-YYYY")</f>
        <v>Sept-2024</v>
      </c>
      <c r="C325" s="4" t="str">
        <f t="shared" si="10"/>
        <v>Q1-2025</v>
      </c>
      <c r="D325" t="s">
        <v>52</v>
      </c>
      <c r="E325" t="s">
        <v>73</v>
      </c>
      <c r="F325" t="s">
        <v>74</v>
      </c>
      <c r="G325" t="s">
        <v>22</v>
      </c>
      <c r="H325" s="8" t="str">
        <f t="shared" si="11"/>
        <v>Medium</v>
      </c>
      <c r="I325" s="4">
        <v>65.650000000000006</v>
      </c>
    </row>
    <row r="326" spans="1:9" x14ac:dyDescent="0.3">
      <c r="A326" s="13">
        <v>45686</v>
      </c>
      <c r="B326" s="4" t="str">
        <f>TEXT(Data!B326,"MMM-YYYY")</f>
        <v>May-2023</v>
      </c>
      <c r="C326" s="4" t="str">
        <f t="shared" si="10"/>
        <v>Q1-2025</v>
      </c>
      <c r="D326" t="s">
        <v>52</v>
      </c>
      <c r="E326" t="s">
        <v>73</v>
      </c>
      <c r="F326" t="s">
        <v>74</v>
      </c>
      <c r="G326" t="s">
        <v>22</v>
      </c>
      <c r="H326" s="8" t="str">
        <f t="shared" si="11"/>
        <v>High</v>
      </c>
      <c r="I326" s="4">
        <v>2492.14</v>
      </c>
    </row>
    <row r="327" spans="1:9" x14ac:dyDescent="0.3">
      <c r="A327" s="13">
        <v>45687</v>
      </c>
      <c r="B327" s="4" t="str">
        <f>TEXT(Data!B327,"MMM-YYYY")</f>
        <v>Jan-2024</v>
      </c>
      <c r="C327" s="4" t="str">
        <f t="shared" si="10"/>
        <v>Q1-2025</v>
      </c>
      <c r="D327" t="s">
        <v>16</v>
      </c>
      <c r="E327" t="s">
        <v>148</v>
      </c>
      <c r="F327" t="s">
        <v>172</v>
      </c>
      <c r="G327" t="s">
        <v>81</v>
      </c>
      <c r="H327" s="8" t="str">
        <f t="shared" si="11"/>
        <v>High</v>
      </c>
      <c r="I327" s="4">
        <v>931.84</v>
      </c>
    </row>
    <row r="328" spans="1:9" x14ac:dyDescent="0.3">
      <c r="A328" s="13">
        <v>45688</v>
      </c>
      <c r="B328" s="4" t="str">
        <f>TEXT(Data!B328,"MMM-YYYY")</f>
        <v>Jun-2023</v>
      </c>
      <c r="C328" s="4" t="str">
        <f t="shared" si="10"/>
        <v>Q1-2025</v>
      </c>
      <c r="D328" t="s">
        <v>45</v>
      </c>
      <c r="E328" t="s">
        <v>60</v>
      </c>
      <c r="F328" t="s">
        <v>281</v>
      </c>
      <c r="G328" t="s">
        <v>22</v>
      </c>
      <c r="H328" s="8" t="str">
        <f t="shared" si="11"/>
        <v>High</v>
      </c>
      <c r="I328" s="4">
        <v>619.51</v>
      </c>
    </row>
    <row r="329" spans="1:9" x14ac:dyDescent="0.3">
      <c r="A329" s="13">
        <v>45689</v>
      </c>
      <c r="B329" s="4" t="str">
        <f>TEXT(Data!B329,"MMM-YYYY")</f>
        <v>May-2025</v>
      </c>
      <c r="C329" s="4" t="str">
        <f t="shared" si="10"/>
        <v>Q1-2025</v>
      </c>
      <c r="D329" t="s">
        <v>16</v>
      </c>
      <c r="E329" t="s">
        <v>17</v>
      </c>
      <c r="F329" t="s">
        <v>135</v>
      </c>
      <c r="G329" t="s">
        <v>42</v>
      </c>
      <c r="H329" s="8" t="str">
        <f t="shared" si="11"/>
        <v>High</v>
      </c>
      <c r="I329" s="4">
        <v>1421.55</v>
      </c>
    </row>
    <row r="330" spans="1:9" x14ac:dyDescent="0.3">
      <c r="A330" s="13">
        <v>45690</v>
      </c>
      <c r="B330" s="4" t="str">
        <f>TEXT(Data!B330,"MMM-YYYY")</f>
        <v>Oct-2023</v>
      </c>
      <c r="C330" s="4" t="str">
        <f t="shared" si="10"/>
        <v>Q1-2025</v>
      </c>
      <c r="D330" t="s">
        <v>52</v>
      </c>
      <c r="E330" t="s">
        <v>73</v>
      </c>
      <c r="F330" t="s">
        <v>74</v>
      </c>
      <c r="G330" t="s">
        <v>64</v>
      </c>
      <c r="H330" s="8" t="str">
        <f t="shared" si="11"/>
        <v>High</v>
      </c>
      <c r="I330" s="4">
        <v>952.56</v>
      </c>
    </row>
    <row r="331" spans="1:9" x14ac:dyDescent="0.3">
      <c r="A331" s="13">
        <v>45691</v>
      </c>
      <c r="B331" s="4" t="str">
        <f>TEXT(Data!B331,"MMM-YYYY")</f>
        <v>Jan-2025</v>
      </c>
      <c r="C331" s="4" t="str">
        <f t="shared" si="10"/>
        <v>Q1-2025</v>
      </c>
      <c r="D331" t="s">
        <v>52</v>
      </c>
      <c r="E331" t="s">
        <v>53</v>
      </c>
      <c r="F331" t="s">
        <v>54</v>
      </c>
      <c r="G331" t="s">
        <v>57</v>
      </c>
      <c r="H331" s="8" t="str">
        <f t="shared" si="11"/>
        <v>High</v>
      </c>
      <c r="I331" s="4">
        <v>3154.14</v>
      </c>
    </row>
    <row r="332" spans="1:9" x14ac:dyDescent="0.3">
      <c r="A332" s="13">
        <v>45692</v>
      </c>
      <c r="B332" s="4" t="str">
        <f>TEXT(Data!B332,"MMM-YYYY")</f>
        <v>Sept-2025</v>
      </c>
      <c r="C332" s="4" t="str">
        <f t="shared" si="10"/>
        <v>Q1-2025</v>
      </c>
      <c r="D332" t="s">
        <v>52</v>
      </c>
      <c r="E332" t="s">
        <v>122</v>
      </c>
      <c r="F332" t="s">
        <v>326</v>
      </c>
      <c r="G332" t="s">
        <v>42</v>
      </c>
      <c r="H332" s="8" t="str">
        <f t="shared" si="11"/>
        <v>High</v>
      </c>
      <c r="I332" s="4">
        <v>226.14</v>
      </c>
    </row>
    <row r="333" spans="1:9" x14ac:dyDescent="0.3">
      <c r="A333" s="13">
        <v>45693</v>
      </c>
      <c r="B333" s="4" t="str">
        <f>TEXT(Data!B333,"MMM-YYYY")</f>
        <v>Aug-2023</v>
      </c>
      <c r="C333" s="4" t="str">
        <f t="shared" si="10"/>
        <v>Q1-2025</v>
      </c>
      <c r="D333" t="s">
        <v>78</v>
      </c>
      <c r="E333" t="s">
        <v>108</v>
      </c>
      <c r="F333" t="s">
        <v>152</v>
      </c>
      <c r="G333" t="s">
        <v>35</v>
      </c>
      <c r="H333" s="8" t="str">
        <f t="shared" si="11"/>
        <v>High</v>
      </c>
      <c r="I333" s="4">
        <v>885.92</v>
      </c>
    </row>
    <row r="334" spans="1:9" x14ac:dyDescent="0.3">
      <c r="A334" s="13">
        <v>45694</v>
      </c>
      <c r="B334" s="4" t="str">
        <f>TEXT(Data!B334,"MMM-YYYY")</f>
        <v>Nov-2023</v>
      </c>
      <c r="C334" s="4" t="str">
        <f t="shared" si="10"/>
        <v>Q1-2025</v>
      </c>
      <c r="D334" t="s">
        <v>45</v>
      </c>
      <c r="E334" t="s">
        <v>60</v>
      </c>
      <c r="F334" t="s">
        <v>141</v>
      </c>
      <c r="G334" t="s">
        <v>81</v>
      </c>
      <c r="H334" s="8" t="str">
        <f t="shared" si="11"/>
        <v>High</v>
      </c>
      <c r="I334" s="4">
        <v>2433.34</v>
      </c>
    </row>
    <row r="335" spans="1:9" x14ac:dyDescent="0.3">
      <c r="A335" s="13">
        <v>45695</v>
      </c>
      <c r="B335" s="4" t="str">
        <f>TEXT(Data!B335,"MMM-YYYY")</f>
        <v>Apr-2025</v>
      </c>
      <c r="C335" s="4" t="str">
        <f t="shared" si="10"/>
        <v>Q1-2025</v>
      </c>
      <c r="D335" t="s">
        <v>78</v>
      </c>
      <c r="E335" t="s">
        <v>108</v>
      </c>
      <c r="F335" t="s">
        <v>228</v>
      </c>
      <c r="G335" t="s">
        <v>81</v>
      </c>
      <c r="H335" s="8" t="str">
        <f t="shared" si="11"/>
        <v>High</v>
      </c>
      <c r="I335" s="4">
        <v>1154.3399999999999</v>
      </c>
    </row>
    <row r="336" spans="1:9" x14ac:dyDescent="0.3">
      <c r="A336" s="13">
        <v>45696</v>
      </c>
      <c r="B336" s="4" t="str">
        <f>TEXT(Data!B336,"MMM-YYYY")</f>
        <v>Apr-2024</v>
      </c>
      <c r="C336" s="4" t="str">
        <f t="shared" si="10"/>
        <v>Q1-2025</v>
      </c>
      <c r="D336" t="s">
        <v>45</v>
      </c>
      <c r="E336" t="s">
        <v>60</v>
      </c>
      <c r="F336" t="s">
        <v>1364</v>
      </c>
      <c r="G336" t="s">
        <v>42</v>
      </c>
      <c r="H336" s="8" t="str">
        <f t="shared" si="11"/>
        <v>High</v>
      </c>
      <c r="I336" s="4">
        <v>1135.99</v>
      </c>
    </row>
    <row r="337" spans="1:9" x14ac:dyDescent="0.3">
      <c r="A337" s="13">
        <v>45697</v>
      </c>
      <c r="B337" s="4" t="str">
        <f>TEXT(Data!B337,"MMM-YYYY")</f>
        <v>Jul-2024</v>
      </c>
      <c r="C337" s="4" t="str">
        <f t="shared" si="10"/>
        <v>Q1-2025</v>
      </c>
      <c r="D337" t="s">
        <v>78</v>
      </c>
      <c r="E337" t="s">
        <v>90</v>
      </c>
      <c r="F337" t="s">
        <v>138</v>
      </c>
      <c r="G337" t="s">
        <v>30</v>
      </c>
      <c r="H337" s="8" t="str">
        <f t="shared" si="11"/>
        <v>High</v>
      </c>
      <c r="I337" s="4">
        <v>2751.84</v>
      </c>
    </row>
    <row r="338" spans="1:9" x14ac:dyDescent="0.3">
      <c r="A338" s="13">
        <v>45698</v>
      </c>
      <c r="B338" s="4" t="str">
        <f>TEXT(Data!B338,"MMM-YYYY")</f>
        <v>Feb-2024</v>
      </c>
      <c r="C338" s="4" t="str">
        <f t="shared" si="10"/>
        <v>Q1-2025</v>
      </c>
      <c r="D338" t="s">
        <v>45</v>
      </c>
      <c r="E338" t="s">
        <v>116</v>
      </c>
      <c r="F338" t="s">
        <v>117</v>
      </c>
      <c r="G338" t="s">
        <v>42</v>
      </c>
      <c r="H338" s="8" t="str">
        <f t="shared" si="11"/>
        <v>High</v>
      </c>
      <c r="I338" s="4">
        <v>1374.72</v>
      </c>
    </row>
    <row r="339" spans="1:9" x14ac:dyDescent="0.3">
      <c r="A339" s="13">
        <v>45699</v>
      </c>
      <c r="B339" s="4" t="str">
        <f>TEXT(Data!B339,"MMM-YYYY")</f>
        <v>Jul-2023</v>
      </c>
      <c r="C339" s="4" t="str">
        <f t="shared" si="10"/>
        <v>Q1-2025</v>
      </c>
      <c r="D339" t="s">
        <v>52</v>
      </c>
      <c r="E339" t="s">
        <v>73</v>
      </c>
      <c r="F339" t="s">
        <v>1364</v>
      </c>
      <c r="G339" t="s">
        <v>30</v>
      </c>
      <c r="H339" s="8" t="str">
        <f t="shared" si="11"/>
        <v>High</v>
      </c>
      <c r="I339" s="4">
        <v>1318.37</v>
      </c>
    </row>
    <row r="340" spans="1:9" x14ac:dyDescent="0.3">
      <c r="A340" s="13">
        <v>45700</v>
      </c>
      <c r="B340" s="4" t="str">
        <f>TEXT(Data!B340,"MMM-YYYY")</f>
        <v>Jul-2023</v>
      </c>
      <c r="C340" s="4" t="str">
        <f t="shared" si="10"/>
        <v>Q1-2025</v>
      </c>
      <c r="D340" t="s">
        <v>16</v>
      </c>
      <c r="E340" t="s">
        <v>25</v>
      </c>
      <c r="F340" t="s">
        <v>26</v>
      </c>
      <c r="G340" t="s">
        <v>81</v>
      </c>
      <c r="H340" s="8" t="str">
        <f t="shared" si="11"/>
        <v>High</v>
      </c>
      <c r="I340" s="4">
        <v>441.74</v>
      </c>
    </row>
    <row r="341" spans="1:9" x14ac:dyDescent="0.3">
      <c r="A341" s="13">
        <v>45701</v>
      </c>
      <c r="B341" s="4" t="str">
        <f>TEXT(Data!B341,"MMM-YYYY")</f>
        <v>Jul-2023</v>
      </c>
      <c r="C341" s="4" t="str">
        <f t="shared" si="10"/>
        <v>Q1-2025</v>
      </c>
      <c r="D341" t="s">
        <v>16</v>
      </c>
      <c r="E341" t="s">
        <v>148</v>
      </c>
      <c r="F341" t="s">
        <v>172</v>
      </c>
      <c r="G341" t="s">
        <v>64</v>
      </c>
      <c r="H341" s="8" t="str">
        <f t="shared" si="11"/>
        <v>High</v>
      </c>
      <c r="I341" s="4">
        <v>1330.07</v>
      </c>
    </row>
    <row r="342" spans="1:9" x14ac:dyDescent="0.3">
      <c r="A342" s="13">
        <v>45702</v>
      </c>
      <c r="B342" s="4" t="str">
        <f>TEXT(Data!B342,"MMM-YYYY")</f>
        <v>Apr-2023</v>
      </c>
      <c r="C342" s="4" t="str">
        <f t="shared" si="10"/>
        <v>Q1-2025</v>
      </c>
      <c r="D342" t="s">
        <v>16</v>
      </c>
      <c r="E342" t="s">
        <v>17</v>
      </c>
      <c r="F342" t="s">
        <v>33</v>
      </c>
      <c r="G342" t="s">
        <v>81</v>
      </c>
      <c r="H342" s="8" t="str">
        <f t="shared" si="11"/>
        <v>High</v>
      </c>
      <c r="I342" s="4">
        <v>1634.86</v>
      </c>
    </row>
    <row r="343" spans="1:9" x14ac:dyDescent="0.3">
      <c r="A343" s="13">
        <v>45703</v>
      </c>
      <c r="B343" s="4" t="str">
        <f>TEXT(Data!B343,"MMM-YYYY")</f>
        <v>Oct-2024</v>
      </c>
      <c r="C343" s="4" t="str">
        <f t="shared" si="10"/>
        <v>Q1-2025</v>
      </c>
      <c r="D343" t="s">
        <v>52</v>
      </c>
      <c r="E343" t="s">
        <v>122</v>
      </c>
      <c r="F343" t="s">
        <v>167</v>
      </c>
      <c r="G343" t="s">
        <v>35</v>
      </c>
      <c r="H343" s="8" t="str">
        <f t="shared" si="11"/>
        <v>Medium</v>
      </c>
      <c r="I343" s="4">
        <v>70.599999999999994</v>
      </c>
    </row>
    <row r="344" spans="1:9" x14ac:dyDescent="0.3">
      <c r="A344" s="13">
        <v>45704</v>
      </c>
      <c r="B344" s="4" t="str">
        <f>TEXT(Data!B344,"MMM-YYYY")</f>
        <v>Feb-2024</v>
      </c>
      <c r="C344" s="4" t="str">
        <f t="shared" si="10"/>
        <v>Q1-2025</v>
      </c>
      <c r="D344" t="s">
        <v>16</v>
      </c>
      <c r="E344" t="s">
        <v>17</v>
      </c>
      <c r="F344" t="s">
        <v>33</v>
      </c>
      <c r="G344" t="s">
        <v>30</v>
      </c>
      <c r="H344" s="8" t="str">
        <f t="shared" si="11"/>
        <v>High</v>
      </c>
      <c r="I344" s="4">
        <v>1823.04</v>
      </c>
    </row>
    <row r="345" spans="1:9" x14ac:dyDescent="0.3">
      <c r="A345" s="13">
        <v>45705</v>
      </c>
      <c r="B345" s="4" t="str">
        <f>TEXT(Data!B345,"MMM-YYYY")</f>
        <v>Jul-2024</v>
      </c>
      <c r="C345" s="4" t="str">
        <f t="shared" si="10"/>
        <v>Q1-2025</v>
      </c>
      <c r="D345" t="s">
        <v>45</v>
      </c>
      <c r="E345" t="s">
        <v>60</v>
      </c>
      <c r="F345" t="s">
        <v>141</v>
      </c>
      <c r="G345" t="s">
        <v>42</v>
      </c>
      <c r="H345" s="8" t="str">
        <f t="shared" si="11"/>
        <v>High</v>
      </c>
      <c r="I345" s="4">
        <v>2015.99</v>
      </c>
    </row>
    <row r="346" spans="1:9" x14ac:dyDescent="0.3">
      <c r="A346" s="13">
        <v>45706</v>
      </c>
      <c r="B346" s="4" t="str">
        <f>TEXT(Data!B346,"MMM-YYYY")</f>
        <v>Dec-2023</v>
      </c>
      <c r="C346" s="4" t="str">
        <f t="shared" si="10"/>
        <v>Q1-2025</v>
      </c>
      <c r="D346" t="s">
        <v>45</v>
      </c>
      <c r="E346" t="s">
        <v>46</v>
      </c>
      <c r="F346" t="s">
        <v>231</v>
      </c>
      <c r="G346" t="s">
        <v>35</v>
      </c>
      <c r="H346" s="8" t="str">
        <f t="shared" si="11"/>
        <v>High</v>
      </c>
      <c r="I346" s="4">
        <v>244.13</v>
      </c>
    </row>
    <row r="347" spans="1:9" x14ac:dyDescent="0.3">
      <c r="A347" s="13">
        <v>45707</v>
      </c>
      <c r="B347" s="4" t="str">
        <f>TEXT(Data!B347,"MMM-YYYY")</f>
        <v>Jul-2024</v>
      </c>
      <c r="C347" s="4" t="str">
        <f t="shared" si="10"/>
        <v>Q1-2025</v>
      </c>
      <c r="D347" t="s">
        <v>45</v>
      </c>
      <c r="E347" t="s">
        <v>46</v>
      </c>
      <c r="F347" t="s">
        <v>231</v>
      </c>
      <c r="G347" t="s">
        <v>57</v>
      </c>
      <c r="H347" s="8" t="str">
        <f t="shared" si="11"/>
        <v>High</v>
      </c>
      <c r="I347" s="4">
        <v>2783.12</v>
      </c>
    </row>
    <row r="348" spans="1:9" x14ac:dyDescent="0.3">
      <c r="A348" s="13">
        <v>45708</v>
      </c>
      <c r="B348" s="4" t="str">
        <f>TEXT(Data!B348,"MMM-YYYY")</f>
        <v>May-2023</v>
      </c>
      <c r="C348" s="4" t="str">
        <f t="shared" si="10"/>
        <v>Q1-2025</v>
      </c>
      <c r="D348" t="s">
        <v>52</v>
      </c>
      <c r="E348" t="s">
        <v>53</v>
      </c>
      <c r="F348" t="s">
        <v>144</v>
      </c>
      <c r="G348" t="s">
        <v>81</v>
      </c>
      <c r="H348" s="8" t="str">
        <f t="shared" si="11"/>
        <v>High</v>
      </c>
      <c r="I348" s="4">
        <v>2050.31</v>
      </c>
    </row>
    <row r="349" spans="1:9" x14ac:dyDescent="0.3">
      <c r="A349" s="13">
        <v>45709</v>
      </c>
      <c r="B349" s="4" t="str">
        <f>TEXT(Data!B349,"MMM-YYYY")</f>
        <v>Dec-2023</v>
      </c>
      <c r="C349" s="4" t="str">
        <f t="shared" si="10"/>
        <v>Q1-2025</v>
      </c>
      <c r="D349" t="s">
        <v>16</v>
      </c>
      <c r="E349" t="s">
        <v>25</v>
      </c>
      <c r="F349" t="s">
        <v>67</v>
      </c>
      <c r="G349" t="s">
        <v>42</v>
      </c>
      <c r="H349" s="8" t="str">
        <f t="shared" si="11"/>
        <v>Medium</v>
      </c>
      <c r="I349" s="4">
        <v>147.12</v>
      </c>
    </row>
    <row r="350" spans="1:9" x14ac:dyDescent="0.3">
      <c r="A350" s="13">
        <v>45710</v>
      </c>
      <c r="B350" s="4" t="str">
        <f>TEXT(Data!B350,"MMM-YYYY")</f>
        <v>Jun-2025</v>
      </c>
      <c r="C350" s="4" t="str">
        <f t="shared" si="10"/>
        <v>Q1-2025</v>
      </c>
      <c r="D350" t="s">
        <v>16</v>
      </c>
      <c r="E350" t="s">
        <v>25</v>
      </c>
      <c r="F350" t="s">
        <v>1364</v>
      </c>
      <c r="G350" t="s">
        <v>22</v>
      </c>
      <c r="H350" s="8" t="str">
        <f t="shared" si="11"/>
        <v>High</v>
      </c>
      <c r="I350" s="4">
        <v>1982.98</v>
      </c>
    </row>
    <row r="351" spans="1:9" x14ac:dyDescent="0.3">
      <c r="A351" s="13">
        <v>45711</v>
      </c>
      <c r="B351" s="4" t="str">
        <f>TEXT(Data!B351,"MMM-YYYY")</f>
        <v>Feb-2023</v>
      </c>
      <c r="C351" s="4" t="str">
        <f t="shared" si="10"/>
        <v>Q1-2025</v>
      </c>
      <c r="D351" t="s">
        <v>45</v>
      </c>
      <c r="E351" t="s">
        <v>60</v>
      </c>
      <c r="F351" t="s">
        <v>141</v>
      </c>
      <c r="G351" t="s">
        <v>57</v>
      </c>
      <c r="H351" s="8" t="str">
        <f t="shared" si="11"/>
        <v>High</v>
      </c>
      <c r="I351" s="4">
        <v>2299.3000000000002</v>
      </c>
    </row>
    <row r="352" spans="1:9" x14ac:dyDescent="0.3">
      <c r="A352" s="13">
        <v>45712</v>
      </c>
      <c r="B352" s="4" t="str">
        <f>TEXT(Data!B352,"MMM-YYYY")</f>
        <v>Dec-2023</v>
      </c>
      <c r="C352" s="4" t="str">
        <f t="shared" si="10"/>
        <v>Q1-2025</v>
      </c>
      <c r="D352" t="s">
        <v>78</v>
      </c>
      <c r="E352" t="s">
        <v>108</v>
      </c>
      <c r="F352" t="s">
        <v>228</v>
      </c>
      <c r="G352" t="s">
        <v>30</v>
      </c>
      <c r="H352" s="8" t="str">
        <f t="shared" si="11"/>
        <v>High</v>
      </c>
      <c r="I352" s="4">
        <v>462.61</v>
      </c>
    </row>
    <row r="353" spans="1:9" x14ac:dyDescent="0.3">
      <c r="A353" s="13">
        <v>45713</v>
      </c>
      <c r="B353" s="4" t="str">
        <f>TEXT(Data!B353,"MMM-YYYY")</f>
        <v>Jul-2023</v>
      </c>
      <c r="C353" s="4" t="str">
        <f t="shared" si="10"/>
        <v>Q1-2025</v>
      </c>
      <c r="D353" t="s">
        <v>78</v>
      </c>
      <c r="E353" t="s">
        <v>79</v>
      </c>
      <c r="F353" t="s">
        <v>335</v>
      </c>
      <c r="G353" t="s">
        <v>64</v>
      </c>
      <c r="H353" s="8" t="str">
        <f t="shared" si="11"/>
        <v>High</v>
      </c>
      <c r="I353" s="4">
        <v>1093.3900000000001</v>
      </c>
    </row>
    <row r="354" spans="1:9" x14ac:dyDescent="0.3">
      <c r="A354" s="13">
        <v>45714</v>
      </c>
      <c r="B354" s="4" t="str">
        <f>TEXT(Data!B354,"MMM-YYYY")</f>
        <v>Aug-2024</v>
      </c>
      <c r="C354" s="4" t="str">
        <f t="shared" si="10"/>
        <v>Q1-2025</v>
      </c>
      <c r="D354" t="s">
        <v>16</v>
      </c>
      <c r="E354" t="s">
        <v>25</v>
      </c>
      <c r="F354" t="s">
        <v>38</v>
      </c>
      <c r="G354" t="s">
        <v>81</v>
      </c>
      <c r="H354" s="8" t="str">
        <f t="shared" si="11"/>
        <v>High</v>
      </c>
      <c r="I354" s="4">
        <v>1454.22</v>
      </c>
    </row>
    <row r="355" spans="1:9" x14ac:dyDescent="0.3">
      <c r="A355" s="13">
        <v>45715</v>
      </c>
      <c r="B355" s="4" t="str">
        <f>TEXT(Data!B355,"MMM-YYYY")</f>
        <v>Nov-2024</v>
      </c>
      <c r="C355" s="4" t="str">
        <f t="shared" si="10"/>
        <v>Q1-2025</v>
      </c>
      <c r="D355" t="s">
        <v>45</v>
      </c>
      <c r="E355" t="s">
        <v>46</v>
      </c>
      <c r="F355" t="s">
        <v>47</v>
      </c>
      <c r="G355" t="s">
        <v>35</v>
      </c>
      <c r="H355" s="8" t="str">
        <f t="shared" si="11"/>
        <v>High</v>
      </c>
      <c r="I355" s="4">
        <v>2120.4</v>
      </c>
    </row>
    <row r="356" spans="1:9" x14ac:dyDescent="0.3">
      <c r="A356" s="13">
        <v>45716</v>
      </c>
      <c r="B356" s="4" t="str">
        <f>TEXT(Data!B356,"MMM-YYYY")</f>
        <v>Jan-2024</v>
      </c>
      <c r="C356" s="4" t="str">
        <f t="shared" si="10"/>
        <v>Q1-2025</v>
      </c>
      <c r="D356" t="s">
        <v>52</v>
      </c>
      <c r="E356" t="s">
        <v>73</v>
      </c>
      <c r="F356" t="s">
        <v>225</v>
      </c>
      <c r="G356" t="s">
        <v>30</v>
      </c>
      <c r="H356" s="8" t="str">
        <f t="shared" si="11"/>
        <v>Medium</v>
      </c>
      <c r="I356" s="4">
        <v>128.68</v>
      </c>
    </row>
    <row r="357" spans="1:9" x14ac:dyDescent="0.3">
      <c r="A357" s="13">
        <v>45717</v>
      </c>
      <c r="B357" s="4" t="str">
        <f>TEXT(Data!B357,"MMM-YYYY")</f>
        <v>Aug-2025</v>
      </c>
      <c r="C357" s="4" t="str">
        <f t="shared" si="10"/>
        <v>Q1-2025</v>
      </c>
      <c r="D357" t="s">
        <v>78</v>
      </c>
      <c r="E357" t="s">
        <v>108</v>
      </c>
      <c r="F357" t="s">
        <v>228</v>
      </c>
      <c r="G357" t="s">
        <v>81</v>
      </c>
      <c r="H357" s="8" t="str">
        <f t="shared" si="11"/>
        <v>High</v>
      </c>
      <c r="I357" s="4">
        <v>1325.96</v>
      </c>
    </row>
    <row r="358" spans="1:9" x14ac:dyDescent="0.3">
      <c r="A358" s="13">
        <v>45718</v>
      </c>
      <c r="B358" s="4" t="str">
        <f>TEXT(Data!B358,"MMM-YYYY")</f>
        <v>Apr-2024</v>
      </c>
      <c r="C358" s="4" t="str">
        <f t="shared" si="10"/>
        <v>Q1-2025</v>
      </c>
      <c r="D358" t="s">
        <v>52</v>
      </c>
      <c r="E358" t="s">
        <v>73</v>
      </c>
      <c r="F358" t="s">
        <v>74</v>
      </c>
      <c r="G358" t="s">
        <v>30</v>
      </c>
      <c r="H358" s="8" t="str">
        <f t="shared" si="11"/>
        <v>High</v>
      </c>
      <c r="I358" s="4">
        <v>2439.33</v>
      </c>
    </row>
    <row r="359" spans="1:9" x14ac:dyDescent="0.3">
      <c r="A359" s="13">
        <v>45719</v>
      </c>
      <c r="B359" s="4" t="str">
        <f>TEXT(Data!B359,"MMM-YYYY")</f>
        <v>Nov-2024</v>
      </c>
      <c r="C359" s="4" t="str">
        <f t="shared" si="10"/>
        <v>Q1-2025</v>
      </c>
      <c r="D359" t="s">
        <v>52</v>
      </c>
      <c r="E359" t="s">
        <v>73</v>
      </c>
      <c r="F359" t="s">
        <v>87</v>
      </c>
      <c r="G359" t="s">
        <v>35</v>
      </c>
      <c r="H359" s="8" t="str">
        <f t="shared" si="11"/>
        <v>High</v>
      </c>
      <c r="I359" s="4">
        <v>2201.54</v>
      </c>
    </row>
    <row r="360" spans="1:9" x14ac:dyDescent="0.3">
      <c r="A360" s="13">
        <v>45720</v>
      </c>
      <c r="B360" s="4" t="str">
        <f>TEXT(Data!B360,"MMM-YYYY")</f>
        <v>Jan-2024</v>
      </c>
      <c r="C360" s="4" t="str">
        <f t="shared" si="10"/>
        <v>Q1-2025</v>
      </c>
      <c r="D360" t="s">
        <v>45</v>
      </c>
      <c r="E360" t="s">
        <v>116</v>
      </c>
      <c r="F360" t="s">
        <v>162</v>
      </c>
      <c r="G360" t="s">
        <v>81</v>
      </c>
      <c r="H360" s="8" t="str">
        <f t="shared" si="11"/>
        <v>High</v>
      </c>
      <c r="I360" s="4">
        <v>814.36</v>
      </c>
    </row>
    <row r="361" spans="1:9" x14ac:dyDescent="0.3">
      <c r="A361" s="13">
        <v>45721</v>
      </c>
      <c r="B361" s="4" t="str">
        <f>TEXT(Data!B361,"MMM-YYYY")</f>
        <v>Jun-2024</v>
      </c>
      <c r="C361" s="4" t="str">
        <f t="shared" si="10"/>
        <v>Q1-2025</v>
      </c>
      <c r="D361" t="s">
        <v>16</v>
      </c>
      <c r="E361" t="s">
        <v>148</v>
      </c>
      <c r="F361" t="s">
        <v>258</v>
      </c>
      <c r="G361" t="s">
        <v>30</v>
      </c>
      <c r="H361" s="8" t="str">
        <f t="shared" si="11"/>
        <v>High</v>
      </c>
      <c r="I361" s="4">
        <v>1382.91</v>
      </c>
    </row>
    <row r="362" spans="1:9" x14ac:dyDescent="0.3">
      <c r="A362" s="13">
        <v>45722</v>
      </c>
      <c r="B362" s="4" t="str">
        <f>TEXT(Data!B362,"MMM-YYYY")</f>
        <v>Jun-2025</v>
      </c>
      <c r="C362" s="4" t="str">
        <f t="shared" si="10"/>
        <v>Q1-2025</v>
      </c>
      <c r="D362" t="s">
        <v>78</v>
      </c>
      <c r="E362" t="s">
        <v>108</v>
      </c>
      <c r="F362" t="s">
        <v>109</v>
      </c>
      <c r="G362" t="s">
        <v>81</v>
      </c>
      <c r="H362" s="8" t="str">
        <f t="shared" si="11"/>
        <v>High</v>
      </c>
      <c r="I362" s="4">
        <v>1646.43</v>
      </c>
    </row>
    <row r="363" spans="1:9" x14ac:dyDescent="0.3">
      <c r="A363" s="13">
        <v>45723</v>
      </c>
      <c r="B363" s="4" t="str">
        <f>TEXT(Data!B363,"MMM-YYYY")</f>
        <v>Jul-2023</v>
      </c>
      <c r="C363" s="4" t="str">
        <f t="shared" si="10"/>
        <v>Q1-2025</v>
      </c>
      <c r="D363" t="s">
        <v>78</v>
      </c>
      <c r="E363" t="s">
        <v>108</v>
      </c>
      <c r="F363" t="s">
        <v>109</v>
      </c>
      <c r="G363" t="s">
        <v>42</v>
      </c>
      <c r="H363" s="8" t="str">
        <f t="shared" si="11"/>
        <v>High</v>
      </c>
      <c r="I363" s="4">
        <v>400.84</v>
      </c>
    </row>
    <row r="364" spans="1:9" x14ac:dyDescent="0.3">
      <c r="A364" s="13">
        <v>45724</v>
      </c>
      <c r="B364" s="4" t="str">
        <f>TEXT(Data!B364,"MMM-YYYY")</f>
        <v>Mar-2024</v>
      </c>
      <c r="C364" s="4" t="str">
        <f t="shared" si="10"/>
        <v>Q1-2025</v>
      </c>
      <c r="D364" t="s">
        <v>16</v>
      </c>
      <c r="E364" t="s">
        <v>25</v>
      </c>
      <c r="F364" t="s">
        <v>26</v>
      </c>
      <c r="G364" t="s">
        <v>57</v>
      </c>
      <c r="H364" s="8" t="str">
        <f t="shared" si="11"/>
        <v>High</v>
      </c>
      <c r="I364" s="4">
        <v>1780.56</v>
      </c>
    </row>
    <row r="365" spans="1:9" x14ac:dyDescent="0.3">
      <c r="A365" s="13">
        <v>45725</v>
      </c>
      <c r="B365" s="4" t="str">
        <f>TEXT(Data!B365,"MMM-YYYY")</f>
        <v>Jun-2023</v>
      </c>
      <c r="C365" s="4" t="str">
        <f t="shared" si="10"/>
        <v>Q1-2025</v>
      </c>
      <c r="D365" t="s">
        <v>45</v>
      </c>
      <c r="E365" t="s">
        <v>116</v>
      </c>
      <c r="F365" t="s">
        <v>117</v>
      </c>
      <c r="G365" t="s">
        <v>64</v>
      </c>
      <c r="H365" s="8" t="str">
        <f t="shared" si="11"/>
        <v>High</v>
      </c>
      <c r="I365" s="4">
        <v>1118.43</v>
      </c>
    </row>
    <row r="366" spans="1:9" x14ac:dyDescent="0.3">
      <c r="A366" s="13">
        <v>45726</v>
      </c>
      <c r="B366" s="4" t="str">
        <f>TEXT(Data!B366,"MMM-YYYY")</f>
        <v>Mar-2025</v>
      </c>
      <c r="C366" s="4" t="str">
        <f t="shared" si="10"/>
        <v>Q1-2025</v>
      </c>
      <c r="D366" t="s">
        <v>78</v>
      </c>
      <c r="E366" t="s">
        <v>108</v>
      </c>
      <c r="F366" t="s">
        <v>109</v>
      </c>
      <c r="G366" t="s">
        <v>30</v>
      </c>
      <c r="H366" s="8" t="str">
        <f t="shared" si="11"/>
        <v>High</v>
      </c>
      <c r="I366" s="4">
        <v>771.12</v>
      </c>
    </row>
    <row r="367" spans="1:9" x14ac:dyDescent="0.3">
      <c r="A367" s="13">
        <v>45727</v>
      </c>
      <c r="B367" s="4" t="str">
        <f>TEXT(Data!B367,"MMM-YYYY")</f>
        <v>Jun-2024</v>
      </c>
      <c r="C367" s="4" t="str">
        <f t="shared" si="10"/>
        <v>Q1-2025</v>
      </c>
      <c r="D367" t="s">
        <v>45</v>
      </c>
      <c r="E367" t="s">
        <v>46</v>
      </c>
      <c r="F367" t="s">
        <v>214</v>
      </c>
      <c r="G367" t="s">
        <v>22</v>
      </c>
      <c r="H367" s="8" t="str">
        <f t="shared" si="11"/>
        <v>High</v>
      </c>
      <c r="I367" s="4">
        <v>1210.04</v>
      </c>
    </row>
    <row r="368" spans="1:9" x14ac:dyDescent="0.3">
      <c r="A368" s="13">
        <v>45728</v>
      </c>
      <c r="B368" s="4" t="str">
        <f>TEXT(Data!B368,"MMM-YYYY")</f>
        <v>Mar-2025</v>
      </c>
      <c r="C368" s="4" t="str">
        <f t="shared" si="10"/>
        <v>Q1-2025</v>
      </c>
      <c r="D368" t="s">
        <v>16</v>
      </c>
      <c r="E368" t="s">
        <v>17</v>
      </c>
      <c r="F368" t="s">
        <v>113</v>
      </c>
      <c r="G368" t="s">
        <v>42</v>
      </c>
      <c r="H368" s="8" t="str">
        <f t="shared" si="11"/>
        <v>High</v>
      </c>
      <c r="I368" s="4">
        <v>3024.03</v>
      </c>
    </row>
    <row r="369" spans="1:9" x14ac:dyDescent="0.3">
      <c r="A369" s="13">
        <v>45729</v>
      </c>
      <c r="B369" s="4" t="str">
        <f>TEXT(Data!B369,"MMM-YYYY")</f>
        <v>Sept-2023</v>
      </c>
      <c r="C369" s="4" t="str">
        <f t="shared" si="10"/>
        <v>Q1-2025</v>
      </c>
      <c r="D369" t="s">
        <v>45</v>
      </c>
      <c r="E369" t="s">
        <v>60</v>
      </c>
      <c r="F369" t="s">
        <v>220</v>
      </c>
      <c r="G369" t="s">
        <v>22</v>
      </c>
      <c r="H369" s="8" t="str">
        <f t="shared" si="11"/>
        <v>High</v>
      </c>
      <c r="I369" s="4">
        <v>2303.46</v>
      </c>
    </row>
    <row r="370" spans="1:9" x14ac:dyDescent="0.3">
      <c r="A370" s="13">
        <v>45730</v>
      </c>
      <c r="B370" s="4" t="str">
        <f>TEXT(Data!B370,"MMM-YYYY")</f>
        <v>Jun-2025</v>
      </c>
      <c r="C370" s="4" t="str">
        <f t="shared" si="10"/>
        <v>Q1-2025</v>
      </c>
      <c r="D370" t="s">
        <v>52</v>
      </c>
      <c r="E370" t="s">
        <v>122</v>
      </c>
      <c r="F370" t="s">
        <v>387</v>
      </c>
      <c r="G370" t="s">
        <v>57</v>
      </c>
      <c r="H370" s="8" t="str">
        <f t="shared" si="11"/>
        <v>High</v>
      </c>
      <c r="I370" s="4">
        <v>3083.8</v>
      </c>
    </row>
    <row r="371" spans="1:9" x14ac:dyDescent="0.3">
      <c r="A371" s="13">
        <v>45731</v>
      </c>
      <c r="B371" s="4" t="str">
        <f>TEXT(Data!B371,"MMM-YYYY")</f>
        <v>Dec-2023</v>
      </c>
      <c r="C371" s="4" t="str">
        <f t="shared" si="10"/>
        <v>Q1-2025</v>
      </c>
      <c r="D371" t="s">
        <v>52</v>
      </c>
      <c r="E371" t="s">
        <v>53</v>
      </c>
      <c r="F371" t="s">
        <v>179</v>
      </c>
      <c r="G371" t="s">
        <v>30</v>
      </c>
      <c r="H371" s="8" t="str">
        <f t="shared" si="11"/>
        <v>High</v>
      </c>
      <c r="I371" s="4">
        <v>322.70999999999998</v>
      </c>
    </row>
    <row r="372" spans="1:9" x14ac:dyDescent="0.3">
      <c r="A372" s="13">
        <v>45732</v>
      </c>
      <c r="B372" s="4" t="str">
        <f>TEXT(Data!B372,"MMM-YYYY")</f>
        <v>Feb-2023</v>
      </c>
      <c r="C372" s="4" t="str">
        <f t="shared" si="10"/>
        <v>Q1-2025</v>
      </c>
      <c r="D372" t="s">
        <v>78</v>
      </c>
      <c r="E372" t="s">
        <v>90</v>
      </c>
      <c r="F372" t="s">
        <v>138</v>
      </c>
      <c r="G372" t="s">
        <v>57</v>
      </c>
      <c r="H372" s="8" t="str">
        <f t="shared" si="11"/>
        <v>High</v>
      </c>
      <c r="I372" s="4">
        <v>731.29</v>
      </c>
    </row>
    <row r="373" spans="1:9" x14ac:dyDescent="0.3">
      <c r="A373" s="13">
        <v>45733</v>
      </c>
      <c r="B373" s="4" t="str">
        <f>TEXT(Data!B373,"MMM-YYYY")</f>
        <v>Apr-2023</v>
      </c>
      <c r="C373" s="4" t="str">
        <f t="shared" si="10"/>
        <v>Q1-2025</v>
      </c>
      <c r="D373" t="s">
        <v>52</v>
      </c>
      <c r="E373" t="s">
        <v>122</v>
      </c>
      <c r="F373" t="s">
        <v>326</v>
      </c>
      <c r="G373" t="s">
        <v>42</v>
      </c>
      <c r="H373" s="8" t="str">
        <f t="shared" si="11"/>
        <v>High</v>
      </c>
      <c r="I373" s="4">
        <v>1533.95</v>
      </c>
    </row>
    <row r="374" spans="1:9" x14ac:dyDescent="0.3">
      <c r="A374" s="13">
        <v>45734</v>
      </c>
      <c r="B374" s="4" t="str">
        <f>TEXT(Data!B374,"MMM-YYYY")</f>
        <v>Apr-2025</v>
      </c>
      <c r="C374" s="4" t="str">
        <f t="shared" si="10"/>
        <v>Q1-2025</v>
      </c>
      <c r="D374" t="s">
        <v>16</v>
      </c>
      <c r="E374" t="s">
        <v>25</v>
      </c>
      <c r="F374" t="s">
        <v>67</v>
      </c>
      <c r="G374" t="s">
        <v>64</v>
      </c>
      <c r="H374" s="8" t="str">
        <f t="shared" si="11"/>
        <v>High</v>
      </c>
      <c r="I374" s="4">
        <v>1571.66</v>
      </c>
    </row>
    <row r="375" spans="1:9" x14ac:dyDescent="0.3">
      <c r="A375" s="13">
        <v>45735</v>
      </c>
      <c r="B375" s="4" t="str">
        <f>TEXT(Data!B375,"MMM-YYYY")</f>
        <v>May-2024</v>
      </c>
      <c r="C375" s="4" t="str">
        <f t="shared" si="10"/>
        <v>Q1-2025</v>
      </c>
      <c r="D375" t="s">
        <v>78</v>
      </c>
      <c r="E375" t="s">
        <v>108</v>
      </c>
      <c r="F375" t="s">
        <v>109</v>
      </c>
      <c r="G375" t="s">
        <v>30</v>
      </c>
      <c r="H375" s="8" t="str">
        <f t="shared" si="11"/>
        <v>High</v>
      </c>
      <c r="I375" s="4">
        <v>250.73</v>
      </c>
    </row>
    <row r="376" spans="1:9" x14ac:dyDescent="0.3">
      <c r="A376" s="13">
        <v>45736</v>
      </c>
      <c r="B376" s="4" t="str">
        <f>TEXT(Data!B376,"MMM-YYYY")</f>
        <v>Mar-2024</v>
      </c>
      <c r="C376" s="4" t="str">
        <f t="shared" si="10"/>
        <v>Q1-2025</v>
      </c>
      <c r="D376" t="s">
        <v>52</v>
      </c>
      <c r="E376" t="s">
        <v>122</v>
      </c>
      <c r="F376" t="s">
        <v>326</v>
      </c>
      <c r="G376" t="s">
        <v>42</v>
      </c>
      <c r="H376" s="8" t="str">
        <f t="shared" si="11"/>
        <v>High</v>
      </c>
      <c r="I376" s="4">
        <v>3472.81</v>
      </c>
    </row>
    <row r="377" spans="1:9" x14ac:dyDescent="0.3">
      <c r="A377" s="13">
        <v>45737</v>
      </c>
      <c r="B377" s="4" t="str">
        <f>TEXT(Data!B377,"MMM-YYYY")</f>
        <v>Jun-2025</v>
      </c>
      <c r="C377" s="4" t="str">
        <f t="shared" si="10"/>
        <v>Q1-2025</v>
      </c>
      <c r="D377" t="s">
        <v>45</v>
      </c>
      <c r="E377" t="s">
        <v>116</v>
      </c>
      <c r="F377" t="s">
        <v>338</v>
      </c>
      <c r="G377" t="s">
        <v>42</v>
      </c>
      <c r="H377" s="8" t="str">
        <f t="shared" si="11"/>
        <v>High</v>
      </c>
      <c r="I377" s="4">
        <v>1206.04</v>
      </c>
    </row>
    <row r="378" spans="1:9" x14ac:dyDescent="0.3">
      <c r="A378" s="13">
        <v>45738</v>
      </c>
      <c r="B378" s="4" t="str">
        <f>TEXT(Data!B378,"MMM-YYYY")</f>
        <v>Mar-2023</v>
      </c>
      <c r="C378" s="4" t="str">
        <f t="shared" si="10"/>
        <v>Q1-2025</v>
      </c>
      <c r="D378" t="s">
        <v>45</v>
      </c>
      <c r="E378" t="s">
        <v>116</v>
      </c>
      <c r="F378" t="s">
        <v>162</v>
      </c>
      <c r="G378" t="s">
        <v>35</v>
      </c>
      <c r="H378" s="8" t="str">
        <f t="shared" si="11"/>
        <v>High</v>
      </c>
      <c r="I378" s="4">
        <v>2197.23</v>
      </c>
    </row>
    <row r="379" spans="1:9" x14ac:dyDescent="0.3">
      <c r="A379" s="13">
        <v>45739</v>
      </c>
      <c r="B379" s="4" t="str">
        <f>TEXT(Data!B379,"MMM-YYYY")</f>
        <v>Jan-2025</v>
      </c>
      <c r="C379" s="4" t="str">
        <f t="shared" si="10"/>
        <v>Q1-2025</v>
      </c>
      <c r="D379" t="s">
        <v>16</v>
      </c>
      <c r="E379" t="s">
        <v>148</v>
      </c>
      <c r="F379" t="s">
        <v>172</v>
      </c>
      <c r="G379" t="s">
        <v>22</v>
      </c>
      <c r="H379" s="8" t="str">
        <f t="shared" si="11"/>
        <v>High</v>
      </c>
      <c r="I379" s="4">
        <v>1620.6</v>
      </c>
    </row>
    <row r="380" spans="1:9" x14ac:dyDescent="0.3">
      <c r="A380" s="13">
        <v>45740</v>
      </c>
      <c r="B380" s="4" t="str">
        <f>TEXT(Data!B380,"MMM-YYYY")</f>
        <v>Feb-2025</v>
      </c>
      <c r="C380" s="4" t="str">
        <f t="shared" si="10"/>
        <v>Q1-2025</v>
      </c>
      <c r="D380" t="s">
        <v>16</v>
      </c>
      <c r="E380" t="s">
        <v>148</v>
      </c>
      <c r="F380" t="s">
        <v>258</v>
      </c>
      <c r="G380" t="s">
        <v>35</v>
      </c>
      <c r="H380" s="8" t="str">
        <f t="shared" si="11"/>
        <v>High</v>
      </c>
      <c r="I380" s="4">
        <v>1034.6600000000001</v>
      </c>
    </row>
    <row r="381" spans="1:9" x14ac:dyDescent="0.3">
      <c r="A381" s="13">
        <v>45741</v>
      </c>
      <c r="B381" s="4" t="str">
        <f>TEXT(Data!B381,"MMM-YYYY")</f>
        <v>Jan-2025</v>
      </c>
      <c r="C381" s="4" t="str">
        <f t="shared" si="10"/>
        <v>Q1-2025</v>
      </c>
      <c r="D381" t="s">
        <v>52</v>
      </c>
      <c r="E381" t="s">
        <v>73</v>
      </c>
      <c r="F381" t="s">
        <v>74</v>
      </c>
      <c r="G381" t="s">
        <v>35</v>
      </c>
      <c r="H381" s="8" t="str">
        <f t="shared" si="11"/>
        <v>High</v>
      </c>
      <c r="I381" s="4">
        <v>1905.42</v>
      </c>
    </row>
    <row r="382" spans="1:9" x14ac:dyDescent="0.3">
      <c r="A382" s="13">
        <v>45742</v>
      </c>
      <c r="B382" s="4" t="str">
        <f>TEXT(Data!B382,"MMM-YYYY")</f>
        <v>Aug-2025</v>
      </c>
      <c r="C382" s="4" t="str">
        <f t="shared" si="10"/>
        <v>Q1-2025</v>
      </c>
      <c r="D382" t="s">
        <v>78</v>
      </c>
      <c r="E382" t="s">
        <v>108</v>
      </c>
      <c r="F382" t="s">
        <v>152</v>
      </c>
      <c r="G382" t="s">
        <v>22</v>
      </c>
      <c r="H382" s="8" t="str">
        <f t="shared" si="11"/>
        <v>High</v>
      </c>
      <c r="I382" s="4">
        <v>541.55999999999995</v>
      </c>
    </row>
    <row r="383" spans="1:9" x14ac:dyDescent="0.3">
      <c r="A383" s="13">
        <v>45743</v>
      </c>
      <c r="B383" s="4" t="str">
        <f>TEXT(Data!B383,"MMM-YYYY")</f>
        <v>Jul-2025</v>
      </c>
      <c r="C383" s="4" t="str">
        <f t="shared" si="10"/>
        <v>Q1-2025</v>
      </c>
      <c r="D383" t="s">
        <v>52</v>
      </c>
      <c r="E383" t="s">
        <v>53</v>
      </c>
      <c r="F383" t="s">
        <v>144</v>
      </c>
      <c r="G383" t="s">
        <v>35</v>
      </c>
      <c r="H383" s="8" t="str">
        <f t="shared" si="11"/>
        <v>High</v>
      </c>
      <c r="I383" s="4">
        <v>1116.5999999999999</v>
      </c>
    </row>
    <row r="384" spans="1:9" x14ac:dyDescent="0.3">
      <c r="A384" s="13">
        <v>45744</v>
      </c>
      <c r="B384" s="4" t="str">
        <f>TEXT(Data!B384,"MMM-YYYY")</f>
        <v>Jun-2023</v>
      </c>
      <c r="C384" s="4" t="str">
        <f t="shared" si="10"/>
        <v>Q1-2025</v>
      </c>
      <c r="D384" t="s">
        <v>78</v>
      </c>
      <c r="E384" t="s">
        <v>108</v>
      </c>
      <c r="F384" t="s">
        <v>109</v>
      </c>
      <c r="G384" t="s">
        <v>30</v>
      </c>
      <c r="H384" s="8" t="str">
        <f t="shared" si="11"/>
        <v>High</v>
      </c>
      <c r="I384" s="4">
        <v>1455</v>
      </c>
    </row>
    <row r="385" spans="1:9" x14ac:dyDescent="0.3">
      <c r="A385" s="13">
        <v>45745</v>
      </c>
      <c r="B385" s="4" t="str">
        <f>TEXT(Data!B385,"MMM-YYYY")</f>
        <v>Jul-2024</v>
      </c>
      <c r="C385" s="4" t="str">
        <f t="shared" si="10"/>
        <v>Q1-2025</v>
      </c>
      <c r="D385" t="s">
        <v>52</v>
      </c>
      <c r="E385" t="s">
        <v>122</v>
      </c>
      <c r="F385" t="s">
        <v>387</v>
      </c>
      <c r="G385" t="s">
        <v>35</v>
      </c>
      <c r="H385" s="8" t="str">
        <f t="shared" si="11"/>
        <v>High</v>
      </c>
      <c r="I385" s="4">
        <v>1278.3</v>
      </c>
    </row>
    <row r="386" spans="1:9" x14ac:dyDescent="0.3">
      <c r="A386" s="13">
        <v>45746</v>
      </c>
      <c r="B386" s="4" t="str">
        <f>TEXT(Data!B386,"MMM-YYYY")</f>
        <v>May-2023</v>
      </c>
      <c r="C386" s="4" t="str">
        <f t="shared" ref="C386:C449" si="12">"Q"&amp;ROUNDUP(MONTH(A386)/3,0)&amp;"-"&amp;YEAR(A386)</f>
        <v>Q1-2025</v>
      </c>
      <c r="D386" t="s">
        <v>78</v>
      </c>
      <c r="E386" t="s">
        <v>90</v>
      </c>
      <c r="F386" t="s">
        <v>91</v>
      </c>
      <c r="G386" t="s">
        <v>64</v>
      </c>
      <c r="H386" s="8" t="str">
        <f t="shared" ref="H386:H449" si="13">IF(I386&lt;50, "Low", IF(I386&lt;200, "Medium", "High"))</f>
        <v>High</v>
      </c>
      <c r="I386" s="4">
        <v>899.83</v>
      </c>
    </row>
    <row r="387" spans="1:9" x14ac:dyDescent="0.3">
      <c r="A387" s="13">
        <v>45747</v>
      </c>
      <c r="B387" s="4" t="str">
        <f>TEXT(Data!B387,"MMM-YYYY")</f>
        <v>May-2025</v>
      </c>
      <c r="C387" s="4" t="str">
        <f t="shared" si="12"/>
        <v>Q1-2025</v>
      </c>
      <c r="D387" t="s">
        <v>45</v>
      </c>
      <c r="E387" t="s">
        <v>60</v>
      </c>
      <c r="F387" t="s">
        <v>141</v>
      </c>
      <c r="G387" t="s">
        <v>57</v>
      </c>
      <c r="H387" s="8" t="str">
        <f t="shared" si="13"/>
        <v>High</v>
      </c>
      <c r="I387" s="4">
        <v>878.73</v>
      </c>
    </row>
    <row r="388" spans="1:9" x14ac:dyDescent="0.3">
      <c r="A388" s="13">
        <v>45748</v>
      </c>
      <c r="B388" s="4" t="str">
        <f>TEXT(Data!B388,"MMM-YYYY")</f>
        <v>May-2024</v>
      </c>
      <c r="C388" s="4" t="str">
        <f t="shared" si="12"/>
        <v>Q2-2025</v>
      </c>
      <c r="D388" t="s">
        <v>45</v>
      </c>
      <c r="E388" t="s">
        <v>60</v>
      </c>
      <c r="F388" t="s">
        <v>281</v>
      </c>
      <c r="G388" t="s">
        <v>30</v>
      </c>
      <c r="H388" s="8" t="str">
        <f t="shared" si="13"/>
        <v>High</v>
      </c>
      <c r="I388" s="4">
        <v>594.41999999999996</v>
      </c>
    </row>
    <row r="389" spans="1:9" x14ac:dyDescent="0.3">
      <c r="A389" s="13">
        <v>45749</v>
      </c>
      <c r="B389" s="4" t="str">
        <f>TEXT(Data!B389,"MMM-YYYY")</f>
        <v>Sept-2023</v>
      </c>
      <c r="C389" s="4" t="str">
        <f t="shared" si="12"/>
        <v>Q2-2025</v>
      </c>
      <c r="D389" t="s">
        <v>16</v>
      </c>
      <c r="E389" t="s">
        <v>25</v>
      </c>
      <c r="F389" t="s">
        <v>67</v>
      </c>
      <c r="G389" t="s">
        <v>57</v>
      </c>
      <c r="H389" s="8" t="str">
        <f t="shared" si="13"/>
        <v>High</v>
      </c>
      <c r="I389" s="4">
        <v>1617.85</v>
      </c>
    </row>
    <row r="390" spans="1:9" x14ac:dyDescent="0.3">
      <c r="A390" s="13">
        <v>45750</v>
      </c>
      <c r="B390" s="4" t="str">
        <f>TEXT(Data!B390,"MMM-YYYY")</f>
        <v>Oct-2023</v>
      </c>
      <c r="C390" s="4" t="str">
        <f t="shared" si="12"/>
        <v>Q2-2025</v>
      </c>
      <c r="D390" t="s">
        <v>45</v>
      </c>
      <c r="E390" t="s">
        <v>116</v>
      </c>
      <c r="F390" t="s">
        <v>338</v>
      </c>
      <c r="G390" t="s">
        <v>57</v>
      </c>
      <c r="H390" s="8" t="str">
        <f t="shared" si="13"/>
        <v>High</v>
      </c>
      <c r="I390" s="4">
        <v>972.91</v>
      </c>
    </row>
    <row r="391" spans="1:9" x14ac:dyDescent="0.3">
      <c r="A391" s="13">
        <v>45751</v>
      </c>
      <c r="B391" s="4" t="str">
        <f>TEXT(Data!B391,"MMM-YYYY")</f>
        <v>Jun-2025</v>
      </c>
      <c r="C391" s="4" t="str">
        <f t="shared" si="12"/>
        <v>Q2-2025</v>
      </c>
      <c r="D391" t="s">
        <v>16</v>
      </c>
      <c r="E391" t="s">
        <v>148</v>
      </c>
      <c r="F391" t="s">
        <v>258</v>
      </c>
      <c r="G391" t="s">
        <v>57</v>
      </c>
      <c r="H391" s="8" t="str">
        <f t="shared" si="13"/>
        <v>Low</v>
      </c>
      <c r="I391" s="4">
        <v>42.56</v>
      </c>
    </row>
    <row r="392" spans="1:9" x14ac:dyDescent="0.3">
      <c r="A392" s="13">
        <v>45752</v>
      </c>
      <c r="B392" s="4" t="str">
        <f>TEXT(Data!B392,"MMM-YYYY")</f>
        <v>Aug-2024</v>
      </c>
      <c r="C392" s="4" t="str">
        <f t="shared" si="12"/>
        <v>Q2-2025</v>
      </c>
      <c r="D392" t="s">
        <v>16</v>
      </c>
      <c r="E392" t="s">
        <v>148</v>
      </c>
      <c r="F392" t="s">
        <v>149</v>
      </c>
      <c r="G392" t="s">
        <v>64</v>
      </c>
      <c r="H392" s="8" t="str">
        <f t="shared" si="13"/>
        <v>High</v>
      </c>
      <c r="I392" s="4">
        <v>1480.83</v>
      </c>
    </row>
    <row r="393" spans="1:9" x14ac:dyDescent="0.3">
      <c r="A393" s="13">
        <v>45753</v>
      </c>
      <c r="B393" s="4" t="str">
        <f>TEXT(Data!B393,"MMM-YYYY")</f>
        <v>Oct-2023</v>
      </c>
      <c r="C393" s="4" t="str">
        <f t="shared" si="12"/>
        <v>Q2-2025</v>
      </c>
      <c r="D393" t="s">
        <v>78</v>
      </c>
      <c r="E393" t="s">
        <v>90</v>
      </c>
      <c r="F393" t="s">
        <v>91</v>
      </c>
      <c r="G393" t="s">
        <v>30</v>
      </c>
      <c r="H393" s="8" t="str">
        <f t="shared" si="13"/>
        <v>High</v>
      </c>
      <c r="I393" s="4">
        <v>564.26</v>
      </c>
    </row>
    <row r="394" spans="1:9" x14ac:dyDescent="0.3">
      <c r="A394" s="13">
        <v>45754</v>
      </c>
      <c r="B394" s="4" t="str">
        <f>TEXT(Data!B394,"MMM-YYYY")</f>
        <v>Mar-2024</v>
      </c>
      <c r="C394" s="4" t="str">
        <f t="shared" si="12"/>
        <v>Q2-2025</v>
      </c>
      <c r="D394" t="s">
        <v>45</v>
      </c>
      <c r="E394" t="s">
        <v>116</v>
      </c>
      <c r="F394" t="s">
        <v>162</v>
      </c>
      <c r="G394" t="s">
        <v>22</v>
      </c>
      <c r="H394" s="8" t="str">
        <f t="shared" si="13"/>
        <v>High</v>
      </c>
      <c r="I394" s="4">
        <v>2137.21</v>
      </c>
    </row>
    <row r="395" spans="1:9" x14ac:dyDescent="0.3">
      <c r="A395" s="13">
        <v>45755</v>
      </c>
      <c r="B395" s="4" t="str">
        <f>TEXT(Data!B395,"MMM-YYYY")</f>
        <v>May-2023</v>
      </c>
      <c r="C395" s="4" t="str">
        <f t="shared" si="12"/>
        <v>Q2-2025</v>
      </c>
      <c r="D395" t="s">
        <v>52</v>
      </c>
      <c r="E395" t="s">
        <v>122</v>
      </c>
      <c r="F395" t="s">
        <v>167</v>
      </c>
      <c r="G395" t="s">
        <v>42</v>
      </c>
      <c r="H395" s="8" t="str">
        <f t="shared" si="13"/>
        <v>High</v>
      </c>
      <c r="I395" s="4">
        <v>1680.93</v>
      </c>
    </row>
    <row r="396" spans="1:9" x14ac:dyDescent="0.3">
      <c r="A396" s="13">
        <v>45756</v>
      </c>
      <c r="B396" s="4" t="str">
        <f>TEXT(Data!B396,"MMM-YYYY")</f>
        <v>May-2025</v>
      </c>
      <c r="C396" s="4" t="str">
        <f t="shared" si="12"/>
        <v>Q2-2025</v>
      </c>
      <c r="D396" t="s">
        <v>78</v>
      </c>
      <c r="E396" t="s">
        <v>108</v>
      </c>
      <c r="F396" t="s">
        <v>152</v>
      </c>
      <c r="G396" t="s">
        <v>22</v>
      </c>
      <c r="H396" s="8" t="str">
        <f t="shared" si="13"/>
        <v>High</v>
      </c>
      <c r="I396" s="4">
        <v>2905.06</v>
      </c>
    </row>
    <row r="397" spans="1:9" x14ac:dyDescent="0.3">
      <c r="A397" s="13">
        <v>45757</v>
      </c>
      <c r="B397" s="4" t="str">
        <f>TEXT(Data!B397,"MMM-YYYY")</f>
        <v>Aug-2025</v>
      </c>
      <c r="C397" s="4" t="str">
        <f t="shared" si="12"/>
        <v>Q2-2025</v>
      </c>
      <c r="D397" t="s">
        <v>45</v>
      </c>
      <c r="E397" t="s">
        <v>46</v>
      </c>
      <c r="F397" t="s">
        <v>47</v>
      </c>
      <c r="G397" t="s">
        <v>81</v>
      </c>
      <c r="H397" s="8" t="str">
        <f t="shared" si="13"/>
        <v>High</v>
      </c>
      <c r="I397" s="4">
        <v>842.09</v>
      </c>
    </row>
    <row r="398" spans="1:9" x14ac:dyDescent="0.3">
      <c r="A398" s="13">
        <v>45758</v>
      </c>
      <c r="B398" s="4" t="str">
        <f>TEXT(Data!B398,"MMM-YYYY")</f>
        <v>Dec-2024</v>
      </c>
      <c r="C398" s="4" t="str">
        <f t="shared" si="12"/>
        <v>Q2-2025</v>
      </c>
      <c r="D398" t="s">
        <v>78</v>
      </c>
      <c r="E398" t="s">
        <v>79</v>
      </c>
      <c r="F398" t="s">
        <v>80</v>
      </c>
      <c r="G398" t="s">
        <v>64</v>
      </c>
      <c r="H398" s="8" t="str">
        <f t="shared" si="13"/>
        <v>High</v>
      </c>
      <c r="I398" s="4">
        <v>3131.37</v>
      </c>
    </row>
    <row r="399" spans="1:9" x14ac:dyDescent="0.3">
      <c r="A399" s="13">
        <v>45759</v>
      </c>
      <c r="B399" s="4" t="str">
        <f>TEXT(Data!B399,"MMM-YYYY")</f>
        <v>Sept-2025</v>
      </c>
      <c r="C399" s="4" t="str">
        <f t="shared" si="12"/>
        <v>Q2-2025</v>
      </c>
      <c r="D399" t="s">
        <v>45</v>
      </c>
      <c r="E399" t="s">
        <v>46</v>
      </c>
      <c r="F399" t="s">
        <v>214</v>
      </c>
      <c r="G399" t="s">
        <v>57</v>
      </c>
      <c r="H399" s="8" t="str">
        <f t="shared" si="13"/>
        <v>High</v>
      </c>
      <c r="I399" s="4">
        <v>1444.72</v>
      </c>
    </row>
    <row r="400" spans="1:9" x14ac:dyDescent="0.3">
      <c r="A400" s="13">
        <v>45760</v>
      </c>
      <c r="B400" s="4" t="str">
        <f>TEXT(Data!B400,"MMM-YYYY")</f>
        <v>Sept-2024</v>
      </c>
      <c r="C400" s="4" t="str">
        <f t="shared" si="12"/>
        <v>Q2-2025</v>
      </c>
      <c r="D400" t="s">
        <v>16</v>
      </c>
      <c r="E400" t="s">
        <v>148</v>
      </c>
      <c r="F400" t="s">
        <v>172</v>
      </c>
      <c r="G400" t="s">
        <v>22</v>
      </c>
      <c r="H400" s="8" t="str">
        <f t="shared" si="13"/>
        <v>High</v>
      </c>
      <c r="I400" s="4">
        <v>2875.8</v>
      </c>
    </row>
    <row r="401" spans="1:9" x14ac:dyDescent="0.3">
      <c r="A401" s="13">
        <v>45761</v>
      </c>
      <c r="B401" s="4" t="str">
        <f>TEXT(Data!B401,"MMM-YYYY")</f>
        <v>Apr-2025</v>
      </c>
      <c r="C401" s="4" t="str">
        <f t="shared" si="12"/>
        <v>Q2-2025</v>
      </c>
      <c r="D401" t="s">
        <v>16</v>
      </c>
      <c r="E401" t="s">
        <v>148</v>
      </c>
      <c r="F401" t="s">
        <v>258</v>
      </c>
      <c r="G401" t="s">
        <v>64</v>
      </c>
      <c r="H401" s="8" t="str">
        <f t="shared" si="13"/>
        <v>High</v>
      </c>
      <c r="I401" s="4">
        <v>1641.61</v>
      </c>
    </row>
    <row r="402" spans="1:9" x14ac:dyDescent="0.3">
      <c r="A402" s="13">
        <v>45762</v>
      </c>
      <c r="B402" s="4" t="str">
        <f>TEXT(Data!B402,"MMM-YYYY")</f>
        <v>Aug-2024</v>
      </c>
      <c r="C402" s="4" t="str">
        <f t="shared" si="12"/>
        <v>Q2-2025</v>
      </c>
      <c r="D402" t="s">
        <v>16</v>
      </c>
      <c r="E402" t="s">
        <v>17</v>
      </c>
      <c r="F402" t="s">
        <v>18</v>
      </c>
      <c r="G402" t="s">
        <v>35</v>
      </c>
      <c r="H402" s="8" t="str">
        <f t="shared" si="13"/>
        <v>High</v>
      </c>
      <c r="I402" s="4">
        <v>1299.02</v>
      </c>
    </row>
    <row r="403" spans="1:9" x14ac:dyDescent="0.3">
      <c r="A403" s="13">
        <v>45763</v>
      </c>
      <c r="B403" s="4" t="str">
        <f>TEXT(Data!B403,"MMM-YYYY")</f>
        <v>Nov-2024</v>
      </c>
      <c r="C403" s="4" t="str">
        <f t="shared" si="12"/>
        <v>Q2-2025</v>
      </c>
      <c r="D403" t="s">
        <v>52</v>
      </c>
      <c r="E403" t="s">
        <v>122</v>
      </c>
      <c r="F403" t="s">
        <v>123</v>
      </c>
      <c r="G403" t="s">
        <v>30</v>
      </c>
      <c r="H403" s="8" t="str">
        <f t="shared" si="13"/>
        <v>High</v>
      </c>
      <c r="I403" s="4">
        <v>1118.56</v>
      </c>
    </row>
    <row r="404" spans="1:9" x14ac:dyDescent="0.3">
      <c r="A404" s="13">
        <v>45764</v>
      </c>
      <c r="B404" s="4" t="str">
        <f>TEXT(Data!B404,"MMM-YYYY")</f>
        <v>Jul-2024</v>
      </c>
      <c r="C404" s="4" t="str">
        <f t="shared" si="12"/>
        <v>Q2-2025</v>
      </c>
      <c r="D404" t="s">
        <v>52</v>
      </c>
      <c r="E404" t="s">
        <v>53</v>
      </c>
      <c r="F404" t="s">
        <v>54</v>
      </c>
      <c r="G404" t="s">
        <v>22</v>
      </c>
      <c r="H404" s="8" t="str">
        <f t="shared" si="13"/>
        <v>High</v>
      </c>
      <c r="I404" s="4">
        <v>1184.71</v>
      </c>
    </row>
    <row r="405" spans="1:9" x14ac:dyDescent="0.3">
      <c r="A405" s="13">
        <v>45765</v>
      </c>
      <c r="B405" s="4" t="str">
        <f>TEXT(Data!B405,"MMM-YYYY")</f>
        <v>Jan-2025</v>
      </c>
      <c r="C405" s="4" t="str">
        <f t="shared" si="12"/>
        <v>Q2-2025</v>
      </c>
      <c r="D405" t="s">
        <v>78</v>
      </c>
      <c r="E405" t="s">
        <v>90</v>
      </c>
      <c r="F405" t="s">
        <v>91</v>
      </c>
      <c r="G405" t="s">
        <v>57</v>
      </c>
      <c r="H405" s="8" t="str">
        <f t="shared" si="13"/>
        <v>High</v>
      </c>
      <c r="I405" s="4">
        <v>1201.47</v>
      </c>
    </row>
    <row r="406" spans="1:9" x14ac:dyDescent="0.3">
      <c r="A406" s="13">
        <v>45766</v>
      </c>
      <c r="B406" s="4" t="str">
        <f>TEXT(Data!B406,"MMM-YYYY")</f>
        <v>Mar-2023</v>
      </c>
      <c r="C406" s="4" t="str">
        <f t="shared" si="12"/>
        <v>Q2-2025</v>
      </c>
      <c r="D406" t="s">
        <v>52</v>
      </c>
      <c r="E406" t="s">
        <v>73</v>
      </c>
      <c r="F406" t="s">
        <v>87</v>
      </c>
      <c r="G406" t="s">
        <v>22</v>
      </c>
      <c r="H406" s="8" t="str">
        <f t="shared" si="13"/>
        <v>High</v>
      </c>
      <c r="I406" s="4">
        <v>880.99</v>
      </c>
    </row>
    <row r="407" spans="1:9" x14ac:dyDescent="0.3">
      <c r="A407" s="13">
        <v>45767</v>
      </c>
      <c r="B407" s="4" t="str">
        <f>TEXT(Data!B407,"MMM-YYYY")</f>
        <v>Dec-2024</v>
      </c>
      <c r="C407" s="4" t="str">
        <f t="shared" si="12"/>
        <v>Q2-2025</v>
      </c>
      <c r="D407" t="s">
        <v>45</v>
      </c>
      <c r="E407" t="s">
        <v>116</v>
      </c>
      <c r="F407" t="s">
        <v>338</v>
      </c>
      <c r="G407" t="s">
        <v>64</v>
      </c>
      <c r="H407" s="8" t="str">
        <f t="shared" si="13"/>
        <v>High</v>
      </c>
      <c r="I407" s="4">
        <v>2050.87</v>
      </c>
    </row>
    <row r="408" spans="1:9" x14ac:dyDescent="0.3">
      <c r="A408" s="13">
        <v>45768</v>
      </c>
      <c r="B408" s="4" t="str">
        <f>TEXT(Data!B408,"MMM-YYYY")</f>
        <v>Feb-2025</v>
      </c>
      <c r="C408" s="4" t="str">
        <f t="shared" si="12"/>
        <v>Q2-2025</v>
      </c>
      <c r="D408" t="s">
        <v>45</v>
      </c>
      <c r="E408" t="s">
        <v>60</v>
      </c>
      <c r="F408" t="s">
        <v>141</v>
      </c>
      <c r="G408" t="s">
        <v>30</v>
      </c>
      <c r="H408" s="8" t="str">
        <f t="shared" si="13"/>
        <v>High</v>
      </c>
      <c r="I408" s="4">
        <v>1737.9</v>
      </c>
    </row>
    <row r="409" spans="1:9" x14ac:dyDescent="0.3">
      <c r="A409" s="13">
        <v>45769</v>
      </c>
      <c r="B409" s="4" t="str">
        <f>TEXT(Data!B409,"MMM-YYYY")</f>
        <v>Mar-2025</v>
      </c>
      <c r="C409" s="4" t="str">
        <f t="shared" si="12"/>
        <v>Q2-2025</v>
      </c>
      <c r="D409" t="s">
        <v>16</v>
      </c>
      <c r="E409" t="s">
        <v>25</v>
      </c>
      <c r="F409" t="s">
        <v>67</v>
      </c>
      <c r="G409" t="s">
        <v>42</v>
      </c>
      <c r="H409" s="8" t="str">
        <f t="shared" si="13"/>
        <v>High</v>
      </c>
      <c r="I409" s="4">
        <v>1388.31</v>
      </c>
    </row>
    <row r="410" spans="1:9" x14ac:dyDescent="0.3">
      <c r="A410" s="13">
        <v>45770</v>
      </c>
      <c r="B410" s="4" t="str">
        <f>TEXT(Data!B410,"MMM-YYYY")</f>
        <v>Dec-2023</v>
      </c>
      <c r="C410" s="4" t="str">
        <f t="shared" si="12"/>
        <v>Q2-2025</v>
      </c>
      <c r="D410" t="s">
        <v>45</v>
      </c>
      <c r="E410" t="s">
        <v>60</v>
      </c>
      <c r="F410" t="s">
        <v>61</v>
      </c>
      <c r="G410" t="s">
        <v>57</v>
      </c>
      <c r="H410" s="8" t="str">
        <f t="shared" si="13"/>
        <v>High</v>
      </c>
      <c r="I410" s="4">
        <v>529.14</v>
      </c>
    </row>
    <row r="411" spans="1:9" x14ac:dyDescent="0.3">
      <c r="A411" s="13">
        <v>45771</v>
      </c>
      <c r="B411" s="4" t="str">
        <f>TEXT(Data!B411,"MMM-YYYY")</f>
        <v>Aug-2024</v>
      </c>
      <c r="C411" s="4" t="str">
        <f t="shared" si="12"/>
        <v>Q2-2025</v>
      </c>
      <c r="D411" t="s">
        <v>45</v>
      </c>
      <c r="E411" t="s">
        <v>116</v>
      </c>
      <c r="F411" t="s">
        <v>338</v>
      </c>
      <c r="G411" t="s">
        <v>81</v>
      </c>
      <c r="H411" s="8" t="str">
        <f t="shared" si="13"/>
        <v>High</v>
      </c>
      <c r="I411" s="4">
        <v>1972.38</v>
      </c>
    </row>
    <row r="412" spans="1:9" x14ac:dyDescent="0.3">
      <c r="A412" s="13">
        <v>45772</v>
      </c>
      <c r="B412" s="4" t="str">
        <f>TEXT(Data!B412,"MMM-YYYY")</f>
        <v>May-2024</v>
      </c>
      <c r="C412" s="4" t="str">
        <f t="shared" si="12"/>
        <v>Q2-2025</v>
      </c>
      <c r="D412" t="s">
        <v>45</v>
      </c>
      <c r="E412" t="s">
        <v>46</v>
      </c>
      <c r="F412" t="s">
        <v>231</v>
      </c>
      <c r="G412" t="s">
        <v>57</v>
      </c>
      <c r="H412" s="8" t="str">
        <f t="shared" si="13"/>
        <v>High</v>
      </c>
      <c r="I412" s="4">
        <v>876.81</v>
      </c>
    </row>
    <row r="413" spans="1:9" x14ac:dyDescent="0.3">
      <c r="A413" s="13">
        <v>45773</v>
      </c>
      <c r="B413" s="4" t="str">
        <f>TEXT(Data!B413,"MMM-YYYY")</f>
        <v>Mar-2023</v>
      </c>
      <c r="C413" s="4" t="str">
        <f t="shared" si="12"/>
        <v>Q2-2025</v>
      </c>
      <c r="D413" t="s">
        <v>78</v>
      </c>
      <c r="E413" t="s">
        <v>90</v>
      </c>
      <c r="F413" t="s">
        <v>91</v>
      </c>
      <c r="G413" t="s">
        <v>30</v>
      </c>
      <c r="H413" s="8" t="str">
        <f t="shared" si="13"/>
        <v>High</v>
      </c>
      <c r="I413" s="4">
        <v>824.26</v>
      </c>
    </row>
    <row r="414" spans="1:9" x14ac:dyDescent="0.3">
      <c r="A414" s="13">
        <v>45774</v>
      </c>
      <c r="B414" s="4" t="str">
        <f>TEXT(Data!B414,"MMM-YYYY")</f>
        <v>Aug-2023</v>
      </c>
      <c r="C414" s="4" t="str">
        <f t="shared" si="12"/>
        <v>Q2-2025</v>
      </c>
      <c r="D414" t="s">
        <v>78</v>
      </c>
      <c r="E414" t="s">
        <v>79</v>
      </c>
      <c r="F414" t="s">
        <v>159</v>
      </c>
      <c r="G414" t="s">
        <v>42</v>
      </c>
      <c r="H414" s="8" t="str">
        <f t="shared" si="13"/>
        <v>High</v>
      </c>
      <c r="I414" s="4">
        <v>1159.3499999999999</v>
      </c>
    </row>
    <row r="415" spans="1:9" x14ac:dyDescent="0.3">
      <c r="A415" s="13">
        <v>45775</v>
      </c>
      <c r="B415" s="4" t="str">
        <f>TEXT(Data!B415,"MMM-YYYY")</f>
        <v>Jun-2024</v>
      </c>
      <c r="C415" s="4" t="str">
        <f t="shared" si="12"/>
        <v>Q2-2025</v>
      </c>
      <c r="D415" t="s">
        <v>16</v>
      </c>
      <c r="E415" t="s">
        <v>25</v>
      </c>
      <c r="F415" t="s">
        <v>67</v>
      </c>
      <c r="G415" t="s">
        <v>42</v>
      </c>
      <c r="H415" s="8" t="str">
        <f t="shared" si="13"/>
        <v>High</v>
      </c>
      <c r="I415" s="4">
        <v>2513.5100000000002</v>
      </c>
    </row>
    <row r="416" spans="1:9" x14ac:dyDescent="0.3">
      <c r="A416" s="13">
        <v>45776</v>
      </c>
      <c r="B416" s="4" t="str">
        <f>TEXT(Data!B416,"MMM-YYYY")</f>
        <v>Aug-2023</v>
      </c>
      <c r="C416" s="4" t="str">
        <f t="shared" si="12"/>
        <v>Q2-2025</v>
      </c>
      <c r="D416" t="s">
        <v>45</v>
      </c>
      <c r="E416" t="s">
        <v>60</v>
      </c>
      <c r="F416" t="s">
        <v>61</v>
      </c>
      <c r="G416" t="s">
        <v>35</v>
      </c>
      <c r="H416" s="8" t="str">
        <f t="shared" si="13"/>
        <v>High</v>
      </c>
      <c r="I416" s="4">
        <v>3087.13</v>
      </c>
    </row>
    <row r="417" spans="1:9" x14ac:dyDescent="0.3">
      <c r="A417" s="13">
        <v>45777</v>
      </c>
      <c r="B417" s="4" t="str">
        <f>TEXT(Data!B417,"MMM-YYYY")</f>
        <v>Nov-2024</v>
      </c>
      <c r="C417" s="4" t="str">
        <f t="shared" si="12"/>
        <v>Q2-2025</v>
      </c>
      <c r="D417" t="s">
        <v>52</v>
      </c>
      <c r="E417" t="s">
        <v>53</v>
      </c>
      <c r="F417" t="s">
        <v>179</v>
      </c>
      <c r="G417" t="s">
        <v>30</v>
      </c>
      <c r="H417" s="8" t="str">
        <f t="shared" si="13"/>
        <v>High</v>
      </c>
      <c r="I417" s="4">
        <v>2717.15</v>
      </c>
    </row>
    <row r="418" spans="1:9" x14ac:dyDescent="0.3">
      <c r="A418" s="13">
        <v>45778</v>
      </c>
      <c r="B418" s="4" t="str">
        <f>TEXT(Data!B418,"MMM-YYYY")</f>
        <v>Jun-2025</v>
      </c>
      <c r="C418" s="4" t="str">
        <f t="shared" si="12"/>
        <v>Q2-2025</v>
      </c>
      <c r="D418" t="s">
        <v>45</v>
      </c>
      <c r="E418" t="s">
        <v>60</v>
      </c>
      <c r="F418" t="s">
        <v>281</v>
      </c>
      <c r="G418" t="s">
        <v>81</v>
      </c>
      <c r="H418" s="8" t="str">
        <f t="shared" si="13"/>
        <v>High</v>
      </c>
      <c r="I418" s="4">
        <v>901.79</v>
      </c>
    </row>
    <row r="419" spans="1:9" x14ac:dyDescent="0.3">
      <c r="A419" s="13">
        <v>45779</v>
      </c>
      <c r="B419" s="4" t="str">
        <f>TEXT(Data!B419,"MMM-YYYY")</f>
        <v>Mar-2025</v>
      </c>
      <c r="C419" s="4" t="str">
        <f t="shared" si="12"/>
        <v>Q2-2025</v>
      </c>
      <c r="D419" t="s">
        <v>45</v>
      </c>
      <c r="E419" t="s">
        <v>60</v>
      </c>
      <c r="F419" t="s">
        <v>141</v>
      </c>
      <c r="G419" t="s">
        <v>81</v>
      </c>
      <c r="H419" s="8" t="str">
        <f t="shared" si="13"/>
        <v>High</v>
      </c>
      <c r="I419" s="4">
        <v>796.15</v>
      </c>
    </row>
    <row r="420" spans="1:9" x14ac:dyDescent="0.3">
      <c r="A420" s="13">
        <v>45780</v>
      </c>
      <c r="B420" s="4" t="str">
        <f>TEXT(Data!B420,"MMM-YYYY")</f>
        <v>Jan-2024</v>
      </c>
      <c r="C420" s="4" t="str">
        <f t="shared" si="12"/>
        <v>Q2-2025</v>
      </c>
      <c r="D420" t="s">
        <v>45</v>
      </c>
      <c r="E420" t="s">
        <v>116</v>
      </c>
      <c r="F420" t="s">
        <v>1364</v>
      </c>
      <c r="G420" t="s">
        <v>30</v>
      </c>
      <c r="H420" s="8" t="str">
        <f t="shared" si="13"/>
        <v>Medium</v>
      </c>
      <c r="I420" s="4">
        <v>157.82</v>
      </c>
    </row>
    <row r="421" spans="1:9" x14ac:dyDescent="0.3">
      <c r="A421" s="13">
        <v>45781</v>
      </c>
      <c r="B421" s="4" t="str">
        <f>TEXT(Data!B421,"MMM-YYYY")</f>
        <v>Oct-2023</v>
      </c>
      <c r="C421" s="4" t="str">
        <f t="shared" si="12"/>
        <v>Q2-2025</v>
      </c>
      <c r="D421" t="s">
        <v>78</v>
      </c>
      <c r="E421" t="s">
        <v>79</v>
      </c>
      <c r="F421" t="s">
        <v>335</v>
      </c>
      <c r="G421" t="s">
        <v>64</v>
      </c>
      <c r="H421" s="8" t="str">
        <f t="shared" si="13"/>
        <v>High</v>
      </c>
      <c r="I421" s="4">
        <v>819.06</v>
      </c>
    </row>
    <row r="422" spans="1:9" x14ac:dyDescent="0.3">
      <c r="A422" s="13">
        <v>45782</v>
      </c>
      <c r="B422" s="4" t="str">
        <f>TEXT(Data!B422,"MMM-YYYY")</f>
        <v>Feb-2025</v>
      </c>
      <c r="C422" s="4" t="str">
        <f t="shared" si="12"/>
        <v>Q2-2025</v>
      </c>
      <c r="D422" t="s">
        <v>45</v>
      </c>
      <c r="E422" t="s">
        <v>46</v>
      </c>
      <c r="F422" t="s">
        <v>231</v>
      </c>
      <c r="G422" t="s">
        <v>42</v>
      </c>
      <c r="H422" s="8" t="str">
        <f t="shared" si="13"/>
        <v>High</v>
      </c>
      <c r="I422" s="4">
        <v>1711.16</v>
      </c>
    </row>
    <row r="423" spans="1:9" x14ac:dyDescent="0.3">
      <c r="A423" s="13">
        <v>45783</v>
      </c>
      <c r="B423" s="4" t="str">
        <f>TEXT(Data!B423,"MMM-YYYY")</f>
        <v>Jul-2025</v>
      </c>
      <c r="C423" s="4" t="str">
        <f t="shared" si="12"/>
        <v>Q2-2025</v>
      </c>
      <c r="D423" t="s">
        <v>52</v>
      </c>
      <c r="E423" t="s">
        <v>122</v>
      </c>
      <c r="F423" t="s">
        <v>167</v>
      </c>
      <c r="G423" t="s">
        <v>42</v>
      </c>
      <c r="H423" s="8" t="str">
        <f t="shared" si="13"/>
        <v>High</v>
      </c>
      <c r="I423" s="4">
        <v>1696.35</v>
      </c>
    </row>
    <row r="424" spans="1:9" x14ac:dyDescent="0.3">
      <c r="A424" s="13">
        <v>45784</v>
      </c>
      <c r="B424" s="4" t="str">
        <f>TEXT(Data!B424,"MMM-YYYY")</f>
        <v>Sept-2025</v>
      </c>
      <c r="C424" s="4" t="str">
        <f t="shared" si="12"/>
        <v>Q2-2025</v>
      </c>
      <c r="D424" t="s">
        <v>16</v>
      </c>
      <c r="E424" t="s">
        <v>25</v>
      </c>
      <c r="F424" t="s">
        <v>38</v>
      </c>
      <c r="G424" t="s">
        <v>57</v>
      </c>
      <c r="H424" s="8" t="str">
        <f t="shared" si="13"/>
        <v>High</v>
      </c>
      <c r="I424" s="4">
        <v>2884.34</v>
      </c>
    </row>
    <row r="425" spans="1:9" x14ac:dyDescent="0.3">
      <c r="A425" s="13">
        <v>45785</v>
      </c>
      <c r="B425" s="4" t="str">
        <f>TEXT(Data!B425,"MMM-YYYY")</f>
        <v>Feb-2024</v>
      </c>
      <c r="C425" s="4" t="str">
        <f t="shared" si="12"/>
        <v>Q2-2025</v>
      </c>
      <c r="D425" t="s">
        <v>45</v>
      </c>
      <c r="E425" t="s">
        <v>60</v>
      </c>
      <c r="F425" t="s">
        <v>141</v>
      </c>
      <c r="G425" t="s">
        <v>42</v>
      </c>
      <c r="H425" s="8" t="str">
        <f t="shared" si="13"/>
        <v>High</v>
      </c>
      <c r="I425" s="4">
        <v>1483.74</v>
      </c>
    </row>
    <row r="426" spans="1:9" x14ac:dyDescent="0.3">
      <c r="A426" s="13">
        <v>45786</v>
      </c>
      <c r="B426" s="4" t="str">
        <f>TEXT(Data!B426,"MMM-YYYY")</f>
        <v>Feb-2024</v>
      </c>
      <c r="C426" s="4" t="str">
        <f t="shared" si="12"/>
        <v>Q2-2025</v>
      </c>
      <c r="D426" t="s">
        <v>45</v>
      </c>
      <c r="E426" t="s">
        <v>116</v>
      </c>
      <c r="F426" t="s">
        <v>338</v>
      </c>
      <c r="G426" t="s">
        <v>30</v>
      </c>
      <c r="H426" s="8" t="str">
        <f t="shared" si="13"/>
        <v>High</v>
      </c>
      <c r="I426" s="4">
        <v>3197.47</v>
      </c>
    </row>
    <row r="427" spans="1:9" x14ac:dyDescent="0.3">
      <c r="A427" s="13">
        <v>45787</v>
      </c>
      <c r="B427" s="4" t="str">
        <f>TEXT(Data!B427,"MMM-YYYY")</f>
        <v>Aug-2025</v>
      </c>
      <c r="C427" s="4" t="str">
        <f t="shared" si="12"/>
        <v>Q2-2025</v>
      </c>
      <c r="D427" t="s">
        <v>45</v>
      </c>
      <c r="E427" t="s">
        <v>60</v>
      </c>
      <c r="F427" t="s">
        <v>220</v>
      </c>
      <c r="G427" t="s">
        <v>57</v>
      </c>
      <c r="H427" s="8" t="str">
        <f t="shared" si="13"/>
        <v>High</v>
      </c>
      <c r="I427" s="4">
        <v>2322.6999999999998</v>
      </c>
    </row>
    <row r="428" spans="1:9" x14ac:dyDescent="0.3">
      <c r="A428" s="13">
        <v>45788</v>
      </c>
      <c r="B428" s="4" t="str">
        <f>TEXT(Data!B428,"MMM-YYYY")</f>
        <v>Aug-2024</v>
      </c>
      <c r="C428" s="4" t="str">
        <f t="shared" si="12"/>
        <v>Q2-2025</v>
      </c>
      <c r="D428" t="s">
        <v>16</v>
      </c>
      <c r="E428" t="s">
        <v>25</v>
      </c>
      <c r="F428" t="s">
        <v>26</v>
      </c>
      <c r="G428" t="s">
        <v>57</v>
      </c>
      <c r="H428" s="8" t="str">
        <f t="shared" si="13"/>
        <v>High</v>
      </c>
      <c r="I428" s="4">
        <v>1932.42</v>
      </c>
    </row>
    <row r="429" spans="1:9" x14ac:dyDescent="0.3">
      <c r="A429" s="13">
        <v>45789</v>
      </c>
      <c r="B429" s="4" t="str">
        <f>TEXT(Data!B429,"MMM-YYYY")</f>
        <v>Feb-2024</v>
      </c>
      <c r="C429" s="4" t="str">
        <f t="shared" si="12"/>
        <v>Q2-2025</v>
      </c>
      <c r="D429" t="s">
        <v>45</v>
      </c>
      <c r="E429" t="s">
        <v>60</v>
      </c>
      <c r="F429" t="s">
        <v>220</v>
      </c>
      <c r="G429" t="s">
        <v>42</v>
      </c>
      <c r="H429" s="8" t="str">
        <f t="shared" si="13"/>
        <v>High</v>
      </c>
      <c r="I429" s="4">
        <v>1590.36</v>
      </c>
    </row>
    <row r="430" spans="1:9" x14ac:dyDescent="0.3">
      <c r="A430" s="13">
        <v>45790</v>
      </c>
      <c r="B430" s="4" t="str">
        <f>TEXT(Data!B430,"MMM-YYYY")</f>
        <v>May-2025</v>
      </c>
      <c r="C430" s="4" t="str">
        <f t="shared" si="12"/>
        <v>Q2-2025</v>
      </c>
      <c r="D430" t="s">
        <v>78</v>
      </c>
      <c r="E430" t="s">
        <v>90</v>
      </c>
      <c r="F430" t="s">
        <v>91</v>
      </c>
      <c r="G430" t="s">
        <v>64</v>
      </c>
      <c r="H430" s="8" t="str">
        <f t="shared" si="13"/>
        <v>High</v>
      </c>
      <c r="I430" s="4">
        <v>395.61</v>
      </c>
    </row>
    <row r="431" spans="1:9" x14ac:dyDescent="0.3">
      <c r="A431" s="13">
        <v>45791</v>
      </c>
      <c r="B431" s="4" t="str">
        <f>TEXT(Data!B431,"MMM-YYYY")</f>
        <v>Nov-2024</v>
      </c>
      <c r="C431" s="4" t="str">
        <f t="shared" si="12"/>
        <v>Q2-2025</v>
      </c>
      <c r="D431" t="s">
        <v>45</v>
      </c>
      <c r="E431" t="s">
        <v>60</v>
      </c>
      <c r="F431" t="s">
        <v>61</v>
      </c>
      <c r="G431" t="s">
        <v>42</v>
      </c>
      <c r="H431" s="8" t="str">
        <f t="shared" si="13"/>
        <v>High</v>
      </c>
      <c r="I431" s="4">
        <v>2077.69</v>
      </c>
    </row>
    <row r="432" spans="1:9" x14ac:dyDescent="0.3">
      <c r="A432" s="13">
        <v>45792</v>
      </c>
      <c r="B432" s="4" t="str">
        <f>TEXT(Data!B432,"MMM-YYYY")</f>
        <v>Dec-2024</v>
      </c>
      <c r="C432" s="4" t="str">
        <f t="shared" si="12"/>
        <v>Q2-2025</v>
      </c>
      <c r="D432" t="s">
        <v>78</v>
      </c>
      <c r="E432" t="s">
        <v>79</v>
      </c>
      <c r="F432" t="s">
        <v>335</v>
      </c>
      <c r="G432" t="s">
        <v>30</v>
      </c>
      <c r="H432" s="8" t="str">
        <f t="shared" si="13"/>
        <v>High</v>
      </c>
      <c r="I432" s="4">
        <v>1330.85</v>
      </c>
    </row>
    <row r="433" spans="1:9" x14ac:dyDescent="0.3">
      <c r="A433" s="13">
        <v>45793</v>
      </c>
      <c r="B433" s="4" t="str">
        <f>TEXT(Data!B433,"MMM-YYYY")</f>
        <v>Oct-2023</v>
      </c>
      <c r="C433" s="4" t="str">
        <f t="shared" si="12"/>
        <v>Q2-2025</v>
      </c>
      <c r="D433" t="s">
        <v>45</v>
      </c>
      <c r="E433" t="s">
        <v>116</v>
      </c>
      <c r="F433" t="s">
        <v>117</v>
      </c>
      <c r="G433" t="s">
        <v>57</v>
      </c>
      <c r="H433" s="8" t="str">
        <f t="shared" si="13"/>
        <v>High</v>
      </c>
      <c r="I433" s="4">
        <v>2764.65</v>
      </c>
    </row>
    <row r="434" spans="1:9" x14ac:dyDescent="0.3">
      <c r="A434" s="13">
        <v>45794</v>
      </c>
      <c r="B434" s="4" t="str">
        <f>TEXT(Data!B434,"MMM-YYYY")</f>
        <v>Dec-2024</v>
      </c>
      <c r="C434" s="4" t="str">
        <f t="shared" si="12"/>
        <v>Q2-2025</v>
      </c>
      <c r="D434" t="s">
        <v>78</v>
      </c>
      <c r="E434" t="s">
        <v>108</v>
      </c>
      <c r="F434" t="s">
        <v>228</v>
      </c>
      <c r="G434" t="s">
        <v>64</v>
      </c>
      <c r="H434" s="8" t="str">
        <f t="shared" si="13"/>
        <v>High</v>
      </c>
      <c r="I434" s="4">
        <v>278.35000000000002</v>
      </c>
    </row>
    <row r="435" spans="1:9" x14ac:dyDescent="0.3">
      <c r="A435" s="13">
        <v>45795</v>
      </c>
      <c r="B435" s="4" t="str">
        <f>TEXT(Data!B435,"MMM-YYYY")</f>
        <v>Sept-2024</v>
      </c>
      <c r="C435" s="4" t="str">
        <f t="shared" si="12"/>
        <v>Q2-2025</v>
      </c>
      <c r="D435" t="s">
        <v>16</v>
      </c>
      <c r="E435" t="s">
        <v>25</v>
      </c>
      <c r="F435" t="s">
        <v>38</v>
      </c>
      <c r="G435" t="s">
        <v>64</v>
      </c>
      <c r="H435" s="8" t="str">
        <f t="shared" si="13"/>
        <v>High</v>
      </c>
      <c r="I435" s="4">
        <v>984.36</v>
      </c>
    </row>
    <row r="436" spans="1:9" x14ac:dyDescent="0.3">
      <c r="A436" s="13">
        <v>45796</v>
      </c>
      <c r="B436" s="4" t="str">
        <f>TEXT(Data!B436,"MMM-YYYY")</f>
        <v>Oct-2023</v>
      </c>
      <c r="C436" s="4" t="str">
        <f t="shared" si="12"/>
        <v>Q2-2025</v>
      </c>
      <c r="D436" t="s">
        <v>45</v>
      </c>
      <c r="E436" t="s">
        <v>116</v>
      </c>
      <c r="F436" t="s">
        <v>338</v>
      </c>
      <c r="G436" t="s">
        <v>35</v>
      </c>
      <c r="H436" s="8" t="str">
        <f t="shared" si="13"/>
        <v>Medium</v>
      </c>
      <c r="I436" s="4">
        <v>190.84</v>
      </c>
    </row>
    <row r="437" spans="1:9" x14ac:dyDescent="0.3">
      <c r="A437" s="13">
        <v>45797</v>
      </c>
      <c r="B437" s="4" t="str">
        <f>TEXT(Data!B437,"MMM-YYYY")</f>
        <v>Dec-2024</v>
      </c>
      <c r="C437" s="4" t="str">
        <f t="shared" si="12"/>
        <v>Q2-2025</v>
      </c>
      <c r="D437" t="s">
        <v>16</v>
      </c>
      <c r="E437" t="s">
        <v>17</v>
      </c>
      <c r="F437" t="s">
        <v>18</v>
      </c>
      <c r="G437" t="s">
        <v>42</v>
      </c>
      <c r="H437" s="8" t="str">
        <f t="shared" si="13"/>
        <v>High</v>
      </c>
      <c r="I437" s="4">
        <v>908.3</v>
      </c>
    </row>
    <row r="438" spans="1:9" x14ac:dyDescent="0.3">
      <c r="A438" s="13">
        <v>45798</v>
      </c>
      <c r="B438" s="4" t="str">
        <f>TEXT(Data!B438,"MMM-YYYY")</f>
        <v>Apr-2023</v>
      </c>
      <c r="C438" s="4" t="str">
        <f t="shared" si="12"/>
        <v>Q2-2025</v>
      </c>
      <c r="D438" t="s">
        <v>45</v>
      </c>
      <c r="E438" t="s">
        <v>60</v>
      </c>
      <c r="F438" t="s">
        <v>61</v>
      </c>
      <c r="G438" t="s">
        <v>35</v>
      </c>
      <c r="H438" s="8" t="str">
        <f t="shared" si="13"/>
        <v>High</v>
      </c>
      <c r="I438" s="4">
        <v>284.23</v>
      </c>
    </row>
    <row r="439" spans="1:9" x14ac:dyDescent="0.3">
      <c r="A439" s="13">
        <v>45799</v>
      </c>
      <c r="B439" s="4" t="str">
        <f>TEXT(Data!B439,"MMM-YYYY")</f>
        <v>Dec-2023</v>
      </c>
      <c r="C439" s="4" t="str">
        <f t="shared" si="12"/>
        <v>Q2-2025</v>
      </c>
      <c r="D439" t="s">
        <v>45</v>
      </c>
      <c r="E439" t="s">
        <v>46</v>
      </c>
      <c r="F439" t="s">
        <v>231</v>
      </c>
      <c r="G439" t="s">
        <v>22</v>
      </c>
      <c r="H439" s="8" t="str">
        <f t="shared" si="13"/>
        <v>High</v>
      </c>
      <c r="I439" s="4">
        <v>1229.3399999999999</v>
      </c>
    </row>
    <row r="440" spans="1:9" x14ac:dyDescent="0.3">
      <c r="A440" s="13">
        <v>45800</v>
      </c>
      <c r="B440" s="4" t="str">
        <f>TEXT(Data!B440,"MMM-YYYY")</f>
        <v>Feb-2023</v>
      </c>
      <c r="C440" s="4" t="str">
        <f t="shared" si="12"/>
        <v>Q2-2025</v>
      </c>
      <c r="D440" t="s">
        <v>78</v>
      </c>
      <c r="E440" t="s">
        <v>90</v>
      </c>
      <c r="F440" t="s">
        <v>91</v>
      </c>
      <c r="G440" t="s">
        <v>81</v>
      </c>
      <c r="H440" s="8" t="str">
        <f t="shared" si="13"/>
        <v>High</v>
      </c>
      <c r="I440" s="4">
        <v>1224.72</v>
      </c>
    </row>
    <row r="441" spans="1:9" x14ac:dyDescent="0.3">
      <c r="A441" s="13">
        <v>45801</v>
      </c>
      <c r="B441" s="4" t="str">
        <f>TEXT(Data!B441,"MMM-YYYY")</f>
        <v>May-2023</v>
      </c>
      <c r="C441" s="4" t="str">
        <f t="shared" si="12"/>
        <v>Q2-2025</v>
      </c>
      <c r="D441" t="s">
        <v>16</v>
      </c>
      <c r="E441" t="s">
        <v>17</v>
      </c>
      <c r="F441" t="s">
        <v>135</v>
      </c>
      <c r="G441" t="s">
        <v>35</v>
      </c>
      <c r="H441" s="8" t="str">
        <f t="shared" si="13"/>
        <v>High</v>
      </c>
      <c r="I441" s="4">
        <v>485.86</v>
      </c>
    </row>
    <row r="442" spans="1:9" x14ac:dyDescent="0.3">
      <c r="A442" s="13">
        <v>45802</v>
      </c>
      <c r="B442" s="4" t="str">
        <f>TEXT(Data!B442,"MMM-YYYY")</f>
        <v>Mar-2024</v>
      </c>
      <c r="C442" s="4" t="str">
        <f t="shared" si="12"/>
        <v>Q2-2025</v>
      </c>
      <c r="D442" t="s">
        <v>45</v>
      </c>
      <c r="E442" t="s">
        <v>116</v>
      </c>
      <c r="F442" t="s">
        <v>338</v>
      </c>
      <c r="G442" t="s">
        <v>30</v>
      </c>
      <c r="H442" s="8" t="str">
        <f t="shared" si="13"/>
        <v>High</v>
      </c>
      <c r="I442" s="4">
        <v>2210.94</v>
      </c>
    </row>
    <row r="443" spans="1:9" x14ac:dyDescent="0.3">
      <c r="A443" s="13">
        <v>45803</v>
      </c>
      <c r="B443" s="4" t="str">
        <f>TEXT(Data!B443,"MMM-YYYY")</f>
        <v>Sept-2023</v>
      </c>
      <c r="C443" s="4" t="str">
        <f t="shared" si="12"/>
        <v>Q2-2025</v>
      </c>
      <c r="D443" t="s">
        <v>45</v>
      </c>
      <c r="E443" t="s">
        <v>60</v>
      </c>
      <c r="F443" t="s">
        <v>61</v>
      </c>
      <c r="G443" t="s">
        <v>42</v>
      </c>
      <c r="H443" s="8" t="str">
        <f t="shared" si="13"/>
        <v>High</v>
      </c>
      <c r="I443" s="4">
        <v>571.89</v>
      </c>
    </row>
    <row r="444" spans="1:9" x14ac:dyDescent="0.3">
      <c r="A444" s="13">
        <v>45804</v>
      </c>
      <c r="B444" s="4" t="str">
        <f>TEXT(Data!B444,"MMM-YYYY")</f>
        <v>Aug-2024</v>
      </c>
      <c r="C444" s="4" t="str">
        <f t="shared" si="12"/>
        <v>Q2-2025</v>
      </c>
      <c r="D444" t="s">
        <v>45</v>
      </c>
      <c r="E444" t="s">
        <v>60</v>
      </c>
      <c r="F444" t="s">
        <v>1364</v>
      </c>
      <c r="G444" t="s">
        <v>81</v>
      </c>
      <c r="H444" s="8" t="str">
        <f t="shared" si="13"/>
        <v>High</v>
      </c>
      <c r="I444" s="4">
        <v>3398.37</v>
      </c>
    </row>
    <row r="445" spans="1:9" x14ac:dyDescent="0.3">
      <c r="A445" s="13">
        <v>45805</v>
      </c>
      <c r="B445" s="4" t="str">
        <f>TEXT(Data!B445,"MMM-YYYY")</f>
        <v>Sept-2024</v>
      </c>
      <c r="C445" s="4" t="str">
        <f t="shared" si="12"/>
        <v>Q2-2025</v>
      </c>
      <c r="D445" t="s">
        <v>78</v>
      </c>
      <c r="E445" t="s">
        <v>79</v>
      </c>
      <c r="F445" t="s">
        <v>335</v>
      </c>
      <c r="G445" t="s">
        <v>30</v>
      </c>
      <c r="H445" s="8" t="str">
        <f t="shared" si="13"/>
        <v>Medium</v>
      </c>
      <c r="I445" s="4">
        <v>194.62</v>
      </c>
    </row>
    <row r="446" spans="1:9" x14ac:dyDescent="0.3">
      <c r="A446" s="13">
        <v>45806</v>
      </c>
      <c r="B446" s="4" t="str">
        <f>TEXT(Data!B446,"MMM-YYYY")</f>
        <v>Jun-2023</v>
      </c>
      <c r="C446" s="4" t="str">
        <f t="shared" si="12"/>
        <v>Q2-2025</v>
      </c>
      <c r="D446" t="s">
        <v>52</v>
      </c>
      <c r="E446" t="s">
        <v>53</v>
      </c>
      <c r="F446" t="s">
        <v>54</v>
      </c>
      <c r="G446" t="s">
        <v>30</v>
      </c>
      <c r="H446" s="8" t="str">
        <f t="shared" si="13"/>
        <v>High</v>
      </c>
      <c r="I446" s="4">
        <v>1031.6400000000001</v>
      </c>
    </row>
    <row r="447" spans="1:9" x14ac:dyDescent="0.3">
      <c r="A447" s="13">
        <v>45807</v>
      </c>
      <c r="B447" s="4" t="str">
        <f>TEXT(Data!B447,"MMM-YYYY")</f>
        <v>Dec-2023</v>
      </c>
      <c r="C447" s="4" t="str">
        <f t="shared" si="12"/>
        <v>Q2-2025</v>
      </c>
      <c r="D447" t="s">
        <v>52</v>
      </c>
      <c r="E447" t="s">
        <v>53</v>
      </c>
      <c r="F447" t="s">
        <v>54</v>
      </c>
      <c r="G447" t="s">
        <v>30</v>
      </c>
      <c r="H447" s="8" t="str">
        <f t="shared" si="13"/>
        <v>High</v>
      </c>
      <c r="I447" s="4">
        <v>495.19</v>
      </c>
    </row>
    <row r="448" spans="1:9" x14ac:dyDescent="0.3">
      <c r="A448" s="13">
        <v>45808</v>
      </c>
      <c r="B448" s="4" t="str">
        <f>TEXT(Data!B448,"MMM-YYYY")</f>
        <v>Mar-2025</v>
      </c>
      <c r="C448" s="4" t="str">
        <f t="shared" si="12"/>
        <v>Q2-2025</v>
      </c>
      <c r="D448" t="s">
        <v>45</v>
      </c>
      <c r="E448" t="s">
        <v>46</v>
      </c>
      <c r="F448" t="s">
        <v>231</v>
      </c>
      <c r="G448" t="s">
        <v>57</v>
      </c>
      <c r="H448" s="8" t="str">
        <f t="shared" si="13"/>
        <v>High</v>
      </c>
      <c r="I448" s="4">
        <v>1319.04</v>
      </c>
    </row>
    <row r="449" spans="1:9" x14ac:dyDescent="0.3">
      <c r="A449" s="13">
        <v>45809</v>
      </c>
      <c r="B449" s="4" t="str">
        <f>TEXT(Data!B449,"MMM-YYYY")</f>
        <v>Jun-2024</v>
      </c>
      <c r="C449" s="4" t="str">
        <f t="shared" si="12"/>
        <v>Q2-2025</v>
      </c>
      <c r="D449" t="s">
        <v>16</v>
      </c>
      <c r="E449" t="s">
        <v>148</v>
      </c>
      <c r="F449" t="s">
        <v>172</v>
      </c>
      <c r="G449" t="s">
        <v>64</v>
      </c>
      <c r="H449" s="8" t="str">
        <f t="shared" si="13"/>
        <v>High</v>
      </c>
      <c r="I449" s="4">
        <v>314.87</v>
      </c>
    </row>
    <row r="450" spans="1:9" x14ac:dyDescent="0.3">
      <c r="A450" s="13">
        <v>45810</v>
      </c>
      <c r="B450" s="4" t="str">
        <f>TEXT(Data!B450,"MMM-YYYY")</f>
        <v>Jun-2024</v>
      </c>
      <c r="C450" s="4" t="str">
        <f t="shared" ref="C450:C513" si="14">"Q"&amp;ROUNDUP(MONTH(A450)/3,0)&amp;"-"&amp;YEAR(A450)</f>
        <v>Q2-2025</v>
      </c>
      <c r="D450" t="s">
        <v>52</v>
      </c>
      <c r="E450" t="s">
        <v>53</v>
      </c>
      <c r="F450" t="s">
        <v>54</v>
      </c>
      <c r="G450" t="s">
        <v>64</v>
      </c>
      <c r="H450" s="8" t="str">
        <f t="shared" ref="H450:H513" si="15">IF(I450&lt;50, "Low", IF(I450&lt;200, "Medium", "High"))</f>
        <v>High</v>
      </c>
      <c r="I450" s="4">
        <v>2210.17</v>
      </c>
    </row>
    <row r="451" spans="1:9" x14ac:dyDescent="0.3">
      <c r="A451" s="13">
        <v>45811</v>
      </c>
      <c r="B451" s="4" t="str">
        <f>TEXT(Data!B451,"MMM-YYYY")</f>
        <v>Jul-2023</v>
      </c>
      <c r="C451" s="4" t="str">
        <f t="shared" si="14"/>
        <v>Q2-2025</v>
      </c>
      <c r="D451" t="s">
        <v>16</v>
      </c>
      <c r="E451" t="s">
        <v>25</v>
      </c>
      <c r="F451" t="s">
        <v>26</v>
      </c>
      <c r="G451" t="s">
        <v>42</v>
      </c>
      <c r="H451" s="8" t="str">
        <f t="shared" si="15"/>
        <v>High</v>
      </c>
      <c r="I451" s="4">
        <v>1045</v>
      </c>
    </row>
    <row r="452" spans="1:9" x14ac:dyDescent="0.3">
      <c r="A452" s="13">
        <v>45812</v>
      </c>
      <c r="B452" s="4" t="str">
        <f>TEXT(Data!B452,"MMM-YYYY")</f>
        <v>Jan-2023</v>
      </c>
      <c r="C452" s="4" t="str">
        <f t="shared" si="14"/>
        <v>Q2-2025</v>
      </c>
      <c r="D452" t="s">
        <v>45</v>
      </c>
      <c r="E452" t="s">
        <v>60</v>
      </c>
      <c r="F452" t="s">
        <v>141</v>
      </c>
      <c r="G452" t="s">
        <v>30</v>
      </c>
      <c r="H452" s="8" t="str">
        <f t="shared" si="15"/>
        <v>High</v>
      </c>
      <c r="I452" s="4">
        <v>2132.19</v>
      </c>
    </row>
    <row r="453" spans="1:9" x14ac:dyDescent="0.3">
      <c r="A453" s="13">
        <v>45813</v>
      </c>
      <c r="B453" s="4" t="str">
        <f>TEXT(Data!B453,"MMM-YYYY")</f>
        <v>May-2024</v>
      </c>
      <c r="C453" s="4" t="str">
        <f t="shared" si="14"/>
        <v>Q2-2025</v>
      </c>
      <c r="D453" t="s">
        <v>78</v>
      </c>
      <c r="E453" t="s">
        <v>108</v>
      </c>
      <c r="F453" t="s">
        <v>152</v>
      </c>
      <c r="G453" t="s">
        <v>81</v>
      </c>
      <c r="H453" s="8" t="str">
        <f t="shared" si="15"/>
        <v>High</v>
      </c>
      <c r="I453" s="4">
        <v>2101.5500000000002</v>
      </c>
    </row>
    <row r="454" spans="1:9" x14ac:dyDescent="0.3">
      <c r="A454" s="13">
        <v>45814</v>
      </c>
      <c r="B454" s="4" t="str">
        <f>TEXT(Data!B454,"MMM-YYYY")</f>
        <v>Jun-2025</v>
      </c>
      <c r="C454" s="4" t="str">
        <f t="shared" si="14"/>
        <v>Q2-2025</v>
      </c>
      <c r="D454" t="s">
        <v>45</v>
      </c>
      <c r="E454" t="s">
        <v>60</v>
      </c>
      <c r="F454" t="s">
        <v>61</v>
      </c>
      <c r="G454" t="s">
        <v>22</v>
      </c>
      <c r="H454" s="8" t="str">
        <f t="shared" si="15"/>
        <v>High</v>
      </c>
      <c r="I454" s="4">
        <v>2125.44</v>
      </c>
    </row>
    <row r="455" spans="1:9" x14ac:dyDescent="0.3">
      <c r="A455" s="13">
        <v>45815</v>
      </c>
      <c r="B455" s="4" t="str">
        <f>TEXT(Data!B455,"MMM-YYYY")</f>
        <v>May-2023</v>
      </c>
      <c r="C455" s="4" t="str">
        <f t="shared" si="14"/>
        <v>Q2-2025</v>
      </c>
      <c r="D455" t="s">
        <v>45</v>
      </c>
      <c r="E455" t="s">
        <v>46</v>
      </c>
      <c r="F455" t="s">
        <v>231</v>
      </c>
      <c r="G455" t="s">
        <v>42</v>
      </c>
      <c r="H455" s="8" t="str">
        <f t="shared" si="15"/>
        <v>High</v>
      </c>
      <c r="I455" s="4">
        <v>712.75</v>
      </c>
    </row>
    <row r="456" spans="1:9" x14ac:dyDescent="0.3">
      <c r="A456" s="13">
        <v>45816</v>
      </c>
      <c r="B456" s="4" t="str">
        <f>TEXT(Data!B456,"MMM-YYYY")</f>
        <v>Dec-2024</v>
      </c>
      <c r="C456" s="4" t="str">
        <f t="shared" si="14"/>
        <v>Q2-2025</v>
      </c>
      <c r="D456" t="s">
        <v>52</v>
      </c>
      <c r="E456" t="s">
        <v>122</v>
      </c>
      <c r="F456" t="s">
        <v>326</v>
      </c>
      <c r="G456" t="s">
        <v>64</v>
      </c>
      <c r="H456" s="8" t="str">
        <f t="shared" si="15"/>
        <v>High</v>
      </c>
      <c r="I456" s="4">
        <v>1568.83</v>
      </c>
    </row>
    <row r="457" spans="1:9" x14ac:dyDescent="0.3">
      <c r="A457" s="13">
        <v>45817</v>
      </c>
      <c r="B457" s="4" t="str">
        <f>TEXT(Data!B457,"MMM-YYYY")</f>
        <v>Dec-2023</v>
      </c>
      <c r="C457" s="4" t="str">
        <f t="shared" si="14"/>
        <v>Q2-2025</v>
      </c>
      <c r="D457" t="s">
        <v>52</v>
      </c>
      <c r="E457" t="s">
        <v>53</v>
      </c>
      <c r="F457" t="s">
        <v>179</v>
      </c>
      <c r="G457" t="s">
        <v>81</v>
      </c>
      <c r="H457" s="8" t="str">
        <f t="shared" si="15"/>
        <v>High</v>
      </c>
      <c r="I457" s="4">
        <v>2074.34</v>
      </c>
    </row>
    <row r="458" spans="1:9" x14ac:dyDescent="0.3">
      <c r="A458" s="13">
        <v>45818</v>
      </c>
      <c r="B458" s="4" t="str">
        <f>TEXT(Data!B458,"MMM-YYYY")</f>
        <v>May-2023</v>
      </c>
      <c r="C458" s="4" t="str">
        <f t="shared" si="14"/>
        <v>Q2-2025</v>
      </c>
      <c r="D458" t="s">
        <v>52</v>
      </c>
      <c r="E458" t="s">
        <v>73</v>
      </c>
      <c r="F458" t="s">
        <v>87</v>
      </c>
      <c r="G458" t="s">
        <v>42</v>
      </c>
      <c r="H458" s="8" t="str">
        <f t="shared" si="15"/>
        <v>High</v>
      </c>
      <c r="I458" s="4">
        <v>495.19</v>
      </c>
    </row>
    <row r="459" spans="1:9" x14ac:dyDescent="0.3">
      <c r="A459" s="13">
        <v>45819</v>
      </c>
      <c r="B459" s="4" t="str">
        <f>TEXT(Data!B459,"MMM-YYYY")</f>
        <v>Nov-2023</v>
      </c>
      <c r="C459" s="4" t="str">
        <f t="shared" si="14"/>
        <v>Q2-2025</v>
      </c>
      <c r="D459" t="s">
        <v>45</v>
      </c>
      <c r="E459" t="s">
        <v>116</v>
      </c>
      <c r="F459" t="s">
        <v>162</v>
      </c>
      <c r="G459" t="s">
        <v>64</v>
      </c>
      <c r="H459" s="8" t="str">
        <f t="shared" si="15"/>
        <v>High</v>
      </c>
      <c r="I459" s="4">
        <v>757.59</v>
      </c>
    </row>
    <row r="460" spans="1:9" x14ac:dyDescent="0.3">
      <c r="A460" s="13">
        <v>45820</v>
      </c>
      <c r="B460" s="4" t="str">
        <f>TEXT(Data!B460,"MMM-YYYY")</f>
        <v>May-2024</v>
      </c>
      <c r="C460" s="4" t="str">
        <f t="shared" si="14"/>
        <v>Q2-2025</v>
      </c>
      <c r="D460" t="s">
        <v>78</v>
      </c>
      <c r="E460" t="s">
        <v>79</v>
      </c>
      <c r="F460" t="s">
        <v>159</v>
      </c>
      <c r="G460" t="s">
        <v>57</v>
      </c>
      <c r="H460" s="8" t="str">
        <f t="shared" si="15"/>
        <v>High</v>
      </c>
      <c r="I460" s="4">
        <v>415.96</v>
      </c>
    </row>
    <row r="461" spans="1:9" x14ac:dyDescent="0.3">
      <c r="A461" s="13">
        <v>45821</v>
      </c>
      <c r="B461" s="4" t="str">
        <f>TEXT(Data!B461,"MMM-YYYY")</f>
        <v>Jul-2023</v>
      </c>
      <c r="C461" s="4" t="str">
        <f t="shared" si="14"/>
        <v>Q2-2025</v>
      </c>
      <c r="D461" t="s">
        <v>78</v>
      </c>
      <c r="E461" t="s">
        <v>90</v>
      </c>
      <c r="F461" t="s">
        <v>91</v>
      </c>
      <c r="G461" t="s">
        <v>22</v>
      </c>
      <c r="H461" s="8" t="str">
        <f t="shared" si="15"/>
        <v>High</v>
      </c>
      <c r="I461" s="4">
        <v>1870.89</v>
      </c>
    </row>
    <row r="462" spans="1:9" x14ac:dyDescent="0.3">
      <c r="A462" s="13">
        <v>45822</v>
      </c>
      <c r="B462" s="4" t="str">
        <f>TEXT(Data!B462,"MMM-YYYY")</f>
        <v>May-2023</v>
      </c>
      <c r="C462" s="4" t="str">
        <f t="shared" si="14"/>
        <v>Q2-2025</v>
      </c>
      <c r="D462" t="s">
        <v>45</v>
      </c>
      <c r="E462" t="s">
        <v>46</v>
      </c>
      <c r="F462" t="s">
        <v>214</v>
      </c>
      <c r="G462" t="s">
        <v>22</v>
      </c>
      <c r="H462" s="8" t="str">
        <f t="shared" si="15"/>
        <v>High</v>
      </c>
      <c r="I462" s="4">
        <v>206.88</v>
      </c>
    </row>
    <row r="463" spans="1:9" x14ac:dyDescent="0.3">
      <c r="A463" s="13">
        <v>45823</v>
      </c>
      <c r="B463" s="4" t="str">
        <f>TEXT(Data!B463,"MMM-YYYY")</f>
        <v>Mar-2024</v>
      </c>
      <c r="C463" s="4" t="str">
        <f t="shared" si="14"/>
        <v>Q2-2025</v>
      </c>
      <c r="D463" t="s">
        <v>16</v>
      </c>
      <c r="E463" t="s">
        <v>148</v>
      </c>
      <c r="F463" t="s">
        <v>172</v>
      </c>
      <c r="G463" t="s">
        <v>81</v>
      </c>
      <c r="H463" s="8" t="str">
        <f t="shared" si="15"/>
        <v>Medium</v>
      </c>
      <c r="I463" s="4">
        <v>62.82</v>
      </c>
    </row>
    <row r="464" spans="1:9" x14ac:dyDescent="0.3">
      <c r="A464" s="13">
        <v>45824</v>
      </c>
      <c r="B464" s="4" t="str">
        <f>TEXT(Data!B464,"MMM-YYYY")</f>
        <v>Apr-2025</v>
      </c>
      <c r="C464" s="4" t="str">
        <f t="shared" si="14"/>
        <v>Q2-2025</v>
      </c>
      <c r="D464" t="s">
        <v>78</v>
      </c>
      <c r="E464" t="s">
        <v>79</v>
      </c>
      <c r="F464" t="s">
        <v>335</v>
      </c>
      <c r="G464" t="s">
        <v>30</v>
      </c>
      <c r="H464" s="8" t="str">
        <f t="shared" si="15"/>
        <v>High</v>
      </c>
      <c r="I464" s="4">
        <v>956.49</v>
      </c>
    </row>
    <row r="465" spans="1:9" x14ac:dyDescent="0.3">
      <c r="A465" s="13">
        <v>45825</v>
      </c>
      <c r="B465" s="4" t="str">
        <f>TEXT(Data!B465,"MMM-YYYY")</f>
        <v>Jul-2025</v>
      </c>
      <c r="C465" s="4" t="str">
        <f t="shared" si="14"/>
        <v>Q2-2025</v>
      </c>
      <c r="D465" t="s">
        <v>16</v>
      </c>
      <c r="E465" t="s">
        <v>148</v>
      </c>
      <c r="F465" t="s">
        <v>172</v>
      </c>
      <c r="G465" t="s">
        <v>35</v>
      </c>
      <c r="H465" s="8" t="str">
        <f t="shared" si="15"/>
        <v>Medium</v>
      </c>
      <c r="I465" s="4">
        <v>165.7</v>
      </c>
    </row>
    <row r="466" spans="1:9" x14ac:dyDescent="0.3">
      <c r="A466" s="13">
        <v>45826</v>
      </c>
      <c r="B466" s="4" t="str">
        <f>TEXT(Data!B466,"MMM-YYYY")</f>
        <v>Nov-2024</v>
      </c>
      <c r="C466" s="4" t="str">
        <f t="shared" si="14"/>
        <v>Q2-2025</v>
      </c>
      <c r="D466" t="s">
        <v>45</v>
      </c>
      <c r="E466" t="s">
        <v>46</v>
      </c>
      <c r="F466" t="s">
        <v>214</v>
      </c>
      <c r="G466" t="s">
        <v>22</v>
      </c>
      <c r="H466" s="8" t="str">
        <f t="shared" si="15"/>
        <v>High</v>
      </c>
      <c r="I466" s="4">
        <v>608.36</v>
      </c>
    </row>
    <row r="467" spans="1:9" x14ac:dyDescent="0.3">
      <c r="A467" s="13">
        <v>45827</v>
      </c>
      <c r="B467" s="4" t="str">
        <f>TEXT(Data!B467,"MMM-YYYY")</f>
        <v>Jun-2024</v>
      </c>
      <c r="C467" s="4" t="str">
        <f t="shared" si="14"/>
        <v>Q2-2025</v>
      </c>
      <c r="D467" t="s">
        <v>16</v>
      </c>
      <c r="E467" t="s">
        <v>17</v>
      </c>
      <c r="F467" t="s">
        <v>113</v>
      </c>
      <c r="G467" t="s">
        <v>22</v>
      </c>
      <c r="H467" s="8" t="str">
        <f t="shared" si="15"/>
        <v>High</v>
      </c>
      <c r="I467" s="4">
        <v>2665.91</v>
      </c>
    </row>
    <row r="468" spans="1:9" x14ac:dyDescent="0.3">
      <c r="A468" s="13">
        <v>45828</v>
      </c>
      <c r="B468" s="4" t="str">
        <f>TEXT(Data!B468,"MMM-YYYY")</f>
        <v>Dec-2023</v>
      </c>
      <c r="C468" s="4" t="str">
        <f t="shared" si="14"/>
        <v>Q2-2025</v>
      </c>
      <c r="D468" t="s">
        <v>16</v>
      </c>
      <c r="E468" t="s">
        <v>25</v>
      </c>
      <c r="F468" t="s">
        <v>26</v>
      </c>
      <c r="G468" t="s">
        <v>81</v>
      </c>
      <c r="H468" s="8" t="str">
        <f t="shared" si="15"/>
        <v>High</v>
      </c>
      <c r="I468" s="4">
        <v>587.95000000000005</v>
      </c>
    </row>
    <row r="469" spans="1:9" x14ac:dyDescent="0.3">
      <c r="A469" s="13">
        <v>45829</v>
      </c>
      <c r="B469" s="4" t="str">
        <f>TEXT(Data!B469,"MMM-YYYY")</f>
        <v>Jun-2025</v>
      </c>
      <c r="C469" s="4" t="str">
        <f t="shared" si="14"/>
        <v>Q2-2025</v>
      </c>
      <c r="D469" t="s">
        <v>45</v>
      </c>
      <c r="E469" t="s">
        <v>60</v>
      </c>
      <c r="F469" t="s">
        <v>220</v>
      </c>
      <c r="G469" t="s">
        <v>35</v>
      </c>
      <c r="H469" s="8" t="str">
        <f t="shared" si="15"/>
        <v>High</v>
      </c>
      <c r="I469" s="4">
        <v>2193.13</v>
      </c>
    </row>
    <row r="470" spans="1:9" x14ac:dyDescent="0.3">
      <c r="A470" s="13">
        <v>45830</v>
      </c>
      <c r="B470" s="4" t="str">
        <f>TEXT(Data!B470,"MMM-YYYY")</f>
        <v>Mar-2025</v>
      </c>
      <c r="C470" s="4" t="str">
        <f t="shared" si="14"/>
        <v>Q2-2025</v>
      </c>
      <c r="D470" t="s">
        <v>78</v>
      </c>
      <c r="E470" t="s">
        <v>79</v>
      </c>
      <c r="F470" t="s">
        <v>159</v>
      </c>
      <c r="G470" t="s">
        <v>22</v>
      </c>
      <c r="H470" s="8" t="str">
        <f t="shared" si="15"/>
        <v>High</v>
      </c>
      <c r="I470" s="4">
        <v>2187.8000000000002</v>
      </c>
    </row>
    <row r="471" spans="1:9" x14ac:dyDescent="0.3">
      <c r="A471" s="13">
        <v>45831</v>
      </c>
      <c r="B471" s="4" t="str">
        <f>TEXT(Data!B471,"MMM-YYYY")</f>
        <v>May-2023</v>
      </c>
      <c r="C471" s="4" t="str">
        <f t="shared" si="14"/>
        <v>Q2-2025</v>
      </c>
      <c r="D471" t="s">
        <v>78</v>
      </c>
      <c r="E471" t="s">
        <v>79</v>
      </c>
      <c r="F471" t="s">
        <v>80</v>
      </c>
      <c r="G471" t="s">
        <v>30</v>
      </c>
      <c r="H471" s="8" t="str">
        <f t="shared" si="15"/>
        <v>High</v>
      </c>
      <c r="I471" s="4">
        <v>1002.11</v>
      </c>
    </row>
    <row r="472" spans="1:9" x14ac:dyDescent="0.3">
      <c r="A472" s="13">
        <v>45832</v>
      </c>
      <c r="B472" s="4" t="str">
        <f>TEXT(Data!B472,"MMM-YYYY")</f>
        <v>Aug-2023</v>
      </c>
      <c r="C472" s="4" t="str">
        <f t="shared" si="14"/>
        <v>Q2-2025</v>
      </c>
      <c r="D472" t="s">
        <v>16</v>
      </c>
      <c r="E472" t="s">
        <v>17</v>
      </c>
      <c r="F472" t="s">
        <v>113</v>
      </c>
      <c r="G472" t="s">
        <v>30</v>
      </c>
      <c r="H472" s="8" t="str">
        <f t="shared" si="15"/>
        <v>High</v>
      </c>
      <c r="I472" s="4">
        <v>913.78</v>
      </c>
    </row>
    <row r="473" spans="1:9" x14ac:dyDescent="0.3">
      <c r="A473" s="13">
        <v>45833</v>
      </c>
      <c r="B473" s="4" t="str">
        <f>TEXT(Data!B473,"MMM-YYYY")</f>
        <v>Jul-2025</v>
      </c>
      <c r="C473" s="4" t="str">
        <f t="shared" si="14"/>
        <v>Q2-2025</v>
      </c>
      <c r="D473" t="s">
        <v>78</v>
      </c>
      <c r="E473" t="s">
        <v>90</v>
      </c>
      <c r="F473" t="s">
        <v>138</v>
      </c>
      <c r="G473" t="s">
        <v>30</v>
      </c>
      <c r="H473" s="8" t="str">
        <f t="shared" si="15"/>
        <v>High</v>
      </c>
      <c r="I473" s="4">
        <v>1843.51</v>
      </c>
    </row>
    <row r="474" spans="1:9" x14ac:dyDescent="0.3">
      <c r="A474" s="13">
        <v>45834</v>
      </c>
      <c r="B474" s="4" t="str">
        <f>TEXT(Data!B474,"MMM-YYYY")</f>
        <v>Feb-2024</v>
      </c>
      <c r="C474" s="4" t="str">
        <f t="shared" si="14"/>
        <v>Q2-2025</v>
      </c>
      <c r="D474" t="s">
        <v>45</v>
      </c>
      <c r="E474" t="s">
        <v>116</v>
      </c>
      <c r="F474" t="s">
        <v>338</v>
      </c>
      <c r="G474" t="s">
        <v>22</v>
      </c>
      <c r="H474" s="8" t="str">
        <f t="shared" si="15"/>
        <v>High</v>
      </c>
      <c r="I474" s="4">
        <v>1383.6</v>
      </c>
    </row>
    <row r="475" spans="1:9" x14ac:dyDescent="0.3">
      <c r="A475" s="13">
        <v>45835</v>
      </c>
      <c r="B475" s="4" t="str">
        <f>TEXT(Data!B475,"MMM-YYYY")</f>
        <v>Aug-2025</v>
      </c>
      <c r="C475" s="4" t="str">
        <f t="shared" si="14"/>
        <v>Q2-2025</v>
      </c>
      <c r="D475" t="s">
        <v>16</v>
      </c>
      <c r="E475" t="s">
        <v>17</v>
      </c>
      <c r="F475" t="s">
        <v>18</v>
      </c>
      <c r="G475" t="s">
        <v>64</v>
      </c>
      <c r="H475" s="8" t="str">
        <f t="shared" si="15"/>
        <v>High</v>
      </c>
      <c r="I475" s="4">
        <v>1588.53</v>
      </c>
    </row>
    <row r="476" spans="1:9" x14ac:dyDescent="0.3">
      <c r="A476" s="13">
        <v>45836</v>
      </c>
      <c r="B476" s="4" t="str">
        <f>TEXT(Data!B476,"MMM-YYYY")</f>
        <v>May-2023</v>
      </c>
      <c r="C476" s="4" t="str">
        <f t="shared" si="14"/>
        <v>Q2-2025</v>
      </c>
      <c r="D476" t="s">
        <v>78</v>
      </c>
      <c r="E476" t="s">
        <v>90</v>
      </c>
      <c r="F476" t="s">
        <v>217</v>
      </c>
      <c r="G476" t="s">
        <v>42</v>
      </c>
      <c r="H476" s="8" t="str">
        <f t="shared" si="15"/>
        <v>High</v>
      </c>
      <c r="I476" s="4">
        <v>1344.05</v>
      </c>
    </row>
    <row r="477" spans="1:9" x14ac:dyDescent="0.3">
      <c r="A477" s="13">
        <v>45837</v>
      </c>
      <c r="B477" s="4" t="str">
        <f>TEXT(Data!B477,"MMM-YYYY")</f>
        <v>May-2024</v>
      </c>
      <c r="C477" s="4" t="str">
        <f t="shared" si="14"/>
        <v>Q2-2025</v>
      </c>
      <c r="D477" t="s">
        <v>52</v>
      </c>
      <c r="E477" t="s">
        <v>73</v>
      </c>
      <c r="F477" t="s">
        <v>225</v>
      </c>
      <c r="G477" t="s">
        <v>30</v>
      </c>
      <c r="H477" s="8" t="str">
        <f t="shared" si="15"/>
        <v>High</v>
      </c>
      <c r="I477" s="4">
        <v>1290.29</v>
      </c>
    </row>
    <row r="478" spans="1:9" x14ac:dyDescent="0.3">
      <c r="A478" s="13">
        <v>45838</v>
      </c>
      <c r="B478" s="4" t="str">
        <f>TEXT(Data!B478,"MMM-YYYY")</f>
        <v>Mar-2023</v>
      </c>
      <c r="C478" s="4" t="str">
        <f t="shared" si="14"/>
        <v>Q2-2025</v>
      </c>
      <c r="D478" t="s">
        <v>78</v>
      </c>
      <c r="E478" t="s">
        <v>108</v>
      </c>
      <c r="F478" t="s">
        <v>109</v>
      </c>
      <c r="G478" t="s">
        <v>57</v>
      </c>
      <c r="H478" s="8" t="str">
        <f t="shared" si="15"/>
        <v>High</v>
      </c>
      <c r="I478" s="4">
        <v>221.58</v>
      </c>
    </row>
    <row r="479" spans="1:9" x14ac:dyDescent="0.3">
      <c r="A479" s="13">
        <v>45839</v>
      </c>
      <c r="B479" s="4" t="str">
        <f>TEXT(Data!B479,"MMM-YYYY")</f>
        <v>Jul-2023</v>
      </c>
      <c r="C479" s="4" t="str">
        <f t="shared" si="14"/>
        <v>Q3-2025</v>
      </c>
      <c r="D479" t="s">
        <v>78</v>
      </c>
      <c r="E479" t="s">
        <v>79</v>
      </c>
      <c r="F479" t="s">
        <v>335</v>
      </c>
      <c r="G479" t="s">
        <v>22</v>
      </c>
      <c r="H479" s="8" t="str">
        <f t="shared" si="15"/>
        <v>High</v>
      </c>
      <c r="I479" s="4">
        <v>360.34</v>
      </c>
    </row>
    <row r="480" spans="1:9" x14ac:dyDescent="0.3">
      <c r="A480" s="13">
        <v>45840</v>
      </c>
      <c r="B480" s="4" t="str">
        <f>TEXT(Data!B480,"MMM-YYYY")</f>
        <v>Apr-2023</v>
      </c>
      <c r="C480" s="4" t="str">
        <f t="shared" si="14"/>
        <v>Q3-2025</v>
      </c>
      <c r="D480" t="s">
        <v>78</v>
      </c>
      <c r="E480" t="s">
        <v>108</v>
      </c>
      <c r="F480" t="s">
        <v>228</v>
      </c>
      <c r="G480" t="s">
        <v>57</v>
      </c>
      <c r="H480" s="8" t="str">
        <f t="shared" si="15"/>
        <v>High</v>
      </c>
      <c r="I480" s="4">
        <v>2545.81</v>
      </c>
    </row>
    <row r="481" spans="1:9" x14ac:dyDescent="0.3">
      <c r="A481" s="13">
        <v>45841</v>
      </c>
      <c r="B481" s="4" t="str">
        <f>TEXT(Data!B481,"MMM-YYYY")</f>
        <v>Jan-2024</v>
      </c>
      <c r="C481" s="4" t="str">
        <f t="shared" si="14"/>
        <v>Q3-2025</v>
      </c>
      <c r="D481" t="s">
        <v>78</v>
      </c>
      <c r="E481" t="s">
        <v>79</v>
      </c>
      <c r="F481" t="s">
        <v>159</v>
      </c>
      <c r="G481" t="s">
        <v>81</v>
      </c>
      <c r="H481" s="8" t="str">
        <f t="shared" si="15"/>
        <v>High</v>
      </c>
      <c r="I481" s="4">
        <v>699.47</v>
      </c>
    </row>
    <row r="482" spans="1:9" x14ac:dyDescent="0.3">
      <c r="A482" s="13">
        <v>45842</v>
      </c>
      <c r="B482" s="4" t="str">
        <f>TEXT(Data!B482,"MMM-YYYY")</f>
        <v>Sept-2024</v>
      </c>
      <c r="C482" s="4" t="str">
        <f t="shared" si="14"/>
        <v>Q3-2025</v>
      </c>
      <c r="D482" t="s">
        <v>45</v>
      </c>
      <c r="E482" t="s">
        <v>46</v>
      </c>
      <c r="F482" t="s">
        <v>231</v>
      </c>
      <c r="G482" t="s">
        <v>35</v>
      </c>
      <c r="H482" s="8" t="str">
        <f t="shared" si="15"/>
        <v>High</v>
      </c>
      <c r="I482" s="4">
        <v>2738.69</v>
      </c>
    </row>
    <row r="483" spans="1:9" x14ac:dyDescent="0.3">
      <c r="A483" s="13">
        <v>45843</v>
      </c>
      <c r="B483" s="4" t="str">
        <f>TEXT(Data!B483,"MMM-YYYY")</f>
        <v>Aug-2025</v>
      </c>
      <c r="C483" s="4" t="str">
        <f t="shared" si="14"/>
        <v>Q3-2025</v>
      </c>
      <c r="D483" t="s">
        <v>45</v>
      </c>
      <c r="E483" t="s">
        <v>46</v>
      </c>
      <c r="F483" t="s">
        <v>214</v>
      </c>
      <c r="G483" t="s">
        <v>30</v>
      </c>
      <c r="H483" s="8" t="str">
        <f t="shared" si="15"/>
        <v>Medium</v>
      </c>
      <c r="I483" s="4">
        <v>94.78</v>
      </c>
    </row>
    <row r="484" spans="1:9" x14ac:dyDescent="0.3">
      <c r="A484" s="13">
        <v>45844</v>
      </c>
      <c r="B484" s="4" t="str">
        <f>TEXT(Data!B484,"MMM-YYYY")</f>
        <v>Apr-2025</v>
      </c>
      <c r="C484" s="4" t="str">
        <f t="shared" si="14"/>
        <v>Q3-2025</v>
      </c>
      <c r="D484" t="s">
        <v>78</v>
      </c>
      <c r="E484" t="s">
        <v>90</v>
      </c>
      <c r="F484" t="s">
        <v>91</v>
      </c>
      <c r="G484" t="s">
        <v>57</v>
      </c>
      <c r="H484" s="8" t="str">
        <f t="shared" si="15"/>
        <v>High</v>
      </c>
      <c r="I484" s="4">
        <v>2777.35</v>
      </c>
    </row>
    <row r="485" spans="1:9" x14ac:dyDescent="0.3">
      <c r="A485" s="13">
        <v>45845</v>
      </c>
      <c r="B485" s="4" t="str">
        <f>TEXT(Data!B485,"MMM-YYYY")</f>
        <v>Aug-2023</v>
      </c>
      <c r="C485" s="4" t="str">
        <f t="shared" si="14"/>
        <v>Q3-2025</v>
      </c>
      <c r="D485" t="s">
        <v>78</v>
      </c>
      <c r="E485" t="s">
        <v>79</v>
      </c>
      <c r="F485" t="s">
        <v>80</v>
      </c>
      <c r="G485" t="s">
        <v>42</v>
      </c>
      <c r="H485" s="8" t="str">
        <f t="shared" si="15"/>
        <v>High</v>
      </c>
      <c r="I485" s="4">
        <v>492.18</v>
      </c>
    </row>
    <row r="486" spans="1:9" x14ac:dyDescent="0.3">
      <c r="A486" s="13">
        <v>45846</v>
      </c>
      <c r="B486" s="4" t="str">
        <f>TEXT(Data!B486,"MMM-YYYY")</f>
        <v>Dec-2024</v>
      </c>
      <c r="C486" s="4" t="str">
        <f t="shared" si="14"/>
        <v>Q3-2025</v>
      </c>
      <c r="D486" t="s">
        <v>52</v>
      </c>
      <c r="E486" t="s">
        <v>73</v>
      </c>
      <c r="F486" t="s">
        <v>74</v>
      </c>
      <c r="G486" t="s">
        <v>35</v>
      </c>
      <c r="H486" s="8" t="str">
        <f t="shared" si="15"/>
        <v>High</v>
      </c>
      <c r="I486" s="4">
        <v>1921.65</v>
      </c>
    </row>
    <row r="487" spans="1:9" x14ac:dyDescent="0.3">
      <c r="A487" s="13">
        <v>45847</v>
      </c>
      <c r="B487" s="4" t="str">
        <f>TEXT(Data!B487,"MMM-YYYY")</f>
        <v>Oct-2023</v>
      </c>
      <c r="C487" s="4" t="str">
        <f t="shared" si="14"/>
        <v>Q3-2025</v>
      </c>
      <c r="D487" t="s">
        <v>78</v>
      </c>
      <c r="E487" t="s">
        <v>90</v>
      </c>
      <c r="F487" t="s">
        <v>138</v>
      </c>
      <c r="G487" t="s">
        <v>22</v>
      </c>
      <c r="H487" s="8" t="str">
        <f t="shared" si="15"/>
        <v>High</v>
      </c>
      <c r="I487" s="4">
        <v>290.33</v>
      </c>
    </row>
    <row r="488" spans="1:9" x14ac:dyDescent="0.3">
      <c r="A488" s="13">
        <v>45848</v>
      </c>
      <c r="B488" s="4" t="str">
        <f>TEXT(Data!B488,"MMM-YYYY")</f>
        <v>Nov-2024</v>
      </c>
      <c r="C488" s="4" t="str">
        <f t="shared" si="14"/>
        <v>Q3-2025</v>
      </c>
      <c r="D488" t="s">
        <v>78</v>
      </c>
      <c r="E488" t="s">
        <v>90</v>
      </c>
      <c r="F488" t="s">
        <v>217</v>
      </c>
      <c r="G488" t="s">
        <v>42</v>
      </c>
      <c r="H488" s="8" t="str">
        <f t="shared" si="15"/>
        <v>High</v>
      </c>
      <c r="I488" s="4">
        <v>602.91999999999996</v>
      </c>
    </row>
    <row r="489" spans="1:9" x14ac:dyDescent="0.3">
      <c r="A489" s="13">
        <v>45849</v>
      </c>
      <c r="B489" s="4" t="str">
        <f>TEXT(Data!B489,"MMM-YYYY")</f>
        <v>May-2024</v>
      </c>
      <c r="C489" s="4" t="str">
        <f t="shared" si="14"/>
        <v>Q3-2025</v>
      </c>
      <c r="D489" t="s">
        <v>52</v>
      </c>
      <c r="E489" t="s">
        <v>53</v>
      </c>
      <c r="F489" t="s">
        <v>1364</v>
      </c>
      <c r="G489" t="s">
        <v>30</v>
      </c>
      <c r="H489" s="8" t="str">
        <f t="shared" si="15"/>
        <v>High</v>
      </c>
      <c r="I489" s="4">
        <v>2077.5</v>
      </c>
    </row>
    <row r="490" spans="1:9" x14ac:dyDescent="0.3">
      <c r="A490" s="13">
        <v>45850</v>
      </c>
      <c r="B490" s="4" t="str">
        <f>TEXT(Data!B490,"MMM-YYYY")</f>
        <v>May-2025</v>
      </c>
      <c r="C490" s="4" t="str">
        <f t="shared" si="14"/>
        <v>Q3-2025</v>
      </c>
      <c r="D490" t="s">
        <v>78</v>
      </c>
      <c r="E490" t="s">
        <v>108</v>
      </c>
      <c r="F490" t="s">
        <v>228</v>
      </c>
      <c r="G490" t="s">
        <v>30</v>
      </c>
      <c r="H490" s="8" t="str">
        <f t="shared" si="15"/>
        <v>Medium</v>
      </c>
      <c r="I490" s="4">
        <v>172.88</v>
      </c>
    </row>
    <row r="491" spans="1:9" x14ac:dyDescent="0.3">
      <c r="A491" s="13">
        <v>45851</v>
      </c>
      <c r="B491" s="4" t="str">
        <f>TEXT(Data!B491,"MMM-YYYY")</f>
        <v>Apr-2024</v>
      </c>
      <c r="C491" s="4" t="str">
        <f t="shared" si="14"/>
        <v>Q3-2025</v>
      </c>
      <c r="D491" t="s">
        <v>45</v>
      </c>
      <c r="E491" t="s">
        <v>46</v>
      </c>
      <c r="F491" t="s">
        <v>47</v>
      </c>
      <c r="G491" t="s">
        <v>42</v>
      </c>
      <c r="H491" s="8" t="str">
        <f t="shared" si="15"/>
        <v>High</v>
      </c>
      <c r="I491" s="4">
        <v>2778.74</v>
      </c>
    </row>
    <row r="492" spans="1:9" x14ac:dyDescent="0.3">
      <c r="A492" s="13">
        <v>45852</v>
      </c>
      <c r="B492" s="4" t="str">
        <f>TEXT(Data!B492,"MMM-YYYY")</f>
        <v>Aug-2024</v>
      </c>
      <c r="C492" s="4" t="str">
        <f t="shared" si="14"/>
        <v>Q3-2025</v>
      </c>
      <c r="D492" t="s">
        <v>16</v>
      </c>
      <c r="E492" t="s">
        <v>25</v>
      </c>
      <c r="F492" t="s">
        <v>38</v>
      </c>
      <c r="G492" t="s">
        <v>81</v>
      </c>
      <c r="H492" s="8" t="str">
        <f t="shared" si="15"/>
        <v>High</v>
      </c>
      <c r="I492" s="4">
        <v>309.47000000000003</v>
      </c>
    </row>
    <row r="493" spans="1:9" x14ac:dyDescent="0.3">
      <c r="A493" s="13">
        <v>45853</v>
      </c>
      <c r="B493" s="4" t="str">
        <f>TEXT(Data!B493,"MMM-YYYY")</f>
        <v>Jul-2025</v>
      </c>
      <c r="C493" s="4" t="str">
        <f t="shared" si="14"/>
        <v>Q3-2025</v>
      </c>
      <c r="D493" t="s">
        <v>78</v>
      </c>
      <c r="E493" t="s">
        <v>90</v>
      </c>
      <c r="F493" t="s">
        <v>138</v>
      </c>
      <c r="G493" t="s">
        <v>22</v>
      </c>
      <c r="H493" s="8" t="str">
        <f t="shared" si="15"/>
        <v>High</v>
      </c>
      <c r="I493" s="4">
        <v>666.41</v>
      </c>
    </row>
    <row r="494" spans="1:9" x14ac:dyDescent="0.3">
      <c r="A494" s="13">
        <v>45854</v>
      </c>
      <c r="B494" s="4" t="str">
        <f>TEXT(Data!B494,"MMM-YYYY")</f>
        <v>Mar-2024</v>
      </c>
      <c r="C494" s="4" t="str">
        <f t="shared" si="14"/>
        <v>Q3-2025</v>
      </c>
      <c r="D494" t="s">
        <v>45</v>
      </c>
      <c r="E494" t="s">
        <v>46</v>
      </c>
      <c r="F494" t="s">
        <v>231</v>
      </c>
      <c r="G494" t="s">
        <v>81</v>
      </c>
      <c r="H494" s="8" t="str">
        <f t="shared" si="15"/>
        <v>High</v>
      </c>
      <c r="I494" s="4">
        <v>744.27</v>
      </c>
    </row>
    <row r="495" spans="1:9" x14ac:dyDescent="0.3">
      <c r="A495" s="13">
        <v>45855</v>
      </c>
      <c r="B495" s="4" t="str">
        <f>TEXT(Data!B495,"MMM-YYYY")</f>
        <v>May-2024</v>
      </c>
      <c r="C495" s="4" t="str">
        <f t="shared" si="14"/>
        <v>Q3-2025</v>
      </c>
      <c r="D495" t="s">
        <v>52</v>
      </c>
      <c r="E495" t="s">
        <v>73</v>
      </c>
      <c r="F495" t="s">
        <v>74</v>
      </c>
      <c r="G495" t="s">
        <v>42</v>
      </c>
      <c r="H495" s="8" t="str">
        <f t="shared" si="15"/>
        <v>Low</v>
      </c>
      <c r="I495" s="4">
        <v>12.69</v>
      </c>
    </row>
    <row r="496" spans="1:9" x14ac:dyDescent="0.3">
      <c r="A496" s="13">
        <v>45856</v>
      </c>
      <c r="B496" s="4" t="str">
        <f>TEXT(Data!B496,"MMM-YYYY")</f>
        <v>Aug-2024</v>
      </c>
      <c r="C496" s="4" t="str">
        <f t="shared" si="14"/>
        <v>Q3-2025</v>
      </c>
      <c r="D496" t="s">
        <v>45</v>
      </c>
      <c r="E496" t="s">
        <v>60</v>
      </c>
      <c r="F496" t="s">
        <v>141</v>
      </c>
      <c r="G496" t="s">
        <v>81</v>
      </c>
      <c r="H496" s="8" t="str">
        <f t="shared" si="15"/>
        <v>High</v>
      </c>
      <c r="I496" s="4">
        <v>651.55999999999995</v>
      </c>
    </row>
    <row r="497" spans="1:9" x14ac:dyDescent="0.3">
      <c r="A497" s="13">
        <v>45857</v>
      </c>
      <c r="B497" s="4" t="str">
        <f>TEXT(Data!B497,"MMM-YYYY")</f>
        <v>Jun-2023</v>
      </c>
      <c r="C497" s="4" t="str">
        <f t="shared" si="14"/>
        <v>Q3-2025</v>
      </c>
      <c r="D497" t="s">
        <v>52</v>
      </c>
      <c r="E497" t="s">
        <v>122</v>
      </c>
      <c r="F497" t="s">
        <v>326</v>
      </c>
      <c r="G497" t="s">
        <v>64</v>
      </c>
      <c r="H497" s="8" t="str">
        <f t="shared" si="15"/>
        <v>High</v>
      </c>
      <c r="I497" s="4">
        <v>754.22</v>
      </c>
    </row>
    <row r="498" spans="1:9" x14ac:dyDescent="0.3">
      <c r="A498" s="13">
        <v>45858</v>
      </c>
      <c r="B498" s="4" t="str">
        <f>TEXT(Data!B498,"MMM-YYYY")</f>
        <v>Sept-2024</v>
      </c>
      <c r="C498" s="4" t="str">
        <f t="shared" si="14"/>
        <v>Q3-2025</v>
      </c>
      <c r="D498" t="s">
        <v>52</v>
      </c>
      <c r="E498" t="s">
        <v>73</v>
      </c>
      <c r="F498" t="s">
        <v>87</v>
      </c>
      <c r="G498" t="s">
        <v>35</v>
      </c>
      <c r="H498" s="8" t="str">
        <f t="shared" si="15"/>
        <v>High</v>
      </c>
      <c r="I498" s="4">
        <v>2981.01</v>
      </c>
    </row>
    <row r="499" spans="1:9" x14ac:dyDescent="0.3">
      <c r="A499" s="13">
        <v>45859</v>
      </c>
      <c r="B499" s="4" t="str">
        <f>TEXT(Data!B499,"MMM-YYYY")</f>
        <v>Oct-2023</v>
      </c>
      <c r="C499" s="4" t="str">
        <f t="shared" si="14"/>
        <v>Q3-2025</v>
      </c>
      <c r="D499" t="s">
        <v>78</v>
      </c>
      <c r="E499" t="s">
        <v>108</v>
      </c>
      <c r="F499" t="s">
        <v>152</v>
      </c>
      <c r="G499" t="s">
        <v>35</v>
      </c>
      <c r="H499" s="8" t="str">
        <f t="shared" si="15"/>
        <v>High</v>
      </c>
      <c r="I499" s="4">
        <v>976.17</v>
      </c>
    </row>
    <row r="500" spans="1:9" x14ac:dyDescent="0.3">
      <c r="A500" s="13">
        <v>45860</v>
      </c>
      <c r="B500" s="4" t="str">
        <f>TEXT(Data!B500,"MMM-YYYY")</f>
        <v>Sept-2025</v>
      </c>
      <c r="C500" s="4" t="str">
        <f t="shared" si="14"/>
        <v>Q3-2025</v>
      </c>
      <c r="D500" t="s">
        <v>52</v>
      </c>
      <c r="E500" t="s">
        <v>73</v>
      </c>
      <c r="F500" t="s">
        <v>87</v>
      </c>
      <c r="G500" t="s">
        <v>81</v>
      </c>
      <c r="H500" s="8" t="str">
        <f t="shared" si="15"/>
        <v>High</v>
      </c>
      <c r="I500" s="4">
        <v>1145.9000000000001</v>
      </c>
    </row>
    <row r="501" spans="1:9" x14ac:dyDescent="0.3">
      <c r="A501" s="13">
        <v>45861</v>
      </c>
      <c r="B501" s="4" t="str">
        <f>TEXT(Data!B501,"MMM-YYYY")</f>
        <v>May-2023</v>
      </c>
      <c r="C501" s="4" t="str">
        <f t="shared" si="14"/>
        <v>Q3-2025</v>
      </c>
      <c r="D501" t="s">
        <v>52</v>
      </c>
      <c r="E501" t="s">
        <v>73</v>
      </c>
      <c r="F501" t="s">
        <v>225</v>
      </c>
      <c r="G501" t="s">
        <v>64</v>
      </c>
      <c r="H501" s="8" t="str">
        <f t="shared" si="15"/>
        <v>High</v>
      </c>
      <c r="I501" s="4">
        <v>1630.39</v>
      </c>
    </row>
    <row r="502" spans="1:9" x14ac:dyDescent="0.3">
      <c r="A502" s="13">
        <v>45862</v>
      </c>
      <c r="B502" s="4" t="str">
        <f>TEXT(Data!B502,"MMM-YYYY")</f>
        <v>Apr-2024</v>
      </c>
      <c r="C502" s="4" t="str">
        <f t="shared" si="14"/>
        <v>Q3-2025</v>
      </c>
      <c r="D502" t="s">
        <v>45</v>
      </c>
      <c r="E502" t="s">
        <v>60</v>
      </c>
      <c r="F502" t="s">
        <v>61</v>
      </c>
      <c r="G502" t="s">
        <v>64</v>
      </c>
      <c r="H502" s="8" t="str">
        <f t="shared" si="15"/>
        <v>High</v>
      </c>
      <c r="I502" s="4">
        <v>963.73</v>
      </c>
    </row>
    <row r="503" spans="1:9" x14ac:dyDescent="0.3">
      <c r="A503" s="13">
        <v>45863</v>
      </c>
      <c r="B503" s="4" t="str">
        <f>TEXT(Data!B503,"MMM-YYYY")</f>
        <v>Feb-2023</v>
      </c>
      <c r="C503" s="4" t="str">
        <f t="shared" si="14"/>
        <v>Q3-2025</v>
      </c>
      <c r="D503" t="s">
        <v>78</v>
      </c>
      <c r="E503" t="s">
        <v>108</v>
      </c>
      <c r="F503" t="s">
        <v>152</v>
      </c>
      <c r="G503" t="s">
        <v>42</v>
      </c>
      <c r="H503" s="8" t="str">
        <f t="shared" si="15"/>
        <v>High</v>
      </c>
      <c r="I503" s="4">
        <v>891.73</v>
      </c>
    </row>
    <row r="504" spans="1:9" x14ac:dyDescent="0.3">
      <c r="A504" s="13">
        <v>45864</v>
      </c>
      <c r="B504" s="4" t="str">
        <f>TEXT(Data!B504,"MMM-YYYY")</f>
        <v>Mar-2025</v>
      </c>
      <c r="C504" s="4" t="str">
        <f t="shared" si="14"/>
        <v>Q3-2025</v>
      </c>
      <c r="D504" t="s">
        <v>45</v>
      </c>
      <c r="E504" t="s">
        <v>116</v>
      </c>
      <c r="F504" t="s">
        <v>338</v>
      </c>
      <c r="G504" t="s">
        <v>30</v>
      </c>
      <c r="H504" s="8" t="str">
        <f t="shared" si="15"/>
        <v>High</v>
      </c>
      <c r="I504" s="4">
        <v>1667.82</v>
      </c>
    </row>
    <row r="505" spans="1:9" x14ac:dyDescent="0.3">
      <c r="A505" s="13">
        <v>45865</v>
      </c>
      <c r="B505" s="4" t="str">
        <f>TEXT(Data!B505,"MMM-YYYY")</f>
        <v>Mar-2025</v>
      </c>
      <c r="C505" s="4" t="str">
        <f t="shared" si="14"/>
        <v>Q3-2025</v>
      </c>
      <c r="D505" t="s">
        <v>45</v>
      </c>
      <c r="E505" t="s">
        <v>116</v>
      </c>
      <c r="F505" t="s">
        <v>338</v>
      </c>
      <c r="G505" t="s">
        <v>35</v>
      </c>
      <c r="H505" s="8" t="str">
        <f t="shared" si="15"/>
        <v>High</v>
      </c>
      <c r="I505" s="4">
        <v>1921.51</v>
      </c>
    </row>
    <row r="506" spans="1:9" x14ac:dyDescent="0.3">
      <c r="A506" s="13">
        <v>45866</v>
      </c>
      <c r="B506" s="4" t="str">
        <f>TEXT(Data!B506,"MMM-YYYY")</f>
        <v>Apr-2024</v>
      </c>
      <c r="C506" s="4" t="str">
        <f t="shared" si="14"/>
        <v>Q3-2025</v>
      </c>
      <c r="D506" t="s">
        <v>52</v>
      </c>
      <c r="E506" t="s">
        <v>73</v>
      </c>
      <c r="F506" t="s">
        <v>225</v>
      </c>
      <c r="G506" t="s">
        <v>35</v>
      </c>
      <c r="H506" s="8" t="str">
        <f t="shared" si="15"/>
        <v>High</v>
      </c>
      <c r="I506" s="4">
        <v>1217.43</v>
      </c>
    </row>
    <row r="507" spans="1:9" x14ac:dyDescent="0.3">
      <c r="A507" s="13">
        <v>45867</v>
      </c>
      <c r="B507" s="4" t="str">
        <f>TEXT(Data!B507,"MMM-YYYY")</f>
        <v>Apr-2025</v>
      </c>
      <c r="C507" s="4" t="str">
        <f t="shared" si="14"/>
        <v>Q3-2025</v>
      </c>
      <c r="D507" t="s">
        <v>16</v>
      </c>
      <c r="E507" t="s">
        <v>25</v>
      </c>
      <c r="F507" t="s">
        <v>38</v>
      </c>
      <c r="G507" t="s">
        <v>22</v>
      </c>
      <c r="H507" s="8" t="str">
        <f t="shared" si="15"/>
        <v>High</v>
      </c>
      <c r="I507" s="4">
        <v>970.27</v>
      </c>
    </row>
    <row r="508" spans="1:9" x14ac:dyDescent="0.3">
      <c r="A508" s="13">
        <v>45868</v>
      </c>
      <c r="B508" s="4" t="str">
        <f>TEXT(Data!B508,"MMM-YYYY")</f>
        <v>Oct-2024</v>
      </c>
      <c r="C508" s="4" t="str">
        <f t="shared" si="14"/>
        <v>Q3-2025</v>
      </c>
      <c r="D508" t="s">
        <v>52</v>
      </c>
      <c r="E508" t="s">
        <v>122</v>
      </c>
      <c r="F508" t="s">
        <v>326</v>
      </c>
      <c r="G508" t="s">
        <v>42</v>
      </c>
      <c r="H508" s="8" t="str">
        <f t="shared" si="15"/>
        <v>High</v>
      </c>
      <c r="I508" s="4">
        <v>1624.67</v>
      </c>
    </row>
    <row r="509" spans="1:9" x14ac:dyDescent="0.3">
      <c r="A509" s="13">
        <v>45869</v>
      </c>
      <c r="B509" s="4" t="str">
        <f>TEXT(Data!B509,"MMM-YYYY")</f>
        <v>Apr-2023</v>
      </c>
      <c r="C509" s="4" t="str">
        <f t="shared" si="14"/>
        <v>Q3-2025</v>
      </c>
      <c r="D509" t="s">
        <v>45</v>
      </c>
      <c r="E509" t="s">
        <v>116</v>
      </c>
      <c r="F509" t="s">
        <v>162</v>
      </c>
      <c r="G509" t="s">
        <v>35</v>
      </c>
      <c r="H509" s="8" t="str">
        <f t="shared" si="15"/>
        <v>High</v>
      </c>
      <c r="I509" s="4">
        <v>2606.11</v>
      </c>
    </row>
    <row r="510" spans="1:9" x14ac:dyDescent="0.3">
      <c r="A510" s="13">
        <v>45870</v>
      </c>
      <c r="B510" s="4" t="str">
        <f>TEXT(Data!B510,"MMM-YYYY")</f>
        <v>Nov-2024</v>
      </c>
      <c r="C510" s="4" t="str">
        <f t="shared" si="14"/>
        <v>Q3-2025</v>
      </c>
      <c r="D510" t="s">
        <v>78</v>
      </c>
      <c r="E510" t="s">
        <v>90</v>
      </c>
      <c r="F510" t="s">
        <v>138</v>
      </c>
      <c r="G510" t="s">
        <v>57</v>
      </c>
      <c r="H510" s="8" t="str">
        <f t="shared" si="15"/>
        <v>High</v>
      </c>
      <c r="I510" s="4">
        <v>434.72</v>
      </c>
    </row>
    <row r="511" spans="1:9" x14ac:dyDescent="0.3">
      <c r="A511" s="13">
        <v>45871</v>
      </c>
      <c r="B511" s="4" t="str">
        <f>TEXT(Data!B511,"MMM-YYYY")</f>
        <v>May-2023</v>
      </c>
      <c r="C511" s="4" t="str">
        <f t="shared" si="14"/>
        <v>Q3-2025</v>
      </c>
      <c r="D511" t="s">
        <v>45</v>
      </c>
      <c r="E511" t="s">
        <v>60</v>
      </c>
      <c r="F511" t="s">
        <v>220</v>
      </c>
      <c r="G511" t="s">
        <v>57</v>
      </c>
      <c r="H511" s="8" t="str">
        <f t="shared" si="15"/>
        <v>High</v>
      </c>
      <c r="I511" s="4">
        <v>1860.41</v>
      </c>
    </row>
    <row r="512" spans="1:9" x14ac:dyDescent="0.3">
      <c r="A512" s="13">
        <v>45872</v>
      </c>
      <c r="B512" s="4" t="str">
        <f>TEXT(Data!B512,"MMM-YYYY")</f>
        <v>Mar-2024</v>
      </c>
      <c r="C512" s="4" t="str">
        <f t="shared" si="14"/>
        <v>Q3-2025</v>
      </c>
      <c r="D512" t="s">
        <v>45</v>
      </c>
      <c r="E512" t="s">
        <v>60</v>
      </c>
      <c r="F512" t="s">
        <v>141</v>
      </c>
      <c r="G512" t="s">
        <v>64</v>
      </c>
      <c r="H512" s="8" t="str">
        <f t="shared" si="15"/>
        <v>High</v>
      </c>
      <c r="I512" s="4">
        <v>833.69</v>
      </c>
    </row>
    <row r="513" spans="1:9" x14ac:dyDescent="0.3">
      <c r="A513" s="13">
        <v>45873</v>
      </c>
      <c r="B513" s="4" t="str">
        <f>TEXT(Data!B513,"MMM-YYYY")</f>
        <v>Oct-2024</v>
      </c>
      <c r="C513" s="4" t="str">
        <f t="shared" si="14"/>
        <v>Q3-2025</v>
      </c>
      <c r="D513" t="s">
        <v>52</v>
      </c>
      <c r="E513" t="s">
        <v>122</v>
      </c>
      <c r="F513" t="s">
        <v>123</v>
      </c>
      <c r="G513" t="s">
        <v>22</v>
      </c>
      <c r="H513" s="8" t="str">
        <f t="shared" si="15"/>
        <v>High</v>
      </c>
      <c r="I513" s="4">
        <v>333.48</v>
      </c>
    </row>
    <row r="514" spans="1:9" x14ac:dyDescent="0.3">
      <c r="A514" s="13">
        <v>45874</v>
      </c>
      <c r="B514" s="4" t="str">
        <f>TEXT(Data!B514,"MMM-YYYY")</f>
        <v>Jun-2023</v>
      </c>
      <c r="C514" s="4" t="str">
        <f t="shared" ref="C514:C577" si="16">"Q"&amp;ROUNDUP(MONTH(A514)/3,0)&amp;"-"&amp;YEAR(A514)</f>
        <v>Q3-2025</v>
      </c>
      <c r="D514" t="s">
        <v>78</v>
      </c>
      <c r="E514" t="s">
        <v>108</v>
      </c>
      <c r="F514" t="s">
        <v>228</v>
      </c>
      <c r="G514" t="s">
        <v>22</v>
      </c>
      <c r="H514" s="8" t="str">
        <f t="shared" ref="H514:H577" si="17">IF(I514&lt;50, "Low", IF(I514&lt;200, "Medium", "High"))</f>
        <v>High</v>
      </c>
      <c r="I514" s="4">
        <v>1784.7</v>
      </c>
    </row>
    <row r="515" spans="1:9" x14ac:dyDescent="0.3">
      <c r="A515" s="13">
        <v>45875</v>
      </c>
      <c r="B515" s="4" t="str">
        <f>TEXT(Data!B515,"MMM-YYYY")</f>
        <v>Jan-2025</v>
      </c>
      <c r="C515" s="4" t="str">
        <f t="shared" si="16"/>
        <v>Q3-2025</v>
      </c>
      <c r="D515" t="s">
        <v>78</v>
      </c>
      <c r="E515" t="s">
        <v>79</v>
      </c>
      <c r="F515" t="s">
        <v>335</v>
      </c>
      <c r="G515" t="s">
        <v>42</v>
      </c>
      <c r="H515" s="8" t="str">
        <f t="shared" si="17"/>
        <v>High</v>
      </c>
      <c r="I515" s="4">
        <v>1072.29</v>
      </c>
    </row>
    <row r="516" spans="1:9" x14ac:dyDescent="0.3">
      <c r="A516" s="13">
        <v>45876</v>
      </c>
      <c r="B516" s="4" t="str">
        <f>TEXT(Data!B516,"MMM-YYYY")</f>
        <v>Aug-2025</v>
      </c>
      <c r="C516" s="4" t="str">
        <f t="shared" si="16"/>
        <v>Q3-2025</v>
      </c>
      <c r="D516" t="s">
        <v>45</v>
      </c>
      <c r="E516" t="s">
        <v>60</v>
      </c>
      <c r="F516" t="s">
        <v>141</v>
      </c>
      <c r="G516" t="s">
        <v>22</v>
      </c>
      <c r="H516" s="8" t="str">
        <f t="shared" si="17"/>
        <v>High</v>
      </c>
      <c r="I516" s="4">
        <v>3028.05</v>
      </c>
    </row>
    <row r="517" spans="1:9" x14ac:dyDescent="0.3">
      <c r="A517" s="13">
        <v>45877</v>
      </c>
      <c r="B517" s="4" t="str">
        <f>TEXT(Data!B517,"MMM-YYYY")</f>
        <v>Sept-2023</v>
      </c>
      <c r="C517" s="4" t="str">
        <f t="shared" si="16"/>
        <v>Q3-2025</v>
      </c>
      <c r="D517" t="s">
        <v>45</v>
      </c>
      <c r="E517" t="s">
        <v>60</v>
      </c>
      <c r="F517" t="s">
        <v>220</v>
      </c>
      <c r="G517" t="s">
        <v>57</v>
      </c>
      <c r="H517" s="8" t="str">
        <f t="shared" si="17"/>
        <v>High</v>
      </c>
      <c r="I517" s="4">
        <v>987.24</v>
      </c>
    </row>
    <row r="518" spans="1:9" x14ac:dyDescent="0.3">
      <c r="A518" s="13">
        <v>45878</v>
      </c>
      <c r="B518" s="4" t="str">
        <f>TEXT(Data!B518,"MMM-YYYY")</f>
        <v>May-2025</v>
      </c>
      <c r="C518" s="4" t="str">
        <f t="shared" si="16"/>
        <v>Q3-2025</v>
      </c>
      <c r="D518" t="s">
        <v>45</v>
      </c>
      <c r="E518" t="s">
        <v>46</v>
      </c>
      <c r="F518" t="s">
        <v>214</v>
      </c>
      <c r="G518" t="s">
        <v>30</v>
      </c>
      <c r="H518" s="8" t="str">
        <f t="shared" si="17"/>
        <v>High</v>
      </c>
      <c r="I518" s="4">
        <v>975.43</v>
      </c>
    </row>
    <row r="519" spans="1:9" x14ac:dyDescent="0.3">
      <c r="A519" s="13">
        <v>45879</v>
      </c>
      <c r="B519" s="4" t="str">
        <f>TEXT(Data!B519,"MMM-YYYY")</f>
        <v>May-2024</v>
      </c>
      <c r="C519" s="4" t="str">
        <f t="shared" si="16"/>
        <v>Q3-2025</v>
      </c>
      <c r="D519" t="s">
        <v>16</v>
      </c>
      <c r="E519" t="s">
        <v>25</v>
      </c>
      <c r="F519" t="s">
        <v>38</v>
      </c>
      <c r="G519" t="s">
        <v>81</v>
      </c>
      <c r="H519" s="8" t="str">
        <f t="shared" si="17"/>
        <v>Medium</v>
      </c>
      <c r="I519" s="4">
        <v>141.43</v>
      </c>
    </row>
    <row r="520" spans="1:9" x14ac:dyDescent="0.3">
      <c r="A520" s="13">
        <v>45880</v>
      </c>
      <c r="B520" s="4" t="str">
        <f>TEXT(Data!B520,"MMM-YYYY")</f>
        <v>May-2023</v>
      </c>
      <c r="C520" s="4" t="str">
        <f t="shared" si="16"/>
        <v>Q3-2025</v>
      </c>
      <c r="D520" t="s">
        <v>78</v>
      </c>
      <c r="E520" t="s">
        <v>79</v>
      </c>
      <c r="F520" t="s">
        <v>80</v>
      </c>
      <c r="G520" t="s">
        <v>35</v>
      </c>
      <c r="H520" s="8" t="str">
        <f t="shared" si="17"/>
        <v>High</v>
      </c>
      <c r="I520" s="4">
        <v>1625.42</v>
      </c>
    </row>
    <row r="521" spans="1:9" x14ac:dyDescent="0.3">
      <c r="A521" s="13">
        <v>45881</v>
      </c>
      <c r="B521" s="4" t="str">
        <f>TEXT(Data!B521,"MMM-YYYY")</f>
        <v>Jul-2024</v>
      </c>
      <c r="C521" s="4" t="str">
        <f t="shared" si="16"/>
        <v>Q3-2025</v>
      </c>
      <c r="D521" t="s">
        <v>16</v>
      </c>
      <c r="E521" t="s">
        <v>25</v>
      </c>
      <c r="F521" t="s">
        <v>26</v>
      </c>
      <c r="G521" t="s">
        <v>22</v>
      </c>
      <c r="H521" s="8" t="str">
        <f t="shared" si="17"/>
        <v>High</v>
      </c>
      <c r="I521" s="4">
        <v>299.94</v>
      </c>
    </row>
    <row r="522" spans="1:9" x14ac:dyDescent="0.3">
      <c r="A522" s="13">
        <v>45882</v>
      </c>
      <c r="B522" s="4" t="str">
        <f>TEXT(Data!B522,"MMM-YYYY")</f>
        <v>May-2023</v>
      </c>
      <c r="C522" s="4" t="str">
        <f t="shared" si="16"/>
        <v>Q3-2025</v>
      </c>
      <c r="D522" t="s">
        <v>78</v>
      </c>
      <c r="E522" t="s">
        <v>90</v>
      </c>
      <c r="F522" t="s">
        <v>91</v>
      </c>
      <c r="G522" t="s">
        <v>22</v>
      </c>
      <c r="H522" s="8" t="str">
        <f t="shared" si="17"/>
        <v>High</v>
      </c>
      <c r="I522" s="4">
        <v>1503.96</v>
      </c>
    </row>
    <row r="523" spans="1:9" x14ac:dyDescent="0.3">
      <c r="A523" s="13">
        <v>45883</v>
      </c>
      <c r="B523" s="4" t="str">
        <f>TEXT(Data!B523,"MMM-YYYY")</f>
        <v>Jul-2024</v>
      </c>
      <c r="C523" s="4" t="str">
        <f t="shared" si="16"/>
        <v>Q3-2025</v>
      </c>
      <c r="D523" t="s">
        <v>45</v>
      </c>
      <c r="E523" t="s">
        <v>60</v>
      </c>
      <c r="F523" t="s">
        <v>220</v>
      </c>
      <c r="G523" t="s">
        <v>57</v>
      </c>
      <c r="H523" s="8" t="str">
        <f t="shared" si="17"/>
        <v>High</v>
      </c>
      <c r="I523" s="4">
        <v>3101.11</v>
      </c>
    </row>
    <row r="524" spans="1:9" x14ac:dyDescent="0.3">
      <c r="A524" s="13">
        <v>45884</v>
      </c>
      <c r="B524" s="4" t="str">
        <f>TEXT(Data!B524,"MMM-YYYY")</f>
        <v>Apr-2024</v>
      </c>
      <c r="C524" s="4" t="str">
        <f t="shared" si="16"/>
        <v>Q3-2025</v>
      </c>
      <c r="D524" t="s">
        <v>45</v>
      </c>
      <c r="E524" t="s">
        <v>116</v>
      </c>
      <c r="F524" t="s">
        <v>162</v>
      </c>
      <c r="G524" t="s">
        <v>81</v>
      </c>
      <c r="H524" s="8" t="str">
        <f t="shared" si="17"/>
        <v>High</v>
      </c>
      <c r="I524" s="4">
        <v>979.42</v>
      </c>
    </row>
    <row r="525" spans="1:9" x14ac:dyDescent="0.3">
      <c r="A525" s="13">
        <v>45885</v>
      </c>
      <c r="B525" s="4" t="str">
        <f>TEXT(Data!B525,"MMM-YYYY")</f>
        <v>Jan-2024</v>
      </c>
      <c r="C525" s="4" t="str">
        <f t="shared" si="16"/>
        <v>Q3-2025</v>
      </c>
      <c r="D525" t="s">
        <v>16</v>
      </c>
      <c r="E525" t="s">
        <v>17</v>
      </c>
      <c r="F525" t="s">
        <v>18</v>
      </c>
      <c r="G525" t="s">
        <v>64</v>
      </c>
      <c r="H525" s="8" t="str">
        <f t="shared" si="17"/>
        <v>High</v>
      </c>
      <c r="I525" s="4">
        <v>1186.26</v>
      </c>
    </row>
    <row r="526" spans="1:9" x14ac:dyDescent="0.3">
      <c r="A526" s="13">
        <v>45886</v>
      </c>
      <c r="B526" s="4" t="str">
        <f>TEXT(Data!B526,"MMM-YYYY")</f>
        <v>Apr-2024</v>
      </c>
      <c r="C526" s="4" t="str">
        <f t="shared" si="16"/>
        <v>Q3-2025</v>
      </c>
      <c r="D526" t="s">
        <v>52</v>
      </c>
      <c r="E526" t="s">
        <v>122</v>
      </c>
      <c r="F526" t="s">
        <v>167</v>
      </c>
      <c r="G526" t="s">
        <v>22</v>
      </c>
      <c r="H526" s="8" t="str">
        <f t="shared" si="17"/>
        <v>High</v>
      </c>
      <c r="I526" s="4">
        <v>1938.33</v>
      </c>
    </row>
    <row r="527" spans="1:9" x14ac:dyDescent="0.3">
      <c r="A527" s="13">
        <v>45887</v>
      </c>
      <c r="B527" s="4" t="str">
        <f>TEXT(Data!B527,"MMM-YYYY")</f>
        <v>Feb-2025</v>
      </c>
      <c r="C527" s="4" t="str">
        <f t="shared" si="16"/>
        <v>Q3-2025</v>
      </c>
      <c r="D527" t="s">
        <v>16</v>
      </c>
      <c r="E527" t="s">
        <v>17</v>
      </c>
      <c r="F527" t="s">
        <v>135</v>
      </c>
      <c r="G527" t="s">
        <v>30</v>
      </c>
      <c r="H527" s="8" t="str">
        <f t="shared" si="17"/>
        <v>High</v>
      </c>
      <c r="I527" s="4">
        <v>826.47</v>
      </c>
    </row>
    <row r="528" spans="1:9" x14ac:dyDescent="0.3">
      <c r="A528" s="13">
        <v>45888</v>
      </c>
      <c r="B528" s="4" t="str">
        <f>TEXT(Data!B528,"MMM-YYYY")</f>
        <v>Jan-2023</v>
      </c>
      <c r="C528" s="4" t="str">
        <f t="shared" si="16"/>
        <v>Q3-2025</v>
      </c>
      <c r="D528" t="s">
        <v>16</v>
      </c>
      <c r="E528" t="s">
        <v>25</v>
      </c>
      <c r="F528" t="s">
        <v>38</v>
      </c>
      <c r="G528" t="s">
        <v>30</v>
      </c>
      <c r="H528" s="8" t="str">
        <f t="shared" si="17"/>
        <v>Medium</v>
      </c>
      <c r="I528" s="4">
        <v>118.17</v>
      </c>
    </row>
    <row r="529" spans="1:9" x14ac:dyDescent="0.3">
      <c r="A529" s="13">
        <v>45889</v>
      </c>
      <c r="B529" s="4" t="str">
        <f>TEXT(Data!B529,"MMM-YYYY")</f>
        <v>Jun-2024</v>
      </c>
      <c r="C529" s="4" t="str">
        <f t="shared" si="16"/>
        <v>Q3-2025</v>
      </c>
      <c r="D529" t="s">
        <v>45</v>
      </c>
      <c r="E529" t="s">
        <v>116</v>
      </c>
      <c r="F529" t="s">
        <v>117</v>
      </c>
      <c r="G529" t="s">
        <v>30</v>
      </c>
      <c r="H529" s="8" t="str">
        <f t="shared" si="17"/>
        <v>High</v>
      </c>
      <c r="I529" s="4">
        <v>1425.87</v>
      </c>
    </row>
    <row r="530" spans="1:9" x14ac:dyDescent="0.3">
      <c r="A530" s="13">
        <v>45890</v>
      </c>
      <c r="B530" s="4" t="str">
        <f>TEXT(Data!B530,"MMM-YYYY")</f>
        <v>Aug-2023</v>
      </c>
      <c r="C530" s="4" t="str">
        <f t="shared" si="16"/>
        <v>Q3-2025</v>
      </c>
      <c r="D530" t="s">
        <v>16</v>
      </c>
      <c r="E530" t="s">
        <v>17</v>
      </c>
      <c r="F530" t="s">
        <v>33</v>
      </c>
      <c r="G530" t="s">
        <v>57</v>
      </c>
      <c r="H530" s="8" t="str">
        <f t="shared" si="17"/>
        <v>High</v>
      </c>
      <c r="I530" s="4">
        <v>1594.78</v>
      </c>
    </row>
    <row r="531" spans="1:9" x14ac:dyDescent="0.3">
      <c r="A531" s="13">
        <v>45891</v>
      </c>
      <c r="B531" s="4" t="str">
        <f>TEXT(Data!B531,"MMM-YYYY")</f>
        <v>Jan-2024</v>
      </c>
      <c r="C531" s="4" t="str">
        <f t="shared" si="16"/>
        <v>Q3-2025</v>
      </c>
      <c r="D531" t="s">
        <v>16</v>
      </c>
      <c r="E531" t="s">
        <v>148</v>
      </c>
      <c r="F531" t="s">
        <v>172</v>
      </c>
      <c r="G531" t="s">
        <v>30</v>
      </c>
      <c r="H531" s="8" t="str">
        <f t="shared" si="17"/>
        <v>High</v>
      </c>
      <c r="I531" s="4">
        <v>3342.11</v>
      </c>
    </row>
    <row r="532" spans="1:9" x14ac:dyDescent="0.3">
      <c r="A532" s="13">
        <v>45892</v>
      </c>
      <c r="B532" s="4" t="str">
        <f>TEXT(Data!B532,"MMM-YYYY")</f>
        <v>Mar-2025</v>
      </c>
      <c r="C532" s="4" t="str">
        <f t="shared" si="16"/>
        <v>Q3-2025</v>
      </c>
      <c r="D532" t="s">
        <v>45</v>
      </c>
      <c r="E532" t="s">
        <v>46</v>
      </c>
      <c r="F532" t="s">
        <v>47</v>
      </c>
      <c r="G532" t="s">
        <v>35</v>
      </c>
      <c r="H532" s="8" t="str">
        <f t="shared" si="17"/>
        <v>High</v>
      </c>
      <c r="I532" s="4">
        <v>1069.77</v>
      </c>
    </row>
    <row r="533" spans="1:9" x14ac:dyDescent="0.3">
      <c r="A533" s="13">
        <v>45893</v>
      </c>
      <c r="B533" s="4" t="str">
        <f>TEXT(Data!B533,"MMM-YYYY")</f>
        <v>Apr-2025</v>
      </c>
      <c r="C533" s="4" t="str">
        <f t="shared" si="16"/>
        <v>Q3-2025</v>
      </c>
      <c r="D533" t="s">
        <v>78</v>
      </c>
      <c r="E533" t="s">
        <v>79</v>
      </c>
      <c r="F533" t="s">
        <v>80</v>
      </c>
      <c r="G533" t="s">
        <v>42</v>
      </c>
      <c r="H533" s="8" t="str">
        <f t="shared" si="17"/>
        <v>Medium</v>
      </c>
      <c r="I533" s="4">
        <v>140.82</v>
      </c>
    </row>
    <row r="534" spans="1:9" x14ac:dyDescent="0.3">
      <c r="A534" s="13">
        <v>45894</v>
      </c>
      <c r="B534" s="4" t="str">
        <f>TEXT(Data!B534,"MMM-YYYY")</f>
        <v>Aug-2023</v>
      </c>
      <c r="C534" s="4" t="str">
        <f t="shared" si="16"/>
        <v>Q3-2025</v>
      </c>
      <c r="D534" t="s">
        <v>78</v>
      </c>
      <c r="E534" t="s">
        <v>90</v>
      </c>
      <c r="F534" t="s">
        <v>138</v>
      </c>
      <c r="G534" t="s">
        <v>64</v>
      </c>
      <c r="H534" s="8" t="str">
        <f t="shared" si="17"/>
        <v>Medium</v>
      </c>
      <c r="I534" s="4">
        <v>67.040000000000006</v>
      </c>
    </row>
    <row r="535" spans="1:9" x14ac:dyDescent="0.3">
      <c r="A535" s="13">
        <v>45895</v>
      </c>
      <c r="B535" s="4" t="str">
        <f>TEXT(Data!B535,"MMM-YYYY")</f>
        <v>Jun-2025</v>
      </c>
      <c r="C535" s="4" t="str">
        <f t="shared" si="16"/>
        <v>Q3-2025</v>
      </c>
      <c r="D535" t="s">
        <v>16</v>
      </c>
      <c r="E535" t="s">
        <v>148</v>
      </c>
      <c r="F535" t="s">
        <v>172</v>
      </c>
      <c r="G535" t="s">
        <v>42</v>
      </c>
      <c r="H535" s="8" t="str">
        <f t="shared" si="17"/>
        <v>High</v>
      </c>
      <c r="I535" s="4">
        <v>1276.67</v>
      </c>
    </row>
    <row r="536" spans="1:9" x14ac:dyDescent="0.3">
      <c r="A536" s="13">
        <v>45896</v>
      </c>
      <c r="B536" s="4" t="str">
        <f>TEXT(Data!B536,"MMM-YYYY")</f>
        <v>Jan-2025</v>
      </c>
      <c r="C536" s="4" t="str">
        <f t="shared" si="16"/>
        <v>Q3-2025</v>
      </c>
      <c r="D536" t="s">
        <v>16</v>
      </c>
      <c r="E536" t="s">
        <v>148</v>
      </c>
      <c r="F536" t="s">
        <v>149</v>
      </c>
      <c r="G536" t="s">
        <v>57</v>
      </c>
      <c r="H536" s="8" t="str">
        <f t="shared" si="17"/>
        <v>High</v>
      </c>
      <c r="I536" s="4">
        <v>2821.36</v>
      </c>
    </row>
    <row r="537" spans="1:9" x14ac:dyDescent="0.3">
      <c r="A537" s="13">
        <v>45897</v>
      </c>
      <c r="B537" s="4" t="str">
        <f>TEXT(Data!B537,"MMM-YYYY")</f>
        <v>Jul-2023</v>
      </c>
      <c r="C537" s="4" t="str">
        <f t="shared" si="16"/>
        <v>Q3-2025</v>
      </c>
      <c r="D537" t="s">
        <v>52</v>
      </c>
      <c r="E537" t="s">
        <v>73</v>
      </c>
      <c r="F537" t="s">
        <v>87</v>
      </c>
      <c r="G537" t="s">
        <v>57</v>
      </c>
      <c r="H537" s="8" t="str">
        <f t="shared" si="17"/>
        <v>High</v>
      </c>
      <c r="I537" s="4">
        <v>1559.19</v>
      </c>
    </row>
    <row r="538" spans="1:9" x14ac:dyDescent="0.3">
      <c r="A538" s="13">
        <v>45898</v>
      </c>
      <c r="B538" s="4" t="str">
        <f>TEXT(Data!B538,"MMM-YYYY")</f>
        <v>Aug-2024</v>
      </c>
      <c r="C538" s="4" t="str">
        <f t="shared" si="16"/>
        <v>Q3-2025</v>
      </c>
      <c r="D538" t="s">
        <v>78</v>
      </c>
      <c r="E538" t="s">
        <v>90</v>
      </c>
      <c r="F538" t="s">
        <v>217</v>
      </c>
      <c r="G538" t="s">
        <v>35</v>
      </c>
      <c r="H538" s="8" t="str">
        <f t="shared" si="17"/>
        <v>High</v>
      </c>
      <c r="I538" s="4">
        <v>656.66</v>
      </c>
    </row>
    <row r="539" spans="1:9" x14ac:dyDescent="0.3">
      <c r="A539" s="13">
        <v>45899</v>
      </c>
      <c r="B539" s="4" t="str">
        <f>TEXT(Data!B539,"MMM-YYYY")</f>
        <v>Jul-2023</v>
      </c>
      <c r="C539" s="4" t="str">
        <f t="shared" si="16"/>
        <v>Q3-2025</v>
      </c>
      <c r="D539" t="s">
        <v>52</v>
      </c>
      <c r="E539" t="s">
        <v>122</v>
      </c>
      <c r="F539" t="s">
        <v>123</v>
      </c>
      <c r="G539" t="s">
        <v>57</v>
      </c>
      <c r="H539" s="8" t="str">
        <f t="shared" si="17"/>
        <v>High</v>
      </c>
      <c r="I539" s="4">
        <v>2657.84</v>
      </c>
    </row>
    <row r="540" spans="1:9" x14ac:dyDescent="0.3">
      <c r="A540" s="13">
        <v>45900</v>
      </c>
      <c r="B540" s="4" t="str">
        <f>TEXT(Data!B540,"MMM-YYYY")</f>
        <v>Dec-2023</v>
      </c>
      <c r="C540" s="4" t="str">
        <f t="shared" si="16"/>
        <v>Q3-2025</v>
      </c>
      <c r="D540" t="s">
        <v>16</v>
      </c>
      <c r="E540" t="s">
        <v>148</v>
      </c>
      <c r="F540" t="s">
        <v>258</v>
      </c>
      <c r="G540" t="s">
        <v>81</v>
      </c>
      <c r="H540" s="8" t="str">
        <f t="shared" si="17"/>
        <v>High</v>
      </c>
      <c r="I540" s="4">
        <v>1424.74</v>
      </c>
    </row>
    <row r="541" spans="1:9" x14ac:dyDescent="0.3">
      <c r="A541" s="13">
        <v>45901</v>
      </c>
      <c r="B541" s="4" t="str">
        <f>TEXT(Data!B541,"MMM-YYYY")</f>
        <v>Jan-2023</v>
      </c>
      <c r="C541" s="4" t="str">
        <f t="shared" si="16"/>
        <v>Q3-2025</v>
      </c>
      <c r="D541" t="s">
        <v>16</v>
      </c>
      <c r="E541" t="s">
        <v>148</v>
      </c>
      <c r="F541" t="s">
        <v>258</v>
      </c>
      <c r="G541" t="s">
        <v>30</v>
      </c>
      <c r="H541" s="8" t="str">
        <f t="shared" si="17"/>
        <v>High</v>
      </c>
      <c r="I541" s="4">
        <v>2318.7399999999998</v>
      </c>
    </row>
    <row r="542" spans="1:9" x14ac:dyDescent="0.3">
      <c r="A542" s="13">
        <v>45902</v>
      </c>
      <c r="B542" s="4" t="str">
        <f>TEXT(Data!B542,"MMM-YYYY")</f>
        <v>Jul-2023</v>
      </c>
      <c r="C542" s="4" t="str">
        <f t="shared" si="16"/>
        <v>Q3-2025</v>
      </c>
      <c r="D542" t="s">
        <v>78</v>
      </c>
      <c r="E542" t="s">
        <v>79</v>
      </c>
      <c r="F542" t="s">
        <v>80</v>
      </c>
      <c r="G542" t="s">
        <v>35</v>
      </c>
      <c r="H542" s="8" t="str">
        <f t="shared" si="17"/>
        <v>High</v>
      </c>
      <c r="I542" s="4">
        <v>366.7</v>
      </c>
    </row>
    <row r="543" spans="1:9" x14ac:dyDescent="0.3">
      <c r="A543" s="13">
        <v>45903</v>
      </c>
      <c r="B543" s="4" t="str">
        <f>TEXT(Data!B543,"MMM-YYYY")</f>
        <v>Jun-2024</v>
      </c>
      <c r="C543" s="4" t="str">
        <f t="shared" si="16"/>
        <v>Q3-2025</v>
      </c>
      <c r="D543" t="s">
        <v>16</v>
      </c>
      <c r="E543" t="s">
        <v>17</v>
      </c>
      <c r="F543" t="s">
        <v>33</v>
      </c>
      <c r="G543" t="s">
        <v>57</v>
      </c>
      <c r="H543" s="8" t="str">
        <f t="shared" si="17"/>
        <v>High</v>
      </c>
      <c r="I543" s="4">
        <v>2797.41</v>
      </c>
    </row>
    <row r="544" spans="1:9" x14ac:dyDescent="0.3">
      <c r="A544" s="13">
        <v>45904</v>
      </c>
      <c r="B544" s="4" t="str">
        <f>TEXT(Data!B544,"MMM-YYYY")</f>
        <v>Feb-2023</v>
      </c>
      <c r="C544" s="4" t="str">
        <f t="shared" si="16"/>
        <v>Q3-2025</v>
      </c>
      <c r="D544" t="s">
        <v>45</v>
      </c>
      <c r="E544" t="s">
        <v>116</v>
      </c>
      <c r="F544" t="s">
        <v>162</v>
      </c>
      <c r="G544" t="s">
        <v>64</v>
      </c>
      <c r="H544" s="8" t="str">
        <f t="shared" si="17"/>
        <v>High</v>
      </c>
      <c r="I544" s="4">
        <v>2209.66</v>
      </c>
    </row>
    <row r="545" spans="1:9" x14ac:dyDescent="0.3">
      <c r="A545" s="13">
        <v>45905</v>
      </c>
      <c r="B545" s="4" t="str">
        <f>TEXT(Data!B545,"MMM-YYYY")</f>
        <v>Jul-2023</v>
      </c>
      <c r="C545" s="4" t="str">
        <f t="shared" si="16"/>
        <v>Q3-2025</v>
      </c>
      <c r="D545" t="s">
        <v>16</v>
      </c>
      <c r="E545" t="s">
        <v>25</v>
      </c>
      <c r="F545" t="s">
        <v>26</v>
      </c>
      <c r="G545" t="s">
        <v>81</v>
      </c>
      <c r="H545" s="8" t="str">
        <f t="shared" si="17"/>
        <v>High</v>
      </c>
      <c r="I545" s="4">
        <v>839.04</v>
      </c>
    </row>
    <row r="546" spans="1:9" x14ac:dyDescent="0.3">
      <c r="A546" s="13">
        <v>45906</v>
      </c>
      <c r="B546" s="4" t="str">
        <f>TEXT(Data!B546,"MMM-YYYY")</f>
        <v>Aug-2025</v>
      </c>
      <c r="C546" s="4" t="str">
        <f t="shared" si="16"/>
        <v>Q3-2025</v>
      </c>
      <c r="D546" t="s">
        <v>78</v>
      </c>
      <c r="E546" t="s">
        <v>79</v>
      </c>
      <c r="F546" t="s">
        <v>335</v>
      </c>
      <c r="G546" t="s">
        <v>57</v>
      </c>
      <c r="H546" s="8" t="str">
        <f t="shared" si="17"/>
        <v>High</v>
      </c>
      <c r="I546" s="4">
        <v>1139.1500000000001</v>
      </c>
    </row>
    <row r="547" spans="1:9" x14ac:dyDescent="0.3">
      <c r="A547" s="13">
        <v>45907</v>
      </c>
      <c r="B547" s="4" t="str">
        <f>TEXT(Data!B547,"MMM-YYYY")</f>
        <v>Mar-2024</v>
      </c>
      <c r="C547" s="4" t="str">
        <f t="shared" si="16"/>
        <v>Q3-2025</v>
      </c>
      <c r="D547" t="s">
        <v>52</v>
      </c>
      <c r="E547" t="s">
        <v>122</v>
      </c>
      <c r="F547" t="s">
        <v>387</v>
      </c>
      <c r="G547" t="s">
        <v>35</v>
      </c>
      <c r="H547" s="8" t="str">
        <f t="shared" si="17"/>
        <v>High</v>
      </c>
      <c r="I547" s="4">
        <v>1712.03</v>
      </c>
    </row>
    <row r="548" spans="1:9" x14ac:dyDescent="0.3">
      <c r="A548" s="13">
        <v>45908</v>
      </c>
      <c r="B548" s="4" t="str">
        <f>TEXT(Data!B548,"MMM-YYYY")</f>
        <v>Sept-2023</v>
      </c>
      <c r="C548" s="4" t="str">
        <f t="shared" si="16"/>
        <v>Q3-2025</v>
      </c>
      <c r="D548" t="s">
        <v>16</v>
      </c>
      <c r="E548" t="s">
        <v>148</v>
      </c>
      <c r="F548" t="s">
        <v>149</v>
      </c>
      <c r="G548" t="s">
        <v>64</v>
      </c>
      <c r="H548" s="8" t="str">
        <f t="shared" si="17"/>
        <v>High</v>
      </c>
      <c r="I548" s="4">
        <v>1054.29</v>
      </c>
    </row>
    <row r="549" spans="1:9" x14ac:dyDescent="0.3">
      <c r="A549" s="13">
        <v>45909</v>
      </c>
      <c r="B549" s="4" t="str">
        <f>TEXT(Data!B549,"MMM-YYYY")</f>
        <v>Feb-2023</v>
      </c>
      <c r="C549" s="4" t="str">
        <f t="shared" si="16"/>
        <v>Q3-2025</v>
      </c>
      <c r="D549" t="s">
        <v>52</v>
      </c>
      <c r="E549" t="s">
        <v>53</v>
      </c>
      <c r="F549" t="s">
        <v>54</v>
      </c>
      <c r="G549" t="s">
        <v>81</v>
      </c>
      <c r="H549" s="8" t="str">
        <f t="shared" si="17"/>
        <v>High</v>
      </c>
      <c r="I549" s="4">
        <v>2451.2199999999998</v>
      </c>
    </row>
    <row r="550" spans="1:9" x14ac:dyDescent="0.3">
      <c r="A550" s="13">
        <v>45910</v>
      </c>
      <c r="B550" s="4" t="str">
        <f>TEXT(Data!B550,"MMM-YYYY")</f>
        <v>Jul-2024</v>
      </c>
      <c r="C550" s="4" t="str">
        <f t="shared" si="16"/>
        <v>Q3-2025</v>
      </c>
      <c r="D550" t="s">
        <v>78</v>
      </c>
      <c r="E550" t="s">
        <v>79</v>
      </c>
      <c r="F550" t="s">
        <v>335</v>
      </c>
      <c r="G550" t="s">
        <v>30</v>
      </c>
      <c r="H550" s="8" t="str">
        <f t="shared" si="17"/>
        <v>High</v>
      </c>
      <c r="I550" s="4">
        <v>1251.21</v>
      </c>
    </row>
    <row r="551" spans="1:9" x14ac:dyDescent="0.3">
      <c r="A551" s="13">
        <v>45911</v>
      </c>
      <c r="B551" s="4" t="str">
        <f>TEXT(Data!B551,"MMM-YYYY")</f>
        <v>Dec-2024</v>
      </c>
      <c r="C551" s="4" t="str">
        <f t="shared" si="16"/>
        <v>Q3-2025</v>
      </c>
      <c r="D551" t="s">
        <v>52</v>
      </c>
      <c r="E551" t="s">
        <v>73</v>
      </c>
      <c r="F551" t="s">
        <v>225</v>
      </c>
      <c r="G551" t="s">
        <v>64</v>
      </c>
      <c r="H551" s="8" t="str">
        <f t="shared" si="17"/>
        <v>High</v>
      </c>
      <c r="I551" s="4">
        <v>1104.8</v>
      </c>
    </row>
    <row r="552" spans="1:9" x14ac:dyDescent="0.3">
      <c r="A552" s="13">
        <v>45912</v>
      </c>
      <c r="B552" s="4" t="str">
        <f>TEXT(Data!B552,"MMM-YYYY")</f>
        <v>Aug-2025</v>
      </c>
      <c r="C552" s="4" t="str">
        <f t="shared" si="16"/>
        <v>Q3-2025</v>
      </c>
      <c r="D552" t="s">
        <v>78</v>
      </c>
      <c r="E552" t="s">
        <v>108</v>
      </c>
      <c r="F552" t="s">
        <v>152</v>
      </c>
      <c r="G552" t="s">
        <v>35</v>
      </c>
      <c r="H552" s="8" t="str">
        <f t="shared" si="17"/>
        <v>High</v>
      </c>
      <c r="I552" s="4">
        <v>2383.41</v>
      </c>
    </row>
    <row r="553" spans="1:9" x14ac:dyDescent="0.3">
      <c r="A553" s="13">
        <v>45913</v>
      </c>
      <c r="B553" s="4" t="str">
        <f>TEXT(Data!B553,"MMM-YYYY")</f>
        <v>Mar-2023</v>
      </c>
      <c r="C553" s="4" t="str">
        <f t="shared" si="16"/>
        <v>Q3-2025</v>
      </c>
      <c r="D553" t="s">
        <v>52</v>
      </c>
      <c r="E553" t="s">
        <v>73</v>
      </c>
      <c r="F553" t="s">
        <v>87</v>
      </c>
      <c r="G553" t="s">
        <v>64</v>
      </c>
      <c r="H553" s="8" t="str">
        <f t="shared" si="17"/>
        <v>High</v>
      </c>
      <c r="I553" s="4">
        <v>213.06</v>
      </c>
    </row>
    <row r="554" spans="1:9" x14ac:dyDescent="0.3">
      <c r="A554" s="13">
        <v>45914</v>
      </c>
      <c r="B554" s="4" t="str">
        <f>TEXT(Data!B554,"MMM-YYYY")</f>
        <v>Feb-2025</v>
      </c>
      <c r="C554" s="4" t="str">
        <f t="shared" si="16"/>
        <v>Q3-2025</v>
      </c>
      <c r="D554" t="s">
        <v>45</v>
      </c>
      <c r="E554" t="s">
        <v>46</v>
      </c>
      <c r="F554" t="s">
        <v>231</v>
      </c>
      <c r="G554" t="s">
        <v>35</v>
      </c>
      <c r="H554" s="8" t="str">
        <f t="shared" si="17"/>
        <v>High</v>
      </c>
      <c r="I554" s="4">
        <v>2030.64</v>
      </c>
    </row>
    <row r="555" spans="1:9" x14ac:dyDescent="0.3">
      <c r="A555" s="13">
        <v>45915</v>
      </c>
      <c r="B555" s="4" t="str">
        <f>TEXT(Data!B555,"MMM-YYYY")</f>
        <v>Feb-2025</v>
      </c>
      <c r="C555" s="4" t="str">
        <f t="shared" si="16"/>
        <v>Q3-2025</v>
      </c>
      <c r="D555" t="s">
        <v>78</v>
      </c>
      <c r="E555" t="s">
        <v>79</v>
      </c>
      <c r="F555" t="s">
        <v>159</v>
      </c>
      <c r="G555" t="s">
        <v>81</v>
      </c>
      <c r="H555" s="8" t="str">
        <f t="shared" si="17"/>
        <v>High</v>
      </c>
      <c r="I555" s="4">
        <v>956.7</v>
      </c>
    </row>
    <row r="556" spans="1:9" x14ac:dyDescent="0.3">
      <c r="A556" s="13">
        <v>45916</v>
      </c>
      <c r="B556" s="4" t="str">
        <f>TEXT(Data!B556,"MMM-YYYY")</f>
        <v>Aug-2024</v>
      </c>
      <c r="C556" s="4" t="str">
        <f t="shared" si="16"/>
        <v>Q3-2025</v>
      </c>
      <c r="D556" t="s">
        <v>16</v>
      </c>
      <c r="E556" t="s">
        <v>17</v>
      </c>
      <c r="F556" t="s">
        <v>113</v>
      </c>
      <c r="G556" t="s">
        <v>81</v>
      </c>
      <c r="H556" s="8" t="str">
        <f t="shared" si="17"/>
        <v>High</v>
      </c>
      <c r="I556" s="4">
        <v>1447.68</v>
      </c>
    </row>
    <row r="557" spans="1:9" x14ac:dyDescent="0.3">
      <c r="A557" s="13">
        <v>45917</v>
      </c>
      <c r="B557" s="4" t="str">
        <f>TEXT(Data!B557,"MMM-YYYY")</f>
        <v>May-2023</v>
      </c>
      <c r="C557" s="4" t="str">
        <f t="shared" si="16"/>
        <v>Q3-2025</v>
      </c>
      <c r="D557" t="s">
        <v>45</v>
      </c>
      <c r="E557" t="s">
        <v>46</v>
      </c>
      <c r="F557" t="s">
        <v>214</v>
      </c>
      <c r="G557" t="s">
        <v>42</v>
      </c>
      <c r="H557" s="8" t="str">
        <f t="shared" si="17"/>
        <v>High</v>
      </c>
      <c r="I557" s="4">
        <v>2949.62</v>
      </c>
    </row>
    <row r="558" spans="1:9" x14ac:dyDescent="0.3">
      <c r="A558" s="13">
        <v>45918</v>
      </c>
      <c r="B558" s="4" t="str">
        <f>TEXT(Data!B558,"MMM-YYYY")</f>
        <v>May-2025</v>
      </c>
      <c r="C558" s="4" t="str">
        <f t="shared" si="16"/>
        <v>Q3-2025</v>
      </c>
      <c r="D558" t="s">
        <v>45</v>
      </c>
      <c r="E558" t="s">
        <v>60</v>
      </c>
      <c r="F558" t="s">
        <v>220</v>
      </c>
      <c r="G558" t="s">
        <v>81</v>
      </c>
      <c r="H558" s="8" t="str">
        <f t="shared" si="17"/>
        <v>High</v>
      </c>
      <c r="I558" s="4">
        <v>2580.5700000000002</v>
      </c>
    </row>
    <row r="559" spans="1:9" x14ac:dyDescent="0.3">
      <c r="A559" s="13">
        <v>45919</v>
      </c>
      <c r="B559" s="4" t="str">
        <f>TEXT(Data!B559,"MMM-YYYY")</f>
        <v>Mar-2024</v>
      </c>
      <c r="C559" s="4" t="str">
        <f t="shared" si="16"/>
        <v>Q3-2025</v>
      </c>
      <c r="D559" t="s">
        <v>52</v>
      </c>
      <c r="E559" t="s">
        <v>53</v>
      </c>
      <c r="F559" t="s">
        <v>179</v>
      </c>
      <c r="G559" t="s">
        <v>30</v>
      </c>
      <c r="H559" s="8" t="str">
        <f t="shared" si="17"/>
        <v>High</v>
      </c>
      <c r="I559" s="4">
        <v>1978.91</v>
      </c>
    </row>
    <row r="560" spans="1:9" x14ac:dyDescent="0.3">
      <c r="A560" s="13">
        <v>45920</v>
      </c>
      <c r="B560" s="4" t="str">
        <f>TEXT(Data!B560,"MMM-YYYY")</f>
        <v>May-2024</v>
      </c>
      <c r="C560" s="4" t="str">
        <f t="shared" si="16"/>
        <v>Q3-2025</v>
      </c>
      <c r="D560" t="s">
        <v>52</v>
      </c>
      <c r="E560" t="s">
        <v>122</v>
      </c>
      <c r="F560" t="s">
        <v>387</v>
      </c>
      <c r="G560" t="s">
        <v>64</v>
      </c>
      <c r="H560" s="8" t="str">
        <f t="shared" si="17"/>
        <v>High</v>
      </c>
      <c r="I560" s="4">
        <v>1481.45</v>
      </c>
    </row>
    <row r="561" spans="1:9" x14ac:dyDescent="0.3">
      <c r="A561" s="13">
        <v>45921</v>
      </c>
      <c r="B561" s="4" t="str">
        <f>TEXT(Data!B561,"MMM-YYYY")</f>
        <v>Jan-2024</v>
      </c>
      <c r="C561" s="4" t="str">
        <f t="shared" si="16"/>
        <v>Q3-2025</v>
      </c>
      <c r="D561" t="s">
        <v>16</v>
      </c>
      <c r="E561" t="s">
        <v>17</v>
      </c>
      <c r="F561" t="s">
        <v>33</v>
      </c>
      <c r="G561" t="s">
        <v>81</v>
      </c>
      <c r="H561" s="8" t="str">
        <f t="shared" si="17"/>
        <v>High</v>
      </c>
      <c r="I561" s="4">
        <v>1658.92</v>
      </c>
    </row>
    <row r="562" spans="1:9" x14ac:dyDescent="0.3">
      <c r="A562" s="13">
        <v>45922</v>
      </c>
      <c r="B562" s="4" t="str">
        <f>TEXT(Data!B562,"MMM-YYYY")</f>
        <v>Oct-2024</v>
      </c>
      <c r="C562" s="4" t="str">
        <f t="shared" si="16"/>
        <v>Q3-2025</v>
      </c>
      <c r="D562" t="s">
        <v>45</v>
      </c>
      <c r="E562" t="s">
        <v>60</v>
      </c>
      <c r="F562" t="s">
        <v>61</v>
      </c>
      <c r="G562" t="s">
        <v>30</v>
      </c>
      <c r="H562" s="8" t="str">
        <f t="shared" si="17"/>
        <v>High</v>
      </c>
      <c r="I562" s="4">
        <v>602.34</v>
      </c>
    </row>
    <row r="563" spans="1:9" x14ac:dyDescent="0.3">
      <c r="A563" s="13">
        <v>45923</v>
      </c>
      <c r="B563" s="4" t="str">
        <f>TEXT(Data!B563,"MMM-YYYY")</f>
        <v>Nov-2024</v>
      </c>
      <c r="C563" s="4" t="str">
        <f t="shared" si="16"/>
        <v>Q3-2025</v>
      </c>
      <c r="D563" t="s">
        <v>52</v>
      </c>
      <c r="E563" t="s">
        <v>122</v>
      </c>
      <c r="F563" t="s">
        <v>387</v>
      </c>
      <c r="G563" t="s">
        <v>22</v>
      </c>
      <c r="H563" s="8" t="str">
        <f t="shared" si="17"/>
        <v>High</v>
      </c>
      <c r="I563" s="4">
        <v>527.64</v>
      </c>
    </row>
    <row r="564" spans="1:9" x14ac:dyDescent="0.3">
      <c r="A564" s="13">
        <v>45924</v>
      </c>
      <c r="B564" s="4" t="str">
        <f>TEXT(Data!B564,"MMM-YYYY")</f>
        <v>Apr-2023</v>
      </c>
      <c r="C564" s="4" t="str">
        <f t="shared" si="16"/>
        <v>Q3-2025</v>
      </c>
      <c r="D564" t="s">
        <v>16</v>
      </c>
      <c r="E564" t="s">
        <v>17</v>
      </c>
      <c r="F564" t="s">
        <v>18</v>
      </c>
      <c r="G564" t="s">
        <v>42</v>
      </c>
      <c r="H564" s="8" t="str">
        <f t="shared" si="17"/>
        <v>High</v>
      </c>
      <c r="I564" s="4">
        <v>1841.9</v>
      </c>
    </row>
    <row r="565" spans="1:9" x14ac:dyDescent="0.3">
      <c r="A565" s="13">
        <v>45925</v>
      </c>
      <c r="B565" s="4" t="str">
        <f>TEXT(Data!B565,"MMM-YYYY")</f>
        <v>Feb-2025</v>
      </c>
      <c r="C565" s="4" t="str">
        <f t="shared" si="16"/>
        <v>Q3-2025</v>
      </c>
      <c r="D565" t="s">
        <v>52</v>
      </c>
      <c r="E565" t="s">
        <v>53</v>
      </c>
      <c r="F565" t="s">
        <v>144</v>
      </c>
      <c r="G565" t="s">
        <v>64</v>
      </c>
      <c r="H565" s="8" t="str">
        <f t="shared" si="17"/>
        <v>High</v>
      </c>
      <c r="I565" s="4">
        <v>1645.48</v>
      </c>
    </row>
    <row r="566" spans="1:9" x14ac:dyDescent="0.3">
      <c r="A566" s="13">
        <v>45926</v>
      </c>
      <c r="B566" s="4" t="str">
        <f>TEXT(Data!B566,"MMM-YYYY")</f>
        <v>Jan-2024</v>
      </c>
      <c r="C566" s="4" t="str">
        <f t="shared" si="16"/>
        <v>Q3-2025</v>
      </c>
      <c r="D566" t="s">
        <v>78</v>
      </c>
      <c r="E566" t="s">
        <v>108</v>
      </c>
      <c r="F566" t="s">
        <v>228</v>
      </c>
      <c r="G566" t="s">
        <v>35</v>
      </c>
      <c r="H566" s="8" t="str">
        <f t="shared" si="17"/>
        <v>High</v>
      </c>
      <c r="I566" s="4">
        <v>727.22</v>
      </c>
    </row>
    <row r="567" spans="1:9" x14ac:dyDescent="0.3">
      <c r="A567" s="13">
        <v>45927</v>
      </c>
      <c r="B567" s="4" t="str">
        <f>TEXT(Data!B567,"MMM-YYYY")</f>
        <v>Feb-2024</v>
      </c>
      <c r="C567" s="4" t="str">
        <f t="shared" si="16"/>
        <v>Q3-2025</v>
      </c>
      <c r="D567" t="s">
        <v>78</v>
      </c>
      <c r="E567" t="s">
        <v>108</v>
      </c>
      <c r="F567" t="s">
        <v>228</v>
      </c>
      <c r="G567" t="s">
        <v>57</v>
      </c>
      <c r="H567" s="8" t="str">
        <f t="shared" si="17"/>
        <v>High</v>
      </c>
      <c r="I567" s="4">
        <v>1233.79</v>
      </c>
    </row>
    <row r="568" spans="1:9" x14ac:dyDescent="0.3">
      <c r="A568" s="13">
        <v>45928</v>
      </c>
      <c r="B568" s="4" t="str">
        <f>TEXT(Data!B568,"MMM-YYYY")</f>
        <v>Jun-2025</v>
      </c>
      <c r="C568" s="4" t="str">
        <f t="shared" si="16"/>
        <v>Q3-2025</v>
      </c>
      <c r="D568" t="s">
        <v>16</v>
      </c>
      <c r="E568" t="s">
        <v>17</v>
      </c>
      <c r="F568" t="s">
        <v>113</v>
      </c>
      <c r="G568" t="s">
        <v>22</v>
      </c>
      <c r="H568" s="8" t="str">
        <f t="shared" si="17"/>
        <v>High</v>
      </c>
      <c r="I568" s="4">
        <v>1543.76</v>
      </c>
    </row>
    <row r="569" spans="1:9" x14ac:dyDescent="0.3">
      <c r="A569" s="13">
        <v>45929</v>
      </c>
      <c r="B569" s="4" t="str">
        <f>TEXT(Data!B569,"MMM-YYYY")</f>
        <v>Nov-2024</v>
      </c>
      <c r="C569" s="4" t="str">
        <f t="shared" si="16"/>
        <v>Q3-2025</v>
      </c>
      <c r="D569" t="s">
        <v>16</v>
      </c>
      <c r="E569" t="s">
        <v>25</v>
      </c>
      <c r="F569" t="s">
        <v>26</v>
      </c>
      <c r="G569" t="s">
        <v>57</v>
      </c>
      <c r="H569" s="8" t="str">
        <f t="shared" si="17"/>
        <v>High</v>
      </c>
      <c r="I569" s="4">
        <v>2115.19</v>
      </c>
    </row>
    <row r="570" spans="1:9" x14ac:dyDescent="0.3">
      <c r="A570" s="13">
        <v>45930</v>
      </c>
      <c r="B570" s="4" t="str">
        <f>TEXT(Data!B570,"MMM-YYYY")</f>
        <v>Feb-2024</v>
      </c>
      <c r="C570" s="4" t="str">
        <f t="shared" si="16"/>
        <v>Q3-2025</v>
      </c>
      <c r="D570" t="s">
        <v>78</v>
      </c>
      <c r="E570" t="s">
        <v>90</v>
      </c>
      <c r="F570" t="s">
        <v>138</v>
      </c>
      <c r="G570" t="s">
        <v>64</v>
      </c>
      <c r="H570" s="8" t="str">
        <f t="shared" si="17"/>
        <v>High</v>
      </c>
      <c r="I570" s="4">
        <v>1837.19</v>
      </c>
    </row>
    <row r="571" spans="1:9" x14ac:dyDescent="0.3">
      <c r="A571" s="13">
        <v>45931</v>
      </c>
      <c r="B571" s="4" t="str">
        <f>TEXT(Data!B571,"MMM-YYYY")</f>
        <v>Apr-2025</v>
      </c>
      <c r="C571" s="4" t="str">
        <f t="shared" si="16"/>
        <v>Q4-2025</v>
      </c>
      <c r="D571" t="s">
        <v>52</v>
      </c>
      <c r="E571" t="s">
        <v>122</v>
      </c>
      <c r="F571" t="s">
        <v>387</v>
      </c>
      <c r="G571" t="s">
        <v>35</v>
      </c>
      <c r="H571" s="8" t="str">
        <f t="shared" si="17"/>
        <v>High</v>
      </c>
      <c r="I571" s="4">
        <v>2858.93</v>
      </c>
    </row>
    <row r="572" spans="1:9" x14ac:dyDescent="0.3">
      <c r="A572" s="13">
        <v>45932</v>
      </c>
      <c r="B572" s="4" t="str">
        <f>TEXT(Data!B572,"MMM-YYYY")</f>
        <v>Jun-2023</v>
      </c>
      <c r="C572" s="4" t="str">
        <f t="shared" si="16"/>
        <v>Q4-2025</v>
      </c>
      <c r="D572" t="s">
        <v>45</v>
      </c>
      <c r="E572" t="s">
        <v>46</v>
      </c>
      <c r="F572" t="s">
        <v>47</v>
      </c>
      <c r="G572" t="s">
        <v>22</v>
      </c>
      <c r="H572" s="8" t="str">
        <f t="shared" si="17"/>
        <v>High</v>
      </c>
      <c r="I572" s="4">
        <v>289.92</v>
      </c>
    </row>
    <row r="573" spans="1:9" x14ac:dyDescent="0.3">
      <c r="A573" s="13">
        <v>45933</v>
      </c>
      <c r="B573" s="4" t="str">
        <f>TEXT(Data!B573,"MMM-YYYY")</f>
        <v>Mar-2025</v>
      </c>
      <c r="C573" s="4" t="str">
        <f t="shared" si="16"/>
        <v>Q4-2025</v>
      </c>
      <c r="D573" t="s">
        <v>45</v>
      </c>
      <c r="E573" t="s">
        <v>60</v>
      </c>
      <c r="F573" t="s">
        <v>61</v>
      </c>
      <c r="G573" t="s">
        <v>81</v>
      </c>
      <c r="H573" s="8" t="str">
        <f t="shared" si="17"/>
        <v>High</v>
      </c>
      <c r="I573" s="4">
        <v>997.2</v>
      </c>
    </row>
    <row r="574" spans="1:9" x14ac:dyDescent="0.3">
      <c r="A574" s="13">
        <v>45934</v>
      </c>
      <c r="B574" s="4" t="str">
        <f>TEXT(Data!B574,"MMM-YYYY")</f>
        <v>Jan-2024</v>
      </c>
      <c r="C574" s="4" t="str">
        <f t="shared" si="16"/>
        <v>Q4-2025</v>
      </c>
      <c r="D574" t="s">
        <v>45</v>
      </c>
      <c r="E574" t="s">
        <v>60</v>
      </c>
      <c r="F574" t="s">
        <v>220</v>
      </c>
      <c r="G574" t="s">
        <v>42</v>
      </c>
      <c r="H574" s="8" t="str">
        <f t="shared" si="17"/>
        <v>Low</v>
      </c>
      <c r="I574" s="4">
        <v>47.29</v>
      </c>
    </row>
    <row r="575" spans="1:9" x14ac:dyDescent="0.3">
      <c r="A575" s="13">
        <v>45935</v>
      </c>
      <c r="B575" s="4" t="str">
        <f>TEXT(Data!B575,"MMM-YYYY")</f>
        <v>Dec-2023</v>
      </c>
      <c r="C575" s="4" t="str">
        <f t="shared" si="16"/>
        <v>Q4-2025</v>
      </c>
      <c r="D575" t="s">
        <v>52</v>
      </c>
      <c r="E575" t="s">
        <v>53</v>
      </c>
      <c r="F575" t="s">
        <v>179</v>
      </c>
      <c r="G575" t="s">
        <v>57</v>
      </c>
      <c r="H575" s="8" t="str">
        <f t="shared" si="17"/>
        <v>High</v>
      </c>
      <c r="I575" s="4">
        <v>754.24</v>
      </c>
    </row>
    <row r="576" spans="1:9" x14ac:dyDescent="0.3">
      <c r="A576" s="13">
        <v>45936</v>
      </c>
      <c r="B576" s="4" t="str">
        <f>TEXT(Data!B576,"MMM-YYYY")</f>
        <v>Apr-2023</v>
      </c>
      <c r="C576" s="4" t="str">
        <f t="shared" si="16"/>
        <v>Q4-2025</v>
      </c>
      <c r="D576" t="s">
        <v>52</v>
      </c>
      <c r="E576" t="s">
        <v>53</v>
      </c>
      <c r="F576" t="s">
        <v>54</v>
      </c>
      <c r="G576" t="s">
        <v>64</v>
      </c>
      <c r="H576" s="8" t="str">
        <f t="shared" si="17"/>
        <v>High</v>
      </c>
      <c r="I576" s="4">
        <v>901.48</v>
      </c>
    </row>
    <row r="577" spans="1:9" x14ac:dyDescent="0.3">
      <c r="A577" s="13">
        <v>45937</v>
      </c>
      <c r="B577" s="4" t="str">
        <f>TEXT(Data!B577,"MMM-YYYY")</f>
        <v>Aug-2025</v>
      </c>
      <c r="C577" s="4" t="str">
        <f t="shared" si="16"/>
        <v>Q4-2025</v>
      </c>
      <c r="D577" t="s">
        <v>78</v>
      </c>
      <c r="E577" t="s">
        <v>90</v>
      </c>
      <c r="F577" t="s">
        <v>91</v>
      </c>
      <c r="G577" t="s">
        <v>22</v>
      </c>
      <c r="H577" s="8" t="str">
        <f t="shared" si="17"/>
        <v>Medium</v>
      </c>
      <c r="I577" s="4">
        <v>113.08</v>
      </c>
    </row>
    <row r="578" spans="1:9" x14ac:dyDescent="0.3">
      <c r="A578" s="13">
        <v>45938</v>
      </c>
      <c r="B578" s="4" t="str">
        <f>TEXT(Data!B578,"MMM-YYYY")</f>
        <v>Aug-2023</v>
      </c>
      <c r="C578" s="4" t="str">
        <f t="shared" ref="C578:C633" si="18">"Q"&amp;ROUNDUP(MONTH(A578)/3,0)&amp;"-"&amp;YEAR(A578)</f>
        <v>Q4-2025</v>
      </c>
      <c r="D578" t="s">
        <v>52</v>
      </c>
      <c r="E578" t="s">
        <v>53</v>
      </c>
      <c r="F578" t="s">
        <v>144</v>
      </c>
      <c r="G578" t="s">
        <v>35</v>
      </c>
      <c r="H578" s="8" t="str">
        <f t="shared" ref="H578:H633" si="19">IF(I578&lt;50, "Low", IF(I578&lt;200, "Medium", "High"))</f>
        <v>High</v>
      </c>
      <c r="I578" s="4">
        <v>868.62</v>
      </c>
    </row>
    <row r="579" spans="1:9" x14ac:dyDescent="0.3">
      <c r="A579" s="13">
        <v>45939</v>
      </c>
      <c r="B579" s="4" t="str">
        <f>TEXT(Data!B579,"MMM-YYYY")</f>
        <v>Jun-2023</v>
      </c>
      <c r="C579" s="4" t="str">
        <f t="shared" si="18"/>
        <v>Q4-2025</v>
      </c>
      <c r="D579" t="s">
        <v>52</v>
      </c>
      <c r="E579" t="s">
        <v>53</v>
      </c>
      <c r="F579" t="s">
        <v>179</v>
      </c>
      <c r="G579" t="s">
        <v>35</v>
      </c>
      <c r="H579" s="8" t="str">
        <f t="shared" si="19"/>
        <v>High</v>
      </c>
      <c r="I579" s="4">
        <v>347.9</v>
      </c>
    </row>
    <row r="580" spans="1:9" x14ac:dyDescent="0.3">
      <c r="A580" s="13">
        <v>45940</v>
      </c>
      <c r="B580" s="4" t="str">
        <f>TEXT(Data!B580,"MMM-YYYY")</f>
        <v>Nov-2024</v>
      </c>
      <c r="C580" s="4" t="str">
        <f t="shared" si="18"/>
        <v>Q4-2025</v>
      </c>
      <c r="D580" t="s">
        <v>78</v>
      </c>
      <c r="E580" t="s">
        <v>108</v>
      </c>
      <c r="F580" t="s">
        <v>228</v>
      </c>
      <c r="G580" t="s">
        <v>81</v>
      </c>
      <c r="H580" s="8" t="str">
        <f t="shared" si="19"/>
        <v>High</v>
      </c>
      <c r="I580" s="4">
        <v>1111.8800000000001</v>
      </c>
    </row>
    <row r="581" spans="1:9" x14ac:dyDescent="0.3">
      <c r="A581" s="13">
        <v>45941</v>
      </c>
      <c r="B581" s="4" t="str">
        <f>TEXT(Data!B581,"MMM-YYYY")</f>
        <v>Jul-2025</v>
      </c>
      <c r="C581" s="4" t="str">
        <f t="shared" si="18"/>
        <v>Q4-2025</v>
      </c>
      <c r="D581" t="s">
        <v>78</v>
      </c>
      <c r="E581" t="s">
        <v>108</v>
      </c>
      <c r="F581" t="s">
        <v>152</v>
      </c>
      <c r="G581" t="s">
        <v>35</v>
      </c>
      <c r="H581" s="8" t="str">
        <f t="shared" si="19"/>
        <v>High</v>
      </c>
      <c r="I581" s="4">
        <v>327.72</v>
      </c>
    </row>
    <row r="582" spans="1:9" x14ac:dyDescent="0.3">
      <c r="A582" s="13">
        <v>45942</v>
      </c>
      <c r="B582" s="4" t="str">
        <f>TEXT(Data!B582,"MMM-YYYY")</f>
        <v>Jun-2023</v>
      </c>
      <c r="C582" s="4" t="str">
        <f t="shared" si="18"/>
        <v>Q4-2025</v>
      </c>
      <c r="D582" t="s">
        <v>16</v>
      </c>
      <c r="E582" t="s">
        <v>17</v>
      </c>
      <c r="F582" t="s">
        <v>135</v>
      </c>
      <c r="G582" t="s">
        <v>42</v>
      </c>
      <c r="H582" s="8" t="str">
        <f t="shared" si="19"/>
        <v>High</v>
      </c>
      <c r="I582" s="4">
        <v>486.13</v>
      </c>
    </row>
    <row r="583" spans="1:9" x14ac:dyDescent="0.3">
      <c r="A583" s="13">
        <v>45943</v>
      </c>
      <c r="B583" s="4" t="str">
        <f>TEXT(Data!B583,"MMM-YYYY")</f>
        <v>Jan-2023</v>
      </c>
      <c r="C583" s="4" t="str">
        <f t="shared" si="18"/>
        <v>Q4-2025</v>
      </c>
      <c r="D583" t="s">
        <v>52</v>
      </c>
      <c r="E583" t="s">
        <v>73</v>
      </c>
      <c r="F583" t="s">
        <v>87</v>
      </c>
      <c r="G583" t="s">
        <v>22</v>
      </c>
      <c r="H583" s="8" t="str">
        <f t="shared" si="19"/>
        <v>High</v>
      </c>
      <c r="I583" s="4">
        <v>2066.6</v>
      </c>
    </row>
    <row r="584" spans="1:9" x14ac:dyDescent="0.3">
      <c r="A584" s="13">
        <v>45944</v>
      </c>
      <c r="B584" s="4" t="str">
        <f>TEXT(Data!B584,"MMM-YYYY")</f>
        <v>Sept-2024</v>
      </c>
      <c r="C584" s="4" t="str">
        <f t="shared" si="18"/>
        <v>Q4-2025</v>
      </c>
      <c r="D584" t="s">
        <v>52</v>
      </c>
      <c r="E584" t="s">
        <v>73</v>
      </c>
      <c r="F584" t="s">
        <v>87</v>
      </c>
      <c r="G584" t="s">
        <v>64</v>
      </c>
      <c r="H584" s="8" t="str">
        <f t="shared" si="19"/>
        <v>Medium</v>
      </c>
      <c r="I584" s="4">
        <v>86.2</v>
      </c>
    </row>
    <row r="585" spans="1:9" x14ac:dyDescent="0.3">
      <c r="A585" s="13">
        <v>45945</v>
      </c>
      <c r="B585" s="4" t="str">
        <f>TEXT(Data!B585,"MMM-YYYY")</f>
        <v>Aug-2024</v>
      </c>
      <c r="C585" s="4" t="str">
        <f t="shared" si="18"/>
        <v>Q4-2025</v>
      </c>
      <c r="D585" t="s">
        <v>45</v>
      </c>
      <c r="E585" t="s">
        <v>46</v>
      </c>
      <c r="F585" t="s">
        <v>47</v>
      </c>
      <c r="G585" t="s">
        <v>57</v>
      </c>
      <c r="H585" s="8" t="str">
        <f t="shared" si="19"/>
        <v>High</v>
      </c>
      <c r="I585" s="4">
        <v>2307.75</v>
      </c>
    </row>
    <row r="586" spans="1:9" x14ac:dyDescent="0.3">
      <c r="A586" s="13">
        <v>45946</v>
      </c>
      <c r="B586" s="4" t="str">
        <f>TEXT(Data!B586,"MMM-YYYY")</f>
        <v>Apr-2025</v>
      </c>
      <c r="C586" s="4" t="str">
        <f t="shared" si="18"/>
        <v>Q4-2025</v>
      </c>
      <c r="D586" t="s">
        <v>16</v>
      </c>
      <c r="E586" t="s">
        <v>17</v>
      </c>
      <c r="F586" t="s">
        <v>113</v>
      </c>
      <c r="G586" t="s">
        <v>57</v>
      </c>
      <c r="H586" s="8" t="str">
        <f t="shared" si="19"/>
        <v>High</v>
      </c>
      <c r="I586" s="4">
        <v>1112.81</v>
      </c>
    </row>
    <row r="587" spans="1:9" x14ac:dyDescent="0.3">
      <c r="A587" s="13">
        <v>45947</v>
      </c>
      <c r="B587" s="4" t="str">
        <f>TEXT(Data!B587,"MMM-YYYY")</f>
        <v>May-2023</v>
      </c>
      <c r="C587" s="4" t="str">
        <f t="shared" si="18"/>
        <v>Q4-2025</v>
      </c>
      <c r="D587" t="s">
        <v>52</v>
      </c>
      <c r="E587" t="s">
        <v>73</v>
      </c>
      <c r="F587" t="s">
        <v>74</v>
      </c>
      <c r="G587" t="s">
        <v>42</v>
      </c>
      <c r="H587" s="8" t="str">
        <f t="shared" si="19"/>
        <v>High</v>
      </c>
      <c r="I587" s="4">
        <v>1125.99</v>
      </c>
    </row>
    <row r="588" spans="1:9" x14ac:dyDescent="0.3">
      <c r="A588" s="13">
        <v>45948</v>
      </c>
      <c r="B588" s="4" t="str">
        <f>TEXT(Data!B588,"MMM-YYYY")</f>
        <v>Mar-2024</v>
      </c>
      <c r="C588" s="4" t="str">
        <f t="shared" si="18"/>
        <v>Q4-2025</v>
      </c>
      <c r="D588" t="s">
        <v>52</v>
      </c>
      <c r="E588" t="s">
        <v>122</v>
      </c>
      <c r="F588" t="s">
        <v>387</v>
      </c>
      <c r="G588" t="s">
        <v>42</v>
      </c>
      <c r="H588" s="8" t="str">
        <f t="shared" si="19"/>
        <v>Medium</v>
      </c>
      <c r="I588" s="4">
        <v>123.62</v>
      </c>
    </row>
    <row r="589" spans="1:9" x14ac:dyDescent="0.3">
      <c r="A589" s="13">
        <v>45949</v>
      </c>
      <c r="B589" s="4" t="str">
        <f>TEXT(Data!B589,"MMM-YYYY")</f>
        <v>Jun-2024</v>
      </c>
      <c r="C589" s="4" t="str">
        <f t="shared" si="18"/>
        <v>Q4-2025</v>
      </c>
      <c r="D589" t="s">
        <v>16</v>
      </c>
      <c r="E589" t="s">
        <v>25</v>
      </c>
      <c r="F589" t="s">
        <v>67</v>
      </c>
      <c r="G589" t="s">
        <v>22</v>
      </c>
      <c r="H589" s="8" t="str">
        <f t="shared" si="19"/>
        <v>High</v>
      </c>
      <c r="I589" s="4">
        <v>1731.75</v>
      </c>
    </row>
    <row r="590" spans="1:9" x14ac:dyDescent="0.3">
      <c r="A590" s="13">
        <v>45950</v>
      </c>
      <c r="B590" s="4" t="str">
        <f>TEXT(Data!B590,"MMM-YYYY")</f>
        <v>Feb-2025</v>
      </c>
      <c r="C590" s="4" t="str">
        <f t="shared" si="18"/>
        <v>Q4-2025</v>
      </c>
      <c r="D590" t="s">
        <v>45</v>
      </c>
      <c r="E590" t="s">
        <v>46</v>
      </c>
      <c r="F590" t="s">
        <v>214</v>
      </c>
      <c r="G590" t="s">
        <v>42</v>
      </c>
      <c r="H590" s="8" t="str">
        <f t="shared" si="19"/>
        <v>High</v>
      </c>
      <c r="I590" s="4">
        <v>3062.01</v>
      </c>
    </row>
    <row r="591" spans="1:9" x14ac:dyDescent="0.3">
      <c r="A591" s="13">
        <v>45951</v>
      </c>
      <c r="B591" s="4" t="str">
        <f>TEXT(Data!B591,"MMM-YYYY")</f>
        <v>Apr-2023</v>
      </c>
      <c r="C591" s="4" t="str">
        <f t="shared" si="18"/>
        <v>Q4-2025</v>
      </c>
      <c r="D591" t="s">
        <v>78</v>
      </c>
      <c r="E591" t="s">
        <v>90</v>
      </c>
      <c r="F591" t="s">
        <v>138</v>
      </c>
      <c r="G591" t="s">
        <v>81</v>
      </c>
      <c r="H591" s="8" t="str">
        <f t="shared" si="19"/>
        <v>High</v>
      </c>
      <c r="I591" s="4">
        <v>2200.41</v>
      </c>
    </row>
    <row r="592" spans="1:9" x14ac:dyDescent="0.3">
      <c r="A592" s="13">
        <v>45952</v>
      </c>
      <c r="B592" s="4" t="str">
        <f>TEXT(Data!B592,"MMM-YYYY")</f>
        <v>Aug-2025</v>
      </c>
      <c r="C592" s="4" t="str">
        <f t="shared" si="18"/>
        <v>Q4-2025</v>
      </c>
      <c r="D592" t="s">
        <v>78</v>
      </c>
      <c r="E592" t="s">
        <v>90</v>
      </c>
      <c r="F592" t="s">
        <v>91</v>
      </c>
      <c r="G592" t="s">
        <v>81</v>
      </c>
      <c r="H592" s="8" t="str">
        <f t="shared" si="19"/>
        <v>High</v>
      </c>
      <c r="I592" s="4">
        <v>601.49</v>
      </c>
    </row>
    <row r="593" spans="1:9" x14ac:dyDescent="0.3">
      <c r="A593" s="13">
        <v>45953</v>
      </c>
      <c r="B593" s="4" t="str">
        <f>TEXT(Data!B593,"MMM-YYYY")</f>
        <v>Feb-2023</v>
      </c>
      <c r="C593" s="4" t="str">
        <f t="shared" si="18"/>
        <v>Q4-2025</v>
      </c>
      <c r="D593" t="s">
        <v>78</v>
      </c>
      <c r="E593" t="s">
        <v>90</v>
      </c>
      <c r="F593" t="s">
        <v>91</v>
      </c>
      <c r="G593" t="s">
        <v>22</v>
      </c>
      <c r="H593" s="8" t="str">
        <f t="shared" si="19"/>
        <v>High</v>
      </c>
      <c r="I593" s="4">
        <v>947.77</v>
      </c>
    </row>
    <row r="594" spans="1:9" x14ac:dyDescent="0.3">
      <c r="A594" s="13">
        <v>45954</v>
      </c>
      <c r="B594" s="4" t="str">
        <f>TEXT(Data!B594,"MMM-YYYY")</f>
        <v>Jul-2024</v>
      </c>
      <c r="C594" s="4" t="str">
        <f t="shared" si="18"/>
        <v>Q4-2025</v>
      </c>
      <c r="D594" t="s">
        <v>52</v>
      </c>
      <c r="E594" t="s">
        <v>122</v>
      </c>
      <c r="F594" t="s">
        <v>167</v>
      </c>
      <c r="G594" t="s">
        <v>35</v>
      </c>
      <c r="H594" s="8" t="str">
        <f t="shared" si="19"/>
        <v>High</v>
      </c>
      <c r="I594" s="4">
        <v>2331.48</v>
      </c>
    </row>
    <row r="595" spans="1:9" x14ac:dyDescent="0.3">
      <c r="A595" s="13">
        <v>45955</v>
      </c>
      <c r="B595" s="4" t="str">
        <f>TEXT(Data!B595,"MMM-YYYY")</f>
        <v>Jun-2025</v>
      </c>
      <c r="C595" s="4" t="str">
        <f t="shared" si="18"/>
        <v>Q4-2025</v>
      </c>
      <c r="D595" t="s">
        <v>45</v>
      </c>
      <c r="E595" t="s">
        <v>46</v>
      </c>
      <c r="F595" t="s">
        <v>214</v>
      </c>
      <c r="G595" t="s">
        <v>64</v>
      </c>
      <c r="H595" s="8" t="str">
        <f t="shared" si="19"/>
        <v>High</v>
      </c>
      <c r="I595" s="4">
        <v>1417.24</v>
      </c>
    </row>
    <row r="596" spans="1:9" x14ac:dyDescent="0.3">
      <c r="A596" s="13">
        <v>45956</v>
      </c>
      <c r="B596" s="4" t="str">
        <f>TEXT(Data!B596,"MMM-YYYY")</f>
        <v>Jun-2024</v>
      </c>
      <c r="C596" s="4" t="str">
        <f t="shared" si="18"/>
        <v>Q4-2025</v>
      </c>
      <c r="D596" t="s">
        <v>78</v>
      </c>
      <c r="E596" t="s">
        <v>90</v>
      </c>
      <c r="F596" t="s">
        <v>91</v>
      </c>
      <c r="G596" t="s">
        <v>81</v>
      </c>
      <c r="H596" s="8" t="str">
        <f t="shared" si="19"/>
        <v>High</v>
      </c>
      <c r="I596" s="4">
        <v>699.5</v>
      </c>
    </row>
    <row r="597" spans="1:9" x14ac:dyDescent="0.3">
      <c r="A597" s="13">
        <v>45957</v>
      </c>
      <c r="B597" s="4" t="str">
        <f>TEXT(Data!B597,"MMM-YYYY")</f>
        <v>Feb-2025</v>
      </c>
      <c r="C597" s="4" t="str">
        <f t="shared" si="18"/>
        <v>Q4-2025</v>
      </c>
      <c r="D597" t="s">
        <v>16</v>
      </c>
      <c r="E597" t="s">
        <v>17</v>
      </c>
      <c r="F597" t="s">
        <v>18</v>
      </c>
      <c r="G597" t="s">
        <v>57</v>
      </c>
      <c r="H597" s="8" t="str">
        <f t="shared" si="19"/>
        <v>High</v>
      </c>
      <c r="I597" s="4">
        <v>1787.2</v>
      </c>
    </row>
    <row r="598" spans="1:9" x14ac:dyDescent="0.3">
      <c r="A598" s="13">
        <v>45958</v>
      </c>
      <c r="B598" s="4" t="str">
        <f>TEXT(Data!B598,"MMM-YYYY")</f>
        <v>Jan-2023</v>
      </c>
      <c r="C598" s="4" t="str">
        <f t="shared" si="18"/>
        <v>Q4-2025</v>
      </c>
      <c r="D598" t="s">
        <v>52</v>
      </c>
      <c r="E598" t="s">
        <v>53</v>
      </c>
      <c r="F598" t="s">
        <v>54</v>
      </c>
      <c r="G598" t="s">
        <v>22</v>
      </c>
      <c r="H598" s="8" t="str">
        <f t="shared" si="19"/>
        <v>High</v>
      </c>
      <c r="I598" s="4">
        <v>1698.75</v>
      </c>
    </row>
    <row r="599" spans="1:9" x14ac:dyDescent="0.3">
      <c r="A599" s="13">
        <v>45959</v>
      </c>
      <c r="B599" s="4" t="str">
        <f>TEXT(Data!B599,"MMM-YYYY")</f>
        <v>Mar-2025</v>
      </c>
      <c r="C599" s="4" t="str">
        <f t="shared" si="18"/>
        <v>Q4-2025</v>
      </c>
      <c r="D599" t="s">
        <v>16</v>
      </c>
      <c r="E599" t="s">
        <v>148</v>
      </c>
      <c r="F599" t="s">
        <v>258</v>
      </c>
      <c r="G599" t="s">
        <v>30</v>
      </c>
      <c r="H599" s="8" t="str">
        <f t="shared" si="19"/>
        <v>High</v>
      </c>
      <c r="I599" s="4">
        <v>724.7</v>
      </c>
    </row>
    <row r="600" spans="1:9" x14ac:dyDescent="0.3">
      <c r="A600" s="13">
        <v>45960</v>
      </c>
      <c r="B600" s="4" t="str">
        <f>TEXT(Data!B600,"MMM-YYYY")</f>
        <v>Aug-2024</v>
      </c>
      <c r="C600" s="4" t="str">
        <f t="shared" si="18"/>
        <v>Q4-2025</v>
      </c>
      <c r="D600" t="s">
        <v>45</v>
      </c>
      <c r="E600" t="s">
        <v>46</v>
      </c>
      <c r="F600" t="s">
        <v>47</v>
      </c>
      <c r="G600" t="s">
        <v>30</v>
      </c>
      <c r="H600" s="8" t="str">
        <f t="shared" si="19"/>
        <v>High</v>
      </c>
      <c r="I600" s="4">
        <v>1355.94</v>
      </c>
    </row>
    <row r="601" spans="1:9" x14ac:dyDescent="0.3">
      <c r="A601" s="13">
        <v>45961</v>
      </c>
      <c r="B601" s="4" t="str">
        <f>TEXT(Data!B601,"MMM-YYYY")</f>
        <v>Mar-2024</v>
      </c>
      <c r="C601" s="4" t="str">
        <f t="shared" si="18"/>
        <v>Q4-2025</v>
      </c>
      <c r="D601" t="s">
        <v>52</v>
      </c>
      <c r="E601" t="s">
        <v>73</v>
      </c>
      <c r="F601" t="s">
        <v>225</v>
      </c>
      <c r="G601" t="s">
        <v>64</v>
      </c>
      <c r="H601" s="8" t="str">
        <f t="shared" si="19"/>
        <v>High</v>
      </c>
      <c r="I601" s="4">
        <v>275.07</v>
      </c>
    </row>
    <row r="602" spans="1:9" x14ac:dyDescent="0.3">
      <c r="A602" s="13">
        <v>45962</v>
      </c>
      <c r="B602" s="4" t="str">
        <f>TEXT(Data!B602,"MMM-YYYY")</f>
        <v>Aug-2024</v>
      </c>
      <c r="C602" s="4" t="str">
        <f t="shared" si="18"/>
        <v>Q4-2025</v>
      </c>
      <c r="D602" t="s">
        <v>78</v>
      </c>
      <c r="E602" t="s">
        <v>108</v>
      </c>
      <c r="F602" t="s">
        <v>228</v>
      </c>
      <c r="G602" t="s">
        <v>57</v>
      </c>
      <c r="H602" s="8" t="str">
        <f t="shared" si="19"/>
        <v>High</v>
      </c>
      <c r="I602" s="4">
        <v>1802.44</v>
      </c>
    </row>
    <row r="603" spans="1:9" x14ac:dyDescent="0.3">
      <c r="A603" s="13">
        <v>45963</v>
      </c>
      <c r="B603" s="4" t="str">
        <f>TEXT(Data!B603,"MMM-YYYY")</f>
        <v>Aug-2025</v>
      </c>
      <c r="C603" s="4" t="str">
        <f t="shared" si="18"/>
        <v>Q4-2025</v>
      </c>
      <c r="D603" t="s">
        <v>52</v>
      </c>
      <c r="E603" t="s">
        <v>53</v>
      </c>
      <c r="F603" t="s">
        <v>54</v>
      </c>
      <c r="G603" t="s">
        <v>30</v>
      </c>
      <c r="H603" s="8" t="str">
        <f t="shared" si="19"/>
        <v>High</v>
      </c>
      <c r="I603" s="4">
        <v>1269.78</v>
      </c>
    </row>
    <row r="604" spans="1:9" x14ac:dyDescent="0.3">
      <c r="A604" s="13">
        <v>45964</v>
      </c>
      <c r="B604" s="4" t="str">
        <f>TEXT(Data!B604,"MMM-YYYY")</f>
        <v>May-2025</v>
      </c>
      <c r="C604" s="4" t="str">
        <f t="shared" si="18"/>
        <v>Q4-2025</v>
      </c>
      <c r="D604" t="s">
        <v>78</v>
      </c>
      <c r="E604" t="s">
        <v>90</v>
      </c>
      <c r="F604" t="s">
        <v>217</v>
      </c>
      <c r="G604" t="s">
        <v>35</v>
      </c>
      <c r="H604" s="8" t="str">
        <f t="shared" si="19"/>
        <v>High</v>
      </c>
      <c r="I604" s="4">
        <v>571.9</v>
      </c>
    </row>
    <row r="605" spans="1:9" x14ac:dyDescent="0.3">
      <c r="A605" s="13">
        <v>45965</v>
      </c>
      <c r="B605" s="4" t="str">
        <f>TEXT(Data!B605,"MMM-YYYY")</f>
        <v>Apr-2023</v>
      </c>
      <c r="C605" s="4" t="str">
        <f t="shared" si="18"/>
        <v>Q4-2025</v>
      </c>
      <c r="D605" t="s">
        <v>45</v>
      </c>
      <c r="E605" t="s">
        <v>46</v>
      </c>
      <c r="F605" t="s">
        <v>214</v>
      </c>
      <c r="G605" t="s">
        <v>30</v>
      </c>
      <c r="H605" s="8" t="str">
        <f t="shared" si="19"/>
        <v>High</v>
      </c>
      <c r="I605" s="4">
        <v>2755.04</v>
      </c>
    </row>
    <row r="606" spans="1:9" x14ac:dyDescent="0.3">
      <c r="A606" s="13">
        <v>45966</v>
      </c>
      <c r="B606" s="4" t="str">
        <f>TEXT(Data!B606,"MMM-YYYY")</f>
        <v>Sept-2023</v>
      </c>
      <c r="C606" s="4" t="str">
        <f t="shared" si="18"/>
        <v>Q4-2025</v>
      </c>
      <c r="D606" t="s">
        <v>78</v>
      </c>
      <c r="E606" t="s">
        <v>108</v>
      </c>
      <c r="F606" t="s">
        <v>152</v>
      </c>
      <c r="G606" t="s">
        <v>30</v>
      </c>
      <c r="H606" s="8" t="str">
        <f t="shared" si="19"/>
        <v>High</v>
      </c>
      <c r="I606" s="4">
        <v>962.51</v>
      </c>
    </row>
    <row r="607" spans="1:9" x14ac:dyDescent="0.3">
      <c r="A607" s="13">
        <v>45967</v>
      </c>
      <c r="B607" s="4" t="str">
        <f>TEXT(Data!B607,"MMM-YYYY")</f>
        <v>Apr-2023</v>
      </c>
      <c r="C607" s="4" t="str">
        <f t="shared" si="18"/>
        <v>Q4-2025</v>
      </c>
      <c r="D607" t="s">
        <v>52</v>
      </c>
      <c r="E607" t="s">
        <v>73</v>
      </c>
      <c r="F607" t="s">
        <v>225</v>
      </c>
      <c r="G607" t="s">
        <v>57</v>
      </c>
      <c r="H607" s="8" t="str">
        <f t="shared" si="19"/>
        <v>High</v>
      </c>
      <c r="I607" s="4">
        <v>668.27</v>
      </c>
    </row>
    <row r="608" spans="1:9" x14ac:dyDescent="0.3">
      <c r="A608" s="13">
        <v>45968</v>
      </c>
      <c r="B608" s="4" t="str">
        <f>TEXT(Data!B608,"MMM-YYYY")</f>
        <v>Jun-2025</v>
      </c>
      <c r="C608" s="4" t="str">
        <f t="shared" si="18"/>
        <v>Q4-2025</v>
      </c>
      <c r="D608" t="s">
        <v>45</v>
      </c>
      <c r="E608" t="s">
        <v>46</v>
      </c>
      <c r="F608" t="s">
        <v>231</v>
      </c>
      <c r="G608" t="s">
        <v>81</v>
      </c>
      <c r="H608" s="8" t="str">
        <f t="shared" si="19"/>
        <v>High</v>
      </c>
      <c r="I608" s="4">
        <v>1404.33</v>
      </c>
    </row>
    <row r="609" spans="1:9" x14ac:dyDescent="0.3">
      <c r="A609" s="13">
        <v>45969</v>
      </c>
      <c r="B609" s="4" t="str">
        <f>TEXT(Data!B609,"MMM-YYYY")</f>
        <v>Nov-2024</v>
      </c>
      <c r="C609" s="4" t="str">
        <f t="shared" si="18"/>
        <v>Q4-2025</v>
      </c>
      <c r="D609" t="s">
        <v>16</v>
      </c>
      <c r="E609" t="s">
        <v>148</v>
      </c>
      <c r="F609" t="s">
        <v>149</v>
      </c>
      <c r="G609" t="s">
        <v>42</v>
      </c>
      <c r="H609" s="8" t="str">
        <f t="shared" si="19"/>
        <v>High</v>
      </c>
      <c r="I609" s="4">
        <v>3589.89</v>
      </c>
    </row>
    <row r="610" spans="1:9" x14ac:dyDescent="0.3">
      <c r="A610" s="13">
        <v>45970</v>
      </c>
      <c r="B610" s="4" t="str">
        <f>TEXT(Data!B610,"MMM-YYYY")</f>
        <v>Jan-2024</v>
      </c>
      <c r="C610" s="4" t="str">
        <f t="shared" si="18"/>
        <v>Q4-2025</v>
      </c>
      <c r="D610" t="s">
        <v>16</v>
      </c>
      <c r="E610" t="s">
        <v>17</v>
      </c>
      <c r="F610" t="s">
        <v>113</v>
      </c>
      <c r="G610" t="s">
        <v>30</v>
      </c>
      <c r="H610" s="8" t="str">
        <f t="shared" si="19"/>
        <v>High</v>
      </c>
      <c r="I610" s="4">
        <v>233.51</v>
      </c>
    </row>
    <row r="611" spans="1:9" x14ac:dyDescent="0.3">
      <c r="A611" s="13">
        <v>45971</v>
      </c>
      <c r="B611" s="4" t="str">
        <f>TEXT(Data!B611,"MMM-YYYY")</f>
        <v>Apr-2023</v>
      </c>
      <c r="C611" s="4" t="str">
        <f t="shared" si="18"/>
        <v>Q4-2025</v>
      </c>
      <c r="D611" t="s">
        <v>16</v>
      </c>
      <c r="E611" t="s">
        <v>148</v>
      </c>
      <c r="F611" t="s">
        <v>258</v>
      </c>
      <c r="G611" t="s">
        <v>22</v>
      </c>
      <c r="H611" s="8" t="str">
        <f t="shared" si="19"/>
        <v>Medium</v>
      </c>
      <c r="I611" s="4">
        <v>124.25</v>
      </c>
    </row>
    <row r="612" spans="1:9" x14ac:dyDescent="0.3">
      <c r="A612" s="13">
        <v>45972</v>
      </c>
      <c r="B612" s="4" t="str">
        <f>TEXT(Data!B612,"MMM-YYYY")</f>
        <v>Feb-2024</v>
      </c>
      <c r="C612" s="4" t="str">
        <f t="shared" si="18"/>
        <v>Q4-2025</v>
      </c>
      <c r="D612" t="s">
        <v>52</v>
      </c>
      <c r="E612" t="s">
        <v>122</v>
      </c>
      <c r="F612" t="s">
        <v>326</v>
      </c>
      <c r="G612" t="s">
        <v>30</v>
      </c>
      <c r="H612" s="8" t="str">
        <f t="shared" si="19"/>
        <v>High</v>
      </c>
      <c r="I612" s="4">
        <v>1431.37</v>
      </c>
    </row>
    <row r="613" spans="1:9" x14ac:dyDescent="0.3">
      <c r="A613" s="13">
        <v>45973</v>
      </c>
      <c r="B613" s="4" t="str">
        <f>TEXT(Data!B613,"MMM-YYYY")</f>
        <v>Oct-2024</v>
      </c>
      <c r="C613" s="4" t="str">
        <f t="shared" si="18"/>
        <v>Q4-2025</v>
      </c>
      <c r="D613" t="s">
        <v>52</v>
      </c>
      <c r="E613" t="s">
        <v>122</v>
      </c>
      <c r="F613" t="s">
        <v>326</v>
      </c>
      <c r="G613" t="s">
        <v>30</v>
      </c>
      <c r="H613" s="8" t="str">
        <f t="shared" si="19"/>
        <v>High</v>
      </c>
      <c r="I613" s="4">
        <v>1595.52</v>
      </c>
    </row>
    <row r="614" spans="1:9" x14ac:dyDescent="0.3">
      <c r="A614" s="13">
        <v>45974</v>
      </c>
      <c r="B614" s="4" t="str">
        <f>TEXT(Data!B614,"MMM-YYYY")</f>
        <v>Jun-2024</v>
      </c>
      <c r="C614" s="4" t="str">
        <f t="shared" si="18"/>
        <v>Q4-2025</v>
      </c>
      <c r="D614" t="s">
        <v>52</v>
      </c>
      <c r="E614" t="s">
        <v>122</v>
      </c>
      <c r="F614" t="s">
        <v>123</v>
      </c>
      <c r="G614" t="s">
        <v>64</v>
      </c>
      <c r="H614" s="8" t="str">
        <f t="shared" si="19"/>
        <v>High</v>
      </c>
      <c r="I614" s="4">
        <v>1028.46</v>
      </c>
    </row>
    <row r="615" spans="1:9" x14ac:dyDescent="0.3">
      <c r="A615" s="13">
        <v>45975</v>
      </c>
      <c r="B615" s="4" t="str">
        <f>TEXT(Data!B615,"MMM-YYYY")</f>
        <v>Jul-2023</v>
      </c>
      <c r="C615" s="4" t="str">
        <f t="shared" si="18"/>
        <v>Q4-2025</v>
      </c>
      <c r="D615" t="s">
        <v>16</v>
      </c>
      <c r="E615" t="s">
        <v>17</v>
      </c>
      <c r="F615" t="s">
        <v>18</v>
      </c>
      <c r="G615" t="s">
        <v>35</v>
      </c>
      <c r="H615" s="8" t="str">
        <f t="shared" si="19"/>
        <v>High</v>
      </c>
      <c r="I615" s="4">
        <v>3230.35</v>
      </c>
    </row>
    <row r="616" spans="1:9" x14ac:dyDescent="0.3">
      <c r="A616" s="13">
        <v>45976</v>
      </c>
      <c r="B616" s="4" t="str">
        <f>TEXT(Data!B616,"MMM-YYYY")</f>
        <v>Mar-2025</v>
      </c>
      <c r="C616" s="4" t="str">
        <f t="shared" si="18"/>
        <v>Q4-2025</v>
      </c>
      <c r="D616" t="s">
        <v>78</v>
      </c>
      <c r="E616" t="s">
        <v>90</v>
      </c>
      <c r="F616" t="s">
        <v>217</v>
      </c>
      <c r="G616" t="s">
        <v>35</v>
      </c>
      <c r="H616" s="8" t="str">
        <f t="shared" si="19"/>
        <v>High</v>
      </c>
      <c r="I616" s="4">
        <v>2789.61</v>
      </c>
    </row>
    <row r="617" spans="1:9" x14ac:dyDescent="0.3">
      <c r="A617" s="13">
        <v>45977</v>
      </c>
      <c r="B617" s="4" t="str">
        <f>TEXT(Data!B617,"MMM-YYYY")</f>
        <v>Oct-2023</v>
      </c>
      <c r="C617" s="4" t="str">
        <f t="shared" si="18"/>
        <v>Q4-2025</v>
      </c>
      <c r="D617" t="s">
        <v>45</v>
      </c>
      <c r="E617" t="s">
        <v>46</v>
      </c>
      <c r="F617" t="s">
        <v>214</v>
      </c>
      <c r="G617" t="s">
        <v>30</v>
      </c>
      <c r="H617" s="8" t="str">
        <f t="shared" si="19"/>
        <v>High</v>
      </c>
      <c r="I617" s="4">
        <v>1897.74</v>
      </c>
    </row>
    <row r="618" spans="1:9" x14ac:dyDescent="0.3">
      <c r="A618" s="13">
        <v>45978</v>
      </c>
      <c r="B618" s="4" t="str">
        <f>TEXT(Data!B618,"MMM-YYYY")</f>
        <v>Dec-2024</v>
      </c>
      <c r="C618" s="4" t="str">
        <f t="shared" si="18"/>
        <v>Q4-2025</v>
      </c>
      <c r="D618" t="s">
        <v>16</v>
      </c>
      <c r="E618" t="s">
        <v>25</v>
      </c>
      <c r="F618" t="s">
        <v>26</v>
      </c>
      <c r="G618" t="s">
        <v>35</v>
      </c>
      <c r="H618" s="8" t="str">
        <f t="shared" si="19"/>
        <v>High</v>
      </c>
      <c r="I618" s="4">
        <v>902.47</v>
      </c>
    </row>
    <row r="619" spans="1:9" x14ac:dyDescent="0.3">
      <c r="A619" s="13">
        <v>45979</v>
      </c>
      <c r="B619" s="4" t="str">
        <f>TEXT(Data!B619,"MMM-YYYY")</f>
        <v>Jul-2025</v>
      </c>
      <c r="C619" s="4" t="str">
        <f t="shared" si="18"/>
        <v>Q4-2025</v>
      </c>
      <c r="D619" t="s">
        <v>78</v>
      </c>
      <c r="E619" t="s">
        <v>108</v>
      </c>
      <c r="F619" t="s">
        <v>228</v>
      </c>
      <c r="G619" t="s">
        <v>64</v>
      </c>
      <c r="H619" s="8" t="str">
        <f t="shared" si="19"/>
        <v>Low</v>
      </c>
      <c r="I619" s="4">
        <v>-33.659999999999997</v>
      </c>
    </row>
    <row r="620" spans="1:9" x14ac:dyDescent="0.3">
      <c r="A620" s="13">
        <v>45980</v>
      </c>
      <c r="B620" s="4" t="str">
        <f>TEXT(Data!B620,"MMM-YYYY")</f>
        <v>Oct-2024</v>
      </c>
      <c r="C620" s="4" t="str">
        <f t="shared" si="18"/>
        <v>Q4-2025</v>
      </c>
      <c r="D620" t="s">
        <v>78</v>
      </c>
      <c r="E620" t="s">
        <v>108</v>
      </c>
      <c r="F620" t="s">
        <v>152</v>
      </c>
      <c r="G620" t="s">
        <v>30</v>
      </c>
      <c r="H620" s="8" t="str">
        <f t="shared" si="19"/>
        <v>High</v>
      </c>
      <c r="I620" s="4">
        <v>1086.68</v>
      </c>
    </row>
    <row r="621" spans="1:9" x14ac:dyDescent="0.3">
      <c r="A621" s="13">
        <v>45981</v>
      </c>
      <c r="B621" s="4" t="str">
        <f>TEXT(Data!B621,"MMM-YYYY")</f>
        <v>Sept-2023</v>
      </c>
      <c r="C621" s="4" t="str">
        <f t="shared" si="18"/>
        <v>Q4-2025</v>
      </c>
      <c r="D621" t="s">
        <v>78</v>
      </c>
      <c r="E621" t="s">
        <v>90</v>
      </c>
      <c r="F621" t="s">
        <v>217</v>
      </c>
      <c r="G621" t="s">
        <v>22</v>
      </c>
      <c r="H621" s="8" t="str">
        <f t="shared" si="19"/>
        <v>High</v>
      </c>
      <c r="I621" s="4">
        <v>1010.75</v>
      </c>
    </row>
    <row r="622" spans="1:9" x14ac:dyDescent="0.3">
      <c r="A622" s="13">
        <v>45982</v>
      </c>
      <c r="B622" s="4" t="str">
        <f>TEXT(Data!B622,"MMM-YYYY")</f>
        <v>Apr-2025</v>
      </c>
      <c r="C622" s="4" t="str">
        <f t="shared" si="18"/>
        <v>Q4-2025</v>
      </c>
      <c r="D622" t="s">
        <v>16</v>
      </c>
      <c r="E622" t="s">
        <v>17</v>
      </c>
      <c r="F622" t="s">
        <v>135</v>
      </c>
      <c r="G622" t="s">
        <v>81</v>
      </c>
      <c r="H622" s="8" t="str">
        <f t="shared" si="19"/>
        <v>High</v>
      </c>
      <c r="I622" s="4">
        <v>411.48</v>
      </c>
    </row>
    <row r="623" spans="1:9" x14ac:dyDescent="0.3">
      <c r="A623" s="13">
        <v>45983</v>
      </c>
      <c r="B623" s="4" t="str">
        <f>TEXT(Data!B623,"MMM-YYYY")</f>
        <v>Jul-2024</v>
      </c>
      <c r="C623" s="4" t="str">
        <f t="shared" si="18"/>
        <v>Q4-2025</v>
      </c>
      <c r="D623" t="s">
        <v>52</v>
      </c>
      <c r="E623" t="s">
        <v>73</v>
      </c>
      <c r="F623" t="s">
        <v>225</v>
      </c>
      <c r="G623" t="s">
        <v>35</v>
      </c>
      <c r="H623" s="8" t="str">
        <f t="shared" si="19"/>
        <v>High</v>
      </c>
      <c r="I623" s="4">
        <v>413.34</v>
      </c>
    </row>
    <row r="624" spans="1:9" x14ac:dyDescent="0.3">
      <c r="A624" s="13">
        <v>45984</v>
      </c>
      <c r="B624" s="4" t="str">
        <f>TEXT(Data!B624,"MMM-YYYY")</f>
        <v>Jul-2025</v>
      </c>
      <c r="C624" s="4" t="str">
        <f t="shared" si="18"/>
        <v>Q4-2025</v>
      </c>
      <c r="D624" t="s">
        <v>45</v>
      </c>
      <c r="E624" t="s">
        <v>60</v>
      </c>
      <c r="F624" t="s">
        <v>281</v>
      </c>
      <c r="G624" t="s">
        <v>35</v>
      </c>
      <c r="H624" s="8" t="str">
        <f t="shared" si="19"/>
        <v>High</v>
      </c>
      <c r="I624" s="4">
        <v>1558.89</v>
      </c>
    </row>
    <row r="625" spans="1:9" x14ac:dyDescent="0.3">
      <c r="A625" s="13">
        <v>45985</v>
      </c>
      <c r="B625" s="4" t="str">
        <f>TEXT(Data!B625,"MMM-YYYY")</f>
        <v>Aug-2023</v>
      </c>
      <c r="C625" s="4" t="str">
        <f t="shared" si="18"/>
        <v>Q4-2025</v>
      </c>
      <c r="D625" t="s">
        <v>16</v>
      </c>
      <c r="E625" t="s">
        <v>17</v>
      </c>
      <c r="F625" t="s">
        <v>33</v>
      </c>
      <c r="G625" t="s">
        <v>81</v>
      </c>
      <c r="H625" s="8" t="str">
        <f t="shared" si="19"/>
        <v>High</v>
      </c>
      <c r="I625" s="4">
        <v>861.16</v>
      </c>
    </row>
    <row r="626" spans="1:9" x14ac:dyDescent="0.3">
      <c r="A626" s="13">
        <v>45986</v>
      </c>
      <c r="B626" s="4" t="str">
        <f>TEXT(Data!B626,"MMM-YYYY")</f>
        <v>Nov-2023</v>
      </c>
      <c r="C626" s="4" t="str">
        <f t="shared" si="18"/>
        <v>Q4-2025</v>
      </c>
      <c r="D626" t="s">
        <v>45</v>
      </c>
      <c r="E626" t="s">
        <v>116</v>
      </c>
      <c r="F626" t="s">
        <v>162</v>
      </c>
      <c r="G626" t="s">
        <v>35</v>
      </c>
      <c r="H626" s="8" t="str">
        <f t="shared" si="19"/>
        <v>High</v>
      </c>
      <c r="I626" s="4">
        <v>2296.25</v>
      </c>
    </row>
    <row r="627" spans="1:9" x14ac:dyDescent="0.3">
      <c r="A627" s="13">
        <v>45987</v>
      </c>
      <c r="B627" s="4" t="str">
        <f>TEXT(Data!B627,"MMM-YYYY")</f>
        <v>Dec-2023</v>
      </c>
      <c r="C627" s="4" t="str">
        <f t="shared" si="18"/>
        <v>Q4-2025</v>
      </c>
      <c r="D627" t="s">
        <v>45</v>
      </c>
      <c r="E627" t="s">
        <v>60</v>
      </c>
      <c r="F627" t="s">
        <v>141</v>
      </c>
      <c r="G627" t="s">
        <v>35</v>
      </c>
      <c r="H627" s="8" t="str">
        <f t="shared" si="19"/>
        <v>High</v>
      </c>
      <c r="I627" s="4">
        <v>2636.6</v>
      </c>
    </row>
    <row r="628" spans="1:9" x14ac:dyDescent="0.3">
      <c r="A628" s="13">
        <v>45988</v>
      </c>
      <c r="B628" s="4" t="str">
        <f>TEXT(Data!B628,"MMM-YYYY")</f>
        <v>Aug-2023</v>
      </c>
      <c r="C628" s="4" t="str">
        <f t="shared" si="18"/>
        <v>Q4-2025</v>
      </c>
      <c r="D628" t="s">
        <v>45</v>
      </c>
      <c r="E628" t="s">
        <v>60</v>
      </c>
      <c r="F628" t="s">
        <v>281</v>
      </c>
      <c r="G628" t="s">
        <v>22</v>
      </c>
      <c r="H628" s="8" t="str">
        <f t="shared" si="19"/>
        <v>High</v>
      </c>
      <c r="I628" s="4">
        <v>978.09</v>
      </c>
    </row>
    <row r="629" spans="1:9" x14ac:dyDescent="0.3">
      <c r="A629" s="13">
        <v>45989</v>
      </c>
      <c r="B629" s="4" t="str">
        <f>TEXT(Data!B629,"MMM-YYYY")</f>
        <v>Jun-2023</v>
      </c>
      <c r="C629" s="4" t="str">
        <f t="shared" si="18"/>
        <v>Q4-2025</v>
      </c>
      <c r="D629" t="s">
        <v>45</v>
      </c>
      <c r="E629" t="s">
        <v>116</v>
      </c>
      <c r="F629" t="s">
        <v>162</v>
      </c>
      <c r="G629" t="s">
        <v>64</v>
      </c>
      <c r="H629" s="8" t="str">
        <f t="shared" si="19"/>
        <v>High</v>
      </c>
      <c r="I629" s="4">
        <v>545.72</v>
      </c>
    </row>
    <row r="630" spans="1:9" x14ac:dyDescent="0.3">
      <c r="A630" s="13">
        <v>45990</v>
      </c>
      <c r="B630" s="4" t="str">
        <f>TEXT(Data!B630,"MMM-YYYY")</f>
        <v>Dec-2023</v>
      </c>
      <c r="C630" s="4" t="str">
        <f t="shared" si="18"/>
        <v>Q4-2025</v>
      </c>
      <c r="D630" t="s">
        <v>52</v>
      </c>
      <c r="E630" t="s">
        <v>53</v>
      </c>
      <c r="F630" t="s">
        <v>179</v>
      </c>
      <c r="G630" t="s">
        <v>42</v>
      </c>
      <c r="H630" s="8" t="str">
        <f t="shared" si="19"/>
        <v>High</v>
      </c>
      <c r="I630" s="4">
        <v>1435.54</v>
      </c>
    </row>
    <row r="631" spans="1:9" x14ac:dyDescent="0.3">
      <c r="A631" s="13">
        <v>45991</v>
      </c>
      <c r="B631" s="4" t="str">
        <f>TEXT(Data!B631,"MMM-YYYY")</f>
        <v>Nov-2023</v>
      </c>
      <c r="C631" s="4" t="str">
        <f t="shared" si="18"/>
        <v>Q4-2025</v>
      </c>
      <c r="D631" t="s">
        <v>78</v>
      </c>
      <c r="E631" t="s">
        <v>79</v>
      </c>
      <c r="F631" t="s">
        <v>335</v>
      </c>
      <c r="G631" t="s">
        <v>22</v>
      </c>
      <c r="H631" s="8" t="str">
        <f t="shared" si="19"/>
        <v>High</v>
      </c>
      <c r="I631" s="4">
        <v>2397.3000000000002</v>
      </c>
    </row>
    <row r="632" spans="1:9" x14ac:dyDescent="0.3">
      <c r="A632" s="13">
        <v>45992</v>
      </c>
      <c r="B632" s="4" t="str">
        <f>TEXT(Data!B632,"MMM-YYYY")</f>
        <v>Feb-2025</v>
      </c>
      <c r="C632" s="4" t="str">
        <f t="shared" si="18"/>
        <v>Q4-2025</v>
      </c>
      <c r="D632" t="s">
        <v>45</v>
      </c>
      <c r="E632" t="s">
        <v>46</v>
      </c>
      <c r="F632" t="s">
        <v>231</v>
      </c>
      <c r="G632" t="s">
        <v>42</v>
      </c>
      <c r="H632" s="8" t="str">
        <f t="shared" si="19"/>
        <v>High</v>
      </c>
      <c r="I632" s="4">
        <v>1853.86</v>
      </c>
    </row>
    <row r="633" spans="1:9" x14ac:dyDescent="0.3">
      <c r="A633" s="13">
        <v>45993</v>
      </c>
      <c r="B633" s="4" t="str">
        <f>TEXT(Data!B633,"MMM-YYYY")</f>
        <v>Feb-2025</v>
      </c>
      <c r="C633" s="4" t="str">
        <f t="shared" si="18"/>
        <v>Q4-2025</v>
      </c>
      <c r="D633" t="s">
        <v>45</v>
      </c>
      <c r="E633" t="s">
        <v>46</v>
      </c>
      <c r="F633" t="s">
        <v>47</v>
      </c>
      <c r="G633" t="s">
        <v>57</v>
      </c>
      <c r="H633" s="8" t="str">
        <f t="shared" si="19"/>
        <v>Low</v>
      </c>
      <c r="I633" s="4">
        <v>45.98</v>
      </c>
    </row>
  </sheetData>
  <conditionalFormatting sqref="I1:I1048576">
    <cfRule type="cellIs" dxfId="14" priority="1" operator="lessThan">
      <formula>0</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117C-2B55-47A3-B81A-F162E659439A}">
  <dimension ref="A1:O633"/>
  <sheetViews>
    <sheetView workbookViewId="0">
      <selection activeCell="R3" sqref="R3"/>
    </sheetView>
  </sheetViews>
  <sheetFormatPr defaultRowHeight="14.4" x14ac:dyDescent="0.3"/>
  <cols>
    <col min="1" max="1" width="11.88671875" style="7" bestFit="1" customWidth="1"/>
    <col min="2" max="2" width="12" style="4" bestFit="1" customWidth="1"/>
    <col min="3" max="3" width="13.109375" style="4" bestFit="1" customWidth="1"/>
    <col min="4" max="4" width="12.6640625" style="4" bestFit="1" customWidth="1"/>
    <col min="5" max="5" width="8" style="4" bestFit="1" customWidth="1"/>
    <col min="6" max="6" width="8.44140625" bestFit="1" customWidth="1"/>
    <col min="7" max="7" width="14" bestFit="1" customWidth="1"/>
    <col min="8" max="8" width="12.44140625" bestFit="1" customWidth="1"/>
    <col min="9" max="9" width="15.33203125" bestFit="1" customWidth="1"/>
    <col min="10" max="10" width="9.88671875" style="4" bestFit="1" customWidth="1"/>
    <col min="11" max="11" width="8.6640625" style="4" bestFit="1" customWidth="1"/>
    <col min="12" max="12" width="8.6640625" bestFit="1" customWidth="1"/>
    <col min="13" max="13" width="11" bestFit="1" customWidth="1"/>
    <col min="14" max="14" width="8.33203125" bestFit="1" customWidth="1"/>
    <col min="15" max="15" width="13.44140625" bestFit="1" customWidth="1"/>
  </cols>
  <sheetData>
    <row r="1" spans="1:15" x14ac:dyDescent="0.3">
      <c r="A1" s="6" t="s">
        <v>1</v>
      </c>
      <c r="B1" s="3" t="s">
        <v>1413</v>
      </c>
      <c r="C1" s="3" t="s">
        <v>1414</v>
      </c>
      <c r="D1" s="3" t="s">
        <v>1415</v>
      </c>
      <c r="E1" s="3" t="s">
        <v>1370</v>
      </c>
      <c r="F1" s="1" t="s">
        <v>3</v>
      </c>
      <c r="G1" s="1" t="s">
        <v>4</v>
      </c>
      <c r="H1" s="1" t="s">
        <v>5</v>
      </c>
      <c r="I1" s="1" t="s">
        <v>9</v>
      </c>
      <c r="J1" s="3" t="s">
        <v>1375</v>
      </c>
      <c r="K1" s="3" t="s">
        <v>12</v>
      </c>
      <c r="L1" s="3" t="s">
        <v>12</v>
      </c>
      <c r="M1" s="3" t="s">
        <v>13</v>
      </c>
      <c r="N1" s="3" t="s">
        <v>14</v>
      </c>
      <c r="O1" s="5" t="s">
        <v>1366</v>
      </c>
    </row>
    <row r="2" spans="1:15" x14ac:dyDescent="0.3">
      <c r="A2" s="13">
        <v>45362</v>
      </c>
      <c r="B2" s="4" t="str">
        <f>TEXT(Data!B2,"MMM-YYYY")</f>
        <v>Oct-2024</v>
      </c>
      <c r="C2" s="4" t="str">
        <f>TEXT(D2, "MMM-YYYY")</f>
        <v>Mar-2024</v>
      </c>
      <c r="D2" s="14">
        <f>_xlfn.MINIFS(A2:A2, G2:G2,G2)</f>
        <v>45362</v>
      </c>
      <c r="E2" s="4" t="str">
        <f t="shared" ref="E2:E65" si="0">"Q"&amp;ROUNDUP(MONTH(A2)/3,0)&amp;"-"&amp;YEAR(A2)</f>
        <v>Q1-2024</v>
      </c>
      <c r="F2" t="s">
        <v>16</v>
      </c>
      <c r="G2" t="s">
        <v>17</v>
      </c>
      <c r="H2" t="s">
        <v>18</v>
      </c>
      <c r="I2" t="s">
        <v>22</v>
      </c>
      <c r="J2" s="8" t="str">
        <f t="shared" ref="J2:J65" si="1">IF(K2&lt;50, "Low", IF(K2&lt;200, "Medium", "High"))</f>
        <v>High</v>
      </c>
      <c r="K2" s="4">
        <v>608.9</v>
      </c>
      <c r="L2" s="4">
        <v>608.9</v>
      </c>
      <c r="M2" s="4">
        <v>0.112</v>
      </c>
      <c r="N2" s="4">
        <v>9</v>
      </c>
      <c r="O2" s="4">
        <f t="shared" ref="O2:O65" si="2">(L28*N2)*(1-M2)</f>
        <v>1403.9546399999999</v>
      </c>
    </row>
    <row r="3" spans="1:15" x14ac:dyDescent="0.3">
      <c r="A3" s="13">
        <v>45363</v>
      </c>
      <c r="B3" s="4" t="str">
        <f>TEXT(Data!B3,"MMM-YYYY")</f>
        <v>Feb-2023</v>
      </c>
      <c r="C3" s="4" t="str">
        <f t="shared" ref="C3:C66" si="3">TEXT(D3, "MMM-YYYY")</f>
        <v>Mar-2024</v>
      </c>
      <c r="D3" s="14">
        <f t="shared" ref="D3:D66" si="4">_xlfn.MINIFS(A3:A3, G3:G3,G3)</f>
        <v>45363</v>
      </c>
      <c r="E3" s="4" t="str">
        <f t="shared" si="0"/>
        <v>Q1-2024</v>
      </c>
      <c r="F3" t="s">
        <v>16</v>
      </c>
      <c r="G3" t="s">
        <v>25</v>
      </c>
      <c r="H3" t="s">
        <v>26</v>
      </c>
      <c r="I3" t="s">
        <v>30</v>
      </c>
      <c r="J3" s="8" t="str">
        <f t="shared" si="1"/>
        <v>High</v>
      </c>
      <c r="K3" s="4">
        <v>759.33</v>
      </c>
      <c r="L3" s="4">
        <v>759.33</v>
      </c>
      <c r="M3" s="4">
        <v>0.23699999999999999</v>
      </c>
      <c r="N3" s="4">
        <v>31</v>
      </c>
      <c r="O3" s="4">
        <f t="shared" si="2"/>
        <v>17934.41419</v>
      </c>
    </row>
    <row r="4" spans="1:15" x14ac:dyDescent="0.3">
      <c r="A4" s="13">
        <v>45364</v>
      </c>
      <c r="B4" s="4" t="str">
        <f>TEXT(Data!B4,"MMM-YYYY")</f>
        <v>Mar-2025</v>
      </c>
      <c r="C4" s="4" t="str">
        <f t="shared" si="3"/>
        <v>Mar-2024</v>
      </c>
      <c r="D4" s="14">
        <f t="shared" si="4"/>
        <v>45364</v>
      </c>
      <c r="E4" s="4" t="str">
        <f t="shared" si="0"/>
        <v>Q1-2024</v>
      </c>
      <c r="F4" t="s">
        <v>16</v>
      </c>
      <c r="G4" t="s">
        <v>17</v>
      </c>
      <c r="H4" t="s">
        <v>33</v>
      </c>
      <c r="I4" t="s">
        <v>35</v>
      </c>
      <c r="J4" s="8" t="str">
        <f t="shared" si="1"/>
        <v>Low</v>
      </c>
      <c r="K4" s="4">
        <v>-30.66</v>
      </c>
      <c r="L4" s="4">
        <v>-30.66</v>
      </c>
      <c r="M4" s="4">
        <v>0.13100000000000001</v>
      </c>
      <c r="N4" s="4">
        <v>12</v>
      </c>
      <c r="O4" s="4">
        <f t="shared" si="2"/>
        <v>4534.0944</v>
      </c>
    </row>
    <row r="5" spans="1:15" x14ac:dyDescent="0.3">
      <c r="A5" s="13">
        <v>45365</v>
      </c>
      <c r="B5" s="4" t="str">
        <f>TEXT(Data!B5,"MMM-YYYY")</f>
        <v>Dec-2023</v>
      </c>
      <c r="C5" s="4" t="str">
        <f t="shared" si="3"/>
        <v>Mar-2024</v>
      </c>
      <c r="D5" s="14">
        <f t="shared" si="4"/>
        <v>45365</v>
      </c>
      <c r="E5" s="4" t="str">
        <f t="shared" si="0"/>
        <v>Q1-2024</v>
      </c>
      <c r="F5" t="s">
        <v>16</v>
      </c>
      <c r="G5" t="s">
        <v>25</v>
      </c>
      <c r="H5" t="s">
        <v>38</v>
      </c>
      <c r="I5" t="s">
        <v>42</v>
      </c>
      <c r="J5" s="8" t="str">
        <f t="shared" si="1"/>
        <v>High</v>
      </c>
      <c r="K5" s="4">
        <v>255.94</v>
      </c>
      <c r="L5" s="4">
        <v>255.94</v>
      </c>
      <c r="M5" s="4">
        <v>7.1999999999999995E-2</v>
      </c>
      <c r="N5" s="4">
        <v>22</v>
      </c>
      <c r="O5" s="4">
        <f t="shared" si="2"/>
        <v>34016.730880000003</v>
      </c>
    </row>
    <row r="6" spans="1:15" x14ac:dyDescent="0.3">
      <c r="A6" s="13">
        <v>45366</v>
      </c>
      <c r="B6" s="4" t="str">
        <f>TEXT(Data!B6,"MMM-YYYY")</f>
        <v>Jan-2023</v>
      </c>
      <c r="C6" s="4" t="str">
        <f t="shared" si="3"/>
        <v>Mar-2024</v>
      </c>
      <c r="D6" s="14">
        <f t="shared" si="4"/>
        <v>45366</v>
      </c>
      <c r="E6" s="4" t="str">
        <f t="shared" si="0"/>
        <v>Q1-2024</v>
      </c>
      <c r="F6" t="s">
        <v>45</v>
      </c>
      <c r="G6" t="s">
        <v>46</v>
      </c>
      <c r="H6" t="s">
        <v>47</v>
      </c>
      <c r="I6" t="s">
        <v>30</v>
      </c>
      <c r="J6" s="8" t="str">
        <f t="shared" si="1"/>
        <v>High</v>
      </c>
      <c r="K6" s="4">
        <v>813.51</v>
      </c>
      <c r="L6" s="4">
        <v>813.51</v>
      </c>
      <c r="M6" s="4">
        <v>0.10199999999999999</v>
      </c>
      <c r="N6" s="4">
        <v>15</v>
      </c>
      <c r="O6" s="4">
        <f t="shared" si="2"/>
        <v>8510.0765999999985</v>
      </c>
    </row>
    <row r="7" spans="1:15" x14ac:dyDescent="0.3">
      <c r="A7" s="13">
        <v>45367</v>
      </c>
      <c r="B7" s="4" t="str">
        <f>TEXT(Data!B7,"MMM-YYYY")</f>
        <v>Dec-2024</v>
      </c>
      <c r="C7" s="4" t="str">
        <f t="shared" si="3"/>
        <v>Mar-2024</v>
      </c>
      <c r="D7" s="14">
        <f t="shared" si="4"/>
        <v>45367</v>
      </c>
      <c r="E7" s="4" t="str">
        <f t="shared" si="0"/>
        <v>Q1-2024</v>
      </c>
      <c r="F7" t="s">
        <v>52</v>
      </c>
      <c r="G7" t="s">
        <v>53</v>
      </c>
      <c r="H7" t="s">
        <v>54</v>
      </c>
      <c r="I7" t="s">
        <v>57</v>
      </c>
      <c r="J7" s="8" t="str">
        <f t="shared" si="1"/>
        <v>High</v>
      </c>
      <c r="K7" s="4">
        <v>591.67999999999995</v>
      </c>
      <c r="L7" s="4">
        <v>591.67999999999995</v>
      </c>
      <c r="M7" s="4">
        <v>0</v>
      </c>
      <c r="N7" s="4">
        <v>7</v>
      </c>
      <c r="O7" s="4">
        <f t="shared" si="2"/>
        <v>12558.49</v>
      </c>
    </row>
    <row r="8" spans="1:15" x14ac:dyDescent="0.3">
      <c r="A8" s="13">
        <v>45368</v>
      </c>
      <c r="B8" s="4" t="str">
        <f>TEXT(Data!B8,"MMM-YYYY")</f>
        <v>Jan-2023</v>
      </c>
      <c r="C8" s="4" t="str">
        <f t="shared" si="3"/>
        <v>Mar-2024</v>
      </c>
      <c r="D8" s="14">
        <f t="shared" si="4"/>
        <v>45368</v>
      </c>
      <c r="E8" s="4" t="str">
        <f t="shared" si="0"/>
        <v>Q1-2024</v>
      </c>
      <c r="F8" t="s">
        <v>45</v>
      </c>
      <c r="G8" t="s">
        <v>60</v>
      </c>
      <c r="H8" t="s">
        <v>61</v>
      </c>
      <c r="I8" t="s">
        <v>64</v>
      </c>
      <c r="J8" s="8" t="str">
        <f t="shared" si="1"/>
        <v>High</v>
      </c>
      <c r="K8" s="4">
        <v>845.97</v>
      </c>
      <c r="L8" s="4">
        <v>845.97</v>
      </c>
      <c r="M8" s="4">
        <v>0.14699999999999999</v>
      </c>
      <c r="N8" s="4">
        <v>4</v>
      </c>
      <c r="O8" s="4">
        <f t="shared" si="2"/>
        <v>8983.864239999999</v>
      </c>
    </row>
    <row r="9" spans="1:15" x14ac:dyDescent="0.3">
      <c r="A9" s="13">
        <v>45369</v>
      </c>
      <c r="B9" s="4" t="str">
        <f>TEXT(Data!B9,"MMM-YYYY")</f>
        <v>May-2024</v>
      </c>
      <c r="C9" s="4" t="str">
        <f t="shared" si="3"/>
        <v>Mar-2024</v>
      </c>
      <c r="D9" s="14">
        <f t="shared" si="4"/>
        <v>45369</v>
      </c>
      <c r="E9" s="4" t="str">
        <f t="shared" si="0"/>
        <v>Q1-2024</v>
      </c>
      <c r="F9" t="s">
        <v>16</v>
      </c>
      <c r="G9" t="s">
        <v>25</v>
      </c>
      <c r="H9" t="s">
        <v>67</v>
      </c>
      <c r="I9" t="s">
        <v>30</v>
      </c>
      <c r="J9" s="8" t="str">
        <f t="shared" si="1"/>
        <v>Low</v>
      </c>
      <c r="K9" s="4">
        <v>47.22</v>
      </c>
      <c r="L9" s="4">
        <v>47.22</v>
      </c>
      <c r="M9" s="4">
        <v>0.19400000000000001</v>
      </c>
      <c r="N9" s="4">
        <v>18</v>
      </c>
      <c r="O9" s="4">
        <f t="shared" si="2"/>
        <v>19177.399799999999</v>
      </c>
    </row>
    <row r="10" spans="1:15" x14ac:dyDescent="0.3">
      <c r="A10" s="13">
        <v>45370</v>
      </c>
      <c r="B10" s="4" t="str">
        <f>TEXT(Data!B10,"MMM-YYYY")</f>
        <v>May-2025</v>
      </c>
      <c r="C10" s="4" t="str">
        <f t="shared" si="3"/>
        <v>Mar-2024</v>
      </c>
      <c r="D10" s="14">
        <f t="shared" si="4"/>
        <v>45370</v>
      </c>
      <c r="E10" s="4" t="str">
        <f t="shared" si="0"/>
        <v>Q1-2024</v>
      </c>
      <c r="F10" t="s">
        <v>16</v>
      </c>
      <c r="G10" t="s">
        <v>25</v>
      </c>
      <c r="H10" t="s">
        <v>67</v>
      </c>
      <c r="I10" t="s">
        <v>64</v>
      </c>
      <c r="J10" s="8" t="str">
        <f t="shared" si="1"/>
        <v>High</v>
      </c>
      <c r="K10" s="4">
        <v>2530.81</v>
      </c>
      <c r="L10" s="4">
        <v>2530.81</v>
      </c>
      <c r="M10" s="4">
        <v>3.1E-2</v>
      </c>
      <c r="N10" s="4">
        <v>6</v>
      </c>
      <c r="O10" s="4">
        <f t="shared" si="2"/>
        <v>17656.36218</v>
      </c>
    </row>
    <row r="11" spans="1:15" x14ac:dyDescent="0.3">
      <c r="A11" s="13">
        <v>45371</v>
      </c>
      <c r="B11" s="4" t="str">
        <f>TEXT(Data!B11,"MMM-YYYY")</f>
        <v>Jan-2024</v>
      </c>
      <c r="C11" s="4" t="str">
        <f t="shared" si="3"/>
        <v>Mar-2024</v>
      </c>
      <c r="D11" s="14">
        <f t="shared" si="4"/>
        <v>45371</v>
      </c>
      <c r="E11" s="4" t="str">
        <f t="shared" si="0"/>
        <v>Q1-2024</v>
      </c>
      <c r="F11" t="s">
        <v>52</v>
      </c>
      <c r="G11" t="s">
        <v>73</v>
      </c>
      <c r="H11" t="s">
        <v>74</v>
      </c>
      <c r="I11" t="s">
        <v>22</v>
      </c>
      <c r="J11" s="8" t="str">
        <f t="shared" si="1"/>
        <v>High</v>
      </c>
      <c r="K11" s="4">
        <v>2309.56</v>
      </c>
      <c r="L11" s="4">
        <v>2309.56</v>
      </c>
      <c r="M11" s="4">
        <v>0.14899999999999999</v>
      </c>
      <c r="N11" s="4">
        <v>31</v>
      </c>
      <c r="O11" s="4">
        <f t="shared" si="2"/>
        <v>5259.5799699999998</v>
      </c>
    </row>
    <row r="12" spans="1:15" x14ac:dyDescent="0.3">
      <c r="A12" s="13">
        <v>45372</v>
      </c>
      <c r="B12" s="4" t="str">
        <f>TEXT(Data!B12,"MMM-YYYY")</f>
        <v>Jan-2025</v>
      </c>
      <c r="C12" s="4" t="str">
        <f t="shared" si="3"/>
        <v>Mar-2024</v>
      </c>
      <c r="D12" s="14">
        <f t="shared" si="4"/>
        <v>45372</v>
      </c>
      <c r="E12" s="4" t="str">
        <f t="shared" si="0"/>
        <v>Q1-2024</v>
      </c>
      <c r="F12" t="s">
        <v>78</v>
      </c>
      <c r="G12" t="s">
        <v>79</v>
      </c>
      <c r="H12" t="s">
        <v>80</v>
      </c>
      <c r="I12" t="s">
        <v>81</v>
      </c>
      <c r="J12" s="8" t="str">
        <f t="shared" si="1"/>
        <v>High</v>
      </c>
      <c r="K12" s="4">
        <v>700.12</v>
      </c>
      <c r="L12" s="4">
        <v>700.12</v>
      </c>
      <c r="M12" s="4">
        <v>6.0000000000000001E-3</v>
      </c>
      <c r="N12" s="4">
        <v>23</v>
      </c>
      <c r="O12" s="4">
        <f t="shared" si="2"/>
        <v>21204.733619999999</v>
      </c>
    </row>
    <row r="13" spans="1:15" x14ac:dyDescent="0.3">
      <c r="A13" s="13">
        <v>45373</v>
      </c>
      <c r="B13" s="4" t="str">
        <f>TEXT(Data!B13,"MMM-YYYY")</f>
        <v>Mar-2025</v>
      </c>
      <c r="C13" s="4" t="str">
        <f t="shared" si="3"/>
        <v>Mar-2024</v>
      </c>
      <c r="D13" s="14">
        <f t="shared" si="4"/>
        <v>45373</v>
      </c>
      <c r="E13" s="4" t="str">
        <f t="shared" si="0"/>
        <v>Q1-2024</v>
      </c>
      <c r="F13" t="s">
        <v>45</v>
      </c>
      <c r="G13" t="s">
        <v>46</v>
      </c>
      <c r="H13" t="s">
        <v>47</v>
      </c>
      <c r="I13" t="s">
        <v>42</v>
      </c>
      <c r="J13" s="8" t="str">
        <f t="shared" si="1"/>
        <v>High</v>
      </c>
      <c r="K13" s="4">
        <v>691.37</v>
      </c>
      <c r="L13" s="4">
        <v>691.37</v>
      </c>
      <c r="M13" s="4">
        <v>0.25</v>
      </c>
      <c r="N13" s="4">
        <v>20</v>
      </c>
      <c r="O13" s="4">
        <f t="shared" si="2"/>
        <v>26031.15</v>
      </c>
    </row>
    <row r="14" spans="1:15" x14ac:dyDescent="0.3">
      <c r="A14" s="13">
        <v>45374</v>
      </c>
      <c r="B14" s="4" t="str">
        <f>TEXT(Data!B14,"MMM-YYYY")</f>
        <v>Jan-2024</v>
      </c>
      <c r="C14" s="4" t="str">
        <f t="shared" si="3"/>
        <v>Mar-2024</v>
      </c>
      <c r="D14" s="14">
        <f t="shared" si="4"/>
        <v>45374</v>
      </c>
      <c r="E14" s="4" t="str">
        <f t="shared" si="0"/>
        <v>Q1-2024</v>
      </c>
      <c r="F14" t="s">
        <v>52</v>
      </c>
      <c r="G14" t="s">
        <v>73</v>
      </c>
      <c r="H14" t="s">
        <v>87</v>
      </c>
      <c r="I14" t="s">
        <v>22</v>
      </c>
      <c r="J14" s="8" t="str">
        <f t="shared" si="1"/>
        <v>High</v>
      </c>
      <c r="K14" s="4">
        <v>548.4</v>
      </c>
      <c r="L14" s="4">
        <v>548.4</v>
      </c>
      <c r="M14" s="4">
        <v>9.4E-2</v>
      </c>
      <c r="N14" s="4">
        <v>10</v>
      </c>
      <c r="O14" s="4">
        <f t="shared" si="2"/>
        <v>12644.498400000002</v>
      </c>
    </row>
    <row r="15" spans="1:15" x14ac:dyDescent="0.3">
      <c r="A15" s="13">
        <v>45375</v>
      </c>
      <c r="B15" s="4" t="str">
        <f>TEXT(Data!B15,"MMM-YYYY")</f>
        <v>Sept-2025</v>
      </c>
      <c r="C15" s="4" t="str">
        <f t="shared" si="3"/>
        <v>Mar-2024</v>
      </c>
      <c r="D15" s="14">
        <f t="shared" si="4"/>
        <v>45375</v>
      </c>
      <c r="E15" s="4" t="str">
        <f t="shared" si="0"/>
        <v>Q1-2024</v>
      </c>
      <c r="F15" t="s">
        <v>78</v>
      </c>
      <c r="G15" t="s">
        <v>90</v>
      </c>
      <c r="H15" t="s">
        <v>91</v>
      </c>
      <c r="I15" t="s">
        <v>30</v>
      </c>
      <c r="J15" s="8" t="str">
        <f t="shared" si="1"/>
        <v>High</v>
      </c>
      <c r="K15" s="4">
        <v>1439.01</v>
      </c>
      <c r="L15" s="4">
        <v>1439.01</v>
      </c>
      <c r="M15" s="4">
        <v>0</v>
      </c>
      <c r="N15" s="4">
        <v>15</v>
      </c>
      <c r="O15" s="4">
        <f t="shared" si="2"/>
        <v>6816.3</v>
      </c>
    </row>
    <row r="16" spans="1:15" x14ac:dyDescent="0.3">
      <c r="A16" s="13">
        <v>45376</v>
      </c>
      <c r="B16" s="4" t="str">
        <f>TEXT(Data!B16,"MMM-YYYY")</f>
        <v>Apr-2023</v>
      </c>
      <c r="C16" s="4" t="str">
        <f t="shared" si="3"/>
        <v>Mar-2024</v>
      </c>
      <c r="D16" s="14">
        <f t="shared" si="4"/>
        <v>45376</v>
      </c>
      <c r="E16" s="4" t="str">
        <f t="shared" si="0"/>
        <v>Q1-2024</v>
      </c>
      <c r="F16" t="s">
        <v>52</v>
      </c>
      <c r="G16" t="s">
        <v>73</v>
      </c>
      <c r="H16" t="s">
        <v>87</v>
      </c>
      <c r="I16" t="s">
        <v>81</v>
      </c>
      <c r="J16" s="8" t="str">
        <f t="shared" si="1"/>
        <v>High</v>
      </c>
      <c r="K16" s="4">
        <v>631.57000000000005</v>
      </c>
      <c r="L16" s="4">
        <v>631.57000000000005</v>
      </c>
      <c r="M16" s="4">
        <v>0</v>
      </c>
      <c r="N16" s="4">
        <v>12</v>
      </c>
      <c r="O16" s="4">
        <f t="shared" si="2"/>
        <v>18971.64</v>
      </c>
    </row>
    <row r="17" spans="1:15" x14ac:dyDescent="0.3">
      <c r="A17" s="13">
        <v>45377</v>
      </c>
      <c r="B17" s="4" t="str">
        <f>TEXT(Data!B17,"MMM-YYYY")</f>
        <v>Dec-2024</v>
      </c>
      <c r="C17" s="4" t="str">
        <f t="shared" si="3"/>
        <v>Mar-2024</v>
      </c>
      <c r="D17" s="14">
        <f t="shared" si="4"/>
        <v>45377</v>
      </c>
      <c r="E17" s="4" t="str">
        <f t="shared" si="0"/>
        <v>Q1-2024</v>
      </c>
      <c r="F17" t="s">
        <v>16</v>
      </c>
      <c r="G17" t="s">
        <v>17</v>
      </c>
      <c r="H17" t="s">
        <v>33</v>
      </c>
      <c r="I17" t="s">
        <v>57</v>
      </c>
      <c r="J17" s="8" t="str">
        <f t="shared" si="1"/>
        <v>High</v>
      </c>
      <c r="K17" s="4">
        <v>850.8</v>
      </c>
      <c r="L17" s="4">
        <v>850.8</v>
      </c>
      <c r="M17" s="4">
        <v>7.3999999999999996E-2</v>
      </c>
      <c r="N17" s="4">
        <v>9</v>
      </c>
      <c r="O17" s="4">
        <f t="shared" si="2"/>
        <v>14666.089860000002</v>
      </c>
    </row>
    <row r="18" spans="1:15" x14ac:dyDescent="0.3">
      <c r="A18" s="13">
        <v>45378</v>
      </c>
      <c r="B18" s="4" t="str">
        <f>TEXT(Data!B18,"MMM-YYYY")</f>
        <v>Sept-2025</v>
      </c>
      <c r="C18" s="4" t="str">
        <f t="shared" si="3"/>
        <v>Mar-2024</v>
      </c>
      <c r="D18" s="14">
        <f t="shared" si="4"/>
        <v>45378</v>
      </c>
      <c r="E18" s="4" t="str">
        <f t="shared" si="0"/>
        <v>Q1-2024</v>
      </c>
      <c r="F18" t="s">
        <v>78</v>
      </c>
      <c r="G18" t="s">
        <v>90</v>
      </c>
      <c r="H18" t="s">
        <v>91</v>
      </c>
      <c r="I18" t="s">
        <v>30</v>
      </c>
      <c r="J18" s="8" t="str">
        <f t="shared" si="1"/>
        <v>High</v>
      </c>
      <c r="K18" s="4">
        <v>1040.0999999999999</v>
      </c>
      <c r="L18" s="4">
        <v>1040.0999999999999</v>
      </c>
      <c r="M18" s="4">
        <v>0.109</v>
      </c>
      <c r="N18" s="4">
        <v>28</v>
      </c>
      <c r="O18" s="4">
        <f t="shared" si="2"/>
        <v>79945.865999999995</v>
      </c>
    </row>
    <row r="19" spans="1:15" x14ac:dyDescent="0.3">
      <c r="A19" s="13">
        <v>45379</v>
      </c>
      <c r="B19" s="4" t="str">
        <f>TEXT(Data!B19,"MMM-YYYY")</f>
        <v>Jul-2025</v>
      </c>
      <c r="C19" s="4" t="str">
        <f t="shared" si="3"/>
        <v>Mar-2024</v>
      </c>
      <c r="D19" s="14">
        <f t="shared" si="4"/>
        <v>45379</v>
      </c>
      <c r="E19" s="4" t="str">
        <f t="shared" si="0"/>
        <v>Q1-2024</v>
      </c>
      <c r="F19" t="s">
        <v>45</v>
      </c>
      <c r="G19" t="s">
        <v>46</v>
      </c>
      <c r="H19" t="s">
        <v>47</v>
      </c>
      <c r="I19" t="s">
        <v>42</v>
      </c>
      <c r="J19" s="8" t="str">
        <f t="shared" si="1"/>
        <v>High</v>
      </c>
      <c r="K19" s="4">
        <v>2705.57</v>
      </c>
      <c r="L19" s="4">
        <v>2705.57</v>
      </c>
      <c r="M19" s="4">
        <v>0.183</v>
      </c>
      <c r="N19" s="4">
        <v>16</v>
      </c>
      <c r="O19" s="4">
        <f t="shared" si="2"/>
        <v>14842.34096</v>
      </c>
    </row>
    <row r="20" spans="1:15" x14ac:dyDescent="0.3">
      <c r="A20" s="13">
        <v>45380</v>
      </c>
      <c r="B20" s="4" t="str">
        <f>TEXT(Data!B20,"MMM-YYYY")</f>
        <v>May-2025</v>
      </c>
      <c r="C20" s="4" t="str">
        <f t="shared" si="3"/>
        <v>Mar-2024</v>
      </c>
      <c r="D20" s="14">
        <f t="shared" si="4"/>
        <v>45380</v>
      </c>
      <c r="E20" s="4" t="str">
        <f t="shared" si="0"/>
        <v>Q1-2024</v>
      </c>
      <c r="F20" t="s">
        <v>52</v>
      </c>
      <c r="G20" t="s">
        <v>73</v>
      </c>
      <c r="H20" t="s">
        <v>87</v>
      </c>
      <c r="I20" t="s">
        <v>81</v>
      </c>
      <c r="J20" s="8" t="str">
        <f t="shared" si="1"/>
        <v>High</v>
      </c>
      <c r="K20" s="4">
        <v>2375.37</v>
      </c>
      <c r="L20" s="4">
        <v>2375.37</v>
      </c>
      <c r="M20" s="4">
        <v>0.109</v>
      </c>
      <c r="N20" s="4">
        <v>18</v>
      </c>
      <c r="O20" s="4">
        <f t="shared" si="2"/>
        <v>15979.62168</v>
      </c>
    </row>
    <row r="21" spans="1:15" x14ac:dyDescent="0.3">
      <c r="A21" s="13">
        <v>45381</v>
      </c>
      <c r="B21" s="4" t="str">
        <f>TEXT(Data!B21,"MMM-YYYY")</f>
        <v>Jul-2024</v>
      </c>
      <c r="C21" s="4" t="str">
        <f t="shared" si="3"/>
        <v>Mar-2024</v>
      </c>
      <c r="D21" s="14">
        <f t="shared" si="4"/>
        <v>45381</v>
      </c>
      <c r="E21" s="4" t="str">
        <f t="shared" si="0"/>
        <v>Q1-2024</v>
      </c>
      <c r="F21" t="s">
        <v>78</v>
      </c>
      <c r="G21" t="s">
        <v>108</v>
      </c>
      <c r="H21" t="s">
        <v>109</v>
      </c>
      <c r="I21" t="s">
        <v>57</v>
      </c>
      <c r="J21" s="8" t="str">
        <f t="shared" si="1"/>
        <v>High</v>
      </c>
      <c r="K21" s="4">
        <v>2148.14</v>
      </c>
      <c r="L21" s="4">
        <v>2148.14</v>
      </c>
      <c r="M21" s="4">
        <v>3.7999999999999999E-2</v>
      </c>
      <c r="N21" s="4">
        <v>19</v>
      </c>
      <c r="O21" s="4">
        <f t="shared" si="2"/>
        <v>25535.279900000001</v>
      </c>
    </row>
    <row r="22" spans="1:15" x14ac:dyDescent="0.3">
      <c r="A22" s="13">
        <v>45382</v>
      </c>
      <c r="B22" s="4" t="str">
        <f>TEXT(Data!B22,"MMM-YYYY")</f>
        <v>May-2023</v>
      </c>
      <c r="C22" s="4" t="str">
        <f t="shared" si="3"/>
        <v>Mar-2024</v>
      </c>
      <c r="D22" s="14">
        <f t="shared" si="4"/>
        <v>45382</v>
      </c>
      <c r="E22" s="4" t="str">
        <f t="shared" si="0"/>
        <v>Q1-2024</v>
      </c>
      <c r="F22" t="s">
        <v>16</v>
      </c>
      <c r="G22" t="s">
        <v>17</v>
      </c>
      <c r="H22" t="s">
        <v>113</v>
      </c>
      <c r="I22" t="s">
        <v>57</v>
      </c>
      <c r="J22" s="8" t="str">
        <f t="shared" si="1"/>
        <v>High</v>
      </c>
      <c r="K22" s="4">
        <v>3661.07</v>
      </c>
      <c r="L22" s="4">
        <v>3661.07</v>
      </c>
      <c r="M22" s="4">
        <v>7.1999999999999995E-2</v>
      </c>
      <c r="N22" s="4">
        <v>7</v>
      </c>
      <c r="O22" s="4">
        <f t="shared" si="2"/>
        <v>3565.5894400000002</v>
      </c>
    </row>
    <row r="23" spans="1:15" x14ac:dyDescent="0.3">
      <c r="A23" s="13">
        <v>45383</v>
      </c>
      <c r="B23" s="4" t="str">
        <f>TEXT(Data!B23,"MMM-YYYY")</f>
        <v>Jun-2025</v>
      </c>
      <c r="C23" s="4" t="str">
        <f t="shared" si="3"/>
        <v>Apr-2024</v>
      </c>
      <c r="D23" s="14">
        <f t="shared" si="4"/>
        <v>45383</v>
      </c>
      <c r="E23" s="4" t="str">
        <f t="shared" si="0"/>
        <v>Q2-2024</v>
      </c>
      <c r="F23" t="s">
        <v>45</v>
      </c>
      <c r="G23" t="s">
        <v>116</v>
      </c>
      <c r="H23" t="s">
        <v>117</v>
      </c>
      <c r="I23" t="s">
        <v>35</v>
      </c>
      <c r="J23" s="8" t="str">
        <f t="shared" si="1"/>
        <v>High</v>
      </c>
      <c r="K23" s="4">
        <v>2903.09</v>
      </c>
      <c r="L23" s="4">
        <v>2903.09</v>
      </c>
      <c r="M23" s="4">
        <v>0.14299999999999999</v>
      </c>
      <c r="N23" s="4">
        <v>8</v>
      </c>
      <c r="O23" s="4">
        <f t="shared" si="2"/>
        <v>24160.543999999998</v>
      </c>
    </row>
    <row r="24" spans="1:15" x14ac:dyDescent="0.3">
      <c r="A24" s="13">
        <v>45384</v>
      </c>
      <c r="B24" s="4" t="str">
        <f>TEXT(Data!B24,"MMM-YYYY")</f>
        <v>May-2024</v>
      </c>
      <c r="C24" s="4" t="str">
        <f t="shared" si="3"/>
        <v>Apr-2024</v>
      </c>
      <c r="D24" s="14">
        <f t="shared" si="4"/>
        <v>45384</v>
      </c>
      <c r="E24" s="4" t="str">
        <f t="shared" si="0"/>
        <v>Q2-2024</v>
      </c>
      <c r="F24" t="s">
        <v>16</v>
      </c>
      <c r="G24" t="s">
        <v>25</v>
      </c>
      <c r="H24" t="s">
        <v>26</v>
      </c>
      <c r="I24" t="s">
        <v>81</v>
      </c>
      <c r="J24" s="8" t="str">
        <f t="shared" si="1"/>
        <v>High</v>
      </c>
      <c r="K24" s="4">
        <v>1242.8399999999999</v>
      </c>
      <c r="L24" s="4">
        <v>1242.8399999999999</v>
      </c>
      <c r="M24" s="4">
        <v>0.12</v>
      </c>
      <c r="N24" s="4">
        <v>10</v>
      </c>
      <c r="O24" s="4">
        <f t="shared" si="2"/>
        <v>16065.367999999999</v>
      </c>
    </row>
    <row r="25" spans="1:15" x14ac:dyDescent="0.3">
      <c r="A25" s="13">
        <v>45385</v>
      </c>
      <c r="B25" s="4" t="str">
        <f>TEXT(Data!B25,"MMM-YYYY")</f>
        <v>Feb-2023</v>
      </c>
      <c r="C25" s="4" t="str">
        <f t="shared" si="3"/>
        <v>Apr-2024</v>
      </c>
      <c r="D25" s="14">
        <f t="shared" si="4"/>
        <v>45385</v>
      </c>
      <c r="E25" s="4" t="str">
        <f t="shared" si="0"/>
        <v>Q2-2024</v>
      </c>
      <c r="F25" t="s">
        <v>52</v>
      </c>
      <c r="G25" t="s">
        <v>122</v>
      </c>
      <c r="H25" t="s">
        <v>123</v>
      </c>
      <c r="I25" t="s">
        <v>57</v>
      </c>
      <c r="J25" s="8" t="str">
        <f t="shared" si="1"/>
        <v>High</v>
      </c>
      <c r="K25" s="4">
        <v>2553.69</v>
      </c>
      <c r="L25" s="4">
        <v>2553.69</v>
      </c>
      <c r="M25" s="4">
        <v>0.01</v>
      </c>
      <c r="N25" s="4">
        <v>8</v>
      </c>
      <c r="O25" s="4">
        <f t="shared" si="2"/>
        <v>14187.650399999999</v>
      </c>
    </row>
    <row r="26" spans="1:15" x14ac:dyDescent="0.3">
      <c r="A26" s="13">
        <v>45386</v>
      </c>
      <c r="B26" s="4" t="str">
        <f>TEXT(Data!B26,"MMM-YYYY")</f>
        <v>Jun-2024</v>
      </c>
      <c r="C26" s="4" t="str">
        <f t="shared" si="3"/>
        <v>Apr-2024</v>
      </c>
      <c r="D26" s="14">
        <f t="shared" si="4"/>
        <v>45386</v>
      </c>
      <c r="E26" s="4" t="str">
        <f t="shared" si="0"/>
        <v>Q2-2024</v>
      </c>
      <c r="F26" t="s">
        <v>52</v>
      </c>
      <c r="G26" t="s">
        <v>73</v>
      </c>
      <c r="H26" t="s">
        <v>74</v>
      </c>
      <c r="I26" t="s">
        <v>22</v>
      </c>
      <c r="J26" s="8" t="str">
        <f t="shared" si="1"/>
        <v>High</v>
      </c>
      <c r="K26" s="4">
        <v>2089.16</v>
      </c>
      <c r="L26" s="4">
        <v>2089.16</v>
      </c>
      <c r="M26" s="4">
        <v>7.0000000000000001E-3</v>
      </c>
      <c r="N26" s="4">
        <v>12</v>
      </c>
      <c r="O26" s="4">
        <f t="shared" si="2"/>
        <v>31336.100999999999</v>
      </c>
    </row>
    <row r="27" spans="1:15" x14ac:dyDescent="0.3">
      <c r="A27" s="13">
        <v>45387</v>
      </c>
      <c r="B27" s="4" t="str">
        <f>TEXT(Data!B27,"MMM-YYYY")</f>
        <v>Nov-2024</v>
      </c>
      <c r="C27" s="4" t="str">
        <f t="shared" si="3"/>
        <v>Apr-2024</v>
      </c>
      <c r="D27" s="14">
        <f t="shared" si="4"/>
        <v>45387</v>
      </c>
      <c r="E27" s="4" t="str">
        <f t="shared" si="0"/>
        <v>Q2-2024</v>
      </c>
      <c r="F27" t="s">
        <v>52</v>
      </c>
      <c r="G27" t="s">
        <v>73</v>
      </c>
      <c r="H27" t="s">
        <v>87</v>
      </c>
      <c r="I27" t="s">
        <v>81</v>
      </c>
      <c r="J27" s="8" t="str">
        <f t="shared" si="1"/>
        <v>High</v>
      </c>
      <c r="K27" s="4">
        <v>2583.02</v>
      </c>
      <c r="L27" s="4">
        <v>2583.02</v>
      </c>
      <c r="M27" s="4">
        <v>0.16800000000000001</v>
      </c>
      <c r="N27" s="4">
        <v>4</v>
      </c>
      <c r="O27" s="4">
        <f t="shared" si="2"/>
        <v>353.76639999999998</v>
      </c>
    </row>
    <row r="28" spans="1:15" x14ac:dyDescent="0.3">
      <c r="A28" s="13">
        <v>45388</v>
      </c>
      <c r="B28" s="4" t="str">
        <f>TEXT(Data!B28,"MMM-YYYY")</f>
        <v>Jul-2024</v>
      </c>
      <c r="C28" s="4" t="str">
        <f t="shared" si="3"/>
        <v>Apr-2024</v>
      </c>
      <c r="D28" s="14">
        <f t="shared" si="4"/>
        <v>45388</v>
      </c>
      <c r="E28" s="4" t="str">
        <f t="shared" si="0"/>
        <v>Q2-2024</v>
      </c>
      <c r="F28" t="s">
        <v>78</v>
      </c>
      <c r="G28" t="s">
        <v>90</v>
      </c>
      <c r="H28" t="s">
        <v>91</v>
      </c>
      <c r="I28" t="s">
        <v>30</v>
      </c>
      <c r="J28" s="8" t="str">
        <f t="shared" si="1"/>
        <v>Medium</v>
      </c>
      <c r="K28" s="4">
        <v>175.67</v>
      </c>
      <c r="L28" s="4">
        <v>175.67</v>
      </c>
      <c r="M28" s="4">
        <v>0</v>
      </c>
      <c r="N28" s="4">
        <v>10</v>
      </c>
      <c r="O28" s="4">
        <f t="shared" si="2"/>
        <v>3857.2000000000003</v>
      </c>
    </row>
    <row r="29" spans="1:15" x14ac:dyDescent="0.3">
      <c r="A29" s="13">
        <v>45389</v>
      </c>
      <c r="B29" s="4" t="str">
        <f>TEXT(Data!B29,"MMM-YYYY")</f>
        <v>Apr-2023</v>
      </c>
      <c r="C29" s="4" t="str">
        <f t="shared" si="3"/>
        <v>Apr-2024</v>
      </c>
      <c r="D29" s="14">
        <f t="shared" si="4"/>
        <v>45389</v>
      </c>
      <c r="E29" s="4" t="str">
        <f t="shared" si="0"/>
        <v>Q2-2024</v>
      </c>
      <c r="F29" t="s">
        <v>16</v>
      </c>
      <c r="G29" t="s">
        <v>17</v>
      </c>
      <c r="H29" t="s">
        <v>18</v>
      </c>
      <c r="I29" t="s">
        <v>42</v>
      </c>
      <c r="J29" s="8" t="str">
        <f t="shared" si="1"/>
        <v>High</v>
      </c>
      <c r="K29" s="4">
        <v>758.23</v>
      </c>
      <c r="L29" s="4">
        <v>758.23</v>
      </c>
      <c r="M29" s="4">
        <v>0.125</v>
      </c>
      <c r="N29" s="4">
        <v>6</v>
      </c>
      <c r="O29" s="4">
        <f t="shared" si="2"/>
        <v>1243.5675000000001</v>
      </c>
    </row>
    <row r="30" spans="1:15" x14ac:dyDescent="0.3">
      <c r="A30" s="13">
        <v>45390</v>
      </c>
      <c r="B30" s="4" t="str">
        <f>TEXT(Data!B30,"MMM-YYYY")</f>
        <v>Apr-2025</v>
      </c>
      <c r="C30" s="4" t="str">
        <f t="shared" si="3"/>
        <v>Apr-2024</v>
      </c>
      <c r="D30" s="14">
        <f t="shared" si="4"/>
        <v>45390</v>
      </c>
      <c r="E30" s="4" t="str">
        <f t="shared" si="0"/>
        <v>Q2-2024</v>
      </c>
      <c r="F30" t="s">
        <v>16</v>
      </c>
      <c r="G30" t="s">
        <v>17</v>
      </c>
      <c r="H30" t="s">
        <v>135</v>
      </c>
      <c r="I30" t="s">
        <v>42</v>
      </c>
      <c r="J30" s="8" t="str">
        <f t="shared" si="1"/>
        <v>High</v>
      </c>
      <c r="K30" s="4">
        <v>434.8</v>
      </c>
      <c r="L30" s="4">
        <v>434.8</v>
      </c>
      <c r="M30" s="4">
        <v>0</v>
      </c>
      <c r="N30" s="4">
        <v>9</v>
      </c>
      <c r="O30" s="4">
        <f t="shared" si="2"/>
        <v>377.09999999999997</v>
      </c>
    </row>
    <row r="31" spans="1:15" x14ac:dyDescent="0.3">
      <c r="A31" s="13">
        <v>45391</v>
      </c>
      <c r="B31" s="4" t="str">
        <f>TEXT(Data!B31,"MMM-YYYY")</f>
        <v>Dec-2024</v>
      </c>
      <c r="C31" s="4" t="str">
        <f t="shared" si="3"/>
        <v>Apr-2024</v>
      </c>
      <c r="D31" s="14">
        <f t="shared" si="4"/>
        <v>45391</v>
      </c>
      <c r="E31" s="4" t="str">
        <f t="shared" si="0"/>
        <v>Q2-2024</v>
      </c>
      <c r="F31" t="s">
        <v>78</v>
      </c>
      <c r="G31" t="s">
        <v>90</v>
      </c>
      <c r="H31" t="s">
        <v>138</v>
      </c>
      <c r="I31" t="s">
        <v>35</v>
      </c>
      <c r="J31" s="8" t="str">
        <f t="shared" si="1"/>
        <v>High</v>
      </c>
      <c r="K31" s="4">
        <v>1666.18</v>
      </c>
      <c r="L31" s="4">
        <v>1666.18</v>
      </c>
      <c r="M31" s="4">
        <v>0.13900000000000001</v>
      </c>
      <c r="N31" s="4">
        <v>14</v>
      </c>
      <c r="O31" s="4">
        <f t="shared" si="2"/>
        <v>11781.338519999999</v>
      </c>
    </row>
    <row r="32" spans="1:15" x14ac:dyDescent="0.3">
      <c r="A32" s="13">
        <v>45392</v>
      </c>
      <c r="B32" s="4" t="str">
        <f>TEXT(Data!B32,"MMM-YYYY")</f>
        <v>Feb-2023</v>
      </c>
      <c r="C32" s="4" t="str">
        <f t="shared" si="3"/>
        <v>Apr-2024</v>
      </c>
      <c r="D32" s="14">
        <f t="shared" si="4"/>
        <v>45392</v>
      </c>
      <c r="E32" s="4" t="str">
        <f t="shared" si="0"/>
        <v>Q2-2024</v>
      </c>
      <c r="F32" t="s">
        <v>45</v>
      </c>
      <c r="G32" t="s">
        <v>60</v>
      </c>
      <c r="H32" t="s">
        <v>141</v>
      </c>
      <c r="I32" t="s">
        <v>22</v>
      </c>
      <c r="J32" s="8" t="str">
        <f t="shared" si="1"/>
        <v>High</v>
      </c>
      <c r="K32" s="4">
        <v>631.78</v>
      </c>
      <c r="L32" s="4">
        <v>631.78</v>
      </c>
      <c r="M32" s="4">
        <v>8.6999999999999994E-2</v>
      </c>
      <c r="N32" s="4">
        <v>17</v>
      </c>
      <c r="O32" s="4">
        <f t="shared" si="2"/>
        <v>43367.691729999999</v>
      </c>
    </row>
    <row r="33" spans="1:15" x14ac:dyDescent="0.3">
      <c r="A33" s="13">
        <v>45393</v>
      </c>
      <c r="B33" s="4" t="str">
        <f>TEXT(Data!B33,"MMM-YYYY")</f>
        <v>Jul-2025</v>
      </c>
      <c r="C33" s="4" t="str">
        <f t="shared" si="3"/>
        <v>Apr-2024</v>
      </c>
      <c r="D33" s="14">
        <f t="shared" si="4"/>
        <v>45393</v>
      </c>
      <c r="E33" s="4" t="str">
        <f t="shared" si="0"/>
        <v>Q2-2024</v>
      </c>
      <c r="F33" t="s">
        <v>52</v>
      </c>
      <c r="G33" t="s">
        <v>53</v>
      </c>
      <c r="H33" t="s">
        <v>144</v>
      </c>
      <c r="I33" t="s">
        <v>42</v>
      </c>
      <c r="J33" s="8" t="str">
        <f t="shared" si="1"/>
        <v>High</v>
      </c>
      <c r="K33" s="4">
        <v>1794.07</v>
      </c>
      <c r="L33" s="4">
        <v>1794.07</v>
      </c>
      <c r="M33" s="4">
        <v>8.8999999999999996E-2</v>
      </c>
      <c r="N33" s="4">
        <v>16</v>
      </c>
      <c r="O33" s="4">
        <f t="shared" si="2"/>
        <v>10231.623200000002</v>
      </c>
    </row>
    <row r="34" spans="1:15" x14ac:dyDescent="0.3">
      <c r="A34" s="13">
        <v>45394</v>
      </c>
      <c r="B34" s="4" t="str">
        <f>TEXT(Data!B34,"MMM-YYYY")</f>
        <v>Apr-2024</v>
      </c>
      <c r="C34" s="4" t="str">
        <f t="shared" si="3"/>
        <v>Apr-2024</v>
      </c>
      <c r="D34" s="14">
        <f t="shared" si="4"/>
        <v>45394</v>
      </c>
      <c r="E34" s="4" t="str">
        <f t="shared" si="0"/>
        <v>Q2-2024</v>
      </c>
      <c r="F34" t="s">
        <v>16</v>
      </c>
      <c r="G34" t="s">
        <v>148</v>
      </c>
      <c r="H34" t="s">
        <v>149</v>
      </c>
      <c r="I34" t="s">
        <v>35</v>
      </c>
      <c r="J34" s="8" t="str">
        <f t="shared" si="1"/>
        <v>High</v>
      </c>
      <c r="K34" s="4">
        <v>2633.02</v>
      </c>
      <c r="L34" s="4">
        <v>2633.02</v>
      </c>
      <c r="M34" s="4">
        <v>8.4000000000000005E-2</v>
      </c>
      <c r="N34" s="4">
        <v>4</v>
      </c>
      <c r="O34" s="4">
        <f t="shared" si="2"/>
        <v>-19.309279999999998</v>
      </c>
    </row>
    <row r="35" spans="1:15" x14ac:dyDescent="0.3">
      <c r="A35" s="13">
        <v>45395</v>
      </c>
      <c r="B35" s="4" t="str">
        <f>TEXT(Data!B35,"MMM-YYYY")</f>
        <v>Aug-2024</v>
      </c>
      <c r="C35" s="4" t="str">
        <f t="shared" si="3"/>
        <v>Apr-2024</v>
      </c>
      <c r="D35" s="14">
        <f t="shared" si="4"/>
        <v>45395</v>
      </c>
      <c r="E35" s="4" t="str">
        <f t="shared" si="0"/>
        <v>Q2-2024</v>
      </c>
      <c r="F35" t="s">
        <v>78</v>
      </c>
      <c r="G35" t="s">
        <v>108</v>
      </c>
      <c r="H35" t="s">
        <v>152</v>
      </c>
      <c r="I35" t="s">
        <v>57</v>
      </c>
      <c r="J35" s="8" t="str">
        <f t="shared" si="1"/>
        <v>High</v>
      </c>
      <c r="K35" s="4">
        <v>1321.85</v>
      </c>
      <c r="L35" s="4">
        <v>1321.85</v>
      </c>
      <c r="M35" s="4">
        <v>0</v>
      </c>
      <c r="N35" s="4">
        <v>10</v>
      </c>
      <c r="O35" s="4">
        <f t="shared" si="2"/>
        <v>14370.599999999999</v>
      </c>
    </row>
    <row r="36" spans="1:15" x14ac:dyDescent="0.3">
      <c r="A36" s="13">
        <v>45396</v>
      </c>
      <c r="B36" s="4" t="str">
        <f>TEXT(Data!B36,"MMM-YYYY")</f>
        <v>Mar-2023</v>
      </c>
      <c r="C36" s="4" t="str">
        <f t="shared" si="3"/>
        <v>Apr-2024</v>
      </c>
      <c r="D36" s="14">
        <f t="shared" si="4"/>
        <v>45396</v>
      </c>
      <c r="E36" s="4" t="str">
        <f t="shared" si="0"/>
        <v>Q2-2024</v>
      </c>
      <c r="F36" t="s">
        <v>16</v>
      </c>
      <c r="G36" t="s">
        <v>148</v>
      </c>
      <c r="H36" t="s">
        <v>149</v>
      </c>
      <c r="I36" t="s">
        <v>22</v>
      </c>
      <c r="J36" s="8" t="str">
        <f t="shared" si="1"/>
        <v>High</v>
      </c>
      <c r="K36" s="4">
        <v>3036.87</v>
      </c>
      <c r="L36" s="4">
        <v>3036.87</v>
      </c>
      <c r="M36" s="4">
        <v>0</v>
      </c>
      <c r="N36" s="4">
        <v>9</v>
      </c>
      <c r="O36" s="4">
        <f t="shared" si="2"/>
        <v>17207.010000000002</v>
      </c>
    </row>
    <row r="37" spans="1:15" x14ac:dyDescent="0.3">
      <c r="A37" s="13">
        <v>45397</v>
      </c>
      <c r="B37" s="4" t="str">
        <f>TEXT(Data!B37,"MMM-YYYY")</f>
        <v>Mar-2024</v>
      </c>
      <c r="C37" s="4" t="str">
        <f t="shared" si="3"/>
        <v>Apr-2024</v>
      </c>
      <c r="D37" s="14">
        <f t="shared" si="4"/>
        <v>45397</v>
      </c>
      <c r="E37" s="4" t="str">
        <f t="shared" si="0"/>
        <v>Q2-2024</v>
      </c>
      <c r="F37" t="s">
        <v>45</v>
      </c>
      <c r="G37" t="s">
        <v>60</v>
      </c>
      <c r="H37" t="s">
        <v>141</v>
      </c>
      <c r="I37" t="s">
        <v>30</v>
      </c>
      <c r="J37" s="8" t="str">
        <f t="shared" si="1"/>
        <v>Medium</v>
      </c>
      <c r="K37" s="4">
        <v>199.37</v>
      </c>
      <c r="L37" s="4">
        <v>199.37</v>
      </c>
      <c r="M37" s="4">
        <v>0.10100000000000001</v>
      </c>
      <c r="N37" s="4">
        <v>37</v>
      </c>
      <c r="O37" s="4">
        <f t="shared" si="2"/>
        <v>86276.904139999999</v>
      </c>
    </row>
    <row r="38" spans="1:15" x14ac:dyDescent="0.3">
      <c r="A38" s="13">
        <v>45398</v>
      </c>
      <c r="B38" s="4" t="str">
        <f>TEXT(Data!B38,"MMM-YYYY")</f>
        <v>Jun-2025</v>
      </c>
      <c r="C38" s="4" t="str">
        <f t="shared" si="3"/>
        <v>Apr-2024</v>
      </c>
      <c r="D38" s="14">
        <f t="shared" si="4"/>
        <v>45398</v>
      </c>
      <c r="E38" s="4" t="str">
        <f t="shared" si="0"/>
        <v>Q2-2024</v>
      </c>
      <c r="F38" t="s">
        <v>78</v>
      </c>
      <c r="G38" t="s">
        <v>79</v>
      </c>
      <c r="H38" t="s">
        <v>159</v>
      </c>
      <c r="I38" t="s">
        <v>22</v>
      </c>
      <c r="J38" s="8" t="str">
        <f t="shared" si="1"/>
        <v>High</v>
      </c>
      <c r="K38" s="4">
        <v>927.51</v>
      </c>
      <c r="L38" s="4">
        <v>927.51</v>
      </c>
      <c r="M38" s="4">
        <v>0.24299999999999999</v>
      </c>
      <c r="N38" s="4">
        <v>27</v>
      </c>
      <c r="O38" s="4">
        <f t="shared" si="2"/>
        <v>25427.751119999997</v>
      </c>
    </row>
    <row r="39" spans="1:15" x14ac:dyDescent="0.3">
      <c r="A39" s="13">
        <v>45399</v>
      </c>
      <c r="B39" s="4" t="str">
        <f>TEXT(Data!B39,"MMM-YYYY")</f>
        <v>Apr-2024</v>
      </c>
      <c r="C39" s="4" t="str">
        <f t="shared" si="3"/>
        <v>Apr-2024</v>
      </c>
      <c r="D39" s="14">
        <f t="shared" si="4"/>
        <v>45399</v>
      </c>
      <c r="E39" s="4" t="str">
        <f t="shared" si="0"/>
        <v>Q2-2024</v>
      </c>
      <c r="F39" t="s">
        <v>45</v>
      </c>
      <c r="G39" t="s">
        <v>116</v>
      </c>
      <c r="H39" t="s">
        <v>162</v>
      </c>
      <c r="I39" t="s">
        <v>22</v>
      </c>
      <c r="J39" s="8" t="str">
        <f t="shared" si="1"/>
        <v>High</v>
      </c>
      <c r="K39" s="4">
        <v>1735.41</v>
      </c>
      <c r="L39" s="4">
        <v>1735.41</v>
      </c>
      <c r="M39" s="4">
        <v>0.13600000000000001</v>
      </c>
      <c r="N39" s="4">
        <v>8</v>
      </c>
      <c r="O39" s="4">
        <f t="shared" si="2"/>
        <v>13219.269119999999</v>
      </c>
    </row>
    <row r="40" spans="1:15" x14ac:dyDescent="0.3">
      <c r="A40" s="13">
        <v>45400</v>
      </c>
      <c r="B40" s="4" t="str">
        <f>TEXT(Data!B40,"MMM-YYYY")</f>
        <v>Jun-2023</v>
      </c>
      <c r="C40" s="4" t="str">
        <f t="shared" si="3"/>
        <v>Apr-2024</v>
      </c>
      <c r="D40" s="14">
        <f t="shared" si="4"/>
        <v>45400</v>
      </c>
      <c r="E40" s="4" t="str">
        <f t="shared" si="0"/>
        <v>Q2-2024</v>
      </c>
      <c r="F40" t="s">
        <v>16</v>
      </c>
      <c r="G40" t="s">
        <v>25</v>
      </c>
      <c r="H40" t="s">
        <v>26</v>
      </c>
      <c r="I40" t="s">
        <v>30</v>
      </c>
      <c r="J40" s="8" t="str">
        <f t="shared" si="1"/>
        <v>High</v>
      </c>
      <c r="K40" s="4">
        <v>1395.64</v>
      </c>
      <c r="L40" s="4">
        <v>1395.64</v>
      </c>
      <c r="M40" s="4">
        <v>0.17499999999999999</v>
      </c>
      <c r="N40" s="4">
        <v>13</v>
      </c>
      <c r="O40" s="4">
        <f t="shared" si="2"/>
        <v>8106.7057499999992</v>
      </c>
    </row>
    <row r="41" spans="1:15" x14ac:dyDescent="0.3">
      <c r="A41" s="13">
        <v>45401</v>
      </c>
      <c r="B41" s="4" t="str">
        <f>TEXT(Data!B41,"MMM-YYYY")</f>
        <v>Aug-2024</v>
      </c>
      <c r="C41" s="4" t="str">
        <f t="shared" si="3"/>
        <v>Apr-2024</v>
      </c>
      <c r="D41" s="14">
        <f t="shared" si="4"/>
        <v>45401</v>
      </c>
      <c r="E41" s="4" t="str">
        <f t="shared" si="0"/>
        <v>Q2-2024</v>
      </c>
      <c r="F41" t="s">
        <v>52</v>
      </c>
      <c r="G41" t="s">
        <v>122</v>
      </c>
      <c r="H41" t="s">
        <v>167</v>
      </c>
      <c r="I41" t="s">
        <v>30</v>
      </c>
      <c r="J41" s="8" t="str">
        <f t="shared" si="1"/>
        <v>High</v>
      </c>
      <c r="K41" s="4">
        <v>454.42</v>
      </c>
      <c r="L41" s="4">
        <v>454.42</v>
      </c>
      <c r="M41" s="4">
        <v>0.129</v>
      </c>
      <c r="N41" s="4">
        <v>9</v>
      </c>
      <c r="O41" s="4">
        <f t="shared" si="2"/>
        <v>8980.9071300000014</v>
      </c>
    </row>
    <row r="42" spans="1:15" x14ac:dyDescent="0.3">
      <c r="A42" s="13">
        <v>45402</v>
      </c>
      <c r="B42" s="4" t="str">
        <f>TEXT(Data!B42,"MMM-YYYY")</f>
        <v>Jan-2024</v>
      </c>
      <c r="C42" s="4" t="str">
        <f t="shared" si="3"/>
        <v>Apr-2024</v>
      </c>
      <c r="D42" s="14">
        <f t="shared" si="4"/>
        <v>45402</v>
      </c>
      <c r="E42" s="4" t="str">
        <f t="shared" si="0"/>
        <v>Q2-2024</v>
      </c>
      <c r="F42" t="s">
        <v>78</v>
      </c>
      <c r="G42" t="s">
        <v>79</v>
      </c>
      <c r="H42" t="s">
        <v>80</v>
      </c>
      <c r="I42" t="s">
        <v>64</v>
      </c>
      <c r="J42" s="8" t="str">
        <f t="shared" si="1"/>
        <v>High</v>
      </c>
      <c r="K42" s="4">
        <v>1580.97</v>
      </c>
      <c r="L42" s="4">
        <v>1580.97</v>
      </c>
      <c r="M42" s="4">
        <v>3.6999999999999998E-2</v>
      </c>
      <c r="N42" s="4">
        <v>27</v>
      </c>
      <c r="O42" s="4">
        <f t="shared" si="2"/>
        <v>32087.834099999996</v>
      </c>
    </row>
    <row r="43" spans="1:15" x14ac:dyDescent="0.3">
      <c r="A43" s="13">
        <v>45403</v>
      </c>
      <c r="B43" s="4" t="str">
        <f>TEXT(Data!B43,"MMM-YYYY")</f>
        <v>Oct-2024</v>
      </c>
      <c r="C43" s="4" t="str">
        <f t="shared" si="3"/>
        <v>Apr-2024</v>
      </c>
      <c r="D43" s="14">
        <f t="shared" si="4"/>
        <v>45403</v>
      </c>
      <c r="E43" s="4" t="str">
        <f t="shared" si="0"/>
        <v>Q2-2024</v>
      </c>
      <c r="F43" t="s">
        <v>16</v>
      </c>
      <c r="G43" t="s">
        <v>148</v>
      </c>
      <c r="H43" t="s">
        <v>172</v>
      </c>
      <c r="I43" t="s">
        <v>35</v>
      </c>
      <c r="J43" s="8" t="str">
        <f t="shared" si="1"/>
        <v>High</v>
      </c>
      <c r="K43" s="4">
        <v>1759.79</v>
      </c>
      <c r="L43" s="4">
        <v>1759.79</v>
      </c>
      <c r="M43" s="4">
        <v>0</v>
      </c>
      <c r="N43" s="4">
        <v>6</v>
      </c>
      <c r="O43" s="4">
        <f t="shared" si="2"/>
        <v>7368.0599999999995</v>
      </c>
    </row>
    <row r="44" spans="1:15" x14ac:dyDescent="0.3">
      <c r="A44" s="13">
        <v>45404</v>
      </c>
      <c r="B44" s="4" t="str">
        <f>TEXT(Data!B44,"MMM-YYYY")</f>
        <v>May-2025</v>
      </c>
      <c r="C44" s="4" t="str">
        <f t="shared" si="3"/>
        <v>Apr-2024</v>
      </c>
      <c r="D44" s="14">
        <f t="shared" si="4"/>
        <v>45404</v>
      </c>
      <c r="E44" s="4" t="str">
        <f t="shared" si="0"/>
        <v>Q2-2024</v>
      </c>
      <c r="F44" t="s">
        <v>16</v>
      </c>
      <c r="G44" t="s">
        <v>17</v>
      </c>
      <c r="H44" t="s">
        <v>113</v>
      </c>
      <c r="I44" t="s">
        <v>30</v>
      </c>
      <c r="J44" s="8" t="str">
        <f t="shared" si="1"/>
        <v>High</v>
      </c>
      <c r="K44" s="4">
        <v>3204.5</v>
      </c>
      <c r="L44" s="4">
        <v>3204.5</v>
      </c>
      <c r="M44" s="4">
        <v>0.318</v>
      </c>
      <c r="N44" s="4">
        <v>14</v>
      </c>
      <c r="O44" s="4">
        <f t="shared" si="2"/>
        <v>5778.7360400000007</v>
      </c>
    </row>
    <row r="45" spans="1:15" x14ac:dyDescent="0.3">
      <c r="A45" s="13">
        <v>45405</v>
      </c>
      <c r="B45" s="4" t="str">
        <f>TEXT(Data!B45,"MMM-YYYY")</f>
        <v>May-2024</v>
      </c>
      <c r="C45" s="4" t="str">
        <f t="shared" si="3"/>
        <v>Apr-2024</v>
      </c>
      <c r="D45" s="14">
        <f t="shared" si="4"/>
        <v>45405</v>
      </c>
      <c r="E45" s="4" t="str">
        <f t="shared" si="0"/>
        <v>Q2-2024</v>
      </c>
      <c r="F45" t="s">
        <v>78</v>
      </c>
      <c r="G45" t="s">
        <v>79</v>
      </c>
      <c r="H45" t="s">
        <v>80</v>
      </c>
      <c r="I45" t="s">
        <v>30</v>
      </c>
      <c r="J45" s="8" t="str">
        <f t="shared" si="1"/>
        <v>High</v>
      </c>
      <c r="K45" s="4">
        <v>1135.43</v>
      </c>
      <c r="L45" s="4">
        <v>1135.43</v>
      </c>
      <c r="M45" s="4">
        <v>0.14599999999999999</v>
      </c>
      <c r="N45" s="4">
        <v>11</v>
      </c>
      <c r="O45" s="4">
        <f t="shared" si="2"/>
        <v>17662.129100000002</v>
      </c>
    </row>
    <row r="46" spans="1:15" x14ac:dyDescent="0.3">
      <c r="A46" s="13">
        <v>45406</v>
      </c>
      <c r="B46" s="4" t="str">
        <f>TEXT(Data!B46,"MMM-YYYY")</f>
        <v>Apr-2023</v>
      </c>
      <c r="C46" s="4" t="str">
        <f t="shared" si="3"/>
        <v>Apr-2024</v>
      </c>
      <c r="D46" s="14">
        <f t="shared" si="4"/>
        <v>45406</v>
      </c>
      <c r="E46" s="4" t="str">
        <f t="shared" si="0"/>
        <v>Q2-2024</v>
      </c>
      <c r="F46" t="s">
        <v>52</v>
      </c>
      <c r="G46" t="s">
        <v>53</v>
      </c>
      <c r="H46" t="s">
        <v>179</v>
      </c>
      <c r="I46" t="s">
        <v>22</v>
      </c>
      <c r="J46" s="8" t="str">
        <f t="shared" si="1"/>
        <v>High</v>
      </c>
      <c r="K46" s="4">
        <v>996.36</v>
      </c>
      <c r="L46" s="4">
        <v>996.36</v>
      </c>
      <c r="M46" s="4">
        <v>0.182</v>
      </c>
      <c r="N46" s="4">
        <v>22</v>
      </c>
      <c r="O46" s="4">
        <f t="shared" si="2"/>
        <v>22844.122400000004</v>
      </c>
    </row>
    <row r="47" spans="1:15" x14ac:dyDescent="0.3">
      <c r="A47" s="13">
        <v>45407</v>
      </c>
      <c r="B47" s="4" t="str">
        <f>TEXT(Data!B47,"MMM-YYYY")</f>
        <v>Jun-2023</v>
      </c>
      <c r="C47" s="4" t="str">
        <f t="shared" si="3"/>
        <v>Apr-2024</v>
      </c>
      <c r="D47" s="14">
        <f t="shared" si="4"/>
        <v>45407</v>
      </c>
      <c r="E47" s="4" t="str">
        <f t="shared" si="0"/>
        <v>Q2-2024</v>
      </c>
      <c r="F47" t="s">
        <v>45</v>
      </c>
      <c r="G47" t="s">
        <v>60</v>
      </c>
      <c r="H47" t="s">
        <v>141</v>
      </c>
      <c r="I47" t="s">
        <v>35</v>
      </c>
      <c r="J47" s="8" t="str">
        <f t="shared" si="1"/>
        <v>High</v>
      </c>
      <c r="K47" s="4">
        <v>1397.05</v>
      </c>
      <c r="L47" s="4">
        <v>1397.05</v>
      </c>
      <c r="M47" s="4">
        <v>0.16900000000000001</v>
      </c>
      <c r="N47" s="4">
        <v>28</v>
      </c>
      <c r="O47" s="4">
        <f t="shared" si="2"/>
        <v>14447.799239999997</v>
      </c>
    </row>
    <row r="48" spans="1:15" x14ac:dyDescent="0.3">
      <c r="A48" s="13">
        <v>45408</v>
      </c>
      <c r="B48" s="4" t="str">
        <f>TEXT(Data!B48,"MMM-YYYY")</f>
        <v>May-2024</v>
      </c>
      <c r="C48" s="4" t="str">
        <f t="shared" si="3"/>
        <v>Apr-2024</v>
      </c>
      <c r="D48" s="14">
        <f t="shared" si="4"/>
        <v>45408</v>
      </c>
      <c r="E48" s="4" t="str">
        <f t="shared" si="0"/>
        <v>Q2-2024</v>
      </c>
      <c r="F48" t="s">
        <v>16</v>
      </c>
      <c r="G48" t="s">
        <v>25</v>
      </c>
      <c r="H48" t="s">
        <v>67</v>
      </c>
      <c r="I48" t="s">
        <v>30</v>
      </c>
      <c r="J48" s="8" t="str">
        <f t="shared" si="1"/>
        <v>High</v>
      </c>
      <c r="K48" s="4">
        <v>548.89</v>
      </c>
      <c r="L48" s="4">
        <v>548.89</v>
      </c>
      <c r="M48" s="4">
        <v>0</v>
      </c>
      <c r="N48" s="4">
        <v>13</v>
      </c>
      <c r="O48" s="4">
        <f t="shared" si="2"/>
        <v>18926.830000000002</v>
      </c>
    </row>
    <row r="49" spans="1:15" x14ac:dyDescent="0.3">
      <c r="A49" s="13">
        <v>45409</v>
      </c>
      <c r="B49" s="4" t="str">
        <f>TEXT(Data!B49,"MMM-YYYY")</f>
        <v>Oct-2024</v>
      </c>
      <c r="C49" s="4" t="str">
        <f t="shared" si="3"/>
        <v>Apr-2024</v>
      </c>
      <c r="D49" s="14">
        <f t="shared" si="4"/>
        <v>45409</v>
      </c>
      <c r="E49" s="4" t="str">
        <f t="shared" si="0"/>
        <v>Q2-2024</v>
      </c>
      <c r="F49" t="s">
        <v>78</v>
      </c>
      <c r="G49" t="s">
        <v>108</v>
      </c>
      <c r="H49" t="s">
        <v>109</v>
      </c>
      <c r="I49" t="s">
        <v>35</v>
      </c>
      <c r="J49" s="8" t="str">
        <f t="shared" si="1"/>
        <v>High</v>
      </c>
      <c r="K49" s="4">
        <v>3524</v>
      </c>
      <c r="L49" s="4">
        <v>3524</v>
      </c>
      <c r="M49" s="4">
        <v>0</v>
      </c>
      <c r="N49" s="4">
        <v>31</v>
      </c>
      <c r="O49" s="4">
        <f t="shared" si="2"/>
        <v>16939.329999999998</v>
      </c>
    </row>
    <row r="50" spans="1:15" x14ac:dyDescent="0.3">
      <c r="A50" s="13">
        <v>45410</v>
      </c>
      <c r="B50" s="4" t="str">
        <f>TEXT(Data!B50,"MMM-YYYY")</f>
        <v>Jul-2023</v>
      </c>
      <c r="C50" s="4" t="str">
        <f t="shared" si="3"/>
        <v>Apr-2024</v>
      </c>
      <c r="D50" s="14">
        <f t="shared" si="4"/>
        <v>45410</v>
      </c>
      <c r="E50" s="4" t="str">
        <f t="shared" si="0"/>
        <v>Q2-2024</v>
      </c>
      <c r="F50" t="s">
        <v>16</v>
      </c>
      <c r="G50" t="s">
        <v>25</v>
      </c>
      <c r="H50" t="s">
        <v>38</v>
      </c>
      <c r="I50" t="s">
        <v>35</v>
      </c>
      <c r="J50" s="8" t="str">
        <f t="shared" si="1"/>
        <v>High</v>
      </c>
      <c r="K50" s="4">
        <v>1825.61</v>
      </c>
      <c r="L50" s="4">
        <v>1825.61</v>
      </c>
      <c r="M50" s="4">
        <v>0.187</v>
      </c>
      <c r="N50" s="4">
        <v>24</v>
      </c>
      <c r="O50" s="4">
        <f t="shared" si="2"/>
        <v>26300.615040000001</v>
      </c>
    </row>
    <row r="51" spans="1:15" x14ac:dyDescent="0.3">
      <c r="A51" s="13">
        <v>45411</v>
      </c>
      <c r="B51" s="4" t="str">
        <f>TEXT(Data!B51,"MMM-YYYY")</f>
        <v>Nov-2024</v>
      </c>
      <c r="C51" s="4" t="str">
        <f t="shared" si="3"/>
        <v>Apr-2024</v>
      </c>
      <c r="D51" s="14">
        <f t="shared" si="4"/>
        <v>45411</v>
      </c>
      <c r="E51" s="4" t="str">
        <f t="shared" si="0"/>
        <v>Q2-2024</v>
      </c>
      <c r="F51" t="s">
        <v>78</v>
      </c>
      <c r="G51" t="s">
        <v>90</v>
      </c>
      <c r="H51" t="s">
        <v>91</v>
      </c>
      <c r="I51" t="s">
        <v>30</v>
      </c>
      <c r="J51" s="8" t="str">
        <f t="shared" si="1"/>
        <v>High</v>
      </c>
      <c r="K51" s="4">
        <v>1791.37</v>
      </c>
      <c r="L51" s="4">
        <v>1791.37</v>
      </c>
      <c r="M51" s="4">
        <v>0.126</v>
      </c>
      <c r="N51" s="4">
        <v>22</v>
      </c>
      <c r="O51" s="4">
        <f t="shared" si="2"/>
        <v>21312.892040000002</v>
      </c>
    </row>
    <row r="52" spans="1:15" x14ac:dyDescent="0.3">
      <c r="A52" s="13">
        <v>45412</v>
      </c>
      <c r="B52" s="4" t="str">
        <f>TEXT(Data!B52,"MMM-YYYY")</f>
        <v>Oct-2024</v>
      </c>
      <c r="C52" s="4" t="str">
        <f t="shared" si="3"/>
        <v>Apr-2024</v>
      </c>
      <c r="D52" s="14">
        <f t="shared" si="4"/>
        <v>45412</v>
      </c>
      <c r="E52" s="4" t="str">
        <f t="shared" si="0"/>
        <v>Q2-2024</v>
      </c>
      <c r="F52" t="s">
        <v>52</v>
      </c>
      <c r="G52" t="s">
        <v>53</v>
      </c>
      <c r="H52" t="s">
        <v>54</v>
      </c>
      <c r="I52" t="s">
        <v>81</v>
      </c>
      <c r="J52" s="8" t="str">
        <f t="shared" si="1"/>
        <v>High</v>
      </c>
      <c r="K52" s="4">
        <v>2629.75</v>
      </c>
      <c r="L52" s="4">
        <v>2629.75</v>
      </c>
      <c r="M52" s="4">
        <v>0.29199999999999998</v>
      </c>
      <c r="N52" s="4">
        <v>8</v>
      </c>
      <c r="O52" s="4">
        <f t="shared" si="2"/>
        <v>17808.182399999998</v>
      </c>
    </row>
    <row r="53" spans="1:15" x14ac:dyDescent="0.3">
      <c r="A53" s="13">
        <v>45413</v>
      </c>
      <c r="B53" s="4" t="str">
        <f>TEXT(Data!B53,"MMM-YYYY")</f>
        <v>Mar-2023</v>
      </c>
      <c r="C53" s="4" t="str">
        <f t="shared" si="3"/>
        <v>May-2024</v>
      </c>
      <c r="D53" s="14">
        <f t="shared" si="4"/>
        <v>45413</v>
      </c>
      <c r="E53" s="4" t="str">
        <f t="shared" si="0"/>
        <v>Q2-2024</v>
      </c>
      <c r="F53" t="s">
        <v>45</v>
      </c>
      <c r="G53" t="s">
        <v>60</v>
      </c>
      <c r="H53" t="s">
        <v>61</v>
      </c>
      <c r="I53" t="s">
        <v>64</v>
      </c>
      <c r="J53" s="8" t="str">
        <f t="shared" si="1"/>
        <v>Medium</v>
      </c>
      <c r="K53" s="4">
        <v>106.3</v>
      </c>
      <c r="L53" s="4">
        <v>106.3</v>
      </c>
      <c r="M53" s="4">
        <v>0.29499999999999998</v>
      </c>
      <c r="N53" s="4">
        <v>8</v>
      </c>
      <c r="O53" s="4">
        <f t="shared" si="2"/>
        <v>11819.917200000002</v>
      </c>
    </row>
    <row r="54" spans="1:15" x14ac:dyDescent="0.3">
      <c r="A54" s="13">
        <v>45414</v>
      </c>
      <c r="B54" s="4" t="str">
        <f>TEXT(Data!B54,"MMM-YYYY")</f>
        <v>Jan-2025</v>
      </c>
      <c r="C54" s="4" t="str">
        <f t="shared" si="3"/>
        <v>May-2024</v>
      </c>
      <c r="D54" s="14">
        <f t="shared" si="4"/>
        <v>45414</v>
      </c>
      <c r="E54" s="4" t="str">
        <f t="shared" si="0"/>
        <v>Q2-2024</v>
      </c>
      <c r="F54" t="s">
        <v>16</v>
      </c>
      <c r="G54" t="s">
        <v>17</v>
      </c>
      <c r="H54" t="s">
        <v>135</v>
      </c>
      <c r="I54" t="s">
        <v>57</v>
      </c>
      <c r="J54" s="8" t="str">
        <f t="shared" si="1"/>
        <v>High</v>
      </c>
      <c r="K54" s="4">
        <v>385.72</v>
      </c>
      <c r="L54" s="4">
        <v>385.72</v>
      </c>
      <c r="M54" s="4">
        <v>0</v>
      </c>
      <c r="N54" s="4">
        <v>15</v>
      </c>
      <c r="O54" s="4">
        <f t="shared" si="2"/>
        <v>10554.3</v>
      </c>
    </row>
    <row r="55" spans="1:15" x14ac:dyDescent="0.3">
      <c r="A55" s="13">
        <v>45415</v>
      </c>
      <c r="B55" s="4" t="str">
        <f>TEXT(Data!B55,"MMM-YYYY")</f>
        <v>Aug-2023</v>
      </c>
      <c r="C55" s="4" t="str">
        <f t="shared" si="3"/>
        <v>May-2024</v>
      </c>
      <c r="D55" s="14">
        <f t="shared" si="4"/>
        <v>45415</v>
      </c>
      <c r="E55" s="4" t="str">
        <f t="shared" si="0"/>
        <v>Q2-2024</v>
      </c>
      <c r="F55" t="s">
        <v>78</v>
      </c>
      <c r="G55" t="s">
        <v>90</v>
      </c>
      <c r="H55" t="s">
        <v>138</v>
      </c>
      <c r="I55" t="s">
        <v>57</v>
      </c>
      <c r="J55" s="8" t="str">
        <f t="shared" si="1"/>
        <v>High</v>
      </c>
      <c r="K55" s="4">
        <v>236.87</v>
      </c>
      <c r="L55" s="4">
        <v>236.87</v>
      </c>
      <c r="M55" s="4">
        <v>0.182</v>
      </c>
      <c r="N55" s="4">
        <v>13</v>
      </c>
      <c r="O55" s="4">
        <f t="shared" si="2"/>
        <v>21238.118460000002</v>
      </c>
    </row>
    <row r="56" spans="1:15" x14ac:dyDescent="0.3">
      <c r="A56" s="13">
        <v>45416</v>
      </c>
      <c r="B56" s="4" t="str">
        <f>TEXT(Data!B56,"MMM-YYYY")</f>
        <v>Apr-2025</v>
      </c>
      <c r="C56" s="4" t="str">
        <f t="shared" si="3"/>
        <v>May-2024</v>
      </c>
      <c r="D56" s="14">
        <f t="shared" si="4"/>
        <v>45416</v>
      </c>
      <c r="E56" s="4" t="str">
        <f t="shared" si="0"/>
        <v>Q2-2024</v>
      </c>
      <c r="F56" t="s">
        <v>78</v>
      </c>
      <c r="G56" t="s">
        <v>79</v>
      </c>
      <c r="H56" t="s">
        <v>159</v>
      </c>
      <c r="I56" t="s">
        <v>35</v>
      </c>
      <c r="J56" s="8" t="str">
        <f t="shared" si="1"/>
        <v>Low</v>
      </c>
      <c r="K56" s="4">
        <v>41.9</v>
      </c>
      <c r="L56" s="4">
        <v>41.9</v>
      </c>
      <c r="M56" s="4">
        <v>0.14399999999999999</v>
      </c>
      <c r="N56" s="4">
        <v>6</v>
      </c>
      <c r="O56" s="4">
        <f t="shared" si="2"/>
        <v>14195.647199999998</v>
      </c>
    </row>
    <row r="57" spans="1:15" x14ac:dyDescent="0.3">
      <c r="A57" s="13">
        <v>45417</v>
      </c>
      <c r="B57" s="4" t="str">
        <f>TEXT(Data!B57,"MMM-YYYY")</f>
        <v>Feb-2025</v>
      </c>
      <c r="C57" s="4" t="str">
        <f t="shared" si="3"/>
        <v>May-2024</v>
      </c>
      <c r="D57" s="14">
        <f t="shared" si="4"/>
        <v>45417</v>
      </c>
      <c r="E57" s="4" t="str">
        <f t="shared" si="0"/>
        <v>Q2-2024</v>
      </c>
      <c r="F57" t="s">
        <v>52</v>
      </c>
      <c r="G57" t="s">
        <v>73</v>
      </c>
      <c r="H57" t="s">
        <v>87</v>
      </c>
      <c r="I57" t="s">
        <v>64</v>
      </c>
      <c r="J57" s="8" t="str">
        <f t="shared" si="1"/>
        <v>High</v>
      </c>
      <c r="K57" s="4">
        <v>977.38</v>
      </c>
      <c r="L57" s="4">
        <v>977.38</v>
      </c>
      <c r="M57" s="4">
        <v>0.14699999999999999</v>
      </c>
      <c r="N57" s="4">
        <v>38</v>
      </c>
      <c r="O57" s="4">
        <f t="shared" si="2"/>
        <v>48735.421419999999</v>
      </c>
    </row>
    <row r="58" spans="1:15" x14ac:dyDescent="0.3">
      <c r="A58" s="13">
        <v>45418</v>
      </c>
      <c r="B58" s="4" t="str">
        <f>TEXT(Data!B58,"MMM-YYYY")</f>
        <v>Dec-2024</v>
      </c>
      <c r="C58" s="4" t="str">
        <f t="shared" si="3"/>
        <v>May-2024</v>
      </c>
      <c r="D58" s="14">
        <f t="shared" si="4"/>
        <v>45418</v>
      </c>
      <c r="E58" s="4" t="str">
        <f t="shared" si="0"/>
        <v>Q2-2024</v>
      </c>
      <c r="F58" t="s">
        <v>52</v>
      </c>
      <c r="G58" t="s">
        <v>73</v>
      </c>
      <c r="H58" t="s">
        <v>74</v>
      </c>
      <c r="I58" t="s">
        <v>57</v>
      </c>
      <c r="J58" s="8" t="str">
        <f t="shared" si="1"/>
        <v>High</v>
      </c>
      <c r="K58" s="4">
        <v>2794.13</v>
      </c>
      <c r="L58" s="4">
        <v>2794.13</v>
      </c>
      <c r="M58" s="4">
        <v>3.5000000000000003E-2</v>
      </c>
      <c r="N58" s="4">
        <v>11</v>
      </c>
      <c r="O58" s="4">
        <f t="shared" si="2"/>
        <v>4119.0446000000002</v>
      </c>
    </row>
    <row r="59" spans="1:15" x14ac:dyDescent="0.3">
      <c r="A59" s="13">
        <v>45419</v>
      </c>
      <c r="B59" s="4" t="str">
        <f>TEXT(Data!B59,"MMM-YYYY")</f>
        <v>Jun-2025</v>
      </c>
      <c r="C59" s="4" t="str">
        <f t="shared" si="3"/>
        <v>May-2024</v>
      </c>
      <c r="D59" s="14">
        <f t="shared" si="4"/>
        <v>45419</v>
      </c>
      <c r="E59" s="4" t="str">
        <f t="shared" si="0"/>
        <v>Q2-2024</v>
      </c>
      <c r="F59" t="s">
        <v>78</v>
      </c>
      <c r="G59" t="s">
        <v>79</v>
      </c>
      <c r="H59" t="s">
        <v>159</v>
      </c>
      <c r="I59" t="s">
        <v>81</v>
      </c>
      <c r="J59" s="8" t="str">
        <f t="shared" si="1"/>
        <v>High</v>
      </c>
      <c r="K59" s="4">
        <v>701.95</v>
      </c>
      <c r="L59" s="4">
        <v>701.95</v>
      </c>
      <c r="M59" s="4">
        <v>0.14699999999999999</v>
      </c>
      <c r="N59" s="4">
        <v>8</v>
      </c>
      <c r="O59" s="4">
        <f t="shared" si="2"/>
        <v>304.14567999999997</v>
      </c>
    </row>
    <row r="60" spans="1:15" x14ac:dyDescent="0.3">
      <c r="A60" s="13">
        <v>45420</v>
      </c>
      <c r="B60" s="4" t="str">
        <f>TEXT(Data!B60,"MMM-YYYY")</f>
        <v>May-2025</v>
      </c>
      <c r="C60" s="4" t="str">
        <f t="shared" si="3"/>
        <v>May-2024</v>
      </c>
      <c r="D60" s="14">
        <f t="shared" si="4"/>
        <v>45420</v>
      </c>
      <c r="E60" s="4" t="str">
        <f t="shared" si="0"/>
        <v>Q2-2024</v>
      </c>
      <c r="F60" t="s">
        <v>78</v>
      </c>
      <c r="G60" t="s">
        <v>90</v>
      </c>
      <c r="H60" t="s">
        <v>91</v>
      </c>
      <c r="I60" t="s">
        <v>81</v>
      </c>
      <c r="J60" s="8" t="str">
        <f t="shared" si="1"/>
        <v>Low</v>
      </c>
      <c r="K60" s="4">
        <v>-5.27</v>
      </c>
      <c r="L60" s="4">
        <v>-5.27</v>
      </c>
      <c r="M60" s="4">
        <v>7.4999999999999997E-2</v>
      </c>
      <c r="N60" s="4">
        <v>56</v>
      </c>
      <c r="O60" s="4">
        <f t="shared" si="2"/>
        <v>93667.868000000002</v>
      </c>
    </row>
    <row r="61" spans="1:15" x14ac:dyDescent="0.3">
      <c r="A61" s="13">
        <v>45421</v>
      </c>
      <c r="B61" s="4" t="str">
        <f>TEXT(Data!B61,"MMM-YYYY")</f>
        <v>Mar-2024</v>
      </c>
      <c r="C61" s="4" t="str">
        <f t="shared" si="3"/>
        <v>May-2024</v>
      </c>
      <c r="D61" s="14">
        <f t="shared" si="4"/>
        <v>45421</v>
      </c>
      <c r="E61" s="4" t="str">
        <f t="shared" si="0"/>
        <v>Q2-2024</v>
      </c>
      <c r="F61" t="s">
        <v>16</v>
      </c>
      <c r="G61" t="s">
        <v>17</v>
      </c>
      <c r="H61" t="s">
        <v>135</v>
      </c>
      <c r="I61" t="s">
        <v>81</v>
      </c>
      <c r="J61" s="8" t="str">
        <f t="shared" si="1"/>
        <v>High</v>
      </c>
      <c r="K61" s="4">
        <v>1437.06</v>
      </c>
      <c r="L61" s="4">
        <v>1437.06</v>
      </c>
      <c r="M61" s="4">
        <v>0.20499999999999999</v>
      </c>
      <c r="N61" s="4">
        <v>4</v>
      </c>
      <c r="O61" s="4">
        <f t="shared" si="2"/>
        <v>4086.5861999999997</v>
      </c>
    </row>
    <row r="62" spans="1:15" x14ac:dyDescent="0.3">
      <c r="A62" s="13">
        <v>45422</v>
      </c>
      <c r="B62" s="4" t="str">
        <f>TEXT(Data!B62,"MMM-YYYY")</f>
        <v>Sept-2025</v>
      </c>
      <c r="C62" s="4" t="str">
        <f t="shared" si="3"/>
        <v>May-2024</v>
      </c>
      <c r="D62" s="14">
        <f t="shared" si="4"/>
        <v>45422</v>
      </c>
      <c r="E62" s="4" t="str">
        <f t="shared" si="0"/>
        <v>Q2-2024</v>
      </c>
      <c r="F62" t="s">
        <v>78</v>
      </c>
      <c r="G62" t="s">
        <v>90</v>
      </c>
      <c r="H62" t="s">
        <v>138</v>
      </c>
      <c r="I62" t="s">
        <v>22</v>
      </c>
      <c r="J62" s="8" t="str">
        <f t="shared" si="1"/>
        <v>High</v>
      </c>
      <c r="K62" s="4">
        <v>1911.89</v>
      </c>
      <c r="L62" s="4">
        <v>1911.89</v>
      </c>
      <c r="M62" s="4">
        <v>0.11899999999999999</v>
      </c>
      <c r="N62" s="4">
        <v>20</v>
      </c>
      <c r="O62" s="4">
        <f t="shared" si="2"/>
        <v>29568.826800000003</v>
      </c>
    </row>
    <row r="63" spans="1:15" x14ac:dyDescent="0.3">
      <c r="A63" s="13">
        <v>45423</v>
      </c>
      <c r="B63" s="4" t="str">
        <f>TEXT(Data!B63,"MMM-YYYY")</f>
        <v>Apr-2025</v>
      </c>
      <c r="C63" s="4" t="str">
        <f t="shared" si="3"/>
        <v>May-2024</v>
      </c>
      <c r="D63" s="14">
        <f t="shared" si="4"/>
        <v>45423</v>
      </c>
      <c r="E63" s="4" t="str">
        <f t="shared" si="0"/>
        <v>Q2-2024</v>
      </c>
      <c r="F63" t="s">
        <v>45</v>
      </c>
      <c r="G63" t="s">
        <v>46</v>
      </c>
      <c r="H63" t="s">
        <v>214</v>
      </c>
      <c r="I63" t="s">
        <v>22</v>
      </c>
      <c r="J63" s="8" t="str">
        <f t="shared" si="1"/>
        <v>High</v>
      </c>
      <c r="K63" s="4">
        <v>2593.7800000000002</v>
      </c>
      <c r="L63" s="4">
        <v>2593.7800000000002</v>
      </c>
      <c r="M63" s="4">
        <v>0.11</v>
      </c>
      <c r="N63" s="4">
        <v>12</v>
      </c>
      <c r="O63" s="4">
        <f t="shared" si="2"/>
        <v>7255.4580000000005</v>
      </c>
    </row>
    <row r="64" spans="1:15" x14ac:dyDescent="0.3">
      <c r="A64" s="13">
        <v>45424</v>
      </c>
      <c r="B64" s="4" t="str">
        <f>TEXT(Data!B64,"MMM-YYYY")</f>
        <v>Nov-2024</v>
      </c>
      <c r="C64" s="4" t="str">
        <f t="shared" si="3"/>
        <v>May-2024</v>
      </c>
      <c r="D64" s="14">
        <f t="shared" si="4"/>
        <v>45424</v>
      </c>
      <c r="E64" s="4" t="str">
        <f t="shared" si="0"/>
        <v>Q2-2024</v>
      </c>
      <c r="F64" t="s">
        <v>78</v>
      </c>
      <c r="G64" t="s">
        <v>90</v>
      </c>
      <c r="H64" t="s">
        <v>217</v>
      </c>
      <c r="I64" t="s">
        <v>42</v>
      </c>
      <c r="J64" s="8" t="str">
        <f t="shared" si="1"/>
        <v>High</v>
      </c>
      <c r="K64" s="4">
        <v>1244.08</v>
      </c>
      <c r="L64" s="4">
        <v>1244.08</v>
      </c>
      <c r="M64" s="4">
        <v>0.2</v>
      </c>
      <c r="N64" s="4">
        <v>11</v>
      </c>
      <c r="O64" s="4">
        <f t="shared" si="2"/>
        <v>9767.2960000000003</v>
      </c>
    </row>
    <row r="65" spans="1:15" x14ac:dyDescent="0.3">
      <c r="A65" s="13">
        <v>45425</v>
      </c>
      <c r="B65" s="4" t="str">
        <f>TEXT(Data!B65,"MMM-YYYY")</f>
        <v>Feb-2023</v>
      </c>
      <c r="C65" s="4" t="str">
        <f t="shared" si="3"/>
        <v>May-2024</v>
      </c>
      <c r="D65" s="14">
        <f t="shared" si="4"/>
        <v>45425</v>
      </c>
      <c r="E65" s="4" t="str">
        <f t="shared" si="0"/>
        <v>Q2-2024</v>
      </c>
      <c r="F65" t="s">
        <v>45</v>
      </c>
      <c r="G65" t="s">
        <v>60</v>
      </c>
      <c r="H65" t="s">
        <v>220</v>
      </c>
      <c r="I65" t="s">
        <v>64</v>
      </c>
      <c r="J65" s="8" t="str">
        <f t="shared" si="1"/>
        <v>High</v>
      </c>
      <c r="K65" s="4">
        <v>1912.51</v>
      </c>
      <c r="L65" s="4">
        <v>1912.51</v>
      </c>
      <c r="M65" s="4">
        <v>0.255</v>
      </c>
      <c r="N65" s="4">
        <v>51</v>
      </c>
      <c r="O65" s="4">
        <f t="shared" si="2"/>
        <v>3175.2421499999996</v>
      </c>
    </row>
    <row r="66" spans="1:15" x14ac:dyDescent="0.3">
      <c r="A66" s="13">
        <v>45426</v>
      </c>
      <c r="B66" s="4" t="str">
        <f>TEXT(Data!B66,"MMM-YYYY")</f>
        <v>Dec-2023</v>
      </c>
      <c r="C66" s="4" t="str">
        <f t="shared" si="3"/>
        <v>May-2024</v>
      </c>
      <c r="D66" s="14">
        <f t="shared" si="4"/>
        <v>45426</v>
      </c>
      <c r="E66" s="4" t="str">
        <f t="shared" ref="E66:E129" si="5">"Q"&amp;ROUNDUP(MONTH(A66)/3,0)&amp;"-"&amp;YEAR(A66)</f>
        <v>Q2-2024</v>
      </c>
      <c r="F66" t="s">
        <v>16</v>
      </c>
      <c r="G66" t="s">
        <v>148</v>
      </c>
      <c r="H66" t="s">
        <v>149</v>
      </c>
      <c r="I66" t="s">
        <v>57</v>
      </c>
      <c r="J66" s="8" t="str">
        <f t="shared" ref="J66:J129" si="6">IF(K66&lt;50, "Low", IF(K66&lt;200, "Medium", "High"))</f>
        <v>High</v>
      </c>
      <c r="K66" s="4">
        <v>755.87</v>
      </c>
      <c r="L66" s="4">
        <v>755.87</v>
      </c>
      <c r="M66" s="4">
        <v>0.13</v>
      </c>
      <c r="N66" s="4">
        <v>40</v>
      </c>
      <c r="O66" s="4">
        <f t="shared" ref="O66:O129" si="7">(L92*N66)*(1-M66)</f>
        <v>44693.64</v>
      </c>
    </row>
    <row r="67" spans="1:15" x14ac:dyDescent="0.3">
      <c r="A67" s="13">
        <v>45427</v>
      </c>
      <c r="B67" s="4" t="str">
        <f>TEXT(Data!B67,"MMM-YYYY")</f>
        <v>Mar-2023</v>
      </c>
      <c r="C67" s="4" t="str">
        <f t="shared" ref="C67:C130" si="8">TEXT(D67, "MMM-YYYY")</f>
        <v>May-2024</v>
      </c>
      <c r="D67" s="14">
        <f t="shared" ref="D67:D130" si="9">_xlfn.MINIFS(A67:A67, G67:G67,G67)</f>
        <v>45427</v>
      </c>
      <c r="E67" s="4" t="str">
        <f t="shared" si="5"/>
        <v>Q2-2024</v>
      </c>
      <c r="F67" t="s">
        <v>52</v>
      </c>
      <c r="G67" t="s">
        <v>73</v>
      </c>
      <c r="H67" t="s">
        <v>225</v>
      </c>
      <c r="I67" t="s">
        <v>42</v>
      </c>
      <c r="J67" s="8" t="str">
        <f t="shared" si="6"/>
        <v>High</v>
      </c>
      <c r="K67" s="4">
        <v>1145.67</v>
      </c>
      <c r="L67" s="4">
        <v>1145.67</v>
      </c>
      <c r="M67" s="4">
        <v>0.184</v>
      </c>
      <c r="N67" s="4">
        <v>13</v>
      </c>
      <c r="O67" s="4">
        <f t="shared" si="7"/>
        <v>9671.5257600000004</v>
      </c>
    </row>
    <row r="68" spans="1:15" x14ac:dyDescent="0.3">
      <c r="A68" s="13">
        <v>45428</v>
      </c>
      <c r="B68" s="4" t="str">
        <f>TEXT(Data!B68,"MMM-YYYY")</f>
        <v>May-2024</v>
      </c>
      <c r="C68" s="4" t="str">
        <f t="shared" si="8"/>
        <v>May-2024</v>
      </c>
      <c r="D68" s="14">
        <f t="shared" si="9"/>
        <v>45428</v>
      </c>
      <c r="E68" s="4" t="str">
        <f t="shared" si="5"/>
        <v>Q2-2024</v>
      </c>
      <c r="F68" t="s">
        <v>78</v>
      </c>
      <c r="G68" t="s">
        <v>108</v>
      </c>
      <c r="H68" t="s">
        <v>228</v>
      </c>
      <c r="I68" t="s">
        <v>81</v>
      </c>
      <c r="J68" s="8" t="str">
        <f t="shared" si="6"/>
        <v>High</v>
      </c>
      <c r="K68" s="4">
        <v>1234.0999999999999</v>
      </c>
      <c r="L68" s="4">
        <v>1234.0999999999999</v>
      </c>
      <c r="M68" s="4">
        <v>0.189</v>
      </c>
      <c r="N68" s="4">
        <v>16</v>
      </c>
      <c r="O68" s="4">
        <f t="shared" si="7"/>
        <v>18232.188319999997</v>
      </c>
    </row>
    <row r="69" spans="1:15" x14ac:dyDescent="0.3">
      <c r="A69" s="13">
        <v>45429</v>
      </c>
      <c r="B69" s="4" t="str">
        <f>TEXT(Data!B69,"MMM-YYYY")</f>
        <v>Aug-2023</v>
      </c>
      <c r="C69" s="4" t="str">
        <f t="shared" si="8"/>
        <v>May-2024</v>
      </c>
      <c r="D69" s="14">
        <f t="shared" si="9"/>
        <v>45429</v>
      </c>
      <c r="E69" s="4" t="str">
        <f t="shared" si="5"/>
        <v>Q2-2024</v>
      </c>
      <c r="F69" t="s">
        <v>45</v>
      </c>
      <c r="G69" t="s">
        <v>46</v>
      </c>
      <c r="H69" t="s">
        <v>231</v>
      </c>
      <c r="I69" t="s">
        <v>64</v>
      </c>
      <c r="J69" s="8" t="str">
        <f t="shared" si="6"/>
        <v>High</v>
      </c>
      <c r="K69" s="4">
        <v>1228.01</v>
      </c>
      <c r="L69" s="4">
        <v>1228.01</v>
      </c>
      <c r="M69" s="4">
        <v>0.105</v>
      </c>
      <c r="N69" s="4">
        <v>13</v>
      </c>
      <c r="O69" s="4">
        <f t="shared" si="7"/>
        <v>11273.616900000001</v>
      </c>
    </row>
    <row r="70" spans="1:15" x14ac:dyDescent="0.3">
      <c r="A70" s="13">
        <v>45430</v>
      </c>
      <c r="B70" s="4" t="str">
        <f>TEXT(Data!B70,"MMM-YYYY")</f>
        <v>Apr-2023</v>
      </c>
      <c r="C70" s="4" t="str">
        <f t="shared" si="8"/>
        <v>May-2024</v>
      </c>
      <c r="D70" s="14">
        <f t="shared" si="9"/>
        <v>45430</v>
      </c>
      <c r="E70" s="4" t="str">
        <f t="shared" si="5"/>
        <v>Q2-2024</v>
      </c>
      <c r="F70" t="s">
        <v>16</v>
      </c>
      <c r="G70" t="s">
        <v>148</v>
      </c>
      <c r="H70" t="s">
        <v>149</v>
      </c>
      <c r="I70" t="s">
        <v>64</v>
      </c>
      <c r="J70" s="8" t="str">
        <f t="shared" si="6"/>
        <v>High</v>
      </c>
      <c r="K70" s="4">
        <v>605.23</v>
      </c>
      <c r="L70" s="4">
        <v>605.23</v>
      </c>
      <c r="M70" s="4">
        <v>0.20399999999999999</v>
      </c>
      <c r="N70" s="4">
        <v>18</v>
      </c>
      <c r="O70" s="4">
        <f t="shared" si="7"/>
        <v>15600.46968</v>
      </c>
    </row>
    <row r="71" spans="1:15" x14ac:dyDescent="0.3">
      <c r="A71" s="13">
        <v>45431</v>
      </c>
      <c r="B71" s="4" t="str">
        <f>TEXT(Data!B71,"MMM-YYYY")</f>
        <v>Mar-2024</v>
      </c>
      <c r="C71" s="4" t="str">
        <f t="shared" si="8"/>
        <v>May-2024</v>
      </c>
      <c r="D71" s="14">
        <f t="shared" si="9"/>
        <v>45431</v>
      </c>
      <c r="E71" s="4" t="str">
        <f t="shared" si="5"/>
        <v>Q2-2024</v>
      </c>
      <c r="F71" t="s">
        <v>45</v>
      </c>
      <c r="G71" t="s">
        <v>116</v>
      </c>
      <c r="H71" t="s">
        <v>162</v>
      </c>
      <c r="I71" t="s">
        <v>22</v>
      </c>
      <c r="J71" s="8" t="str">
        <f t="shared" si="6"/>
        <v>High</v>
      </c>
      <c r="K71" s="4">
        <v>1880.15</v>
      </c>
      <c r="L71" s="4">
        <v>1880.15</v>
      </c>
      <c r="M71" s="4">
        <v>0.05</v>
      </c>
      <c r="N71" s="4">
        <v>5</v>
      </c>
      <c r="O71" s="4">
        <f t="shared" si="7"/>
        <v>11803.702499999998</v>
      </c>
    </row>
    <row r="72" spans="1:15" x14ac:dyDescent="0.3">
      <c r="A72" s="13">
        <v>45432</v>
      </c>
      <c r="B72" s="4" t="str">
        <f>TEXT(Data!B72,"MMM-YYYY")</f>
        <v>Apr-2025</v>
      </c>
      <c r="C72" s="4" t="str">
        <f t="shared" si="8"/>
        <v>May-2024</v>
      </c>
      <c r="D72" s="14">
        <f t="shared" si="9"/>
        <v>45432</v>
      </c>
      <c r="E72" s="4" t="str">
        <f t="shared" si="5"/>
        <v>Q2-2024</v>
      </c>
      <c r="F72" t="s">
        <v>78</v>
      </c>
      <c r="G72" t="s">
        <v>79</v>
      </c>
      <c r="H72" t="s">
        <v>159</v>
      </c>
      <c r="I72" t="s">
        <v>81</v>
      </c>
      <c r="J72" s="8" t="str">
        <f t="shared" si="6"/>
        <v>High</v>
      </c>
      <c r="K72" s="4">
        <v>1269.4000000000001</v>
      </c>
      <c r="L72" s="4">
        <v>1269.4000000000001</v>
      </c>
      <c r="M72" s="4">
        <v>6.8000000000000005E-2</v>
      </c>
      <c r="N72" s="4">
        <v>9</v>
      </c>
      <c r="O72" s="4">
        <f t="shared" si="7"/>
        <v>240.65172000000001</v>
      </c>
    </row>
    <row r="73" spans="1:15" x14ac:dyDescent="0.3">
      <c r="A73" s="13">
        <v>45433</v>
      </c>
      <c r="B73" s="4" t="str">
        <f>TEXT(Data!B73,"MMM-YYYY")</f>
        <v>Apr-2024</v>
      </c>
      <c r="C73" s="4" t="str">
        <f t="shared" si="8"/>
        <v>May-2024</v>
      </c>
      <c r="D73" s="14">
        <f t="shared" si="9"/>
        <v>45433</v>
      </c>
      <c r="E73" s="4" t="str">
        <f t="shared" si="5"/>
        <v>Q2-2024</v>
      </c>
      <c r="F73" t="s">
        <v>52</v>
      </c>
      <c r="G73" t="s">
        <v>73</v>
      </c>
      <c r="H73" t="s">
        <v>87</v>
      </c>
      <c r="I73" t="s">
        <v>57</v>
      </c>
      <c r="J73" s="8" t="str">
        <f t="shared" si="6"/>
        <v>High</v>
      </c>
      <c r="K73" s="4">
        <v>620.92999999999995</v>
      </c>
      <c r="L73" s="4">
        <v>620.92999999999995</v>
      </c>
      <c r="M73" s="4">
        <v>0.14199999999999999</v>
      </c>
      <c r="N73" s="4">
        <v>12</v>
      </c>
      <c r="O73" s="4">
        <f t="shared" si="7"/>
        <v>19527.59952</v>
      </c>
    </row>
    <row r="74" spans="1:15" x14ac:dyDescent="0.3">
      <c r="A74" s="13">
        <v>45434</v>
      </c>
      <c r="B74" s="4" t="str">
        <f>TEXT(Data!B74,"MMM-YYYY")</f>
        <v>Dec-2024</v>
      </c>
      <c r="C74" s="4" t="str">
        <f t="shared" si="8"/>
        <v>May-2024</v>
      </c>
      <c r="D74" s="14">
        <f t="shared" si="9"/>
        <v>45434</v>
      </c>
      <c r="E74" s="4" t="str">
        <f t="shared" si="5"/>
        <v>Q2-2024</v>
      </c>
      <c r="F74" t="s">
        <v>16</v>
      </c>
      <c r="G74" t="s">
        <v>148</v>
      </c>
      <c r="H74" t="s">
        <v>149</v>
      </c>
      <c r="I74" t="s">
        <v>57</v>
      </c>
      <c r="J74" s="8" t="str">
        <f t="shared" si="6"/>
        <v>High</v>
      </c>
      <c r="K74" s="4">
        <v>1455.91</v>
      </c>
      <c r="L74" s="4">
        <v>1455.91</v>
      </c>
      <c r="M74" s="4">
        <v>0.185</v>
      </c>
      <c r="N74" s="4">
        <v>17</v>
      </c>
      <c r="O74" s="4">
        <f t="shared" si="7"/>
        <v>5807.6003499999997</v>
      </c>
    </row>
    <row r="75" spans="1:15" x14ac:dyDescent="0.3">
      <c r="A75" s="13">
        <v>45435</v>
      </c>
      <c r="B75" s="4" t="str">
        <f>TEXT(Data!B75,"MMM-YYYY")</f>
        <v>May-2023</v>
      </c>
      <c r="C75" s="4" t="str">
        <f t="shared" si="8"/>
        <v>May-2024</v>
      </c>
      <c r="D75" s="14">
        <f t="shared" si="9"/>
        <v>45435</v>
      </c>
      <c r="E75" s="4" t="str">
        <f t="shared" si="5"/>
        <v>Q2-2024</v>
      </c>
      <c r="F75" t="s">
        <v>45</v>
      </c>
      <c r="G75" t="s">
        <v>116</v>
      </c>
      <c r="H75" t="s">
        <v>117</v>
      </c>
      <c r="I75" t="s">
        <v>35</v>
      </c>
      <c r="J75" s="8" t="str">
        <f t="shared" si="6"/>
        <v>High</v>
      </c>
      <c r="K75" s="4">
        <v>546.42999999999995</v>
      </c>
      <c r="L75" s="4">
        <v>546.42999999999995</v>
      </c>
      <c r="M75" s="4">
        <v>4.7E-2</v>
      </c>
      <c r="N75" s="4">
        <v>18</v>
      </c>
      <c r="O75" s="4">
        <f t="shared" si="7"/>
        <v>34328.070179999995</v>
      </c>
    </row>
    <row r="76" spans="1:15" x14ac:dyDescent="0.3">
      <c r="A76" s="13">
        <v>45436</v>
      </c>
      <c r="B76" s="4" t="str">
        <f>TEXT(Data!B76,"MMM-YYYY")</f>
        <v>Sept-2023</v>
      </c>
      <c r="C76" s="4" t="str">
        <f t="shared" si="8"/>
        <v>May-2024</v>
      </c>
      <c r="D76" s="14">
        <f t="shared" si="9"/>
        <v>45436</v>
      </c>
      <c r="E76" s="4" t="str">
        <f t="shared" si="5"/>
        <v>Q2-2024</v>
      </c>
      <c r="F76" t="s">
        <v>16</v>
      </c>
      <c r="G76" t="s">
        <v>148</v>
      </c>
      <c r="H76" t="s">
        <v>172</v>
      </c>
      <c r="I76" t="s">
        <v>22</v>
      </c>
      <c r="J76" s="8" t="str">
        <f t="shared" si="6"/>
        <v>High</v>
      </c>
      <c r="K76" s="4">
        <v>1347.92</v>
      </c>
      <c r="L76" s="4">
        <v>1347.92</v>
      </c>
      <c r="M76" s="4">
        <v>0.34300000000000003</v>
      </c>
      <c r="N76" s="4">
        <v>5</v>
      </c>
      <c r="O76" s="4">
        <f t="shared" si="7"/>
        <v>10198.97235</v>
      </c>
    </row>
    <row r="77" spans="1:15" x14ac:dyDescent="0.3">
      <c r="A77" s="13">
        <v>45437</v>
      </c>
      <c r="B77" s="4" t="str">
        <f>TEXT(Data!B77,"MMM-YYYY")</f>
        <v>Aug-2024</v>
      </c>
      <c r="C77" s="4" t="str">
        <f t="shared" si="8"/>
        <v>May-2024</v>
      </c>
      <c r="D77" s="14">
        <f t="shared" si="9"/>
        <v>45437</v>
      </c>
      <c r="E77" s="4" t="str">
        <f t="shared" si="5"/>
        <v>Q2-2024</v>
      </c>
      <c r="F77" t="s">
        <v>45</v>
      </c>
      <c r="G77" t="s">
        <v>60</v>
      </c>
      <c r="H77" t="s">
        <v>141</v>
      </c>
      <c r="I77" t="s">
        <v>22</v>
      </c>
      <c r="J77" s="8" t="str">
        <f t="shared" si="6"/>
        <v>High</v>
      </c>
      <c r="K77" s="4">
        <v>1108.43</v>
      </c>
      <c r="L77" s="4">
        <v>1108.43</v>
      </c>
      <c r="M77" s="4">
        <v>0.114</v>
      </c>
      <c r="N77" s="4">
        <v>7</v>
      </c>
      <c r="O77" s="4">
        <f t="shared" si="7"/>
        <v>2073.2045600000001</v>
      </c>
    </row>
    <row r="78" spans="1:15" x14ac:dyDescent="0.3">
      <c r="A78" s="13">
        <v>45438</v>
      </c>
      <c r="B78" s="4" t="str">
        <f>TEXT(Data!B78,"MMM-YYYY")</f>
        <v>Jun-2024</v>
      </c>
      <c r="C78" s="4" t="str">
        <f t="shared" si="8"/>
        <v>May-2024</v>
      </c>
      <c r="D78" s="14">
        <f t="shared" si="9"/>
        <v>45438</v>
      </c>
      <c r="E78" s="4" t="str">
        <f t="shared" si="5"/>
        <v>Q2-2024</v>
      </c>
      <c r="F78" t="s">
        <v>52</v>
      </c>
      <c r="G78" t="s">
        <v>73</v>
      </c>
      <c r="H78" t="s">
        <v>225</v>
      </c>
      <c r="I78" t="s">
        <v>81</v>
      </c>
      <c r="J78" s="8" t="str">
        <f t="shared" si="6"/>
        <v>High</v>
      </c>
      <c r="K78" s="4">
        <v>3144.1</v>
      </c>
      <c r="L78" s="4">
        <v>3144.1</v>
      </c>
      <c r="M78" s="4">
        <v>0.13400000000000001</v>
      </c>
      <c r="N78" s="4">
        <v>13</v>
      </c>
      <c r="O78" s="4">
        <f t="shared" si="7"/>
        <v>21984.960139999999</v>
      </c>
    </row>
    <row r="79" spans="1:15" x14ac:dyDescent="0.3">
      <c r="A79" s="13">
        <v>45439</v>
      </c>
      <c r="B79" s="4" t="str">
        <f>TEXT(Data!B79,"MMM-YYYY")</f>
        <v>Jun-2023</v>
      </c>
      <c r="C79" s="4" t="str">
        <f t="shared" si="8"/>
        <v>May-2024</v>
      </c>
      <c r="D79" s="14">
        <f t="shared" si="9"/>
        <v>45439</v>
      </c>
      <c r="E79" s="4" t="str">
        <f t="shared" si="5"/>
        <v>Q2-2024</v>
      </c>
      <c r="F79" t="s">
        <v>52</v>
      </c>
      <c r="G79" t="s">
        <v>73</v>
      </c>
      <c r="H79" t="s">
        <v>225</v>
      </c>
      <c r="I79" t="s">
        <v>81</v>
      </c>
      <c r="J79" s="8" t="str">
        <f t="shared" si="6"/>
        <v>High</v>
      </c>
      <c r="K79" s="4">
        <v>2095.73</v>
      </c>
      <c r="L79" s="4">
        <v>2095.73</v>
      </c>
      <c r="M79" s="4">
        <v>7.1999999999999995E-2</v>
      </c>
      <c r="N79" s="4">
        <v>17</v>
      </c>
      <c r="O79" s="4">
        <f t="shared" si="7"/>
        <v>3822.3670400000005</v>
      </c>
    </row>
    <row r="80" spans="1:15" x14ac:dyDescent="0.3">
      <c r="A80" s="13">
        <v>45440</v>
      </c>
      <c r="B80" s="4" t="str">
        <f>TEXT(Data!B80,"MMM-YYYY")</f>
        <v>Nov-2024</v>
      </c>
      <c r="C80" s="4" t="str">
        <f t="shared" si="8"/>
        <v>May-2024</v>
      </c>
      <c r="D80" s="14">
        <f t="shared" si="9"/>
        <v>45440</v>
      </c>
      <c r="E80" s="4" t="str">
        <f t="shared" si="5"/>
        <v>Q2-2024</v>
      </c>
      <c r="F80" t="s">
        <v>78</v>
      </c>
      <c r="G80" t="s">
        <v>108</v>
      </c>
      <c r="H80" t="s">
        <v>228</v>
      </c>
      <c r="I80" t="s">
        <v>22</v>
      </c>
      <c r="J80" s="8" t="str">
        <f t="shared" si="6"/>
        <v>High</v>
      </c>
      <c r="K80" s="4">
        <v>703.62</v>
      </c>
      <c r="L80" s="4">
        <v>703.62</v>
      </c>
      <c r="M80" s="4">
        <v>0.25700000000000001</v>
      </c>
      <c r="N80" s="4">
        <v>20</v>
      </c>
      <c r="O80" s="4">
        <f t="shared" si="7"/>
        <v>44117.408199999998</v>
      </c>
    </row>
    <row r="81" spans="1:15" x14ac:dyDescent="0.3">
      <c r="A81" s="13">
        <v>45441</v>
      </c>
      <c r="B81" s="4" t="str">
        <f>TEXT(Data!B81,"MMM-YYYY")</f>
        <v>Feb-2023</v>
      </c>
      <c r="C81" s="4" t="str">
        <f t="shared" si="8"/>
        <v>May-2024</v>
      </c>
      <c r="D81" s="14">
        <f t="shared" si="9"/>
        <v>45441</v>
      </c>
      <c r="E81" s="4" t="str">
        <f t="shared" si="5"/>
        <v>Q2-2024</v>
      </c>
      <c r="F81" t="s">
        <v>78</v>
      </c>
      <c r="G81" t="s">
        <v>90</v>
      </c>
      <c r="H81" t="s">
        <v>91</v>
      </c>
      <c r="I81" t="s">
        <v>64</v>
      </c>
      <c r="J81" s="8" t="str">
        <f t="shared" si="6"/>
        <v>High</v>
      </c>
      <c r="K81" s="4">
        <v>1997.19</v>
      </c>
      <c r="L81" s="4">
        <v>1997.19</v>
      </c>
      <c r="M81" s="4">
        <v>0.186</v>
      </c>
      <c r="N81" s="4">
        <v>3</v>
      </c>
      <c r="O81" s="4">
        <f t="shared" si="7"/>
        <v>3404.8806</v>
      </c>
    </row>
    <row r="82" spans="1:15" x14ac:dyDescent="0.3">
      <c r="A82" s="13">
        <v>45442</v>
      </c>
      <c r="B82" s="4" t="str">
        <f>TEXT(Data!B82,"MMM-YYYY")</f>
        <v>Aug-2023</v>
      </c>
      <c r="C82" s="4" t="str">
        <f t="shared" si="8"/>
        <v>May-2024</v>
      </c>
      <c r="D82" s="14">
        <f t="shared" si="9"/>
        <v>45442</v>
      </c>
      <c r="E82" s="4" t="str">
        <f t="shared" si="5"/>
        <v>Q2-2024</v>
      </c>
      <c r="F82" t="s">
        <v>16</v>
      </c>
      <c r="G82" t="s">
        <v>148</v>
      </c>
      <c r="H82" t="s">
        <v>258</v>
      </c>
      <c r="I82" t="s">
        <v>35</v>
      </c>
      <c r="J82" s="8" t="str">
        <f t="shared" si="6"/>
        <v>High</v>
      </c>
      <c r="K82" s="4">
        <v>2763.95</v>
      </c>
      <c r="L82" s="4">
        <v>2763.95</v>
      </c>
      <c r="M82" s="4">
        <v>0.161</v>
      </c>
      <c r="N82" s="4">
        <v>26</v>
      </c>
      <c r="O82" s="4">
        <f t="shared" si="7"/>
        <v>336.15374000000003</v>
      </c>
    </row>
    <row r="83" spans="1:15" x14ac:dyDescent="0.3">
      <c r="A83" s="13">
        <v>45443</v>
      </c>
      <c r="B83" s="4" t="str">
        <f>TEXT(Data!B83,"MMM-YYYY")</f>
        <v>May-2025</v>
      </c>
      <c r="C83" s="4" t="str">
        <f t="shared" si="8"/>
        <v>May-2024</v>
      </c>
      <c r="D83" s="14">
        <f t="shared" si="9"/>
        <v>45443</v>
      </c>
      <c r="E83" s="4" t="str">
        <f t="shared" si="5"/>
        <v>Q2-2024</v>
      </c>
      <c r="F83" t="s">
        <v>52</v>
      </c>
      <c r="G83" t="s">
        <v>53</v>
      </c>
      <c r="H83" t="s">
        <v>179</v>
      </c>
      <c r="I83" t="s">
        <v>30</v>
      </c>
      <c r="J83" s="8" t="str">
        <f t="shared" si="6"/>
        <v>High</v>
      </c>
      <c r="K83" s="4">
        <v>1503.53</v>
      </c>
      <c r="L83" s="4">
        <v>1503.53</v>
      </c>
      <c r="M83" s="4">
        <v>0.24099999999999999</v>
      </c>
      <c r="N83" s="4">
        <v>16</v>
      </c>
      <c r="O83" s="4">
        <f t="shared" si="7"/>
        <v>27333.836640000001</v>
      </c>
    </row>
    <row r="84" spans="1:15" x14ac:dyDescent="0.3">
      <c r="A84" s="13">
        <v>45444</v>
      </c>
      <c r="B84" s="4" t="str">
        <f>TEXT(Data!B84,"MMM-YYYY")</f>
        <v>Apr-2025</v>
      </c>
      <c r="C84" s="4" t="str">
        <f t="shared" si="8"/>
        <v>Jun-2024</v>
      </c>
      <c r="D84" s="14">
        <f t="shared" si="9"/>
        <v>45444</v>
      </c>
      <c r="E84" s="4" t="str">
        <f t="shared" si="5"/>
        <v>Q2-2024</v>
      </c>
      <c r="F84" t="s">
        <v>78</v>
      </c>
      <c r="G84" t="s">
        <v>90</v>
      </c>
      <c r="H84" t="s">
        <v>217</v>
      </c>
      <c r="I84" t="s">
        <v>22</v>
      </c>
      <c r="J84" s="8" t="str">
        <f t="shared" si="6"/>
        <v>High</v>
      </c>
      <c r="K84" s="4">
        <v>388.04</v>
      </c>
      <c r="L84" s="4">
        <v>388.04</v>
      </c>
      <c r="M84" s="4">
        <v>8.4000000000000005E-2</v>
      </c>
      <c r="N84" s="4">
        <v>15</v>
      </c>
      <c r="O84" s="4">
        <f t="shared" si="7"/>
        <v>2281.3896</v>
      </c>
    </row>
    <row r="85" spans="1:15" x14ac:dyDescent="0.3">
      <c r="A85" s="13">
        <v>45445</v>
      </c>
      <c r="B85" s="4" t="str">
        <f>TEXT(Data!B85,"MMM-YYYY")</f>
        <v>Mar-2025</v>
      </c>
      <c r="C85" s="4" t="str">
        <f t="shared" si="8"/>
        <v>Jun-2024</v>
      </c>
      <c r="D85" s="14">
        <f t="shared" si="9"/>
        <v>45445</v>
      </c>
      <c r="E85" s="4" t="str">
        <f t="shared" si="5"/>
        <v>Q2-2024</v>
      </c>
      <c r="F85" t="s">
        <v>52</v>
      </c>
      <c r="G85" t="s">
        <v>122</v>
      </c>
      <c r="H85" t="s">
        <v>167</v>
      </c>
      <c r="I85" t="s">
        <v>64</v>
      </c>
      <c r="J85" s="8" t="str">
        <f t="shared" si="6"/>
        <v>Low</v>
      </c>
      <c r="K85" s="4">
        <v>44.57</v>
      </c>
      <c r="L85" s="4">
        <v>44.57</v>
      </c>
      <c r="M85" s="4">
        <v>0.215</v>
      </c>
      <c r="N85" s="4">
        <v>15</v>
      </c>
      <c r="O85" s="4">
        <f t="shared" si="7"/>
        <v>4198.3762500000003</v>
      </c>
    </row>
    <row r="86" spans="1:15" x14ac:dyDescent="0.3">
      <c r="A86" s="13">
        <v>45446</v>
      </c>
      <c r="B86" s="4" t="str">
        <f>TEXT(Data!B86,"MMM-YYYY")</f>
        <v>Dec-2023</v>
      </c>
      <c r="C86" s="4" t="str">
        <f t="shared" si="8"/>
        <v>Jun-2024</v>
      </c>
      <c r="D86" s="14">
        <f t="shared" si="9"/>
        <v>45446</v>
      </c>
      <c r="E86" s="4" t="str">
        <f t="shared" si="5"/>
        <v>Q2-2024</v>
      </c>
      <c r="F86" t="s">
        <v>78</v>
      </c>
      <c r="G86" t="s">
        <v>108</v>
      </c>
      <c r="H86" t="s">
        <v>152</v>
      </c>
      <c r="I86" t="s">
        <v>35</v>
      </c>
      <c r="J86" s="8" t="str">
        <f t="shared" si="6"/>
        <v>High</v>
      </c>
      <c r="K86" s="4">
        <v>1808.26</v>
      </c>
      <c r="L86" s="4">
        <v>1808.26</v>
      </c>
      <c r="M86" s="4">
        <v>0.104</v>
      </c>
      <c r="N86" s="4">
        <v>13</v>
      </c>
      <c r="O86" s="4">
        <f t="shared" si="7"/>
        <v>11939.7824</v>
      </c>
    </row>
    <row r="87" spans="1:15" x14ac:dyDescent="0.3">
      <c r="A87" s="13">
        <v>45447</v>
      </c>
      <c r="B87" s="4" t="str">
        <f>TEXT(Data!B87,"MMM-YYYY")</f>
        <v>Apr-2024</v>
      </c>
      <c r="C87" s="4" t="str">
        <f t="shared" si="8"/>
        <v>Jun-2024</v>
      </c>
      <c r="D87" s="14">
        <f t="shared" si="9"/>
        <v>45447</v>
      </c>
      <c r="E87" s="4" t="str">
        <f t="shared" si="5"/>
        <v>Q2-2024</v>
      </c>
      <c r="F87" t="s">
        <v>16</v>
      </c>
      <c r="G87" t="s">
        <v>148</v>
      </c>
      <c r="H87" t="s">
        <v>258</v>
      </c>
      <c r="I87" t="s">
        <v>22</v>
      </c>
      <c r="J87" s="8" t="str">
        <f t="shared" si="6"/>
        <v>High</v>
      </c>
      <c r="K87" s="4">
        <v>1285.0899999999999</v>
      </c>
      <c r="L87" s="4">
        <v>1285.0899999999999</v>
      </c>
      <c r="M87" s="4">
        <v>7.0000000000000007E-2</v>
      </c>
      <c r="N87" s="4">
        <v>11</v>
      </c>
      <c r="O87" s="4">
        <f t="shared" si="7"/>
        <v>18364.589100000001</v>
      </c>
    </row>
    <row r="88" spans="1:15" x14ac:dyDescent="0.3">
      <c r="A88" s="13">
        <v>45448</v>
      </c>
      <c r="B88" s="4" t="str">
        <f>TEXT(Data!B88,"MMM-YYYY")</f>
        <v>Aug-2025</v>
      </c>
      <c r="C88" s="4" t="str">
        <f t="shared" si="8"/>
        <v>Jun-2024</v>
      </c>
      <c r="D88" s="14">
        <f t="shared" si="9"/>
        <v>45448</v>
      </c>
      <c r="E88" s="4" t="str">
        <f t="shared" si="5"/>
        <v>Q2-2024</v>
      </c>
      <c r="F88" t="s">
        <v>45</v>
      </c>
      <c r="G88" t="s">
        <v>116</v>
      </c>
      <c r="H88" t="s">
        <v>162</v>
      </c>
      <c r="I88" t="s">
        <v>22</v>
      </c>
      <c r="J88" s="8" t="str">
        <f t="shared" si="6"/>
        <v>High</v>
      </c>
      <c r="K88" s="4">
        <v>1678.14</v>
      </c>
      <c r="L88" s="4">
        <v>1678.14</v>
      </c>
      <c r="M88" s="4">
        <v>0.154</v>
      </c>
      <c r="N88" s="4">
        <v>10</v>
      </c>
      <c r="O88" s="4">
        <f t="shared" si="7"/>
        <v>36.970199999999998</v>
      </c>
    </row>
    <row r="89" spans="1:15" x14ac:dyDescent="0.3">
      <c r="A89" s="13">
        <v>45449</v>
      </c>
      <c r="B89" s="4" t="str">
        <f>TEXT(Data!B89,"MMM-YYYY")</f>
        <v>Jan-2024</v>
      </c>
      <c r="C89" s="4" t="str">
        <f t="shared" si="8"/>
        <v>Jun-2024</v>
      </c>
      <c r="D89" s="14">
        <f t="shared" si="9"/>
        <v>45449</v>
      </c>
      <c r="E89" s="4" t="str">
        <f t="shared" si="5"/>
        <v>Q2-2024</v>
      </c>
      <c r="F89" t="s">
        <v>16</v>
      </c>
      <c r="G89" t="s">
        <v>17</v>
      </c>
      <c r="H89" t="s">
        <v>135</v>
      </c>
      <c r="I89" t="s">
        <v>22</v>
      </c>
      <c r="J89" s="8" t="str">
        <f t="shared" si="6"/>
        <v>High</v>
      </c>
      <c r="K89" s="4">
        <v>679.35</v>
      </c>
      <c r="L89" s="4">
        <v>679.35</v>
      </c>
      <c r="M89" s="4">
        <v>0.188</v>
      </c>
      <c r="N89" s="4">
        <v>3</v>
      </c>
      <c r="O89" s="4">
        <f t="shared" si="7"/>
        <v>532.26600000000008</v>
      </c>
    </row>
    <row r="90" spans="1:15" x14ac:dyDescent="0.3">
      <c r="A90" s="13">
        <v>45450</v>
      </c>
      <c r="B90" s="4" t="str">
        <f>TEXT(Data!B90,"MMM-YYYY")</f>
        <v>Jun-2023</v>
      </c>
      <c r="C90" s="4" t="str">
        <f t="shared" si="8"/>
        <v>Jun-2024</v>
      </c>
      <c r="D90" s="14">
        <f t="shared" si="9"/>
        <v>45450</v>
      </c>
      <c r="E90" s="4" t="str">
        <f t="shared" si="5"/>
        <v>Q2-2024</v>
      </c>
      <c r="F90" t="s">
        <v>45</v>
      </c>
      <c r="G90" t="s">
        <v>60</v>
      </c>
      <c r="H90" t="s">
        <v>141</v>
      </c>
      <c r="I90" t="s">
        <v>64</v>
      </c>
      <c r="J90" s="8" t="str">
        <f t="shared" si="6"/>
        <v>High</v>
      </c>
      <c r="K90" s="4">
        <v>1109.92</v>
      </c>
      <c r="L90" s="4">
        <v>1109.92</v>
      </c>
      <c r="M90" s="4">
        <v>0.03</v>
      </c>
      <c r="N90" s="4">
        <v>11</v>
      </c>
      <c r="O90" s="4">
        <f t="shared" si="7"/>
        <v>2666.1129000000001</v>
      </c>
    </row>
    <row r="91" spans="1:15" x14ac:dyDescent="0.3">
      <c r="A91" s="13">
        <v>45451</v>
      </c>
      <c r="B91" s="4" t="str">
        <f>TEXT(Data!B91,"MMM-YYYY")</f>
        <v>Apr-2025</v>
      </c>
      <c r="C91" s="4" t="str">
        <f t="shared" si="8"/>
        <v>Jun-2024</v>
      </c>
      <c r="D91" s="14">
        <f t="shared" si="9"/>
        <v>45451</v>
      </c>
      <c r="E91" s="4" t="str">
        <f t="shared" si="5"/>
        <v>Q2-2024</v>
      </c>
      <c r="F91" t="s">
        <v>45</v>
      </c>
      <c r="G91" t="s">
        <v>46</v>
      </c>
      <c r="H91" t="s">
        <v>231</v>
      </c>
      <c r="I91" t="s">
        <v>64</v>
      </c>
      <c r="J91" s="8" t="str">
        <f t="shared" si="6"/>
        <v>Medium</v>
      </c>
      <c r="K91" s="4">
        <v>83.57</v>
      </c>
      <c r="L91" s="4">
        <v>83.57</v>
      </c>
      <c r="M91" s="4">
        <v>6.6000000000000003E-2</v>
      </c>
      <c r="N91" s="4">
        <v>8</v>
      </c>
      <c r="O91" s="4">
        <f t="shared" si="7"/>
        <v>25677.677439999999</v>
      </c>
    </row>
    <row r="92" spans="1:15" x14ac:dyDescent="0.3">
      <c r="A92" s="13">
        <v>45452</v>
      </c>
      <c r="B92" s="4" t="str">
        <f>TEXT(Data!B92,"MMM-YYYY")</f>
        <v>Jun-2025</v>
      </c>
      <c r="C92" s="4" t="str">
        <f t="shared" si="8"/>
        <v>Jun-2024</v>
      </c>
      <c r="D92" s="14">
        <f t="shared" si="9"/>
        <v>45452</v>
      </c>
      <c r="E92" s="4" t="str">
        <f t="shared" si="5"/>
        <v>Q2-2024</v>
      </c>
      <c r="F92" t="s">
        <v>45</v>
      </c>
      <c r="G92" t="s">
        <v>46</v>
      </c>
      <c r="H92" t="s">
        <v>231</v>
      </c>
      <c r="I92" t="s">
        <v>35</v>
      </c>
      <c r="J92" s="8" t="str">
        <f t="shared" si="6"/>
        <v>High</v>
      </c>
      <c r="K92" s="4">
        <v>1284.3</v>
      </c>
      <c r="L92" s="4">
        <v>1284.3</v>
      </c>
      <c r="M92" s="4">
        <v>7.3999999999999996E-2</v>
      </c>
      <c r="N92" s="4">
        <v>7</v>
      </c>
      <c r="O92" s="4">
        <f t="shared" si="7"/>
        <v>346.46290000000005</v>
      </c>
    </row>
    <row r="93" spans="1:15" x14ac:dyDescent="0.3">
      <c r="A93" s="13">
        <v>45453</v>
      </c>
      <c r="B93" s="4" t="str">
        <f>TEXT(Data!B93,"MMM-YYYY")</f>
        <v>Jun-2023</v>
      </c>
      <c r="C93" s="4" t="str">
        <f t="shared" si="8"/>
        <v>Jun-2024</v>
      </c>
      <c r="D93" s="14">
        <f t="shared" si="9"/>
        <v>45453</v>
      </c>
      <c r="E93" s="4" t="str">
        <f t="shared" si="5"/>
        <v>Q2-2024</v>
      </c>
      <c r="F93" t="s">
        <v>45</v>
      </c>
      <c r="G93" t="s">
        <v>60</v>
      </c>
      <c r="H93" t="s">
        <v>281</v>
      </c>
      <c r="I93" t="s">
        <v>42</v>
      </c>
      <c r="J93" s="8" t="str">
        <f t="shared" si="6"/>
        <v>High</v>
      </c>
      <c r="K93" s="4">
        <v>911.72</v>
      </c>
      <c r="L93" s="4">
        <v>911.72</v>
      </c>
      <c r="M93" s="4">
        <v>0.14399999999999999</v>
      </c>
      <c r="N93" s="4">
        <v>25</v>
      </c>
      <c r="O93" s="4">
        <f t="shared" si="7"/>
        <v>74251.58</v>
      </c>
    </row>
    <row r="94" spans="1:15" x14ac:dyDescent="0.3">
      <c r="A94" s="13">
        <v>45454</v>
      </c>
      <c r="B94" s="4" t="str">
        <f>TEXT(Data!B94,"MMM-YYYY")</f>
        <v>Oct-2024</v>
      </c>
      <c r="C94" s="4" t="str">
        <f t="shared" si="8"/>
        <v>Jun-2024</v>
      </c>
      <c r="D94" s="14">
        <f t="shared" si="9"/>
        <v>45454</v>
      </c>
      <c r="E94" s="4" t="str">
        <f t="shared" si="5"/>
        <v>Q2-2024</v>
      </c>
      <c r="F94" t="s">
        <v>52</v>
      </c>
      <c r="G94" t="s">
        <v>73</v>
      </c>
      <c r="H94" t="s">
        <v>225</v>
      </c>
      <c r="I94" t="s">
        <v>30</v>
      </c>
      <c r="J94" s="8" t="str">
        <f t="shared" si="6"/>
        <v>High</v>
      </c>
      <c r="K94" s="4">
        <v>1405.07</v>
      </c>
      <c r="L94" s="4">
        <v>1405.07</v>
      </c>
      <c r="M94" s="4">
        <v>9.6000000000000002E-2</v>
      </c>
      <c r="N94" s="4">
        <v>8</v>
      </c>
      <c r="O94" s="4">
        <f t="shared" si="7"/>
        <v>4491.2166399999996</v>
      </c>
    </row>
    <row r="95" spans="1:15" x14ac:dyDescent="0.3">
      <c r="A95" s="13">
        <v>45455</v>
      </c>
      <c r="B95" s="4" t="str">
        <f>TEXT(Data!B95,"MMM-YYYY")</f>
        <v>Sept-2025</v>
      </c>
      <c r="C95" s="4" t="str">
        <f t="shared" si="8"/>
        <v>Jun-2024</v>
      </c>
      <c r="D95" s="14">
        <f t="shared" si="9"/>
        <v>45455</v>
      </c>
      <c r="E95" s="4" t="str">
        <f t="shared" si="5"/>
        <v>Q2-2024</v>
      </c>
      <c r="F95" t="s">
        <v>16</v>
      </c>
      <c r="G95" t="s">
        <v>25</v>
      </c>
      <c r="H95" t="s">
        <v>67</v>
      </c>
      <c r="I95" t="s">
        <v>81</v>
      </c>
      <c r="J95" s="8" t="str">
        <f t="shared" si="6"/>
        <v>High</v>
      </c>
      <c r="K95" s="4">
        <v>968.94</v>
      </c>
      <c r="L95" s="4">
        <v>968.94</v>
      </c>
      <c r="M95" s="4">
        <v>9.9000000000000005E-2</v>
      </c>
      <c r="N95" s="4">
        <v>23</v>
      </c>
      <c r="O95" s="4">
        <f t="shared" si="7"/>
        <v>1834.19273</v>
      </c>
    </row>
    <row r="96" spans="1:15" x14ac:dyDescent="0.3">
      <c r="A96" s="13">
        <v>45456</v>
      </c>
      <c r="B96" s="4" t="str">
        <f>TEXT(Data!B96,"MMM-YYYY")</f>
        <v>Apr-2023</v>
      </c>
      <c r="C96" s="4" t="str">
        <f t="shared" si="8"/>
        <v>Jun-2024</v>
      </c>
      <c r="D96" s="14">
        <f t="shared" si="9"/>
        <v>45456</v>
      </c>
      <c r="E96" s="4" t="str">
        <f t="shared" si="5"/>
        <v>Q2-2024</v>
      </c>
      <c r="F96" t="s">
        <v>16</v>
      </c>
      <c r="G96" t="s">
        <v>17</v>
      </c>
      <c r="H96" t="s">
        <v>113</v>
      </c>
      <c r="I96" t="s">
        <v>42</v>
      </c>
      <c r="J96" s="8" t="str">
        <f t="shared" si="6"/>
        <v>High</v>
      </c>
      <c r="K96" s="4">
        <v>1088.81</v>
      </c>
      <c r="L96" s="4">
        <v>1088.81</v>
      </c>
      <c r="M96" s="4">
        <v>0.16</v>
      </c>
      <c r="N96" s="4">
        <v>6</v>
      </c>
      <c r="O96" s="4">
        <f t="shared" si="7"/>
        <v>9873.8135999999995</v>
      </c>
    </row>
    <row r="97" spans="1:15" x14ac:dyDescent="0.3">
      <c r="A97" s="13">
        <v>45457</v>
      </c>
      <c r="B97" s="4" t="str">
        <f>TEXT(Data!B97,"MMM-YYYY")</f>
        <v>Aug-2025</v>
      </c>
      <c r="C97" s="4" t="str">
        <f t="shared" si="8"/>
        <v>Jun-2024</v>
      </c>
      <c r="D97" s="14">
        <f t="shared" si="9"/>
        <v>45457</v>
      </c>
      <c r="E97" s="4" t="str">
        <f t="shared" si="5"/>
        <v>Q2-2024</v>
      </c>
      <c r="F97" t="s">
        <v>78</v>
      </c>
      <c r="G97" t="s">
        <v>108</v>
      </c>
      <c r="H97" t="s">
        <v>228</v>
      </c>
      <c r="I97" t="s">
        <v>30</v>
      </c>
      <c r="J97" s="8" t="str">
        <f t="shared" si="6"/>
        <v>High</v>
      </c>
      <c r="K97" s="4">
        <v>2484.9899999999998</v>
      </c>
      <c r="L97" s="4">
        <v>2484.9899999999998</v>
      </c>
      <c r="M97" s="4">
        <v>3.4000000000000002E-2</v>
      </c>
      <c r="N97" s="4">
        <v>18</v>
      </c>
      <c r="O97" s="4">
        <f t="shared" si="7"/>
        <v>47694.762360000001</v>
      </c>
    </row>
    <row r="98" spans="1:15" x14ac:dyDescent="0.3">
      <c r="A98" s="13">
        <v>45458</v>
      </c>
      <c r="B98" s="4" t="str">
        <f>TEXT(Data!B98,"MMM-YYYY")</f>
        <v>May-2024</v>
      </c>
      <c r="C98" s="4" t="str">
        <f t="shared" si="8"/>
        <v>Jun-2024</v>
      </c>
      <c r="D98" s="14">
        <f t="shared" si="9"/>
        <v>45458</v>
      </c>
      <c r="E98" s="4" t="str">
        <f t="shared" si="5"/>
        <v>Q2-2024</v>
      </c>
      <c r="F98" t="s">
        <v>45</v>
      </c>
      <c r="G98" t="s">
        <v>60</v>
      </c>
      <c r="H98" t="s">
        <v>1364</v>
      </c>
      <c r="I98" t="s">
        <v>64</v>
      </c>
      <c r="J98" s="8" t="str">
        <f t="shared" si="6"/>
        <v>Low</v>
      </c>
      <c r="K98" s="4">
        <v>28.69</v>
      </c>
      <c r="L98" s="4">
        <v>28.69</v>
      </c>
      <c r="M98" s="4">
        <v>0.14599999999999999</v>
      </c>
      <c r="N98" s="4">
        <v>6</v>
      </c>
      <c r="O98" s="4">
        <f t="shared" si="7"/>
        <v>8605.3480799999998</v>
      </c>
    </row>
    <row r="99" spans="1:15" x14ac:dyDescent="0.3">
      <c r="A99" s="13">
        <v>45459</v>
      </c>
      <c r="B99" s="4" t="str">
        <f>TEXT(Data!B99,"MMM-YYYY")</f>
        <v>Jul-2025</v>
      </c>
      <c r="C99" s="4" t="str">
        <f t="shared" si="8"/>
        <v>Jun-2024</v>
      </c>
      <c r="D99" s="14">
        <f t="shared" si="9"/>
        <v>45459</v>
      </c>
      <c r="E99" s="4" t="str">
        <f t="shared" si="5"/>
        <v>Q2-2024</v>
      </c>
      <c r="F99" t="s">
        <v>16</v>
      </c>
      <c r="G99" t="s">
        <v>25</v>
      </c>
      <c r="H99" t="s">
        <v>67</v>
      </c>
      <c r="I99" t="s">
        <v>81</v>
      </c>
      <c r="J99" s="8" t="str">
        <f t="shared" si="6"/>
        <v>High</v>
      </c>
      <c r="K99" s="4">
        <v>1896.62</v>
      </c>
      <c r="L99" s="4">
        <v>1896.62</v>
      </c>
      <c r="M99" s="4">
        <v>0</v>
      </c>
      <c r="N99" s="4">
        <v>18</v>
      </c>
      <c r="O99" s="4">
        <f t="shared" si="7"/>
        <v>25810.2</v>
      </c>
    </row>
    <row r="100" spans="1:15" x14ac:dyDescent="0.3">
      <c r="A100" s="13">
        <v>45460</v>
      </c>
      <c r="B100" s="4" t="str">
        <f>TEXT(Data!B100,"MMM-YYYY")</f>
        <v>Feb-2023</v>
      </c>
      <c r="C100" s="4" t="str">
        <f t="shared" si="8"/>
        <v>Jun-2024</v>
      </c>
      <c r="D100" s="14">
        <f t="shared" si="9"/>
        <v>45460</v>
      </c>
      <c r="E100" s="4" t="str">
        <f t="shared" si="5"/>
        <v>Q2-2024</v>
      </c>
      <c r="F100" t="s">
        <v>45</v>
      </c>
      <c r="G100" t="s">
        <v>116</v>
      </c>
      <c r="H100" t="s">
        <v>117</v>
      </c>
      <c r="I100" t="s">
        <v>35</v>
      </c>
      <c r="J100" s="8" t="str">
        <f t="shared" si="6"/>
        <v>High</v>
      </c>
      <c r="K100" s="4">
        <v>419.17</v>
      </c>
      <c r="L100" s="4">
        <v>419.17</v>
      </c>
      <c r="M100" s="4">
        <v>9.1999999999999998E-2</v>
      </c>
      <c r="N100" s="4">
        <v>14</v>
      </c>
      <c r="O100" s="4">
        <f t="shared" si="7"/>
        <v>3615.67416</v>
      </c>
    </row>
    <row r="101" spans="1:15" x14ac:dyDescent="0.3">
      <c r="A101" s="13">
        <v>45461</v>
      </c>
      <c r="B101" s="4" t="str">
        <f>TEXT(Data!B101,"MMM-YYYY")</f>
        <v>Jan-2025</v>
      </c>
      <c r="C101" s="4" t="str">
        <f t="shared" si="8"/>
        <v>Jun-2024</v>
      </c>
      <c r="D101" s="14">
        <f t="shared" si="9"/>
        <v>45461</v>
      </c>
      <c r="E101" s="4" t="str">
        <f t="shared" si="5"/>
        <v>Q2-2024</v>
      </c>
      <c r="F101" t="s">
        <v>78</v>
      </c>
      <c r="G101" t="s">
        <v>79</v>
      </c>
      <c r="H101" t="s">
        <v>80</v>
      </c>
      <c r="I101" t="s">
        <v>57</v>
      </c>
      <c r="J101" s="8" t="str">
        <f t="shared" si="6"/>
        <v>High</v>
      </c>
      <c r="K101" s="4">
        <v>2001.17</v>
      </c>
      <c r="L101" s="4">
        <v>2001.17</v>
      </c>
      <c r="M101" s="4">
        <v>0.29199999999999998</v>
      </c>
      <c r="N101" s="4">
        <v>18</v>
      </c>
      <c r="O101" s="4">
        <f t="shared" si="7"/>
        <v>8854.276319999999</v>
      </c>
    </row>
    <row r="102" spans="1:15" x14ac:dyDescent="0.3">
      <c r="A102" s="13">
        <v>45462</v>
      </c>
      <c r="B102" s="4" t="str">
        <f>TEXT(Data!B102,"MMM-YYYY")</f>
        <v>Jan-2024</v>
      </c>
      <c r="C102" s="4" t="str">
        <f t="shared" si="8"/>
        <v>Jun-2024</v>
      </c>
      <c r="D102" s="14">
        <f t="shared" si="9"/>
        <v>45462</v>
      </c>
      <c r="E102" s="4" t="str">
        <f t="shared" si="5"/>
        <v>Q2-2024</v>
      </c>
      <c r="F102" t="s">
        <v>45</v>
      </c>
      <c r="G102" t="s">
        <v>116</v>
      </c>
      <c r="H102" t="s">
        <v>117</v>
      </c>
      <c r="I102" t="s">
        <v>42</v>
      </c>
      <c r="J102" s="8" t="str">
        <f t="shared" si="6"/>
        <v>High</v>
      </c>
      <c r="K102" s="4">
        <v>3104.71</v>
      </c>
      <c r="L102" s="4">
        <v>3104.71</v>
      </c>
      <c r="M102" s="4">
        <v>0</v>
      </c>
      <c r="N102" s="4">
        <v>17</v>
      </c>
      <c r="O102" s="4">
        <f t="shared" si="7"/>
        <v>31422.63</v>
      </c>
    </row>
    <row r="103" spans="1:15" x14ac:dyDescent="0.3">
      <c r="A103" s="13">
        <v>45463</v>
      </c>
      <c r="B103" s="4" t="str">
        <f>TEXT(Data!B103,"MMM-YYYY")</f>
        <v>Mar-2025</v>
      </c>
      <c r="C103" s="4" t="str">
        <f t="shared" si="8"/>
        <v>Jun-2024</v>
      </c>
      <c r="D103" s="14">
        <f t="shared" si="9"/>
        <v>45463</v>
      </c>
      <c r="E103" s="4" t="str">
        <f t="shared" si="5"/>
        <v>Q2-2024</v>
      </c>
      <c r="F103" t="s">
        <v>45</v>
      </c>
      <c r="G103" t="s">
        <v>60</v>
      </c>
      <c r="H103" t="s">
        <v>220</v>
      </c>
      <c r="I103" t="s">
        <v>22</v>
      </c>
      <c r="J103" s="8" t="str">
        <f t="shared" si="6"/>
        <v>High</v>
      </c>
      <c r="K103" s="4">
        <v>334.28</v>
      </c>
      <c r="L103" s="4">
        <v>334.28</v>
      </c>
      <c r="M103" s="4">
        <v>0.14000000000000001</v>
      </c>
      <c r="N103" s="4">
        <v>22</v>
      </c>
      <c r="O103" s="4">
        <f t="shared" si="7"/>
        <v>854.99479999999994</v>
      </c>
    </row>
    <row r="104" spans="1:15" x14ac:dyDescent="0.3">
      <c r="A104" s="13">
        <v>45464</v>
      </c>
      <c r="B104" s="4" t="str">
        <f>TEXT(Data!B104,"MMM-YYYY")</f>
        <v>Dec-2024</v>
      </c>
      <c r="C104" s="4" t="str">
        <f t="shared" si="8"/>
        <v>Jun-2024</v>
      </c>
      <c r="D104" s="14">
        <f t="shared" si="9"/>
        <v>45464</v>
      </c>
      <c r="E104" s="4" t="str">
        <f t="shared" si="5"/>
        <v>Q2-2024</v>
      </c>
      <c r="F104" t="s">
        <v>16</v>
      </c>
      <c r="G104" t="s">
        <v>17</v>
      </c>
      <c r="H104" t="s">
        <v>135</v>
      </c>
      <c r="I104" t="s">
        <v>57</v>
      </c>
      <c r="J104" s="8" t="str">
        <f t="shared" si="6"/>
        <v>High</v>
      </c>
      <c r="K104" s="4">
        <v>1952.83</v>
      </c>
      <c r="L104" s="4">
        <v>1952.83</v>
      </c>
      <c r="M104" s="4">
        <v>0</v>
      </c>
      <c r="N104" s="4">
        <v>7</v>
      </c>
      <c r="O104" s="4">
        <f t="shared" si="7"/>
        <v>2527.7000000000003</v>
      </c>
    </row>
    <row r="105" spans="1:15" x14ac:dyDescent="0.3">
      <c r="A105" s="13">
        <v>45465</v>
      </c>
      <c r="B105" s="4" t="str">
        <f>TEXT(Data!B105,"MMM-YYYY")</f>
        <v>Sept-2024</v>
      </c>
      <c r="C105" s="4" t="str">
        <f t="shared" si="8"/>
        <v>Jun-2024</v>
      </c>
      <c r="D105" s="14">
        <f t="shared" si="9"/>
        <v>45465</v>
      </c>
      <c r="E105" s="4" t="str">
        <f t="shared" si="5"/>
        <v>Q2-2024</v>
      </c>
      <c r="F105" t="s">
        <v>52</v>
      </c>
      <c r="G105" t="s">
        <v>53</v>
      </c>
      <c r="H105" t="s">
        <v>179</v>
      </c>
      <c r="I105" t="s">
        <v>81</v>
      </c>
      <c r="J105" s="8" t="str">
        <f t="shared" si="6"/>
        <v>High</v>
      </c>
      <c r="K105" s="4">
        <v>242.29</v>
      </c>
      <c r="L105" s="4">
        <v>242.29</v>
      </c>
      <c r="M105" s="4">
        <v>0.18</v>
      </c>
      <c r="N105" s="4">
        <v>30</v>
      </c>
      <c r="O105" s="4">
        <f t="shared" si="7"/>
        <v>24706.764000000003</v>
      </c>
    </row>
    <row r="106" spans="1:15" x14ac:dyDescent="0.3">
      <c r="A106" s="13">
        <v>45466</v>
      </c>
      <c r="B106" s="4" t="str">
        <f>TEXT(Data!B106,"MMM-YYYY")</f>
        <v>May-2024</v>
      </c>
      <c r="C106" s="4" t="str">
        <f t="shared" si="8"/>
        <v>Jun-2024</v>
      </c>
      <c r="D106" s="14">
        <f t="shared" si="9"/>
        <v>45466</v>
      </c>
      <c r="E106" s="4" t="str">
        <f t="shared" si="5"/>
        <v>Q2-2024</v>
      </c>
      <c r="F106" t="s">
        <v>45</v>
      </c>
      <c r="G106" t="s">
        <v>116</v>
      </c>
      <c r="H106" t="s">
        <v>162</v>
      </c>
      <c r="I106" t="s">
        <v>57</v>
      </c>
      <c r="J106" s="8" t="str">
        <f t="shared" si="6"/>
        <v>High</v>
      </c>
      <c r="K106" s="4">
        <v>2968.87</v>
      </c>
      <c r="L106" s="4">
        <v>2968.87</v>
      </c>
      <c r="M106" s="4">
        <v>0.16900000000000001</v>
      </c>
      <c r="N106" s="4">
        <v>5</v>
      </c>
      <c r="O106" s="4">
        <f t="shared" si="7"/>
        <v>4270.2181499999997</v>
      </c>
    </row>
    <row r="107" spans="1:15" x14ac:dyDescent="0.3">
      <c r="A107" s="13">
        <v>45467</v>
      </c>
      <c r="B107" s="4" t="str">
        <f>TEXT(Data!B107,"MMM-YYYY")</f>
        <v>May-2023</v>
      </c>
      <c r="C107" s="4" t="str">
        <f t="shared" si="8"/>
        <v>Jun-2024</v>
      </c>
      <c r="D107" s="14">
        <f t="shared" si="9"/>
        <v>45467</v>
      </c>
      <c r="E107" s="4" t="str">
        <f t="shared" si="5"/>
        <v>Q2-2024</v>
      </c>
      <c r="F107" t="s">
        <v>16</v>
      </c>
      <c r="G107" t="s">
        <v>148</v>
      </c>
      <c r="H107" t="s">
        <v>149</v>
      </c>
      <c r="I107" t="s">
        <v>22</v>
      </c>
      <c r="J107" s="8" t="str">
        <f t="shared" si="6"/>
        <v>High</v>
      </c>
      <c r="K107" s="4">
        <v>1394.3</v>
      </c>
      <c r="L107" s="4">
        <v>1394.3</v>
      </c>
      <c r="M107" s="4">
        <v>0.27800000000000002</v>
      </c>
      <c r="N107" s="4">
        <v>12</v>
      </c>
      <c r="O107" s="4">
        <f t="shared" si="7"/>
        <v>4055.5317599999998</v>
      </c>
    </row>
    <row r="108" spans="1:15" x14ac:dyDescent="0.3">
      <c r="A108" s="13">
        <v>45468</v>
      </c>
      <c r="B108" s="4" t="str">
        <f>TEXT(Data!B108,"MMM-YYYY")</f>
        <v>Aug-2024</v>
      </c>
      <c r="C108" s="4" t="str">
        <f t="shared" si="8"/>
        <v>Jun-2024</v>
      </c>
      <c r="D108" s="14">
        <f t="shared" si="9"/>
        <v>45468</v>
      </c>
      <c r="E108" s="4" t="str">
        <f t="shared" si="5"/>
        <v>Q2-2024</v>
      </c>
      <c r="F108" t="s">
        <v>16</v>
      </c>
      <c r="G108" t="s">
        <v>17</v>
      </c>
      <c r="H108" t="s">
        <v>113</v>
      </c>
      <c r="I108" t="s">
        <v>42</v>
      </c>
      <c r="J108" s="8" t="str">
        <f t="shared" si="6"/>
        <v>Low</v>
      </c>
      <c r="K108" s="4">
        <v>15.41</v>
      </c>
      <c r="L108" s="4">
        <v>15.41</v>
      </c>
      <c r="M108" s="4">
        <v>0.13700000000000001</v>
      </c>
      <c r="N108" s="4">
        <v>39</v>
      </c>
      <c r="O108" s="4">
        <f t="shared" si="7"/>
        <v>22483.549139999999</v>
      </c>
    </row>
    <row r="109" spans="1:15" x14ac:dyDescent="0.3">
      <c r="A109" s="13">
        <v>45469</v>
      </c>
      <c r="B109" s="4" t="str">
        <f>TEXT(Data!B109,"MMM-YYYY")</f>
        <v>Oct-2024</v>
      </c>
      <c r="C109" s="4" t="str">
        <f t="shared" si="8"/>
        <v>Jun-2024</v>
      </c>
      <c r="D109" s="14">
        <f t="shared" si="9"/>
        <v>45469</v>
      </c>
      <c r="E109" s="4" t="str">
        <f t="shared" si="5"/>
        <v>Q2-2024</v>
      </c>
      <c r="F109" t="s">
        <v>78</v>
      </c>
      <c r="G109" t="s">
        <v>108</v>
      </c>
      <c r="H109" t="s">
        <v>228</v>
      </c>
      <c r="I109" t="s">
        <v>42</v>
      </c>
      <c r="J109" s="8" t="str">
        <f t="shared" si="6"/>
        <v>High</v>
      </c>
      <c r="K109" s="4">
        <v>2250.81</v>
      </c>
      <c r="L109" s="4">
        <v>2250.81</v>
      </c>
      <c r="M109" s="4">
        <v>0.123</v>
      </c>
      <c r="N109" s="4">
        <v>12</v>
      </c>
      <c r="O109" s="4">
        <f t="shared" si="7"/>
        <v>5654.22948</v>
      </c>
    </row>
    <row r="110" spans="1:15" x14ac:dyDescent="0.3">
      <c r="A110" s="13">
        <v>45470</v>
      </c>
      <c r="B110" s="4" t="str">
        <f>TEXT(Data!B110,"MMM-YYYY")</f>
        <v>Jun-2024</v>
      </c>
      <c r="C110" s="4" t="str">
        <f t="shared" si="8"/>
        <v>Jun-2024</v>
      </c>
      <c r="D110" s="14">
        <f t="shared" si="9"/>
        <v>45470</v>
      </c>
      <c r="E110" s="4" t="str">
        <f t="shared" si="5"/>
        <v>Q2-2024</v>
      </c>
      <c r="F110" t="s">
        <v>45</v>
      </c>
      <c r="G110" t="s">
        <v>46</v>
      </c>
      <c r="H110" t="s">
        <v>47</v>
      </c>
      <c r="I110" t="s">
        <v>35</v>
      </c>
      <c r="J110" s="8" t="str">
        <f t="shared" si="6"/>
        <v>Medium</v>
      </c>
      <c r="K110" s="4">
        <v>166.04</v>
      </c>
      <c r="L110" s="4">
        <v>166.04</v>
      </c>
      <c r="M110" s="4">
        <v>0</v>
      </c>
      <c r="N110" s="4">
        <v>10</v>
      </c>
      <c r="O110" s="4">
        <f t="shared" si="7"/>
        <v>5727.1</v>
      </c>
    </row>
    <row r="111" spans="1:15" x14ac:dyDescent="0.3">
      <c r="A111" s="13">
        <v>45471</v>
      </c>
      <c r="B111" s="4" t="str">
        <f>TEXT(Data!B111,"MMM-YYYY")</f>
        <v>Jun-2024</v>
      </c>
      <c r="C111" s="4" t="str">
        <f t="shared" si="8"/>
        <v>Jun-2024</v>
      </c>
      <c r="D111" s="14">
        <f t="shared" si="9"/>
        <v>45471</v>
      </c>
      <c r="E111" s="4" t="str">
        <f t="shared" si="5"/>
        <v>Q2-2024</v>
      </c>
      <c r="F111" t="s">
        <v>16</v>
      </c>
      <c r="G111" t="s">
        <v>17</v>
      </c>
      <c r="H111" t="s">
        <v>18</v>
      </c>
      <c r="I111" t="s">
        <v>81</v>
      </c>
      <c r="J111" s="8" t="str">
        <f t="shared" si="6"/>
        <v>High</v>
      </c>
      <c r="K111" s="4">
        <v>356.55</v>
      </c>
      <c r="L111" s="4">
        <v>356.55</v>
      </c>
      <c r="M111" s="4">
        <v>0.22900000000000001</v>
      </c>
      <c r="N111" s="4">
        <v>2</v>
      </c>
      <c r="O111" s="4">
        <f t="shared" si="7"/>
        <v>3583.4075399999997</v>
      </c>
    </row>
    <row r="112" spans="1:15" x14ac:dyDescent="0.3">
      <c r="A112" s="13">
        <v>45472</v>
      </c>
      <c r="B112" s="4" t="str">
        <f>TEXT(Data!B112,"MMM-YYYY")</f>
        <v>Jun-2024</v>
      </c>
      <c r="C112" s="4" t="str">
        <f t="shared" si="8"/>
        <v>Jun-2024</v>
      </c>
      <c r="D112" s="14">
        <f t="shared" si="9"/>
        <v>45472</v>
      </c>
      <c r="E112" s="4" t="str">
        <f t="shared" si="5"/>
        <v>Q2-2024</v>
      </c>
      <c r="F112" t="s">
        <v>45</v>
      </c>
      <c r="G112" t="s">
        <v>116</v>
      </c>
      <c r="H112" t="s">
        <v>117</v>
      </c>
      <c r="I112" t="s">
        <v>22</v>
      </c>
      <c r="J112" s="8" t="str">
        <f t="shared" si="6"/>
        <v>High</v>
      </c>
      <c r="K112" s="4">
        <v>1025.05</v>
      </c>
      <c r="L112" s="4">
        <v>1025.05</v>
      </c>
      <c r="M112" s="4">
        <v>0</v>
      </c>
      <c r="N112" s="4">
        <v>27</v>
      </c>
      <c r="O112" s="4">
        <f t="shared" si="7"/>
        <v>44038.080000000002</v>
      </c>
    </row>
    <row r="113" spans="1:15" x14ac:dyDescent="0.3">
      <c r="A113" s="13">
        <v>45473</v>
      </c>
      <c r="B113" s="4" t="str">
        <f>TEXT(Data!B113,"MMM-YYYY")</f>
        <v>Jun-2024</v>
      </c>
      <c r="C113" s="4" t="str">
        <f t="shared" si="8"/>
        <v>Jun-2024</v>
      </c>
      <c r="D113" s="14">
        <f t="shared" si="9"/>
        <v>45473</v>
      </c>
      <c r="E113" s="4" t="str">
        <f t="shared" si="5"/>
        <v>Q2-2024</v>
      </c>
      <c r="F113" t="s">
        <v>78</v>
      </c>
      <c r="G113" t="s">
        <v>108</v>
      </c>
      <c r="H113" t="s">
        <v>109</v>
      </c>
      <c r="I113" t="s">
        <v>57</v>
      </c>
      <c r="J113" s="8" t="str">
        <f t="shared" si="6"/>
        <v>High</v>
      </c>
      <c r="K113" s="4">
        <v>1795.17</v>
      </c>
      <c r="L113" s="4">
        <v>1795.17</v>
      </c>
      <c r="M113" s="4">
        <v>1.2E-2</v>
      </c>
      <c r="N113" s="4">
        <v>17</v>
      </c>
      <c r="O113" s="4">
        <f t="shared" si="7"/>
        <v>6606.0347600000005</v>
      </c>
    </row>
    <row r="114" spans="1:15" x14ac:dyDescent="0.3">
      <c r="A114" s="13">
        <v>45474</v>
      </c>
      <c r="B114" s="4" t="str">
        <f>TEXT(Data!B114,"MMM-YYYY")</f>
        <v>Jan-2025</v>
      </c>
      <c r="C114" s="4" t="str">
        <f t="shared" si="8"/>
        <v>Jul-2024</v>
      </c>
      <c r="D114" s="14">
        <f t="shared" si="9"/>
        <v>45474</v>
      </c>
      <c r="E114" s="4" t="str">
        <f t="shared" si="5"/>
        <v>Q3-2024</v>
      </c>
      <c r="F114" t="s">
        <v>16</v>
      </c>
      <c r="G114" t="s">
        <v>148</v>
      </c>
      <c r="H114" t="s">
        <v>172</v>
      </c>
      <c r="I114" t="s">
        <v>35</v>
      </c>
      <c r="J114" s="8" t="str">
        <f t="shared" si="6"/>
        <v>Low</v>
      </c>
      <c r="K114" s="4">
        <v>4.37</v>
      </c>
      <c r="L114" s="4">
        <v>4.37</v>
      </c>
      <c r="M114" s="4">
        <v>0.11799999999999999</v>
      </c>
      <c r="N114" s="4">
        <v>9</v>
      </c>
      <c r="O114" s="4">
        <f t="shared" si="7"/>
        <v>14734.198080000002</v>
      </c>
    </row>
    <row r="115" spans="1:15" x14ac:dyDescent="0.3">
      <c r="A115" s="13">
        <v>45475</v>
      </c>
      <c r="B115" s="4" t="str">
        <f>TEXT(Data!B115,"MMM-YYYY")</f>
        <v>Nov-2023</v>
      </c>
      <c r="C115" s="4" t="str">
        <f t="shared" si="8"/>
        <v>Jul-2024</v>
      </c>
      <c r="D115" s="14">
        <f t="shared" si="9"/>
        <v>45475</v>
      </c>
      <c r="E115" s="4" t="str">
        <f t="shared" si="5"/>
        <v>Q3-2024</v>
      </c>
      <c r="F115" t="s">
        <v>52</v>
      </c>
      <c r="G115" t="s">
        <v>122</v>
      </c>
      <c r="H115" t="s">
        <v>326</v>
      </c>
      <c r="I115" t="s">
        <v>81</v>
      </c>
      <c r="J115" s="8" t="str">
        <f t="shared" si="6"/>
        <v>High</v>
      </c>
      <c r="K115" s="4">
        <v>218.5</v>
      </c>
      <c r="L115" s="4">
        <v>218.5</v>
      </c>
      <c r="M115" s="4">
        <v>0.11899999999999999</v>
      </c>
      <c r="N115" s="4">
        <v>11</v>
      </c>
      <c r="O115" s="4">
        <f t="shared" si="7"/>
        <v>822.7659000000001</v>
      </c>
    </row>
    <row r="116" spans="1:15" x14ac:dyDescent="0.3">
      <c r="A116" s="13">
        <v>45476</v>
      </c>
      <c r="B116" s="4" t="str">
        <f>TEXT(Data!B116,"MMM-YYYY")</f>
        <v>Mar-2023</v>
      </c>
      <c r="C116" s="4" t="str">
        <f t="shared" si="8"/>
        <v>Jul-2024</v>
      </c>
      <c r="D116" s="14">
        <f t="shared" si="9"/>
        <v>45476</v>
      </c>
      <c r="E116" s="4" t="str">
        <f t="shared" si="5"/>
        <v>Q3-2024</v>
      </c>
      <c r="F116" t="s">
        <v>45</v>
      </c>
      <c r="G116" t="s">
        <v>46</v>
      </c>
      <c r="H116" t="s">
        <v>214</v>
      </c>
      <c r="I116" t="s">
        <v>35</v>
      </c>
      <c r="J116" s="8" t="str">
        <f t="shared" si="6"/>
        <v>High</v>
      </c>
      <c r="K116" s="4">
        <v>249.87</v>
      </c>
      <c r="L116" s="4">
        <v>249.87</v>
      </c>
      <c r="M116" s="4">
        <v>0</v>
      </c>
      <c r="N116" s="4">
        <v>6</v>
      </c>
      <c r="O116" s="4">
        <f t="shared" si="7"/>
        <v>13513.439999999999</v>
      </c>
    </row>
    <row r="117" spans="1:15" x14ac:dyDescent="0.3">
      <c r="A117" s="13">
        <v>45477</v>
      </c>
      <c r="B117" s="4" t="str">
        <f>TEXT(Data!B117,"MMM-YYYY")</f>
        <v>Jun-2025</v>
      </c>
      <c r="C117" s="4" t="str">
        <f t="shared" si="8"/>
        <v>Jul-2024</v>
      </c>
      <c r="D117" s="14">
        <f t="shared" si="9"/>
        <v>45477</v>
      </c>
      <c r="E117" s="4" t="str">
        <f t="shared" si="5"/>
        <v>Q3-2024</v>
      </c>
      <c r="F117" t="s">
        <v>52</v>
      </c>
      <c r="G117" t="s">
        <v>73</v>
      </c>
      <c r="H117" t="s">
        <v>87</v>
      </c>
      <c r="I117" t="s">
        <v>64</v>
      </c>
      <c r="J117" s="8" t="str">
        <f t="shared" si="6"/>
        <v>High</v>
      </c>
      <c r="K117" s="4">
        <v>3436.52</v>
      </c>
      <c r="L117" s="4">
        <v>3436.52</v>
      </c>
      <c r="M117" s="4">
        <v>0.108</v>
      </c>
      <c r="N117" s="4">
        <v>8</v>
      </c>
      <c r="O117" s="4">
        <f t="shared" si="7"/>
        <v>6576.6803200000004</v>
      </c>
    </row>
    <row r="118" spans="1:15" x14ac:dyDescent="0.3">
      <c r="A118" s="13">
        <v>45478</v>
      </c>
      <c r="B118" s="4" t="str">
        <f>TEXT(Data!B118,"MMM-YYYY")</f>
        <v>Dec-2024</v>
      </c>
      <c r="C118" s="4" t="str">
        <f t="shared" si="8"/>
        <v>Jul-2024</v>
      </c>
      <c r="D118" s="14">
        <f t="shared" si="9"/>
        <v>45478</v>
      </c>
      <c r="E118" s="4" t="str">
        <f t="shared" si="5"/>
        <v>Q3-2024</v>
      </c>
      <c r="F118" t="s">
        <v>52</v>
      </c>
      <c r="G118" t="s">
        <v>53</v>
      </c>
      <c r="H118" t="s">
        <v>54</v>
      </c>
      <c r="I118" t="s">
        <v>30</v>
      </c>
      <c r="J118" s="8" t="str">
        <f t="shared" si="6"/>
        <v>Medium</v>
      </c>
      <c r="K118" s="4">
        <v>53.45</v>
      </c>
      <c r="L118" s="4">
        <v>53.45</v>
      </c>
      <c r="M118" s="4">
        <v>0.157</v>
      </c>
      <c r="N118" s="4">
        <v>17</v>
      </c>
      <c r="O118" s="4">
        <f t="shared" si="7"/>
        <v>23548.41258</v>
      </c>
    </row>
    <row r="119" spans="1:15" x14ac:dyDescent="0.3">
      <c r="A119" s="13">
        <v>45479</v>
      </c>
      <c r="B119" s="4" t="str">
        <f>TEXT(Data!B119,"MMM-YYYY")</f>
        <v>Jun-2023</v>
      </c>
      <c r="C119" s="4" t="str">
        <f t="shared" si="8"/>
        <v>Jul-2024</v>
      </c>
      <c r="D119" s="14">
        <f t="shared" si="9"/>
        <v>45479</v>
      </c>
      <c r="E119" s="4" t="str">
        <f t="shared" si="5"/>
        <v>Q3-2024</v>
      </c>
      <c r="F119" t="s">
        <v>78</v>
      </c>
      <c r="G119" t="s">
        <v>79</v>
      </c>
      <c r="H119" t="s">
        <v>335</v>
      </c>
      <c r="I119" t="s">
        <v>57</v>
      </c>
      <c r="J119" s="8" t="str">
        <f t="shared" si="6"/>
        <v>High</v>
      </c>
      <c r="K119" s="4">
        <v>3469.7</v>
      </c>
      <c r="L119" s="4">
        <v>3469.7</v>
      </c>
      <c r="M119" s="4">
        <v>0.184</v>
      </c>
      <c r="N119" s="4">
        <v>23</v>
      </c>
      <c r="O119" s="4">
        <f t="shared" si="7"/>
        <v>27535.846560000005</v>
      </c>
    </row>
    <row r="120" spans="1:15" x14ac:dyDescent="0.3">
      <c r="A120" s="13">
        <v>45480</v>
      </c>
      <c r="B120" s="4" t="str">
        <f>TEXT(Data!B120,"MMM-YYYY")</f>
        <v>Jul-2025</v>
      </c>
      <c r="C120" s="4" t="str">
        <f t="shared" si="8"/>
        <v>Jul-2024</v>
      </c>
      <c r="D120" s="14">
        <f t="shared" si="9"/>
        <v>45480</v>
      </c>
      <c r="E120" s="4" t="str">
        <f t="shared" si="5"/>
        <v>Q3-2024</v>
      </c>
      <c r="F120" t="s">
        <v>45</v>
      </c>
      <c r="G120" t="s">
        <v>116</v>
      </c>
      <c r="H120" t="s">
        <v>338</v>
      </c>
      <c r="I120" t="s">
        <v>64</v>
      </c>
      <c r="J120" s="8" t="str">
        <f t="shared" si="6"/>
        <v>High</v>
      </c>
      <c r="K120" s="4">
        <v>621.02</v>
      </c>
      <c r="L120" s="4">
        <v>621.02</v>
      </c>
      <c r="M120" s="4">
        <v>7.0999999999999994E-2</v>
      </c>
      <c r="N120" s="4">
        <v>10</v>
      </c>
      <c r="O120" s="4">
        <f t="shared" si="7"/>
        <v>9278.4804000000004</v>
      </c>
    </row>
    <row r="121" spans="1:15" x14ac:dyDescent="0.3">
      <c r="A121" s="13">
        <v>45481</v>
      </c>
      <c r="B121" s="4" t="str">
        <f>TEXT(Data!B121,"MMM-YYYY")</f>
        <v>Jun-2025</v>
      </c>
      <c r="C121" s="4" t="str">
        <f t="shared" si="8"/>
        <v>Jul-2024</v>
      </c>
      <c r="D121" s="14">
        <f t="shared" si="9"/>
        <v>45481</v>
      </c>
      <c r="E121" s="4" t="str">
        <f t="shared" si="5"/>
        <v>Q3-2024</v>
      </c>
      <c r="F121" t="s">
        <v>52</v>
      </c>
      <c r="G121" t="s">
        <v>53</v>
      </c>
      <c r="H121" t="s">
        <v>179</v>
      </c>
      <c r="I121" t="s">
        <v>57</v>
      </c>
      <c r="J121" s="8" t="str">
        <f t="shared" si="6"/>
        <v>Medium</v>
      </c>
      <c r="K121" s="4">
        <v>88.51</v>
      </c>
      <c r="L121" s="4">
        <v>88.51</v>
      </c>
      <c r="M121" s="4">
        <v>4.2999999999999997E-2</v>
      </c>
      <c r="N121" s="4">
        <v>7</v>
      </c>
      <c r="O121" s="4">
        <f t="shared" si="7"/>
        <v>4225.1932799999995</v>
      </c>
    </row>
    <row r="122" spans="1:15" x14ac:dyDescent="0.3">
      <c r="A122" s="13">
        <v>45482</v>
      </c>
      <c r="B122" s="4" t="str">
        <f>TEXT(Data!B122,"MMM-YYYY")</f>
        <v>Nov-2023</v>
      </c>
      <c r="C122" s="4" t="str">
        <f t="shared" si="8"/>
        <v>Jul-2024</v>
      </c>
      <c r="D122" s="14">
        <f t="shared" si="9"/>
        <v>45482</v>
      </c>
      <c r="E122" s="4" t="str">
        <f t="shared" si="5"/>
        <v>Q3-2024</v>
      </c>
      <c r="F122" t="s">
        <v>78</v>
      </c>
      <c r="G122" t="s">
        <v>108</v>
      </c>
      <c r="H122" t="s">
        <v>1364</v>
      </c>
      <c r="I122" t="s">
        <v>35</v>
      </c>
      <c r="J122" s="8" t="str">
        <f t="shared" si="6"/>
        <v>High</v>
      </c>
      <c r="K122" s="4">
        <v>1959.09</v>
      </c>
      <c r="L122" s="4">
        <v>1959.09</v>
      </c>
      <c r="M122" s="4">
        <v>0.123</v>
      </c>
      <c r="N122" s="4">
        <v>23</v>
      </c>
      <c r="O122" s="4">
        <f t="shared" si="7"/>
        <v>14696.792309999999</v>
      </c>
    </row>
    <row r="123" spans="1:15" x14ac:dyDescent="0.3">
      <c r="A123" s="13">
        <v>45483</v>
      </c>
      <c r="B123" s="4" t="str">
        <f>TEXT(Data!B123,"MMM-YYYY")</f>
        <v>Dec-2023</v>
      </c>
      <c r="C123" s="4" t="str">
        <f t="shared" si="8"/>
        <v>Jul-2024</v>
      </c>
      <c r="D123" s="14">
        <f t="shared" si="9"/>
        <v>45483</v>
      </c>
      <c r="E123" s="4" t="str">
        <f t="shared" si="5"/>
        <v>Q3-2024</v>
      </c>
      <c r="F123" t="s">
        <v>78</v>
      </c>
      <c r="G123" t="s">
        <v>90</v>
      </c>
      <c r="H123" t="s">
        <v>138</v>
      </c>
      <c r="I123" t="s">
        <v>64</v>
      </c>
      <c r="J123" s="8" t="str">
        <f t="shared" si="6"/>
        <v>High</v>
      </c>
      <c r="K123" s="4">
        <v>2742.97</v>
      </c>
      <c r="L123" s="4">
        <v>2742.97</v>
      </c>
      <c r="M123" s="4">
        <v>6.9000000000000006E-2</v>
      </c>
      <c r="N123" s="4">
        <v>9</v>
      </c>
      <c r="O123" s="4">
        <f t="shared" si="7"/>
        <v>7972.7022900000002</v>
      </c>
    </row>
    <row r="124" spans="1:15" x14ac:dyDescent="0.3">
      <c r="A124" s="13">
        <v>45484</v>
      </c>
      <c r="B124" s="4" t="str">
        <f>TEXT(Data!B124,"MMM-YYYY")</f>
        <v>Nov-2024</v>
      </c>
      <c r="C124" s="4" t="str">
        <f t="shared" si="8"/>
        <v>Jul-2024</v>
      </c>
      <c r="D124" s="14">
        <f t="shared" si="9"/>
        <v>45484</v>
      </c>
      <c r="E124" s="4" t="str">
        <f t="shared" si="5"/>
        <v>Q3-2024</v>
      </c>
      <c r="F124" t="s">
        <v>16</v>
      </c>
      <c r="G124" t="s">
        <v>17</v>
      </c>
      <c r="H124" t="s">
        <v>18</v>
      </c>
      <c r="I124" t="s">
        <v>42</v>
      </c>
      <c r="J124" s="8" t="str">
        <f t="shared" si="6"/>
        <v>High</v>
      </c>
      <c r="K124" s="4">
        <v>1679.42</v>
      </c>
      <c r="L124" s="4">
        <v>1679.42</v>
      </c>
      <c r="M124" s="4">
        <v>0.20300000000000001</v>
      </c>
      <c r="N124" s="4">
        <v>12</v>
      </c>
      <c r="O124" s="4">
        <f t="shared" si="7"/>
        <v>7009.2643199999993</v>
      </c>
    </row>
    <row r="125" spans="1:15" x14ac:dyDescent="0.3">
      <c r="A125" s="13">
        <v>45485</v>
      </c>
      <c r="B125" s="4" t="str">
        <f>TEXT(Data!B125,"MMM-YYYY")</f>
        <v>Aug-2023</v>
      </c>
      <c r="C125" s="4" t="str">
        <f t="shared" si="8"/>
        <v>Jul-2024</v>
      </c>
      <c r="D125" s="14">
        <f t="shared" si="9"/>
        <v>45485</v>
      </c>
      <c r="E125" s="4" t="str">
        <f t="shared" si="5"/>
        <v>Q3-2024</v>
      </c>
      <c r="F125" t="s">
        <v>52</v>
      </c>
      <c r="G125" t="s">
        <v>73</v>
      </c>
      <c r="H125" t="s">
        <v>87</v>
      </c>
      <c r="I125" t="s">
        <v>35</v>
      </c>
      <c r="J125" s="8" t="str">
        <f t="shared" si="6"/>
        <v>High</v>
      </c>
      <c r="K125" s="4">
        <v>1433.9</v>
      </c>
      <c r="L125" s="4">
        <v>1433.9</v>
      </c>
      <c r="M125" s="4">
        <v>5.7000000000000002E-2</v>
      </c>
      <c r="N125" s="4">
        <v>8</v>
      </c>
      <c r="O125" s="4">
        <f t="shared" si="7"/>
        <v>18192.506879999997</v>
      </c>
    </row>
    <row r="126" spans="1:15" x14ac:dyDescent="0.3">
      <c r="A126" s="13">
        <v>45486</v>
      </c>
      <c r="B126" s="4" t="str">
        <f>TEXT(Data!B126,"MMM-YYYY")</f>
        <v>Aug-2023</v>
      </c>
      <c r="C126" s="4" t="str">
        <f t="shared" si="8"/>
        <v>Jul-2024</v>
      </c>
      <c r="D126" s="14">
        <f t="shared" si="9"/>
        <v>45486</v>
      </c>
      <c r="E126" s="4" t="str">
        <f t="shared" si="5"/>
        <v>Q3-2024</v>
      </c>
      <c r="F126" t="s">
        <v>52</v>
      </c>
      <c r="G126" t="s">
        <v>53</v>
      </c>
      <c r="H126" t="s">
        <v>144</v>
      </c>
      <c r="I126" t="s">
        <v>22</v>
      </c>
      <c r="J126" s="8" t="str">
        <f t="shared" si="6"/>
        <v>High</v>
      </c>
      <c r="K126" s="4">
        <v>284.43</v>
      </c>
      <c r="L126" s="4">
        <v>284.43</v>
      </c>
      <c r="M126" s="4">
        <v>8.8999999999999996E-2</v>
      </c>
      <c r="N126" s="4">
        <v>8</v>
      </c>
      <c r="O126" s="4">
        <f t="shared" si="7"/>
        <v>4141.6975199999997</v>
      </c>
    </row>
    <row r="127" spans="1:15" x14ac:dyDescent="0.3">
      <c r="A127" s="13">
        <v>45487</v>
      </c>
      <c r="B127" s="4" t="str">
        <f>TEXT(Data!B127,"MMM-YYYY")</f>
        <v>Jun-2024</v>
      </c>
      <c r="C127" s="4" t="str">
        <f t="shared" si="8"/>
        <v>Jul-2024</v>
      </c>
      <c r="D127" s="14">
        <f t="shared" si="9"/>
        <v>45487</v>
      </c>
      <c r="E127" s="4" t="str">
        <f t="shared" si="5"/>
        <v>Q3-2024</v>
      </c>
      <c r="F127" t="s">
        <v>45</v>
      </c>
      <c r="G127" t="s">
        <v>116</v>
      </c>
      <c r="H127" t="s">
        <v>162</v>
      </c>
      <c r="I127" t="s">
        <v>22</v>
      </c>
      <c r="J127" s="8" t="str">
        <f t="shared" si="6"/>
        <v>High</v>
      </c>
      <c r="K127" s="4">
        <v>694.78</v>
      </c>
      <c r="L127" s="4">
        <v>694.78</v>
      </c>
      <c r="M127" s="4">
        <v>8.4000000000000005E-2</v>
      </c>
      <c r="N127" s="4">
        <v>14</v>
      </c>
      <c r="O127" s="4">
        <f t="shared" si="7"/>
        <v>16093.478800000001</v>
      </c>
    </row>
    <row r="128" spans="1:15" x14ac:dyDescent="0.3">
      <c r="A128" s="13">
        <v>45488</v>
      </c>
      <c r="B128" s="4" t="str">
        <f>TEXT(Data!B128,"MMM-YYYY")</f>
        <v>Aug-2025</v>
      </c>
      <c r="C128" s="4" t="str">
        <f t="shared" si="8"/>
        <v>Jul-2024</v>
      </c>
      <c r="D128" s="14">
        <f t="shared" si="9"/>
        <v>45488</v>
      </c>
      <c r="E128" s="4" t="str">
        <f t="shared" si="5"/>
        <v>Q3-2024</v>
      </c>
      <c r="F128" t="s">
        <v>78</v>
      </c>
      <c r="G128" t="s">
        <v>79</v>
      </c>
      <c r="H128" t="s">
        <v>80</v>
      </c>
      <c r="I128" t="s">
        <v>22</v>
      </c>
      <c r="J128" s="8" t="str">
        <f t="shared" si="6"/>
        <v>High</v>
      </c>
      <c r="K128" s="4">
        <v>1848.39</v>
      </c>
      <c r="L128" s="4">
        <v>1848.39</v>
      </c>
      <c r="M128" s="4">
        <v>7.2999999999999995E-2</v>
      </c>
      <c r="N128" s="4">
        <v>38</v>
      </c>
      <c r="O128" s="4">
        <f t="shared" si="7"/>
        <v>29785.344300000001</v>
      </c>
    </row>
    <row r="129" spans="1:15" x14ac:dyDescent="0.3">
      <c r="A129" s="13">
        <v>45489</v>
      </c>
      <c r="B129" s="4" t="str">
        <f>TEXT(Data!B129,"MMM-YYYY")</f>
        <v>May-2024</v>
      </c>
      <c r="C129" s="4" t="str">
        <f t="shared" si="8"/>
        <v>Jul-2024</v>
      </c>
      <c r="D129" s="14">
        <f t="shared" si="9"/>
        <v>45489</v>
      </c>
      <c r="E129" s="4" t="str">
        <f t="shared" si="5"/>
        <v>Q3-2024</v>
      </c>
      <c r="F129" t="s">
        <v>78</v>
      </c>
      <c r="G129" t="s">
        <v>108</v>
      </c>
      <c r="H129" t="s">
        <v>152</v>
      </c>
      <c r="I129" t="s">
        <v>22</v>
      </c>
      <c r="J129" s="8" t="str">
        <f t="shared" si="6"/>
        <v>Low</v>
      </c>
      <c r="K129" s="4">
        <v>45.19</v>
      </c>
      <c r="L129" s="4">
        <v>45.19</v>
      </c>
      <c r="M129" s="4">
        <v>0.17899999999999999</v>
      </c>
      <c r="N129" s="4">
        <v>23</v>
      </c>
      <c r="O129" s="4">
        <f t="shared" si="7"/>
        <v>40507.245110000003</v>
      </c>
    </row>
    <row r="130" spans="1:15" x14ac:dyDescent="0.3">
      <c r="A130" s="13">
        <v>45490</v>
      </c>
      <c r="B130" s="4" t="str">
        <f>TEXT(Data!B130,"MMM-YYYY")</f>
        <v>Jan-2023</v>
      </c>
      <c r="C130" s="4" t="str">
        <f t="shared" si="8"/>
        <v>Jul-2024</v>
      </c>
      <c r="D130" s="14">
        <f t="shared" si="9"/>
        <v>45490</v>
      </c>
      <c r="E130" s="4" t="str">
        <f t="shared" ref="E130:E193" si="10">"Q"&amp;ROUNDUP(MONTH(A130)/3,0)&amp;"-"&amp;YEAR(A130)</f>
        <v>Q3-2024</v>
      </c>
      <c r="F130" t="s">
        <v>52</v>
      </c>
      <c r="G130" t="s">
        <v>122</v>
      </c>
      <c r="H130" t="s">
        <v>167</v>
      </c>
      <c r="I130" t="s">
        <v>42</v>
      </c>
      <c r="J130" s="8" t="str">
        <f t="shared" ref="J130:J193" si="11">IF(K130&lt;50, "Low", IF(K130&lt;200, "Medium", "High"))</f>
        <v>High</v>
      </c>
      <c r="K130" s="4">
        <v>361.1</v>
      </c>
      <c r="L130" s="4">
        <v>361.1</v>
      </c>
      <c r="M130" s="4">
        <v>0.187</v>
      </c>
      <c r="N130" s="4">
        <v>9</v>
      </c>
      <c r="O130" s="4">
        <f t="shared" ref="O130:O193" si="12">(L156*N130)*(1-M130)</f>
        <v>9877.5109800000009</v>
      </c>
    </row>
    <row r="131" spans="1:15" x14ac:dyDescent="0.3">
      <c r="A131" s="13">
        <v>45491</v>
      </c>
      <c r="B131" s="4" t="str">
        <f>TEXT(Data!B131,"MMM-YYYY")</f>
        <v>Feb-2025</v>
      </c>
      <c r="C131" s="4" t="str">
        <f t="shared" ref="C131:C194" si="13">TEXT(D131, "MMM-YYYY")</f>
        <v>Jul-2024</v>
      </c>
      <c r="D131" s="14">
        <f t="shared" ref="D131:D194" si="14">_xlfn.MINIFS(A131:A131, G131:G131,G131)</f>
        <v>45491</v>
      </c>
      <c r="E131" s="4" t="str">
        <f t="shared" si="10"/>
        <v>Q3-2024</v>
      </c>
      <c r="F131" t="s">
        <v>52</v>
      </c>
      <c r="G131" t="s">
        <v>122</v>
      </c>
      <c r="H131" t="s">
        <v>167</v>
      </c>
      <c r="I131" t="s">
        <v>35</v>
      </c>
      <c r="J131" s="8" t="str">
        <f t="shared" si="11"/>
        <v>High</v>
      </c>
      <c r="K131" s="4">
        <v>1004.34</v>
      </c>
      <c r="L131" s="4">
        <v>1004.34</v>
      </c>
      <c r="M131" s="4">
        <v>0.111</v>
      </c>
      <c r="N131" s="4">
        <v>18</v>
      </c>
      <c r="O131" s="4">
        <f t="shared" si="12"/>
        <v>8440.7349599999998</v>
      </c>
    </row>
    <row r="132" spans="1:15" x14ac:dyDescent="0.3">
      <c r="A132" s="13">
        <v>45492</v>
      </c>
      <c r="B132" s="4" t="str">
        <f>TEXT(Data!B132,"MMM-YYYY")</f>
        <v>Mar-2025</v>
      </c>
      <c r="C132" s="4" t="str">
        <f t="shared" si="13"/>
        <v>Jul-2024</v>
      </c>
      <c r="D132" s="14">
        <f t="shared" si="14"/>
        <v>45492</v>
      </c>
      <c r="E132" s="4" t="str">
        <f t="shared" si="10"/>
        <v>Q3-2024</v>
      </c>
      <c r="F132" t="s">
        <v>52</v>
      </c>
      <c r="G132" t="s">
        <v>73</v>
      </c>
      <c r="H132" t="s">
        <v>74</v>
      </c>
      <c r="I132" t="s">
        <v>64</v>
      </c>
      <c r="J132" s="8" t="str">
        <f t="shared" si="11"/>
        <v>High</v>
      </c>
      <c r="K132" s="4">
        <v>1027.73</v>
      </c>
      <c r="L132" s="4">
        <v>1027.73</v>
      </c>
      <c r="M132" s="4">
        <v>6.3E-2</v>
      </c>
      <c r="N132" s="4">
        <v>8</v>
      </c>
      <c r="O132" s="4">
        <f t="shared" si="12"/>
        <v>10997.906320000002</v>
      </c>
    </row>
    <row r="133" spans="1:15" x14ac:dyDescent="0.3">
      <c r="A133" s="13">
        <v>45493</v>
      </c>
      <c r="B133" s="4" t="str">
        <f>TEXT(Data!B133,"MMM-YYYY")</f>
        <v>Jan-2023</v>
      </c>
      <c r="C133" s="4" t="str">
        <f t="shared" si="13"/>
        <v>Jul-2024</v>
      </c>
      <c r="D133" s="14">
        <f t="shared" si="14"/>
        <v>45493</v>
      </c>
      <c r="E133" s="4" t="str">
        <f t="shared" si="10"/>
        <v>Q3-2024</v>
      </c>
      <c r="F133" t="s">
        <v>16</v>
      </c>
      <c r="G133" t="s">
        <v>25</v>
      </c>
      <c r="H133" t="s">
        <v>67</v>
      </c>
      <c r="I133" t="s">
        <v>81</v>
      </c>
      <c r="J133" s="8" t="str">
        <f t="shared" si="11"/>
        <v>High</v>
      </c>
      <c r="K133" s="4">
        <v>468.09</v>
      </c>
      <c r="L133" s="4">
        <v>468.09</v>
      </c>
      <c r="M133" s="4">
        <v>0.14199999999999999</v>
      </c>
      <c r="N133" s="4">
        <v>11</v>
      </c>
      <c r="O133" s="4">
        <f t="shared" si="12"/>
        <v>15583.45932</v>
      </c>
    </row>
    <row r="134" spans="1:15" x14ac:dyDescent="0.3">
      <c r="A134" s="13">
        <v>45494</v>
      </c>
      <c r="B134" s="4" t="str">
        <f>TEXT(Data!B134,"MMM-YYYY")</f>
        <v>Jan-2025</v>
      </c>
      <c r="C134" s="4" t="str">
        <f t="shared" si="13"/>
        <v>Jul-2024</v>
      </c>
      <c r="D134" s="14">
        <f t="shared" si="14"/>
        <v>45494</v>
      </c>
      <c r="E134" s="4" t="str">
        <f t="shared" si="10"/>
        <v>Q3-2024</v>
      </c>
      <c r="F134" t="s">
        <v>78</v>
      </c>
      <c r="G134" t="s">
        <v>108</v>
      </c>
      <c r="H134" t="s">
        <v>228</v>
      </c>
      <c r="I134" t="s">
        <v>57</v>
      </c>
      <c r="J134" s="8" t="str">
        <f t="shared" si="11"/>
        <v>High</v>
      </c>
      <c r="K134" s="4">
        <v>668.02</v>
      </c>
      <c r="L134" s="4">
        <v>668.02</v>
      </c>
      <c r="M134" s="4">
        <v>0.22</v>
      </c>
      <c r="N134" s="4">
        <v>16</v>
      </c>
      <c r="O134" s="4">
        <f t="shared" si="12"/>
        <v>24737.606400000001</v>
      </c>
    </row>
    <row r="135" spans="1:15" x14ac:dyDescent="0.3">
      <c r="A135" s="13">
        <v>45495</v>
      </c>
      <c r="B135" s="4" t="str">
        <f>TEXT(Data!B135,"MMM-YYYY")</f>
        <v>Dec-2024</v>
      </c>
      <c r="C135" s="4" t="str">
        <f t="shared" si="13"/>
        <v>Jul-2024</v>
      </c>
      <c r="D135" s="14">
        <f t="shared" si="14"/>
        <v>45495</v>
      </c>
      <c r="E135" s="4" t="str">
        <f t="shared" si="10"/>
        <v>Q3-2024</v>
      </c>
      <c r="F135" t="s">
        <v>45</v>
      </c>
      <c r="G135" t="s">
        <v>116</v>
      </c>
      <c r="H135" t="s">
        <v>338</v>
      </c>
      <c r="I135" t="s">
        <v>42</v>
      </c>
      <c r="J135" s="8" t="str">
        <f t="shared" si="11"/>
        <v>High</v>
      </c>
      <c r="K135" s="4">
        <v>537.27</v>
      </c>
      <c r="L135" s="4">
        <v>537.27</v>
      </c>
      <c r="M135" s="4">
        <v>0.187</v>
      </c>
      <c r="N135" s="4">
        <v>8</v>
      </c>
      <c r="O135" s="4">
        <f t="shared" si="12"/>
        <v>16599.638879999999</v>
      </c>
    </row>
    <row r="136" spans="1:15" x14ac:dyDescent="0.3">
      <c r="A136" s="13">
        <v>45496</v>
      </c>
      <c r="B136" s="4" t="str">
        <f>TEXT(Data!B136,"MMM-YYYY")</f>
        <v>Apr-2023</v>
      </c>
      <c r="C136" s="4" t="str">
        <f t="shared" si="13"/>
        <v>Jul-2024</v>
      </c>
      <c r="D136" s="14">
        <f t="shared" si="14"/>
        <v>45496</v>
      </c>
      <c r="E136" s="4" t="str">
        <f t="shared" si="10"/>
        <v>Q3-2024</v>
      </c>
      <c r="F136" t="s">
        <v>52</v>
      </c>
      <c r="G136" t="s">
        <v>122</v>
      </c>
      <c r="H136" t="s">
        <v>167</v>
      </c>
      <c r="I136" t="s">
        <v>30</v>
      </c>
      <c r="J136" s="8" t="str">
        <f t="shared" si="11"/>
        <v>High</v>
      </c>
      <c r="K136" s="4">
        <v>572.71</v>
      </c>
      <c r="L136" s="4">
        <v>572.71</v>
      </c>
      <c r="M136" s="4">
        <v>0.192</v>
      </c>
      <c r="N136" s="4">
        <v>26</v>
      </c>
      <c r="O136" s="4">
        <f t="shared" si="12"/>
        <v>10987.39408</v>
      </c>
    </row>
    <row r="137" spans="1:15" x14ac:dyDescent="0.3">
      <c r="A137" s="13">
        <v>45497</v>
      </c>
      <c r="B137" s="4" t="str">
        <f>TEXT(Data!B137,"MMM-YYYY")</f>
        <v>Dec-2024</v>
      </c>
      <c r="C137" s="4" t="str">
        <f t="shared" si="13"/>
        <v>Jul-2024</v>
      </c>
      <c r="D137" s="14">
        <f t="shared" si="14"/>
        <v>45497</v>
      </c>
      <c r="E137" s="4" t="str">
        <f t="shared" si="10"/>
        <v>Q3-2024</v>
      </c>
      <c r="F137" t="s">
        <v>78</v>
      </c>
      <c r="G137" t="s">
        <v>90</v>
      </c>
      <c r="H137" t="s">
        <v>138</v>
      </c>
      <c r="I137" t="s">
        <v>64</v>
      </c>
      <c r="J137" s="8" t="str">
        <f t="shared" si="11"/>
        <v>High</v>
      </c>
      <c r="K137" s="4">
        <v>2323.87</v>
      </c>
      <c r="L137" s="4">
        <v>2323.87</v>
      </c>
      <c r="M137" s="4">
        <v>9.4E-2</v>
      </c>
      <c r="N137" s="4">
        <v>13</v>
      </c>
      <c r="O137" s="4">
        <f t="shared" si="12"/>
        <v>14342.18838</v>
      </c>
    </row>
    <row r="138" spans="1:15" x14ac:dyDescent="0.3">
      <c r="A138" s="13">
        <v>45498</v>
      </c>
      <c r="B138" s="4" t="str">
        <f>TEXT(Data!B138,"MMM-YYYY")</f>
        <v>Mar-2023</v>
      </c>
      <c r="C138" s="4" t="str">
        <f t="shared" si="13"/>
        <v>Jul-2024</v>
      </c>
      <c r="D138" s="14">
        <f t="shared" si="14"/>
        <v>45498</v>
      </c>
      <c r="E138" s="4" t="str">
        <f t="shared" si="10"/>
        <v>Q3-2024</v>
      </c>
      <c r="F138" t="s">
        <v>45</v>
      </c>
      <c r="G138" t="s">
        <v>116</v>
      </c>
      <c r="H138" t="s">
        <v>117</v>
      </c>
      <c r="I138" t="s">
        <v>22</v>
      </c>
      <c r="J138" s="8" t="str">
        <f t="shared" si="11"/>
        <v>High</v>
      </c>
      <c r="K138" s="4">
        <v>1631.04</v>
      </c>
      <c r="L138" s="4">
        <v>1631.04</v>
      </c>
      <c r="M138" s="4">
        <v>8.9999999999999993E-3</v>
      </c>
      <c r="N138" s="4">
        <v>6</v>
      </c>
      <c r="O138" s="4">
        <f t="shared" si="12"/>
        <v>7989.2834400000002</v>
      </c>
    </row>
    <row r="139" spans="1:15" x14ac:dyDescent="0.3">
      <c r="A139" s="13">
        <v>45499</v>
      </c>
      <c r="B139" s="4" t="str">
        <f>TEXT(Data!B139,"MMM-YYYY")</f>
        <v>Nov-2024</v>
      </c>
      <c r="C139" s="4" t="str">
        <f t="shared" si="13"/>
        <v>Jul-2024</v>
      </c>
      <c r="D139" s="14">
        <f t="shared" si="14"/>
        <v>45499</v>
      </c>
      <c r="E139" s="4" t="str">
        <f t="shared" si="10"/>
        <v>Q3-2024</v>
      </c>
      <c r="F139" t="s">
        <v>16</v>
      </c>
      <c r="G139" t="s">
        <v>17</v>
      </c>
      <c r="H139" t="s">
        <v>113</v>
      </c>
      <c r="I139" t="s">
        <v>42</v>
      </c>
      <c r="J139" s="8" t="str">
        <f t="shared" si="11"/>
        <v>High</v>
      </c>
      <c r="K139" s="4">
        <v>393.31</v>
      </c>
      <c r="L139" s="4">
        <v>393.31</v>
      </c>
      <c r="M139" s="4">
        <v>0.26500000000000001</v>
      </c>
      <c r="N139" s="4">
        <v>15</v>
      </c>
      <c r="O139" s="4">
        <f t="shared" si="12"/>
        <v>3326.2424999999998</v>
      </c>
    </row>
    <row r="140" spans="1:15" x14ac:dyDescent="0.3">
      <c r="A140" s="13">
        <v>45500</v>
      </c>
      <c r="B140" s="4" t="str">
        <f>TEXT(Data!B140,"MMM-YYYY")</f>
        <v>Feb-2024</v>
      </c>
      <c r="C140" s="4" t="str">
        <f t="shared" si="13"/>
        <v>Jul-2024</v>
      </c>
      <c r="D140" s="14">
        <f t="shared" si="14"/>
        <v>45500</v>
      </c>
      <c r="E140" s="4" t="str">
        <f t="shared" si="10"/>
        <v>Q3-2024</v>
      </c>
      <c r="F140" t="s">
        <v>78</v>
      </c>
      <c r="G140" t="s">
        <v>90</v>
      </c>
      <c r="H140" t="s">
        <v>217</v>
      </c>
      <c r="I140" t="s">
        <v>30</v>
      </c>
      <c r="J140" s="8" t="str">
        <f t="shared" si="11"/>
        <v>High</v>
      </c>
      <c r="K140" s="4">
        <v>1856.16</v>
      </c>
      <c r="L140" s="4">
        <v>1856.16</v>
      </c>
      <c r="M140" s="4">
        <v>0.129</v>
      </c>
      <c r="N140" s="4">
        <v>22</v>
      </c>
      <c r="O140" s="4">
        <f t="shared" si="12"/>
        <v>28967.387020000002</v>
      </c>
    </row>
    <row r="141" spans="1:15" x14ac:dyDescent="0.3">
      <c r="A141" s="13">
        <v>45501</v>
      </c>
      <c r="B141" s="4" t="str">
        <f>TEXT(Data!B141,"MMM-YYYY")</f>
        <v>May-2023</v>
      </c>
      <c r="C141" s="4" t="str">
        <f t="shared" si="13"/>
        <v>Jul-2024</v>
      </c>
      <c r="D141" s="14">
        <f t="shared" si="14"/>
        <v>45501</v>
      </c>
      <c r="E141" s="4" t="str">
        <f t="shared" si="10"/>
        <v>Q3-2024</v>
      </c>
      <c r="F141" t="s">
        <v>45</v>
      </c>
      <c r="G141" t="s">
        <v>116</v>
      </c>
      <c r="H141" t="s">
        <v>338</v>
      </c>
      <c r="I141" t="s">
        <v>81</v>
      </c>
      <c r="J141" s="8" t="str">
        <f t="shared" si="11"/>
        <v>Medium</v>
      </c>
      <c r="K141" s="4">
        <v>84.9</v>
      </c>
      <c r="L141" s="4">
        <v>84.9</v>
      </c>
      <c r="M141" s="4">
        <v>0.25900000000000001</v>
      </c>
      <c r="N141" s="4">
        <v>23</v>
      </c>
      <c r="O141" s="4">
        <f t="shared" si="12"/>
        <v>35027.455319999994</v>
      </c>
    </row>
    <row r="142" spans="1:15" x14ac:dyDescent="0.3">
      <c r="A142" s="13">
        <v>45502</v>
      </c>
      <c r="B142" s="4" t="str">
        <f>TEXT(Data!B142,"MMM-YYYY")</f>
        <v>Dec-2024</v>
      </c>
      <c r="C142" s="4" t="str">
        <f t="shared" si="13"/>
        <v>Jul-2024</v>
      </c>
      <c r="D142" s="14">
        <f t="shared" si="14"/>
        <v>45502</v>
      </c>
      <c r="E142" s="4" t="str">
        <f t="shared" si="10"/>
        <v>Q3-2024</v>
      </c>
      <c r="F142" t="s">
        <v>45</v>
      </c>
      <c r="G142" t="s">
        <v>60</v>
      </c>
      <c r="H142" t="s">
        <v>141</v>
      </c>
      <c r="I142" t="s">
        <v>64</v>
      </c>
      <c r="J142" s="8" t="str">
        <f t="shared" si="11"/>
        <v>High</v>
      </c>
      <c r="K142" s="4">
        <v>2252.2399999999998</v>
      </c>
      <c r="L142" s="4">
        <v>2252.2399999999998</v>
      </c>
      <c r="M142" s="4">
        <v>0.11799999999999999</v>
      </c>
      <c r="N142" s="4">
        <v>44</v>
      </c>
      <c r="O142" s="4">
        <f t="shared" si="12"/>
        <v>15179.749199999998</v>
      </c>
    </row>
    <row r="143" spans="1:15" x14ac:dyDescent="0.3">
      <c r="A143" s="13">
        <v>45503</v>
      </c>
      <c r="B143" s="4" t="str">
        <f>TEXT(Data!B143,"MMM-YYYY")</f>
        <v>Jul-2023</v>
      </c>
      <c r="C143" s="4" t="str">
        <f t="shared" si="13"/>
        <v>Jul-2024</v>
      </c>
      <c r="D143" s="14">
        <f t="shared" si="14"/>
        <v>45503</v>
      </c>
      <c r="E143" s="4" t="str">
        <f t="shared" si="10"/>
        <v>Q3-2024</v>
      </c>
      <c r="F143" t="s">
        <v>78</v>
      </c>
      <c r="G143" t="s">
        <v>79</v>
      </c>
      <c r="H143" t="s">
        <v>80</v>
      </c>
      <c r="I143" t="s">
        <v>42</v>
      </c>
      <c r="J143" s="8" t="str">
        <f t="shared" si="11"/>
        <v>High</v>
      </c>
      <c r="K143" s="4">
        <v>921.62</v>
      </c>
      <c r="L143" s="4">
        <v>921.62</v>
      </c>
      <c r="M143" s="4">
        <v>0.01</v>
      </c>
      <c r="N143" s="4">
        <v>9</v>
      </c>
      <c r="O143" s="4">
        <f t="shared" si="12"/>
        <v>16474.322700000001</v>
      </c>
    </row>
    <row r="144" spans="1:15" x14ac:dyDescent="0.3">
      <c r="A144" s="13">
        <v>45504</v>
      </c>
      <c r="B144" s="4" t="str">
        <f>TEXT(Data!B144,"MMM-YYYY")</f>
        <v>Jun-2024</v>
      </c>
      <c r="C144" s="4" t="str">
        <f t="shared" si="13"/>
        <v>Jul-2024</v>
      </c>
      <c r="D144" s="14">
        <f t="shared" si="14"/>
        <v>45504</v>
      </c>
      <c r="E144" s="4" t="str">
        <f t="shared" si="10"/>
        <v>Q3-2024</v>
      </c>
      <c r="F144" t="s">
        <v>52</v>
      </c>
      <c r="G144" t="s">
        <v>122</v>
      </c>
      <c r="H144" t="s">
        <v>387</v>
      </c>
      <c r="I144" t="s">
        <v>81</v>
      </c>
      <c r="J144" s="8" t="str">
        <f t="shared" si="11"/>
        <v>High</v>
      </c>
      <c r="K144" s="4">
        <v>1643.18</v>
      </c>
      <c r="L144" s="4">
        <v>1643.18</v>
      </c>
      <c r="M144" s="4">
        <v>0.151</v>
      </c>
      <c r="N144" s="4">
        <v>23</v>
      </c>
      <c r="O144" s="4">
        <f t="shared" si="12"/>
        <v>27251.100119999996</v>
      </c>
    </row>
    <row r="145" spans="1:15" x14ac:dyDescent="0.3">
      <c r="A145" s="13">
        <v>45505</v>
      </c>
      <c r="B145" s="4" t="str">
        <f>TEXT(Data!B145,"MMM-YYYY")</f>
        <v>Jul-2023</v>
      </c>
      <c r="C145" s="4" t="str">
        <f t="shared" si="13"/>
        <v>Aug-2024</v>
      </c>
      <c r="D145" s="14">
        <f t="shared" si="14"/>
        <v>45505</v>
      </c>
      <c r="E145" s="4" t="str">
        <f t="shared" si="10"/>
        <v>Q3-2024</v>
      </c>
      <c r="F145" t="s">
        <v>52</v>
      </c>
      <c r="G145" t="s">
        <v>53</v>
      </c>
      <c r="H145" t="s">
        <v>54</v>
      </c>
      <c r="I145" t="s">
        <v>30</v>
      </c>
      <c r="J145" s="8" t="str">
        <f t="shared" si="11"/>
        <v>High</v>
      </c>
      <c r="K145" s="4">
        <v>1467.17</v>
      </c>
      <c r="L145" s="4">
        <v>1467.17</v>
      </c>
      <c r="M145" s="4">
        <v>0.245</v>
      </c>
      <c r="N145" s="4">
        <v>9</v>
      </c>
      <c r="O145" s="4">
        <f t="shared" si="12"/>
        <v>3655.9817999999996</v>
      </c>
    </row>
    <row r="146" spans="1:15" x14ac:dyDescent="0.3">
      <c r="A146" s="13">
        <v>45506</v>
      </c>
      <c r="B146" s="4" t="str">
        <f>TEXT(Data!B146,"MMM-YYYY")</f>
        <v>Nov-2023</v>
      </c>
      <c r="C146" s="4" t="str">
        <f t="shared" si="13"/>
        <v>Aug-2024</v>
      </c>
      <c r="D146" s="14">
        <f t="shared" si="14"/>
        <v>45506</v>
      </c>
      <c r="E146" s="4" t="str">
        <f t="shared" si="10"/>
        <v>Q3-2024</v>
      </c>
      <c r="F146" t="s">
        <v>52</v>
      </c>
      <c r="G146" t="s">
        <v>73</v>
      </c>
      <c r="H146" t="s">
        <v>87</v>
      </c>
      <c r="I146" t="s">
        <v>35</v>
      </c>
      <c r="J146" s="8" t="str">
        <f t="shared" si="11"/>
        <v>High</v>
      </c>
      <c r="K146" s="4">
        <v>998.76</v>
      </c>
      <c r="L146" s="4">
        <v>998.76</v>
      </c>
      <c r="M146" s="4">
        <v>8.2000000000000003E-2</v>
      </c>
      <c r="N146" s="4">
        <v>28</v>
      </c>
      <c r="O146" s="4">
        <f t="shared" si="12"/>
        <v>31331.119680000003</v>
      </c>
    </row>
    <row r="147" spans="1:15" x14ac:dyDescent="0.3">
      <c r="A147" s="13">
        <v>45507</v>
      </c>
      <c r="B147" s="4" t="str">
        <f>TEXT(Data!B147,"MMM-YYYY")</f>
        <v>Sept-2025</v>
      </c>
      <c r="C147" s="4" t="str">
        <f t="shared" si="13"/>
        <v>Aug-2024</v>
      </c>
      <c r="D147" s="14">
        <f t="shared" si="14"/>
        <v>45507</v>
      </c>
      <c r="E147" s="4" t="str">
        <f t="shared" si="10"/>
        <v>Q3-2024</v>
      </c>
      <c r="F147" t="s">
        <v>16</v>
      </c>
      <c r="G147" t="s">
        <v>148</v>
      </c>
      <c r="H147" t="s">
        <v>172</v>
      </c>
      <c r="I147" t="s">
        <v>57</v>
      </c>
      <c r="J147" s="8" t="str">
        <f t="shared" si="11"/>
        <v>High</v>
      </c>
      <c r="K147" s="4">
        <v>630.72</v>
      </c>
      <c r="L147" s="4">
        <v>630.72</v>
      </c>
      <c r="M147" s="4">
        <v>0.107</v>
      </c>
      <c r="N147" s="4">
        <v>23</v>
      </c>
      <c r="O147" s="4">
        <f t="shared" si="12"/>
        <v>42353.882679999995</v>
      </c>
    </row>
    <row r="148" spans="1:15" x14ac:dyDescent="0.3">
      <c r="A148" s="13">
        <v>45508</v>
      </c>
      <c r="B148" s="4" t="str">
        <f>TEXT(Data!B148,"MMM-YYYY")</f>
        <v>Apr-2024</v>
      </c>
      <c r="C148" s="4" t="str">
        <f t="shared" si="13"/>
        <v>Aug-2024</v>
      </c>
      <c r="D148" s="14">
        <f t="shared" si="14"/>
        <v>45508</v>
      </c>
      <c r="E148" s="4" t="str">
        <f t="shared" si="10"/>
        <v>Q3-2024</v>
      </c>
      <c r="F148" t="s">
        <v>16</v>
      </c>
      <c r="G148" t="s">
        <v>17</v>
      </c>
      <c r="H148" t="s">
        <v>33</v>
      </c>
      <c r="I148" t="s">
        <v>57</v>
      </c>
      <c r="J148" s="8" t="str">
        <f t="shared" si="11"/>
        <v>High</v>
      </c>
      <c r="K148" s="4">
        <v>728.61</v>
      </c>
      <c r="L148" s="4">
        <v>728.61</v>
      </c>
      <c r="M148" s="4">
        <v>0.185</v>
      </c>
      <c r="N148" s="4">
        <v>6</v>
      </c>
      <c r="O148" s="4">
        <f t="shared" si="12"/>
        <v>49.780199999999994</v>
      </c>
    </row>
    <row r="149" spans="1:15" x14ac:dyDescent="0.3">
      <c r="A149" s="13">
        <v>45509</v>
      </c>
      <c r="B149" s="4" t="str">
        <f>TEXT(Data!B149,"MMM-YYYY")</f>
        <v>Sept-2023</v>
      </c>
      <c r="C149" s="4" t="str">
        <f t="shared" si="13"/>
        <v>Aug-2024</v>
      </c>
      <c r="D149" s="14">
        <f t="shared" si="14"/>
        <v>45509</v>
      </c>
      <c r="E149" s="4" t="str">
        <f t="shared" si="10"/>
        <v>Q3-2024</v>
      </c>
      <c r="F149" t="s">
        <v>78</v>
      </c>
      <c r="G149" t="s">
        <v>79</v>
      </c>
      <c r="H149" t="s">
        <v>335</v>
      </c>
      <c r="I149" t="s">
        <v>81</v>
      </c>
      <c r="J149" s="8" t="str">
        <f t="shared" si="11"/>
        <v>High</v>
      </c>
      <c r="K149" s="4">
        <v>951.51</v>
      </c>
      <c r="L149" s="4">
        <v>951.51</v>
      </c>
      <c r="M149" s="4">
        <v>0</v>
      </c>
      <c r="N149" s="4">
        <v>14</v>
      </c>
      <c r="O149" s="4">
        <f t="shared" si="12"/>
        <v>31944.079999999998</v>
      </c>
    </row>
    <row r="150" spans="1:15" x14ac:dyDescent="0.3">
      <c r="A150" s="13">
        <v>45510</v>
      </c>
      <c r="B150" s="4" t="str">
        <f>TEXT(Data!B150,"MMM-YYYY")</f>
        <v>Sept-2024</v>
      </c>
      <c r="C150" s="4" t="str">
        <f t="shared" si="13"/>
        <v>Aug-2024</v>
      </c>
      <c r="D150" s="14">
        <f t="shared" si="14"/>
        <v>45510</v>
      </c>
      <c r="E150" s="4" t="str">
        <f t="shared" si="10"/>
        <v>Q3-2024</v>
      </c>
      <c r="F150" t="s">
        <v>78</v>
      </c>
      <c r="G150" t="s">
        <v>90</v>
      </c>
      <c r="H150" t="s">
        <v>138</v>
      </c>
      <c r="I150" t="s">
        <v>30</v>
      </c>
      <c r="J150" s="8" t="str">
        <f t="shared" si="11"/>
        <v>High</v>
      </c>
      <c r="K150" s="4">
        <v>732.88</v>
      </c>
      <c r="L150" s="4">
        <v>732.88</v>
      </c>
      <c r="M150" s="4">
        <v>0.188</v>
      </c>
      <c r="N150" s="4">
        <v>25</v>
      </c>
      <c r="O150" s="4">
        <f t="shared" si="12"/>
        <v>5066.2710000000006</v>
      </c>
    </row>
    <row r="151" spans="1:15" x14ac:dyDescent="0.3">
      <c r="A151" s="13">
        <v>45511</v>
      </c>
      <c r="B151" s="4" t="str">
        <f>TEXT(Data!B151,"MMM-YYYY")</f>
        <v>Apr-2025</v>
      </c>
      <c r="C151" s="4" t="str">
        <f t="shared" si="13"/>
        <v>Aug-2024</v>
      </c>
      <c r="D151" s="14">
        <f t="shared" si="14"/>
        <v>45511</v>
      </c>
      <c r="E151" s="4" t="str">
        <f t="shared" si="10"/>
        <v>Q3-2024</v>
      </c>
      <c r="F151" t="s">
        <v>52</v>
      </c>
      <c r="G151" t="s">
        <v>53</v>
      </c>
      <c r="H151" t="s">
        <v>179</v>
      </c>
      <c r="I151" t="s">
        <v>42</v>
      </c>
      <c r="J151" s="8" t="str">
        <f t="shared" si="11"/>
        <v>High</v>
      </c>
      <c r="K151" s="4">
        <v>2411.52</v>
      </c>
      <c r="L151" s="4">
        <v>2411.52</v>
      </c>
      <c r="M151" s="4">
        <v>2.1000000000000001E-2</v>
      </c>
      <c r="N151" s="4">
        <v>18</v>
      </c>
      <c r="O151" s="4">
        <f t="shared" si="12"/>
        <v>57712.049999999996</v>
      </c>
    </row>
    <row r="152" spans="1:15" x14ac:dyDescent="0.3">
      <c r="A152" s="13">
        <v>45512</v>
      </c>
      <c r="B152" s="4" t="str">
        <f>TEXT(Data!B152,"MMM-YYYY")</f>
        <v>Jul-2023</v>
      </c>
      <c r="C152" s="4" t="str">
        <f t="shared" si="13"/>
        <v>Aug-2024</v>
      </c>
      <c r="D152" s="14">
        <f t="shared" si="14"/>
        <v>45512</v>
      </c>
      <c r="E152" s="4" t="str">
        <f t="shared" si="10"/>
        <v>Q3-2024</v>
      </c>
      <c r="F152" t="s">
        <v>52</v>
      </c>
      <c r="G152" t="s">
        <v>53</v>
      </c>
      <c r="H152" t="s">
        <v>144</v>
      </c>
      <c r="I152" t="s">
        <v>30</v>
      </c>
      <c r="J152" s="8" t="str">
        <f t="shared" si="11"/>
        <v>High</v>
      </c>
      <c r="K152" s="4">
        <v>568.29</v>
      </c>
      <c r="L152" s="4">
        <v>568.29</v>
      </c>
      <c r="M152" s="4">
        <v>0.13100000000000001</v>
      </c>
      <c r="N152" s="4">
        <v>16</v>
      </c>
      <c r="O152" s="4">
        <f t="shared" si="12"/>
        <v>26608.919040000001</v>
      </c>
    </row>
    <row r="153" spans="1:15" x14ac:dyDescent="0.3">
      <c r="A153" s="13">
        <v>45513</v>
      </c>
      <c r="B153" s="4" t="str">
        <f>TEXT(Data!B153,"MMM-YYYY")</f>
        <v>Dec-2023</v>
      </c>
      <c r="C153" s="4" t="str">
        <f t="shared" si="13"/>
        <v>Aug-2024</v>
      </c>
      <c r="D153" s="14">
        <f t="shared" si="14"/>
        <v>45513</v>
      </c>
      <c r="E153" s="4" t="str">
        <f t="shared" si="10"/>
        <v>Q3-2024</v>
      </c>
      <c r="F153" t="s">
        <v>16</v>
      </c>
      <c r="G153" t="s">
        <v>148</v>
      </c>
      <c r="H153" t="s">
        <v>149</v>
      </c>
      <c r="I153" t="s">
        <v>57</v>
      </c>
      <c r="J153" s="8" t="str">
        <f t="shared" si="11"/>
        <v>High</v>
      </c>
      <c r="K153" s="4">
        <v>1254.95</v>
      </c>
      <c r="L153" s="4">
        <v>1254.95</v>
      </c>
      <c r="M153" s="4">
        <v>4.4999999999999998E-2</v>
      </c>
      <c r="N153" s="4">
        <v>18</v>
      </c>
      <c r="O153" s="4">
        <f t="shared" si="12"/>
        <v>517.24709999999993</v>
      </c>
    </row>
    <row r="154" spans="1:15" x14ac:dyDescent="0.3">
      <c r="A154" s="13">
        <v>45514</v>
      </c>
      <c r="B154" s="4" t="str">
        <f>TEXT(Data!B154,"MMM-YYYY")</f>
        <v>Feb-2024</v>
      </c>
      <c r="C154" s="4" t="str">
        <f t="shared" si="13"/>
        <v>Aug-2024</v>
      </c>
      <c r="D154" s="14">
        <f t="shared" si="14"/>
        <v>45514</v>
      </c>
      <c r="E154" s="4" t="str">
        <f t="shared" si="10"/>
        <v>Q3-2024</v>
      </c>
      <c r="F154" t="s">
        <v>45</v>
      </c>
      <c r="G154" t="s">
        <v>46</v>
      </c>
      <c r="H154" t="s">
        <v>214</v>
      </c>
      <c r="I154" t="s">
        <v>30</v>
      </c>
      <c r="J154" s="8" t="str">
        <f t="shared" si="11"/>
        <v>High</v>
      </c>
      <c r="K154" s="4">
        <v>845.55</v>
      </c>
      <c r="L154" s="4">
        <v>845.55</v>
      </c>
      <c r="M154" s="4">
        <v>0.184</v>
      </c>
      <c r="N154" s="4">
        <v>6</v>
      </c>
      <c r="O154" s="4">
        <f t="shared" si="12"/>
        <v>2454.4137600000004</v>
      </c>
    </row>
    <row r="155" spans="1:15" x14ac:dyDescent="0.3">
      <c r="A155" s="13">
        <v>45515</v>
      </c>
      <c r="B155" s="4" t="str">
        <f>TEXT(Data!B155,"MMM-YYYY")</f>
        <v>Oct-2023</v>
      </c>
      <c r="C155" s="4" t="str">
        <f t="shared" si="13"/>
        <v>Aug-2024</v>
      </c>
      <c r="D155" s="14">
        <f t="shared" si="14"/>
        <v>45515</v>
      </c>
      <c r="E155" s="4" t="str">
        <f t="shared" si="10"/>
        <v>Q3-2024</v>
      </c>
      <c r="F155" t="s">
        <v>16</v>
      </c>
      <c r="G155" t="s">
        <v>17</v>
      </c>
      <c r="H155" t="s">
        <v>18</v>
      </c>
      <c r="I155" t="s">
        <v>30</v>
      </c>
      <c r="J155" s="8" t="str">
        <f t="shared" si="11"/>
        <v>High</v>
      </c>
      <c r="K155" s="4">
        <v>2145.17</v>
      </c>
      <c r="L155" s="4">
        <v>2145.17</v>
      </c>
      <c r="M155" s="4">
        <v>0.13600000000000001</v>
      </c>
      <c r="N155" s="4">
        <v>16</v>
      </c>
      <c r="O155" s="4">
        <f t="shared" si="12"/>
        <v>5684.1523200000001</v>
      </c>
    </row>
    <row r="156" spans="1:15" x14ac:dyDescent="0.3">
      <c r="A156" s="13">
        <v>45516</v>
      </c>
      <c r="B156" s="4" t="str">
        <f>TEXT(Data!B156,"MMM-YYYY")</f>
        <v>Aug-2024</v>
      </c>
      <c r="C156" s="4" t="str">
        <f t="shared" si="13"/>
        <v>Aug-2024</v>
      </c>
      <c r="D156" s="14">
        <f t="shared" si="14"/>
        <v>45516</v>
      </c>
      <c r="E156" s="4" t="str">
        <f t="shared" si="10"/>
        <v>Q3-2024</v>
      </c>
      <c r="F156" t="s">
        <v>16</v>
      </c>
      <c r="G156" t="s">
        <v>17</v>
      </c>
      <c r="H156" t="s">
        <v>18</v>
      </c>
      <c r="I156" t="s">
        <v>81</v>
      </c>
      <c r="J156" s="8" t="str">
        <f t="shared" si="11"/>
        <v>High</v>
      </c>
      <c r="K156" s="4">
        <v>1349.94</v>
      </c>
      <c r="L156" s="4">
        <v>1349.94</v>
      </c>
      <c r="M156" s="4">
        <v>0.184</v>
      </c>
      <c r="N156" s="4">
        <v>10</v>
      </c>
      <c r="O156" s="4">
        <f t="shared" si="12"/>
        <v>48.307200000000009</v>
      </c>
    </row>
    <row r="157" spans="1:15" x14ac:dyDescent="0.3">
      <c r="A157" s="13">
        <v>45517</v>
      </c>
      <c r="B157" s="4" t="str">
        <f>TEXT(Data!B157,"MMM-YYYY")</f>
        <v>Feb-2024</v>
      </c>
      <c r="C157" s="4" t="str">
        <f t="shared" si="13"/>
        <v>Aug-2024</v>
      </c>
      <c r="D157" s="14">
        <f t="shared" si="14"/>
        <v>45517</v>
      </c>
      <c r="E157" s="4" t="str">
        <f t="shared" si="10"/>
        <v>Q3-2024</v>
      </c>
      <c r="F157" t="s">
        <v>45</v>
      </c>
      <c r="G157" t="s">
        <v>46</v>
      </c>
      <c r="H157" t="s">
        <v>47</v>
      </c>
      <c r="I157" t="s">
        <v>35</v>
      </c>
      <c r="J157" s="8" t="str">
        <f t="shared" si="11"/>
        <v>High</v>
      </c>
      <c r="K157" s="4">
        <v>527.48</v>
      </c>
      <c r="L157" s="4">
        <v>527.48</v>
      </c>
      <c r="M157" s="4">
        <v>0.111</v>
      </c>
      <c r="N157" s="4">
        <v>19</v>
      </c>
      <c r="O157" s="4">
        <f t="shared" si="12"/>
        <v>37272.187330000001</v>
      </c>
    </row>
    <row r="158" spans="1:15" x14ac:dyDescent="0.3">
      <c r="A158" s="13">
        <v>45518</v>
      </c>
      <c r="B158" s="4" t="str">
        <f>TEXT(Data!B158,"MMM-YYYY")</f>
        <v>Aug-2024</v>
      </c>
      <c r="C158" s="4" t="str">
        <f t="shared" si="13"/>
        <v>Aug-2024</v>
      </c>
      <c r="D158" s="14">
        <f t="shared" si="14"/>
        <v>45518</v>
      </c>
      <c r="E158" s="4" t="str">
        <f t="shared" si="10"/>
        <v>Q3-2024</v>
      </c>
      <c r="F158" t="s">
        <v>78</v>
      </c>
      <c r="G158" t="s">
        <v>90</v>
      </c>
      <c r="H158" t="s">
        <v>217</v>
      </c>
      <c r="I158" t="s">
        <v>35</v>
      </c>
      <c r="J158" s="8" t="str">
        <f t="shared" si="11"/>
        <v>High</v>
      </c>
      <c r="K158" s="4">
        <v>1467.17</v>
      </c>
      <c r="L158" s="4">
        <v>1467.17</v>
      </c>
      <c r="M158" s="4">
        <v>1.7999999999999999E-2</v>
      </c>
      <c r="N158" s="4">
        <v>5</v>
      </c>
      <c r="O158" s="4">
        <f t="shared" si="12"/>
        <v>9391.848</v>
      </c>
    </row>
    <row r="159" spans="1:15" x14ac:dyDescent="0.3">
      <c r="A159" s="13">
        <v>45519</v>
      </c>
      <c r="B159" s="4" t="str">
        <f>TEXT(Data!B159,"MMM-YYYY")</f>
        <v>Feb-2025</v>
      </c>
      <c r="C159" s="4" t="str">
        <f t="shared" si="13"/>
        <v>Aug-2024</v>
      </c>
      <c r="D159" s="14">
        <f t="shared" si="14"/>
        <v>45519</v>
      </c>
      <c r="E159" s="4" t="str">
        <f t="shared" si="10"/>
        <v>Q3-2024</v>
      </c>
      <c r="F159" t="s">
        <v>45</v>
      </c>
      <c r="G159" t="s">
        <v>60</v>
      </c>
      <c r="H159" t="s">
        <v>141</v>
      </c>
      <c r="I159" t="s">
        <v>22</v>
      </c>
      <c r="J159" s="8" t="str">
        <f t="shared" si="11"/>
        <v>High</v>
      </c>
      <c r="K159" s="4">
        <v>1651.14</v>
      </c>
      <c r="L159" s="4">
        <v>1651.14</v>
      </c>
      <c r="M159" s="4">
        <v>2.5000000000000001E-2</v>
      </c>
      <c r="N159" s="4">
        <v>15</v>
      </c>
      <c r="O159" s="4">
        <f t="shared" si="12"/>
        <v>20216.283749999999</v>
      </c>
    </row>
    <row r="160" spans="1:15" x14ac:dyDescent="0.3">
      <c r="A160" s="13">
        <v>45520</v>
      </c>
      <c r="B160" s="4" t="str">
        <f>TEXT(Data!B160,"MMM-YYYY")</f>
        <v>Aug-2025</v>
      </c>
      <c r="C160" s="4" t="str">
        <f t="shared" si="13"/>
        <v>Aug-2024</v>
      </c>
      <c r="D160" s="14">
        <f t="shared" si="14"/>
        <v>45520</v>
      </c>
      <c r="E160" s="4" t="str">
        <f t="shared" si="10"/>
        <v>Q3-2024</v>
      </c>
      <c r="F160" t="s">
        <v>78</v>
      </c>
      <c r="G160" t="s">
        <v>79</v>
      </c>
      <c r="H160" t="s">
        <v>335</v>
      </c>
      <c r="I160" t="s">
        <v>81</v>
      </c>
      <c r="J160" s="8" t="str">
        <f t="shared" si="11"/>
        <v>High</v>
      </c>
      <c r="K160" s="4">
        <v>1982.18</v>
      </c>
      <c r="L160" s="4">
        <v>1982.18</v>
      </c>
      <c r="M160" s="4">
        <v>0.127</v>
      </c>
      <c r="N160" s="4">
        <v>6</v>
      </c>
      <c r="O160" s="4">
        <f t="shared" si="12"/>
        <v>7100.6851799999995</v>
      </c>
    </row>
    <row r="161" spans="1:15" x14ac:dyDescent="0.3">
      <c r="A161" s="13">
        <v>45521</v>
      </c>
      <c r="B161" s="4" t="str">
        <f>TEXT(Data!B161,"MMM-YYYY")</f>
        <v>Feb-2023</v>
      </c>
      <c r="C161" s="4" t="str">
        <f t="shared" si="13"/>
        <v>Aug-2024</v>
      </c>
      <c r="D161" s="14">
        <f t="shared" si="14"/>
        <v>45521</v>
      </c>
      <c r="E161" s="4" t="str">
        <f t="shared" si="10"/>
        <v>Q3-2024</v>
      </c>
      <c r="F161" t="s">
        <v>45</v>
      </c>
      <c r="G161" t="s">
        <v>116</v>
      </c>
      <c r="H161" t="s">
        <v>162</v>
      </c>
      <c r="I161" t="s">
        <v>42</v>
      </c>
      <c r="J161" s="8" t="str">
        <f t="shared" si="11"/>
        <v>High</v>
      </c>
      <c r="K161" s="4">
        <v>2552.2199999999998</v>
      </c>
      <c r="L161" s="4">
        <v>2552.2199999999998</v>
      </c>
      <c r="M161" s="4">
        <v>0.18099999999999999</v>
      </c>
      <c r="N161" s="4">
        <v>14</v>
      </c>
      <c r="O161" s="4">
        <f t="shared" si="12"/>
        <v>10180.661399999999</v>
      </c>
    </row>
    <row r="162" spans="1:15" x14ac:dyDescent="0.3">
      <c r="A162" s="13">
        <v>45522</v>
      </c>
      <c r="B162" s="4" t="str">
        <f>TEXT(Data!B162,"MMM-YYYY")</f>
        <v>Oct-2024</v>
      </c>
      <c r="C162" s="4" t="str">
        <f t="shared" si="13"/>
        <v>Aug-2024</v>
      </c>
      <c r="D162" s="14">
        <f t="shared" si="14"/>
        <v>45522</v>
      </c>
      <c r="E162" s="4" t="str">
        <f t="shared" si="10"/>
        <v>Q3-2024</v>
      </c>
      <c r="F162" t="s">
        <v>45</v>
      </c>
      <c r="G162" t="s">
        <v>60</v>
      </c>
      <c r="H162" t="s">
        <v>141</v>
      </c>
      <c r="I162" t="s">
        <v>64</v>
      </c>
      <c r="J162" s="8" t="str">
        <f t="shared" si="11"/>
        <v>High</v>
      </c>
      <c r="K162" s="4">
        <v>523.01</v>
      </c>
      <c r="L162" s="4">
        <v>523.01</v>
      </c>
      <c r="M162" s="4">
        <v>0.157</v>
      </c>
      <c r="N162" s="4">
        <v>50</v>
      </c>
      <c r="O162" s="4">
        <f t="shared" si="12"/>
        <v>43022.083500000001</v>
      </c>
    </row>
    <row r="163" spans="1:15" x14ac:dyDescent="0.3">
      <c r="A163" s="13">
        <v>45523</v>
      </c>
      <c r="B163" s="4" t="str">
        <f>TEXT(Data!B163,"MMM-YYYY")</f>
        <v>Apr-2024</v>
      </c>
      <c r="C163" s="4" t="str">
        <f t="shared" si="13"/>
        <v>Aug-2024</v>
      </c>
      <c r="D163" s="14">
        <f t="shared" si="14"/>
        <v>45523</v>
      </c>
      <c r="E163" s="4" t="str">
        <f t="shared" si="10"/>
        <v>Q3-2024</v>
      </c>
      <c r="F163" t="s">
        <v>45</v>
      </c>
      <c r="G163" t="s">
        <v>116</v>
      </c>
      <c r="H163" t="s">
        <v>117</v>
      </c>
      <c r="I163" t="s">
        <v>22</v>
      </c>
      <c r="J163" s="8" t="str">
        <f t="shared" si="11"/>
        <v>High</v>
      </c>
      <c r="K163" s="4">
        <v>1217.71</v>
      </c>
      <c r="L163" s="4">
        <v>1217.71</v>
      </c>
      <c r="M163" s="4">
        <v>7.1999999999999995E-2</v>
      </c>
      <c r="N163" s="4">
        <v>5</v>
      </c>
      <c r="O163" s="4">
        <f t="shared" si="12"/>
        <v>6475.2592000000004</v>
      </c>
    </row>
    <row r="164" spans="1:15" x14ac:dyDescent="0.3">
      <c r="A164" s="13">
        <v>45524</v>
      </c>
      <c r="B164" s="4" t="str">
        <f>TEXT(Data!B164,"MMM-YYYY")</f>
        <v>Mar-2023</v>
      </c>
      <c r="C164" s="4" t="str">
        <f t="shared" si="13"/>
        <v>Aug-2024</v>
      </c>
      <c r="D164" s="14">
        <f t="shared" si="14"/>
        <v>45524</v>
      </c>
      <c r="E164" s="4" t="str">
        <f t="shared" si="10"/>
        <v>Q3-2024</v>
      </c>
      <c r="F164" t="s">
        <v>52</v>
      </c>
      <c r="G164" t="s">
        <v>73</v>
      </c>
      <c r="H164" t="s">
        <v>87</v>
      </c>
      <c r="I164" t="s">
        <v>42</v>
      </c>
      <c r="J164" s="8" t="str">
        <f t="shared" si="11"/>
        <v>High</v>
      </c>
      <c r="K164" s="4">
        <v>1343.64</v>
      </c>
      <c r="L164" s="4">
        <v>1343.64</v>
      </c>
      <c r="M164" s="4">
        <v>0.13300000000000001</v>
      </c>
      <c r="N164" s="4">
        <v>7</v>
      </c>
      <c r="O164" s="4">
        <f t="shared" si="12"/>
        <v>13797.385980000001</v>
      </c>
    </row>
    <row r="165" spans="1:15" x14ac:dyDescent="0.3">
      <c r="A165" s="13">
        <v>45525</v>
      </c>
      <c r="B165" s="4" t="str">
        <f>TEXT(Data!B165,"MMM-YYYY")</f>
        <v>Jun-2024</v>
      </c>
      <c r="C165" s="4" t="str">
        <f t="shared" si="13"/>
        <v>Aug-2024</v>
      </c>
      <c r="D165" s="14">
        <f t="shared" si="14"/>
        <v>45525</v>
      </c>
      <c r="E165" s="4" t="str">
        <f t="shared" si="10"/>
        <v>Q3-2024</v>
      </c>
      <c r="F165" t="s">
        <v>45</v>
      </c>
      <c r="G165" t="s">
        <v>46</v>
      </c>
      <c r="H165" t="s">
        <v>47</v>
      </c>
      <c r="I165" t="s">
        <v>64</v>
      </c>
      <c r="J165" s="8" t="str">
        <f t="shared" si="11"/>
        <v>High</v>
      </c>
      <c r="K165" s="4">
        <v>301.7</v>
      </c>
      <c r="L165" s="4">
        <v>301.7</v>
      </c>
      <c r="M165" s="4">
        <v>0.14000000000000001</v>
      </c>
      <c r="N165" s="4">
        <v>47</v>
      </c>
      <c r="O165" s="4">
        <f t="shared" si="12"/>
        <v>50207.703000000001</v>
      </c>
    </row>
    <row r="166" spans="1:15" x14ac:dyDescent="0.3">
      <c r="A166" s="13">
        <v>45526</v>
      </c>
      <c r="B166" s="4" t="str">
        <f>TEXT(Data!B166,"MMM-YYYY")</f>
        <v>Feb-2023</v>
      </c>
      <c r="C166" s="4" t="str">
        <f t="shared" si="13"/>
        <v>Aug-2024</v>
      </c>
      <c r="D166" s="14">
        <f t="shared" si="14"/>
        <v>45526</v>
      </c>
      <c r="E166" s="4" t="str">
        <f t="shared" si="10"/>
        <v>Q3-2024</v>
      </c>
      <c r="F166" t="s">
        <v>45</v>
      </c>
      <c r="G166" t="s">
        <v>116</v>
      </c>
      <c r="H166" t="s">
        <v>162</v>
      </c>
      <c r="I166" t="s">
        <v>30</v>
      </c>
      <c r="J166" s="8" t="str">
        <f t="shared" si="11"/>
        <v>High</v>
      </c>
      <c r="K166" s="4">
        <v>1511.71</v>
      </c>
      <c r="L166" s="4">
        <v>1511.71</v>
      </c>
      <c r="M166" s="4">
        <v>0.02</v>
      </c>
      <c r="N166" s="4">
        <v>8</v>
      </c>
      <c r="O166" s="4">
        <f t="shared" si="12"/>
        <v>10272.6736</v>
      </c>
    </row>
    <row r="167" spans="1:15" x14ac:dyDescent="0.3">
      <c r="A167" s="13">
        <v>45527</v>
      </c>
      <c r="B167" s="4" t="str">
        <f>TEXT(Data!B167,"MMM-YYYY")</f>
        <v>Apr-2023</v>
      </c>
      <c r="C167" s="4" t="str">
        <f t="shared" si="13"/>
        <v>Aug-2024</v>
      </c>
      <c r="D167" s="14">
        <f t="shared" si="14"/>
        <v>45527</v>
      </c>
      <c r="E167" s="4" t="str">
        <f t="shared" si="10"/>
        <v>Q3-2024</v>
      </c>
      <c r="F167" t="s">
        <v>78</v>
      </c>
      <c r="G167" t="s">
        <v>79</v>
      </c>
      <c r="H167" t="s">
        <v>80</v>
      </c>
      <c r="I167" t="s">
        <v>64</v>
      </c>
      <c r="J167" s="8" t="str">
        <f t="shared" si="11"/>
        <v>High</v>
      </c>
      <c r="K167" s="4">
        <v>2055.2399999999998</v>
      </c>
      <c r="L167" s="4">
        <v>2055.2399999999998</v>
      </c>
      <c r="M167" s="4">
        <v>5.2999999999999999E-2</v>
      </c>
      <c r="N167" s="4">
        <v>44</v>
      </c>
      <c r="O167" s="4">
        <f t="shared" si="12"/>
        <v>40303.373</v>
      </c>
    </row>
    <row r="168" spans="1:15" x14ac:dyDescent="0.3">
      <c r="A168" s="13">
        <v>45528</v>
      </c>
      <c r="B168" s="4" t="str">
        <f>TEXT(Data!B168,"MMM-YYYY")</f>
        <v>May-2024</v>
      </c>
      <c r="C168" s="4" t="str">
        <f t="shared" si="13"/>
        <v>Aug-2024</v>
      </c>
      <c r="D168" s="14">
        <f t="shared" si="14"/>
        <v>45528</v>
      </c>
      <c r="E168" s="4" t="str">
        <f t="shared" si="10"/>
        <v>Q3-2024</v>
      </c>
      <c r="F168" t="s">
        <v>45</v>
      </c>
      <c r="G168" t="s">
        <v>116</v>
      </c>
      <c r="H168" t="s">
        <v>117</v>
      </c>
      <c r="I168" t="s">
        <v>57</v>
      </c>
      <c r="J168" s="8" t="str">
        <f t="shared" si="11"/>
        <v>High</v>
      </c>
      <c r="K168" s="4">
        <v>391.15</v>
      </c>
      <c r="L168" s="4">
        <v>391.15</v>
      </c>
      <c r="M168" s="4">
        <v>0.19700000000000001</v>
      </c>
      <c r="N168" s="4">
        <v>46</v>
      </c>
      <c r="O168" s="4">
        <f t="shared" si="12"/>
        <v>32735.194359999998</v>
      </c>
    </row>
    <row r="169" spans="1:15" x14ac:dyDescent="0.3">
      <c r="A169" s="13">
        <v>45529</v>
      </c>
      <c r="B169" s="4" t="str">
        <f>TEXT(Data!B169,"MMM-YYYY")</f>
        <v>Oct-2023</v>
      </c>
      <c r="C169" s="4" t="str">
        <f t="shared" si="13"/>
        <v>Aug-2024</v>
      </c>
      <c r="D169" s="14">
        <f t="shared" si="14"/>
        <v>45529</v>
      </c>
      <c r="E169" s="4" t="str">
        <f t="shared" si="10"/>
        <v>Q3-2024</v>
      </c>
      <c r="F169" t="s">
        <v>78</v>
      </c>
      <c r="G169" t="s">
        <v>90</v>
      </c>
      <c r="H169" t="s">
        <v>91</v>
      </c>
      <c r="I169" t="s">
        <v>64</v>
      </c>
      <c r="J169" s="8" t="str">
        <f t="shared" si="11"/>
        <v>High</v>
      </c>
      <c r="K169" s="4">
        <v>1848.97</v>
      </c>
      <c r="L169" s="4">
        <v>1848.97</v>
      </c>
      <c r="M169" s="4">
        <v>0.254</v>
      </c>
      <c r="N169" s="4">
        <v>9</v>
      </c>
      <c r="O169" s="4">
        <f t="shared" si="12"/>
        <v>5308.1555399999997</v>
      </c>
    </row>
    <row r="170" spans="1:15" x14ac:dyDescent="0.3">
      <c r="A170" s="13">
        <v>45530</v>
      </c>
      <c r="B170" s="4" t="str">
        <f>TEXT(Data!B170,"MMM-YYYY")</f>
        <v>Oct-2024</v>
      </c>
      <c r="C170" s="4" t="str">
        <f t="shared" si="13"/>
        <v>Aug-2024</v>
      </c>
      <c r="D170" s="14">
        <f t="shared" si="14"/>
        <v>45530</v>
      </c>
      <c r="E170" s="4" t="str">
        <f t="shared" si="10"/>
        <v>Q3-2024</v>
      </c>
      <c r="F170" t="s">
        <v>45</v>
      </c>
      <c r="G170" t="s">
        <v>60</v>
      </c>
      <c r="H170" t="s">
        <v>281</v>
      </c>
      <c r="I170" t="s">
        <v>64</v>
      </c>
      <c r="J170" s="8" t="str">
        <f t="shared" si="11"/>
        <v>High</v>
      </c>
      <c r="K170" s="4">
        <v>1395.56</v>
      </c>
      <c r="L170" s="4">
        <v>1395.56</v>
      </c>
      <c r="M170" s="4">
        <v>0.185</v>
      </c>
      <c r="N170" s="4">
        <v>6</v>
      </c>
      <c r="O170" s="4">
        <f t="shared" si="12"/>
        <v>1766.9036999999998</v>
      </c>
    </row>
    <row r="171" spans="1:15" x14ac:dyDescent="0.3">
      <c r="A171" s="13">
        <v>45531</v>
      </c>
      <c r="B171" s="4" t="str">
        <f>TEXT(Data!B171,"MMM-YYYY")</f>
        <v>Jul-2024</v>
      </c>
      <c r="C171" s="4" t="str">
        <f t="shared" si="13"/>
        <v>Aug-2024</v>
      </c>
      <c r="D171" s="14">
        <f t="shared" si="14"/>
        <v>45531</v>
      </c>
      <c r="E171" s="4" t="str">
        <f t="shared" si="10"/>
        <v>Q3-2024</v>
      </c>
      <c r="F171" t="s">
        <v>78</v>
      </c>
      <c r="G171" t="s">
        <v>108</v>
      </c>
      <c r="H171" t="s">
        <v>228</v>
      </c>
      <c r="I171" t="s">
        <v>22</v>
      </c>
      <c r="J171" s="8" t="str">
        <f t="shared" si="11"/>
        <v>High</v>
      </c>
      <c r="K171" s="4">
        <v>538.04</v>
      </c>
      <c r="L171" s="4">
        <v>538.04</v>
      </c>
      <c r="M171" s="4">
        <v>0.13900000000000001</v>
      </c>
      <c r="N171" s="4">
        <v>5</v>
      </c>
      <c r="O171" s="4">
        <f t="shared" si="12"/>
        <v>8403.5321999999996</v>
      </c>
    </row>
    <row r="172" spans="1:15" x14ac:dyDescent="0.3">
      <c r="A172" s="13">
        <v>45532</v>
      </c>
      <c r="B172" s="4" t="str">
        <f>TEXT(Data!B172,"MMM-YYYY")</f>
        <v>Sept-2023</v>
      </c>
      <c r="C172" s="4" t="str">
        <f t="shared" si="13"/>
        <v>Aug-2024</v>
      </c>
      <c r="D172" s="14">
        <f t="shared" si="14"/>
        <v>45532</v>
      </c>
      <c r="E172" s="4" t="str">
        <f t="shared" si="10"/>
        <v>Q3-2024</v>
      </c>
      <c r="F172" t="s">
        <v>45</v>
      </c>
      <c r="G172" t="s">
        <v>46</v>
      </c>
      <c r="H172" t="s">
        <v>214</v>
      </c>
      <c r="I172" t="s">
        <v>81</v>
      </c>
      <c r="J172" s="8" t="str">
        <f t="shared" si="11"/>
        <v>High</v>
      </c>
      <c r="K172" s="4">
        <v>1218.92</v>
      </c>
      <c r="L172" s="4">
        <v>1218.92</v>
      </c>
      <c r="M172" s="4">
        <v>0.254</v>
      </c>
      <c r="N172" s="4">
        <v>16</v>
      </c>
      <c r="O172" s="4">
        <f t="shared" si="12"/>
        <v>18676.97536</v>
      </c>
    </row>
    <row r="173" spans="1:15" x14ac:dyDescent="0.3">
      <c r="A173" s="13">
        <v>45533</v>
      </c>
      <c r="B173" s="4" t="str">
        <f>TEXT(Data!B173,"MMM-YYYY")</f>
        <v>Feb-2023</v>
      </c>
      <c r="C173" s="4" t="str">
        <f t="shared" si="13"/>
        <v>Aug-2024</v>
      </c>
      <c r="D173" s="14">
        <f t="shared" si="14"/>
        <v>45533</v>
      </c>
      <c r="E173" s="4" t="str">
        <f t="shared" si="10"/>
        <v>Q3-2024</v>
      </c>
      <c r="F173" t="s">
        <v>45</v>
      </c>
      <c r="G173" t="s">
        <v>46</v>
      </c>
      <c r="H173" t="s">
        <v>214</v>
      </c>
      <c r="I173" t="s">
        <v>22</v>
      </c>
      <c r="J173" s="8" t="str">
        <f t="shared" si="11"/>
        <v>High</v>
      </c>
      <c r="K173" s="4">
        <v>2062.12</v>
      </c>
      <c r="L173" s="4">
        <v>2062.12</v>
      </c>
      <c r="M173" s="4">
        <v>0.13400000000000001</v>
      </c>
      <c r="N173" s="4">
        <v>5</v>
      </c>
      <c r="O173" s="4">
        <f t="shared" si="12"/>
        <v>3691.4982</v>
      </c>
    </row>
    <row r="174" spans="1:15" x14ac:dyDescent="0.3">
      <c r="A174" s="13">
        <v>45534</v>
      </c>
      <c r="B174" s="4" t="str">
        <f>TEXT(Data!B174,"MMM-YYYY")</f>
        <v>May-2025</v>
      </c>
      <c r="C174" s="4" t="str">
        <f t="shared" si="13"/>
        <v>Aug-2024</v>
      </c>
      <c r="D174" s="14">
        <f t="shared" si="14"/>
        <v>45534</v>
      </c>
      <c r="E174" s="4" t="str">
        <f t="shared" si="10"/>
        <v>Q3-2024</v>
      </c>
      <c r="F174" t="s">
        <v>52</v>
      </c>
      <c r="G174" t="s">
        <v>122</v>
      </c>
      <c r="H174" t="s">
        <v>387</v>
      </c>
      <c r="I174" t="s">
        <v>22</v>
      </c>
      <c r="J174" s="8" t="str">
        <f t="shared" si="11"/>
        <v>Low</v>
      </c>
      <c r="K174" s="4">
        <v>10.18</v>
      </c>
      <c r="L174" s="4">
        <v>10.18</v>
      </c>
      <c r="M174" s="4">
        <v>4.7E-2</v>
      </c>
      <c r="N174" s="4">
        <v>10</v>
      </c>
      <c r="O174" s="4">
        <f t="shared" si="12"/>
        <v>13964.213699999998</v>
      </c>
    </row>
    <row r="175" spans="1:15" x14ac:dyDescent="0.3">
      <c r="A175" s="13">
        <v>45535</v>
      </c>
      <c r="B175" s="4" t="str">
        <f>TEXT(Data!B175,"MMM-YYYY")</f>
        <v>May-2024</v>
      </c>
      <c r="C175" s="4" t="str">
        <f t="shared" si="13"/>
        <v>Aug-2024</v>
      </c>
      <c r="D175" s="14">
        <f t="shared" si="14"/>
        <v>45535</v>
      </c>
      <c r="E175" s="4" t="str">
        <f t="shared" si="10"/>
        <v>Q3-2024</v>
      </c>
      <c r="F175" t="s">
        <v>16</v>
      </c>
      <c r="G175" t="s">
        <v>148</v>
      </c>
      <c r="H175" t="s">
        <v>149</v>
      </c>
      <c r="I175" t="s">
        <v>57</v>
      </c>
      <c r="J175" s="8" t="str">
        <f t="shared" si="11"/>
        <v>High</v>
      </c>
      <c r="K175" s="4">
        <v>2281.7199999999998</v>
      </c>
      <c r="L175" s="4">
        <v>2281.7199999999998</v>
      </c>
      <c r="M175" s="4">
        <v>7.8E-2</v>
      </c>
      <c r="N175" s="4">
        <v>15</v>
      </c>
      <c r="O175" s="4">
        <f t="shared" si="12"/>
        <v>36583.530899999998</v>
      </c>
    </row>
    <row r="176" spans="1:15" x14ac:dyDescent="0.3">
      <c r="A176" s="13">
        <v>45536</v>
      </c>
      <c r="B176" s="4" t="str">
        <f>TEXT(Data!B176,"MMM-YYYY")</f>
        <v>Apr-2025</v>
      </c>
      <c r="C176" s="4" t="str">
        <f t="shared" si="13"/>
        <v>Sept-2024</v>
      </c>
      <c r="D176" s="14">
        <f t="shared" si="14"/>
        <v>45536</v>
      </c>
      <c r="E176" s="4" t="str">
        <f t="shared" si="10"/>
        <v>Q3-2024</v>
      </c>
      <c r="F176" t="s">
        <v>16</v>
      </c>
      <c r="G176" t="s">
        <v>148</v>
      </c>
      <c r="H176" t="s">
        <v>149</v>
      </c>
      <c r="I176" t="s">
        <v>30</v>
      </c>
      <c r="J176" s="8" t="str">
        <f t="shared" si="11"/>
        <v>High</v>
      </c>
      <c r="K176" s="4">
        <v>249.57</v>
      </c>
      <c r="L176" s="4">
        <v>249.57</v>
      </c>
      <c r="M176" s="4">
        <v>2.1999999999999999E-2</v>
      </c>
      <c r="N176" s="4">
        <v>8</v>
      </c>
      <c r="O176" s="4">
        <f t="shared" si="12"/>
        <v>6897.4036800000003</v>
      </c>
    </row>
    <row r="177" spans="1:15" x14ac:dyDescent="0.3">
      <c r="A177" s="13">
        <v>45537</v>
      </c>
      <c r="B177" s="4" t="str">
        <f>TEXT(Data!B177,"MMM-YYYY")</f>
        <v>Aug-2023</v>
      </c>
      <c r="C177" s="4" t="str">
        <f t="shared" si="13"/>
        <v>Sept-2024</v>
      </c>
      <c r="D177" s="14">
        <f t="shared" si="14"/>
        <v>45537</v>
      </c>
      <c r="E177" s="4" t="str">
        <f t="shared" si="10"/>
        <v>Q3-2024</v>
      </c>
      <c r="F177" t="s">
        <v>78</v>
      </c>
      <c r="G177" t="s">
        <v>108</v>
      </c>
      <c r="H177" t="s">
        <v>109</v>
      </c>
      <c r="I177" t="s">
        <v>64</v>
      </c>
      <c r="J177" s="8" t="str">
        <f t="shared" si="11"/>
        <v>High</v>
      </c>
      <c r="K177" s="4">
        <v>3275</v>
      </c>
      <c r="L177" s="4">
        <v>3275</v>
      </c>
      <c r="M177" s="4">
        <v>0.255</v>
      </c>
      <c r="N177" s="4">
        <v>38</v>
      </c>
      <c r="O177" s="4">
        <f t="shared" si="12"/>
        <v>17694.882399999999</v>
      </c>
    </row>
    <row r="178" spans="1:15" x14ac:dyDescent="0.3">
      <c r="A178" s="13">
        <v>45538</v>
      </c>
      <c r="B178" s="4" t="str">
        <f>TEXT(Data!B178,"MMM-YYYY")</f>
        <v>Feb-2024</v>
      </c>
      <c r="C178" s="4" t="str">
        <f t="shared" si="13"/>
        <v>Sept-2024</v>
      </c>
      <c r="D178" s="14">
        <f t="shared" si="14"/>
        <v>45538</v>
      </c>
      <c r="E178" s="4" t="str">
        <f t="shared" si="10"/>
        <v>Q3-2024</v>
      </c>
      <c r="F178" t="s">
        <v>78</v>
      </c>
      <c r="G178" t="s">
        <v>108</v>
      </c>
      <c r="H178" t="s">
        <v>152</v>
      </c>
      <c r="I178" t="s">
        <v>30</v>
      </c>
      <c r="J178" s="8" t="str">
        <f t="shared" si="11"/>
        <v>High</v>
      </c>
      <c r="K178" s="4">
        <v>1913.76</v>
      </c>
      <c r="L178" s="4">
        <v>1913.76</v>
      </c>
      <c r="M178" s="4">
        <v>9.0999999999999998E-2</v>
      </c>
      <c r="N178" s="4">
        <v>9</v>
      </c>
      <c r="O178" s="4">
        <f t="shared" si="12"/>
        <v>7960.4402400000008</v>
      </c>
    </row>
    <row r="179" spans="1:15" x14ac:dyDescent="0.3">
      <c r="A179" s="13">
        <v>45539</v>
      </c>
      <c r="B179" s="4" t="str">
        <f>TEXT(Data!B179,"MMM-YYYY")</f>
        <v>Apr-2023</v>
      </c>
      <c r="C179" s="4" t="str">
        <f t="shared" si="13"/>
        <v>Sept-2024</v>
      </c>
      <c r="D179" s="14">
        <f t="shared" si="14"/>
        <v>45539</v>
      </c>
      <c r="E179" s="4" t="str">
        <f t="shared" si="10"/>
        <v>Q3-2024</v>
      </c>
      <c r="F179" t="s">
        <v>78</v>
      </c>
      <c r="G179" t="s">
        <v>79</v>
      </c>
      <c r="H179" t="s">
        <v>335</v>
      </c>
      <c r="I179" t="s">
        <v>22</v>
      </c>
      <c r="J179" s="8" t="str">
        <f t="shared" si="11"/>
        <v>Low</v>
      </c>
      <c r="K179" s="4">
        <v>30.09</v>
      </c>
      <c r="L179" s="4">
        <v>30.09</v>
      </c>
      <c r="M179" s="4">
        <v>0.17699999999999999</v>
      </c>
      <c r="N179" s="4">
        <v>13</v>
      </c>
      <c r="O179" s="4">
        <f t="shared" si="12"/>
        <v>16533.592659999998</v>
      </c>
    </row>
    <row r="180" spans="1:15" x14ac:dyDescent="0.3">
      <c r="A180" s="13">
        <v>45540</v>
      </c>
      <c r="B180" s="4" t="str">
        <f>TEXT(Data!B180,"MMM-YYYY")</f>
        <v>Aug-2025</v>
      </c>
      <c r="C180" s="4" t="str">
        <f t="shared" si="13"/>
        <v>Sept-2024</v>
      </c>
      <c r="D180" s="14">
        <f t="shared" si="14"/>
        <v>45540</v>
      </c>
      <c r="E180" s="4" t="str">
        <f t="shared" si="10"/>
        <v>Q3-2024</v>
      </c>
      <c r="F180" t="s">
        <v>52</v>
      </c>
      <c r="G180" t="s">
        <v>53</v>
      </c>
      <c r="H180" t="s">
        <v>179</v>
      </c>
      <c r="I180" t="s">
        <v>64</v>
      </c>
      <c r="J180" s="8" t="str">
        <f t="shared" si="11"/>
        <v>High</v>
      </c>
      <c r="K180" s="4">
        <v>501.31</v>
      </c>
      <c r="L180" s="4">
        <v>501.31</v>
      </c>
      <c r="M180" s="4">
        <v>5.6000000000000001E-2</v>
      </c>
      <c r="N180" s="4">
        <v>15</v>
      </c>
      <c r="O180" s="4">
        <f t="shared" si="12"/>
        <v>31908.427200000002</v>
      </c>
    </row>
    <row r="181" spans="1:15" x14ac:dyDescent="0.3">
      <c r="A181" s="13">
        <v>45541</v>
      </c>
      <c r="B181" s="4" t="str">
        <f>TEXT(Data!B181,"MMM-YYYY")</f>
        <v>Sept-2025</v>
      </c>
      <c r="C181" s="4" t="str">
        <f t="shared" si="13"/>
        <v>Sept-2024</v>
      </c>
      <c r="D181" s="14">
        <f t="shared" si="14"/>
        <v>45541</v>
      </c>
      <c r="E181" s="4" t="str">
        <f t="shared" si="10"/>
        <v>Q3-2024</v>
      </c>
      <c r="F181" t="s">
        <v>45</v>
      </c>
      <c r="G181" t="s">
        <v>116</v>
      </c>
      <c r="H181" t="s">
        <v>117</v>
      </c>
      <c r="I181" t="s">
        <v>30</v>
      </c>
      <c r="J181" s="8" t="str">
        <f t="shared" si="11"/>
        <v>High</v>
      </c>
      <c r="K181" s="4">
        <v>411.18</v>
      </c>
      <c r="L181" s="4">
        <v>411.18</v>
      </c>
      <c r="M181" s="4">
        <v>0.17299999999999999</v>
      </c>
      <c r="N181" s="4">
        <v>13</v>
      </c>
      <c r="O181" s="4">
        <f t="shared" si="12"/>
        <v>26302.966559999997</v>
      </c>
    </row>
    <row r="182" spans="1:15" x14ac:dyDescent="0.3">
      <c r="A182" s="13">
        <v>45542</v>
      </c>
      <c r="B182" s="4" t="str">
        <f>TEXT(Data!B182,"MMM-YYYY")</f>
        <v>Oct-2024</v>
      </c>
      <c r="C182" s="4" t="str">
        <f t="shared" si="13"/>
        <v>Sept-2024</v>
      </c>
      <c r="D182" s="14">
        <f t="shared" si="14"/>
        <v>45542</v>
      </c>
      <c r="E182" s="4" t="str">
        <f t="shared" si="10"/>
        <v>Q3-2024</v>
      </c>
      <c r="F182" t="s">
        <v>52</v>
      </c>
      <c r="G182" t="s">
        <v>73</v>
      </c>
      <c r="H182" t="s">
        <v>225</v>
      </c>
      <c r="I182" t="s">
        <v>81</v>
      </c>
      <c r="J182" s="8" t="str">
        <f t="shared" si="11"/>
        <v>Low</v>
      </c>
      <c r="K182" s="4">
        <v>5.92</v>
      </c>
      <c r="L182" s="4">
        <v>5.92</v>
      </c>
      <c r="M182" s="4">
        <v>0.21199999999999999</v>
      </c>
      <c r="N182" s="4">
        <v>4</v>
      </c>
      <c r="O182" s="4">
        <f t="shared" si="12"/>
        <v>593.52160000000003</v>
      </c>
    </row>
    <row r="183" spans="1:15" x14ac:dyDescent="0.3">
      <c r="A183" s="13">
        <v>45543</v>
      </c>
      <c r="B183" s="4" t="str">
        <f>TEXT(Data!B183,"MMM-YYYY")</f>
        <v>Feb-2025</v>
      </c>
      <c r="C183" s="4" t="str">
        <f t="shared" si="13"/>
        <v>Sept-2024</v>
      </c>
      <c r="D183" s="14">
        <f t="shared" si="14"/>
        <v>45543</v>
      </c>
      <c r="E183" s="4" t="str">
        <f t="shared" si="10"/>
        <v>Q3-2024</v>
      </c>
      <c r="F183" t="s">
        <v>45</v>
      </c>
      <c r="G183" t="s">
        <v>116</v>
      </c>
      <c r="H183" t="s">
        <v>338</v>
      </c>
      <c r="I183" t="s">
        <v>42</v>
      </c>
      <c r="J183" s="8" t="str">
        <f t="shared" si="11"/>
        <v>High</v>
      </c>
      <c r="K183" s="4">
        <v>2206.63</v>
      </c>
      <c r="L183" s="4">
        <v>2206.63</v>
      </c>
      <c r="M183" s="4">
        <v>6.3E-2</v>
      </c>
      <c r="N183" s="4">
        <v>20</v>
      </c>
      <c r="O183" s="4">
        <f t="shared" si="12"/>
        <v>48027.621600000006</v>
      </c>
    </row>
    <row r="184" spans="1:15" x14ac:dyDescent="0.3">
      <c r="A184" s="13">
        <v>45544</v>
      </c>
      <c r="B184" s="4" t="str">
        <f>TEXT(Data!B184,"MMM-YYYY")</f>
        <v>Aug-2023</v>
      </c>
      <c r="C184" s="4" t="str">
        <f t="shared" si="13"/>
        <v>Sept-2024</v>
      </c>
      <c r="D184" s="14">
        <f t="shared" si="14"/>
        <v>45544</v>
      </c>
      <c r="E184" s="4" t="str">
        <f t="shared" si="10"/>
        <v>Q3-2024</v>
      </c>
      <c r="F184" t="s">
        <v>45</v>
      </c>
      <c r="G184" t="s">
        <v>46</v>
      </c>
      <c r="H184" t="s">
        <v>47</v>
      </c>
      <c r="I184" t="s">
        <v>81</v>
      </c>
      <c r="J184" s="8" t="str">
        <f t="shared" si="11"/>
        <v>High</v>
      </c>
      <c r="K184" s="4">
        <v>1912.8</v>
      </c>
      <c r="L184" s="4">
        <v>1912.8</v>
      </c>
      <c r="M184" s="4">
        <v>0.19600000000000001</v>
      </c>
      <c r="N184" s="4">
        <v>5</v>
      </c>
      <c r="O184" s="4">
        <f t="shared" si="12"/>
        <v>7256.5421999999999</v>
      </c>
    </row>
    <row r="185" spans="1:15" x14ac:dyDescent="0.3">
      <c r="A185" s="13">
        <v>45545</v>
      </c>
      <c r="B185" s="4" t="str">
        <f>TEXT(Data!B185,"MMM-YYYY")</f>
        <v>Oct-2024</v>
      </c>
      <c r="C185" s="4" t="str">
        <f t="shared" si="13"/>
        <v>Sept-2024</v>
      </c>
      <c r="D185" s="14">
        <f t="shared" si="14"/>
        <v>45545</v>
      </c>
      <c r="E185" s="4" t="str">
        <f t="shared" si="10"/>
        <v>Q3-2024</v>
      </c>
      <c r="F185" t="s">
        <v>16</v>
      </c>
      <c r="G185" t="s">
        <v>25</v>
      </c>
      <c r="H185" t="s">
        <v>67</v>
      </c>
      <c r="I185" t="s">
        <v>64</v>
      </c>
      <c r="J185" s="8" t="str">
        <f t="shared" si="11"/>
        <v>High</v>
      </c>
      <c r="K185" s="4">
        <v>1382.31</v>
      </c>
      <c r="L185" s="4">
        <v>1382.31</v>
      </c>
      <c r="M185" s="4">
        <v>0.10100000000000001</v>
      </c>
      <c r="N185" s="4">
        <v>7</v>
      </c>
      <c r="O185" s="4">
        <f t="shared" si="12"/>
        <v>12999.63889</v>
      </c>
    </row>
    <row r="186" spans="1:15" x14ac:dyDescent="0.3">
      <c r="A186" s="13">
        <v>45546</v>
      </c>
      <c r="B186" s="4" t="str">
        <f>TEXT(Data!B186,"MMM-YYYY")</f>
        <v>Jun-2023</v>
      </c>
      <c r="C186" s="4" t="str">
        <f t="shared" si="13"/>
        <v>Sept-2024</v>
      </c>
      <c r="D186" s="14">
        <f t="shared" si="14"/>
        <v>45546</v>
      </c>
      <c r="E186" s="4" t="str">
        <f t="shared" si="10"/>
        <v>Q3-2024</v>
      </c>
      <c r="F186" t="s">
        <v>16</v>
      </c>
      <c r="G186" t="s">
        <v>25</v>
      </c>
      <c r="H186" t="s">
        <v>26</v>
      </c>
      <c r="I186" t="s">
        <v>64</v>
      </c>
      <c r="J186" s="8" t="str">
        <f t="shared" si="11"/>
        <v>High</v>
      </c>
      <c r="K186" s="4">
        <v>1355.61</v>
      </c>
      <c r="L186" s="4">
        <v>1355.61</v>
      </c>
      <c r="M186" s="4">
        <v>0.153</v>
      </c>
      <c r="N186" s="4">
        <v>23</v>
      </c>
      <c r="O186" s="4">
        <f t="shared" si="12"/>
        <v>46101.981310000003</v>
      </c>
    </row>
    <row r="187" spans="1:15" x14ac:dyDescent="0.3">
      <c r="A187" s="13">
        <v>45547</v>
      </c>
      <c r="B187" s="4" t="str">
        <f>TEXT(Data!B187,"MMM-YYYY")</f>
        <v>Jan-2025</v>
      </c>
      <c r="C187" s="4" t="str">
        <f t="shared" si="13"/>
        <v>Sept-2024</v>
      </c>
      <c r="D187" s="14">
        <f t="shared" si="14"/>
        <v>45547</v>
      </c>
      <c r="E187" s="4" t="str">
        <f t="shared" si="10"/>
        <v>Q3-2024</v>
      </c>
      <c r="F187" t="s">
        <v>78</v>
      </c>
      <c r="G187" t="s">
        <v>90</v>
      </c>
      <c r="H187" t="s">
        <v>138</v>
      </c>
      <c r="I187" t="s">
        <v>81</v>
      </c>
      <c r="J187" s="8" t="str">
        <f t="shared" si="11"/>
        <v>High</v>
      </c>
      <c r="K187" s="4">
        <v>887.9</v>
      </c>
      <c r="L187" s="4">
        <v>887.9</v>
      </c>
      <c r="M187" s="4">
        <v>2.5000000000000001E-2</v>
      </c>
      <c r="N187" s="4">
        <v>12</v>
      </c>
      <c r="O187" s="4">
        <f t="shared" si="12"/>
        <v>1541.5919999999999</v>
      </c>
    </row>
    <row r="188" spans="1:15" x14ac:dyDescent="0.3">
      <c r="A188" s="13">
        <v>45548</v>
      </c>
      <c r="B188" s="4" t="str">
        <f>TEXT(Data!B188,"MMM-YYYY")</f>
        <v>Jan-2023</v>
      </c>
      <c r="C188" s="4" t="str">
        <f t="shared" si="13"/>
        <v>Sept-2024</v>
      </c>
      <c r="D188" s="14">
        <f t="shared" si="14"/>
        <v>45548</v>
      </c>
      <c r="E188" s="4" t="str">
        <f t="shared" si="10"/>
        <v>Q3-2024</v>
      </c>
      <c r="F188" t="s">
        <v>78</v>
      </c>
      <c r="G188" t="s">
        <v>90</v>
      </c>
      <c r="H188" t="s">
        <v>217</v>
      </c>
      <c r="I188" t="s">
        <v>64</v>
      </c>
      <c r="J188" s="8" t="str">
        <f t="shared" si="11"/>
        <v>High</v>
      </c>
      <c r="K188" s="4">
        <v>1020.69</v>
      </c>
      <c r="L188" s="4">
        <v>1020.69</v>
      </c>
      <c r="M188" s="4">
        <v>0.21099999999999999</v>
      </c>
      <c r="N188" s="4">
        <v>6</v>
      </c>
      <c r="O188" s="4">
        <f t="shared" si="12"/>
        <v>6319.9846800000005</v>
      </c>
    </row>
    <row r="189" spans="1:15" x14ac:dyDescent="0.3">
      <c r="A189" s="13">
        <v>45549</v>
      </c>
      <c r="B189" s="4" t="str">
        <f>TEXT(Data!B189,"MMM-YYYY")</f>
        <v>Jul-2023</v>
      </c>
      <c r="C189" s="4" t="str">
        <f t="shared" si="13"/>
        <v>Sept-2024</v>
      </c>
      <c r="D189" s="14">
        <f t="shared" si="14"/>
        <v>45549</v>
      </c>
      <c r="E189" s="4" t="str">
        <f t="shared" si="10"/>
        <v>Q3-2024</v>
      </c>
      <c r="F189" t="s">
        <v>45</v>
      </c>
      <c r="G189" t="s">
        <v>60</v>
      </c>
      <c r="H189" t="s">
        <v>61</v>
      </c>
      <c r="I189" t="s">
        <v>81</v>
      </c>
      <c r="J189" s="8" t="str">
        <f t="shared" si="11"/>
        <v>High</v>
      </c>
      <c r="K189" s="4">
        <v>1395.53</v>
      </c>
      <c r="L189" s="4">
        <v>1395.53</v>
      </c>
      <c r="M189" s="4">
        <v>0.23300000000000001</v>
      </c>
      <c r="N189" s="4">
        <v>25</v>
      </c>
      <c r="O189" s="4">
        <f t="shared" si="12"/>
        <v>51608.553749999999</v>
      </c>
    </row>
    <row r="190" spans="1:15" x14ac:dyDescent="0.3">
      <c r="A190" s="13">
        <v>45550</v>
      </c>
      <c r="B190" s="4" t="str">
        <f>TEXT(Data!B190,"MMM-YYYY")</f>
        <v>May-2024</v>
      </c>
      <c r="C190" s="4" t="str">
        <f t="shared" si="13"/>
        <v>Sept-2024</v>
      </c>
      <c r="D190" s="14">
        <f t="shared" si="14"/>
        <v>45550</v>
      </c>
      <c r="E190" s="4" t="str">
        <f t="shared" si="10"/>
        <v>Q3-2024</v>
      </c>
      <c r="F190" t="s">
        <v>52</v>
      </c>
      <c r="G190" t="s">
        <v>73</v>
      </c>
      <c r="H190" t="s">
        <v>225</v>
      </c>
      <c r="I190" t="s">
        <v>64</v>
      </c>
      <c r="J190" s="8" t="str">
        <f t="shared" si="11"/>
        <v>High</v>
      </c>
      <c r="K190" s="4">
        <v>2273.42</v>
      </c>
      <c r="L190" s="4">
        <v>2273.42</v>
      </c>
      <c r="M190" s="4">
        <v>0.11799999999999999</v>
      </c>
      <c r="N190" s="4">
        <v>14</v>
      </c>
      <c r="O190" s="4">
        <f t="shared" si="12"/>
        <v>9587.7280800000008</v>
      </c>
    </row>
    <row r="191" spans="1:15" x14ac:dyDescent="0.3">
      <c r="A191" s="13">
        <v>45551</v>
      </c>
      <c r="B191" s="4" t="str">
        <f>TEXT(Data!B191,"MMM-YYYY")</f>
        <v>Feb-2024</v>
      </c>
      <c r="C191" s="4" t="str">
        <f t="shared" si="13"/>
        <v>Sept-2024</v>
      </c>
      <c r="D191" s="14">
        <f t="shared" si="14"/>
        <v>45551</v>
      </c>
      <c r="E191" s="4" t="str">
        <f t="shared" si="10"/>
        <v>Q3-2024</v>
      </c>
      <c r="F191" t="s">
        <v>52</v>
      </c>
      <c r="G191" t="s">
        <v>73</v>
      </c>
      <c r="H191" t="s">
        <v>87</v>
      </c>
      <c r="I191" t="s">
        <v>64</v>
      </c>
      <c r="J191" s="8" t="str">
        <f t="shared" si="11"/>
        <v>High</v>
      </c>
      <c r="K191" s="4">
        <v>1242.1500000000001</v>
      </c>
      <c r="L191" s="4">
        <v>1242.1500000000001</v>
      </c>
      <c r="M191" s="4">
        <v>1.2E-2</v>
      </c>
      <c r="N191" s="4">
        <v>7</v>
      </c>
      <c r="O191" s="4">
        <f t="shared" si="12"/>
        <v>2200.4637200000002</v>
      </c>
    </row>
    <row r="192" spans="1:15" x14ac:dyDescent="0.3">
      <c r="A192" s="13">
        <v>45552</v>
      </c>
      <c r="B192" s="4" t="str">
        <f>TEXT(Data!B192,"MMM-YYYY")</f>
        <v>Aug-2023</v>
      </c>
      <c r="C192" s="4" t="str">
        <f t="shared" si="13"/>
        <v>Sept-2024</v>
      </c>
      <c r="D192" s="14">
        <f t="shared" si="14"/>
        <v>45552</v>
      </c>
      <c r="E192" s="4" t="str">
        <f t="shared" si="10"/>
        <v>Q3-2024</v>
      </c>
      <c r="F192" t="s">
        <v>45</v>
      </c>
      <c r="G192" t="s">
        <v>116</v>
      </c>
      <c r="H192" t="s">
        <v>117</v>
      </c>
      <c r="I192" t="s">
        <v>57</v>
      </c>
      <c r="J192" s="8" t="str">
        <f t="shared" si="11"/>
        <v>High</v>
      </c>
      <c r="K192" s="4">
        <v>1310.29</v>
      </c>
      <c r="L192" s="4">
        <v>1310.29</v>
      </c>
      <c r="M192" s="4">
        <v>0.215</v>
      </c>
      <c r="N192" s="4">
        <v>19</v>
      </c>
      <c r="O192" s="4">
        <f t="shared" si="12"/>
        <v>18590.205150000002</v>
      </c>
    </row>
    <row r="193" spans="1:15" x14ac:dyDescent="0.3">
      <c r="A193" s="13">
        <v>45553</v>
      </c>
      <c r="B193" s="4" t="str">
        <f>TEXT(Data!B193,"MMM-YYYY")</f>
        <v>Aug-2024</v>
      </c>
      <c r="C193" s="4" t="str">
        <f t="shared" si="13"/>
        <v>Sept-2024</v>
      </c>
      <c r="D193" s="14">
        <f t="shared" si="14"/>
        <v>45553</v>
      </c>
      <c r="E193" s="4" t="str">
        <f t="shared" si="10"/>
        <v>Q3-2024</v>
      </c>
      <c r="F193" t="s">
        <v>78</v>
      </c>
      <c r="G193" t="s">
        <v>108</v>
      </c>
      <c r="H193" t="s">
        <v>109</v>
      </c>
      <c r="I193" t="s">
        <v>64</v>
      </c>
      <c r="J193" s="8" t="str">
        <f t="shared" si="11"/>
        <v>High</v>
      </c>
      <c r="K193" s="4">
        <v>967.25</v>
      </c>
      <c r="L193" s="4">
        <v>967.25</v>
      </c>
      <c r="M193" s="4">
        <v>9.4E-2</v>
      </c>
      <c r="N193" s="4">
        <v>10</v>
      </c>
      <c r="O193" s="4">
        <f t="shared" si="12"/>
        <v>3143.4576000000002</v>
      </c>
    </row>
    <row r="194" spans="1:15" x14ac:dyDescent="0.3">
      <c r="A194" s="13">
        <v>45554</v>
      </c>
      <c r="B194" s="4" t="str">
        <f>TEXT(Data!B194,"MMM-YYYY")</f>
        <v>Oct-2023</v>
      </c>
      <c r="C194" s="4" t="str">
        <f t="shared" si="13"/>
        <v>Sept-2024</v>
      </c>
      <c r="D194" s="14">
        <f t="shared" si="14"/>
        <v>45554</v>
      </c>
      <c r="E194" s="4" t="str">
        <f t="shared" ref="E194:E257" si="15">"Q"&amp;ROUNDUP(MONTH(A194)/3,0)&amp;"-"&amp;YEAR(A194)</f>
        <v>Q3-2024</v>
      </c>
      <c r="F194" t="s">
        <v>52</v>
      </c>
      <c r="G194" t="s">
        <v>122</v>
      </c>
      <c r="H194" t="s">
        <v>326</v>
      </c>
      <c r="I194" t="s">
        <v>57</v>
      </c>
      <c r="J194" s="8" t="str">
        <f t="shared" ref="J194:J257" si="16">IF(K194&lt;50, "Low", IF(K194&lt;200, "Medium", "High"))</f>
        <v>High</v>
      </c>
      <c r="K194" s="4">
        <v>886.22</v>
      </c>
      <c r="L194" s="4">
        <v>886.22</v>
      </c>
      <c r="M194" s="4">
        <v>0.23599999999999999</v>
      </c>
      <c r="N194" s="4">
        <v>36</v>
      </c>
      <c r="O194" s="4">
        <f t="shared" ref="O194:O257" si="17">(L220*N194)*(1-M194)</f>
        <v>13882.919040000001</v>
      </c>
    </row>
    <row r="195" spans="1:15" x14ac:dyDescent="0.3">
      <c r="A195" s="13">
        <v>45555</v>
      </c>
      <c r="B195" s="4" t="str">
        <f>TEXT(Data!B195,"MMM-YYYY")</f>
        <v>May-2023</v>
      </c>
      <c r="C195" s="4" t="str">
        <f t="shared" ref="C195:C258" si="18">TEXT(D195, "MMM-YYYY")</f>
        <v>Sept-2024</v>
      </c>
      <c r="D195" s="14">
        <f t="shared" ref="D195:D258" si="19">_xlfn.MINIFS(A195:A195, G195:G195,G195)</f>
        <v>45555</v>
      </c>
      <c r="E195" s="4" t="str">
        <f t="shared" si="15"/>
        <v>Q3-2024</v>
      </c>
      <c r="F195" t="s">
        <v>45</v>
      </c>
      <c r="G195" t="s">
        <v>116</v>
      </c>
      <c r="H195" t="s">
        <v>117</v>
      </c>
      <c r="I195" t="s">
        <v>30</v>
      </c>
      <c r="J195" s="8" t="str">
        <f t="shared" si="16"/>
        <v>High</v>
      </c>
      <c r="K195" s="4">
        <v>790.61</v>
      </c>
      <c r="L195" s="4">
        <v>790.61</v>
      </c>
      <c r="M195" s="4">
        <v>7.1999999999999995E-2</v>
      </c>
      <c r="N195" s="4">
        <v>6</v>
      </c>
      <c r="O195" s="4">
        <f t="shared" si="17"/>
        <v>5219.7772800000002</v>
      </c>
    </row>
    <row r="196" spans="1:15" x14ac:dyDescent="0.3">
      <c r="A196" s="13">
        <v>45556</v>
      </c>
      <c r="B196" s="4" t="str">
        <f>TEXT(Data!B196,"MMM-YYYY")</f>
        <v>Sept-2024</v>
      </c>
      <c r="C196" s="4" t="str">
        <f t="shared" si="18"/>
        <v>Sept-2024</v>
      </c>
      <c r="D196" s="14">
        <f t="shared" si="19"/>
        <v>45556</v>
      </c>
      <c r="E196" s="4" t="str">
        <f t="shared" si="15"/>
        <v>Q3-2024</v>
      </c>
      <c r="F196" t="s">
        <v>52</v>
      </c>
      <c r="G196" t="s">
        <v>122</v>
      </c>
      <c r="H196" t="s">
        <v>167</v>
      </c>
      <c r="I196" t="s">
        <v>35</v>
      </c>
      <c r="J196" s="8" t="str">
        <f t="shared" si="16"/>
        <v>High</v>
      </c>
      <c r="K196" s="4">
        <v>361.33</v>
      </c>
      <c r="L196" s="4">
        <v>361.33</v>
      </c>
      <c r="M196" s="4">
        <v>9.4E-2</v>
      </c>
      <c r="N196" s="4">
        <v>12</v>
      </c>
      <c r="O196" s="4">
        <f t="shared" si="17"/>
        <v>14139.90576</v>
      </c>
    </row>
    <row r="197" spans="1:15" x14ac:dyDescent="0.3">
      <c r="A197" s="13">
        <v>45557</v>
      </c>
      <c r="B197" s="4" t="str">
        <f>TEXT(Data!B197,"MMM-YYYY")</f>
        <v>Oct-2024</v>
      </c>
      <c r="C197" s="4" t="str">
        <f t="shared" si="18"/>
        <v>Sept-2024</v>
      </c>
      <c r="D197" s="14">
        <f t="shared" si="19"/>
        <v>45557</v>
      </c>
      <c r="E197" s="4" t="str">
        <f t="shared" si="15"/>
        <v>Q3-2024</v>
      </c>
      <c r="F197" t="s">
        <v>52</v>
      </c>
      <c r="G197" t="s">
        <v>73</v>
      </c>
      <c r="H197" t="s">
        <v>74</v>
      </c>
      <c r="I197" t="s">
        <v>64</v>
      </c>
      <c r="J197" s="8" t="str">
        <f t="shared" si="16"/>
        <v>High</v>
      </c>
      <c r="K197" s="4">
        <v>1952.04</v>
      </c>
      <c r="L197" s="4">
        <v>1952.04</v>
      </c>
      <c r="M197" s="4">
        <v>0.159</v>
      </c>
      <c r="N197" s="4">
        <v>19</v>
      </c>
      <c r="O197" s="4">
        <f t="shared" si="17"/>
        <v>3645.6088500000001</v>
      </c>
    </row>
    <row r="198" spans="1:15" x14ac:dyDescent="0.3">
      <c r="A198" s="13">
        <v>45558</v>
      </c>
      <c r="B198" s="4" t="str">
        <f>TEXT(Data!B198,"MMM-YYYY")</f>
        <v>Feb-2024</v>
      </c>
      <c r="C198" s="4" t="str">
        <f t="shared" si="18"/>
        <v>Sept-2024</v>
      </c>
      <c r="D198" s="14">
        <f t="shared" si="19"/>
        <v>45558</v>
      </c>
      <c r="E198" s="4" t="str">
        <f t="shared" si="15"/>
        <v>Q3-2024</v>
      </c>
      <c r="F198" t="s">
        <v>45</v>
      </c>
      <c r="G198" t="s">
        <v>46</v>
      </c>
      <c r="H198" t="s">
        <v>47</v>
      </c>
      <c r="I198" t="s">
        <v>42</v>
      </c>
      <c r="J198" s="8" t="str">
        <f t="shared" si="16"/>
        <v>High</v>
      </c>
      <c r="K198" s="4">
        <v>1564.76</v>
      </c>
      <c r="L198" s="4">
        <v>1564.76</v>
      </c>
      <c r="M198" s="4">
        <v>0.185</v>
      </c>
      <c r="N198" s="4">
        <v>17</v>
      </c>
      <c r="O198" s="4">
        <f t="shared" si="17"/>
        <v>6879.2846</v>
      </c>
    </row>
    <row r="199" spans="1:15" x14ac:dyDescent="0.3">
      <c r="A199" s="13">
        <v>45559</v>
      </c>
      <c r="B199" s="4" t="str">
        <f>TEXT(Data!B199,"MMM-YYYY")</f>
        <v>Jan-2023</v>
      </c>
      <c r="C199" s="4" t="str">
        <f t="shared" si="18"/>
        <v>Sept-2024</v>
      </c>
      <c r="D199" s="14">
        <f t="shared" si="19"/>
        <v>45559</v>
      </c>
      <c r="E199" s="4" t="str">
        <f t="shared" si="15"/>
        <v>Q3-2024</v>
      </c>
      <c r="F199" t="s">
        <v>16</v>
      </c>
      <c r="G199" t="s">
        <v>17</v>
      </c>
      <c r="H199" t="s">
        <v>18</v>
      </c>
      <c r="I199" t="s">
        <v>42</v>
      </c>
      <c r="J199" s="8" t="str">
        <f t="shared" si="16"/>
        <v>High</v>
      </c>
      <c r="K199" s="4">
        <v>852.54</v>
      </c>
      <c r="L199" s="4">
        <v>852.54</v>
      </c>
      <c r="M199" s="4">
        <v>5.0999999999999997E-2</v>
      </c>
      <c r="N199" s="4">
        <v>14</v>
      </c>
      <c r="O199" s="4">
        <f t="shared" si="17"/>
        <v>39076.783199999991</v>
      </c>
    </row>
    <row r="200" spans="1:15" x14ac:dyDescent="0.3">
      <c r="A200" s="13">
        <v>45560</v>
      </c>
      <c r="B200" s="4" t="str">
        <f>TEXT(Data!B200,"MMM-YYYY")</f>
        <v>Apr-2023</v>
      </c>
      <c r="C200" s="4" t="str">
        <f t="shared" si="18"/>
        <v>Sept-2024</v>
      </c>
      <c r="D200" s="14">
        <f t="shared" si="19"/>
        <v>45560</v>
      </c>
      <c r="E200" s="4" t="str">
        <f t="shared" si="15"/>
        <v>Q3-2024</v>
      </c>
      <c r="F200" t="s">
        <v>78</v>
      </c>
      <c r="G200" t="s">
        <v>79</v>
      </c>
      <c r="H200" t="s">
        <v>159</v>
      </c>
      <c r="I200" t="s">
        <v>35</v>
      </c>
      <c r="J200" s="8" t="str">
        <f t="shared" si="16"/>
        <v>High</v>
      </c>
      <c r="K200" s="4">
        <v>1465.29</v>
      </c>
      <c r="L200" s="4">
        <v>1465.29</v>
      </c>
      <c r="M200" s="4">
        <v>0.186</v>
      </c>
      <c r="N200" s="4">
        <v>7</v>
      </c>
      <c r="O200" s="4">
        <f t="shared" si="17"/>
        <v>6200.5636000000013</v>
      </c>
    </row>
    <row r="201" spans="1:15" x14ac:dyDescent="0.3">
      <c r="A201" s="13">
        <v>45561</v>
      </c>
      <c r="B201" s="4" t="str">
        <f>TEXT(Data!B201,"MMM-YYYY")</f>
        <v>Jan-2023</v>
      </c>
      <c r="C201" s="4" t="str">
        <f t="shared" si="18"/>
        <v>Sept-2024</v>
      </c>
      <c r="D201" s="14">
        <f t="shared" si="19"/>
        <v>45561</v>
      </c>
      <c r="E201" s="4" t="str">
        <f t="shared" si="15"/>
        <v>Q3-2024</v>
      </c>
      <c r="F201" t="s">
        <v>78</v>
      </c>
      <c r="G201" t="s">
        <v>79</v>
      </c>
      <c r="H201" t="s">
        <v>335</v>
      </c>
      <c r="I201" t="s">
        <v>30</v>
      </c>
      <c r="J201" s="8" t="str">
        <f t="shared" si="16"/>
        <v>High</v>
      </c>
      <c r="K201" s="4">
        <v>2645.23</v>
      </c>
      <c r="L201" s="4">
        <v>2645.23</v>
      </c>
      <c r="M201" s="4">
        <v>0.155</v>
      </c>
      <c r="N201" s="4">
        <v>25</v>
      </c>
      <c r="O201" s="4">
        <f t="shared" si="17"/>
        <v>53428.293749999997</v>
      </c>
    </row>
    <row r="202" spans="1:15" x14ac:dyDescent="0.3">
      <c r="A202" s="13">
        <v>45562</v>
      </c>
      <c r="B202" s="4" t="str">
        <f>TEXT(Data!B202,"MMM-YYYY")</f>
        <v>Jan-2024</v>
      </c>
      <c r="C202" s="4" t="str">
        <f t="shared" si="18"/>
        <v>Sept-2024</v>
      </c>
      <c r="D202" s="14">
        <f t="shared" si="19"/>
        <v>45562</v>
      </c>
      <c r="E202" s="4" t="str">
        <f t="shared" si="15"/>
        <v>Q3-2024</v>
      </c>
      <c r="F202" t="s">
        <v>52</v>
      </c>
      <c r="G202" t="s">
        <v>122</v>
      </c>
      <c r="H202" t="s">
        <v>123</v>
      </c>
      <c r="I202" t="s">
        <v>42</v>
      </c>
      <c r="J202" s="8" t="str">
        <f t="shared" si="16"/>
        <v>High</v>
      </c>
      <c r="K202" s="4">
        <v>881.57</v>
      </c>
      <c r="L202" s="4">
        <v>881.57</v>
      </c>
      <c r="M202" s="4">
        <v>5.7000000000000002E-2</v>
      </c>
      <c r="N202" s="4">
        <v>18</v>
      </c>
      <c r="O202" s="4">
        <f t="shared" si="17"/>
        <v>45796.021740000004</v>
      </c>
    </row>
    <row r="203" spans="1:15" x14ac:dyDescent="0.3">
      <c r="A203" s="13">
        <v>45563</v>
      </c>
      <c r="B203" s="4" t="str">
        <f>TEXT(Data!B203,"MMM-YYYY")</f>
        <v>Aug-2023</v>
      </c>
      <c r="C203" s="4" t="str">
        <f t="shared" si="18"/>
        <v>Sept-2024</v>
      </c>
      <c r="D203" s="14">
        <f t="shared" si="19"/>
        <v>45563</v>
      </c>
      <c r="E203" s="4" t="str">
        <f t="shared" si="15"/>
        <v>Q3-2024</v>
      </c>
      <c r="F203" t="s">
        <v>52</v>
      </c>
      <c r="G203" t="s">
        <v>122</v>
      </c>
      <c r="H203" t="s">
        <v>123</v>
      </c>
      <c r="I203" t="s">
        <v>30</v>
      </c>
      <c r="J203" s="8" t="str">
        <f t="shared" si="16"/>
        <v>High</v>
      </c>
      <c r="K203" s="4">
        <v>625.04</v>
      </c>
      <c r="L203" s="4">
        <v>625.04</v>
      </c>
      <c r="M203" s="4">
        <v>0.25800000000000001</v>
      </c>
      <c r="N203" s="4">
        <v>10</v>
      </c>
      <c r="O203" s="4">
        <f t="shared" si="17"/>
        <v>11002.004999999999</v>
      </c>
    </row>
    <row r="204" spans="1:15" x14ac:dyDescent="0.3">
      <c r="A204" s="13">
        <v>45564</v>
      </c>
      <c r="B204" s="4" t="str">
        <f>TEXT(Data!B204,"MMM-YYYY")</f>
        <v>Jan-2023</v>
      </c>
      <c r="C204" s="4" t="str">
        <f t="shared" si="18"/>
        <v>Sept-2024</v>
      </c>
      <c r="D204" s="14">
        <f t="shared" si="19"/>
        <v>45564</v>
      </c>
      <c r="E204" s="4" t="str">
        <f t="shared" si="15"/>
        <v>Q3-2024</v>
      </c>
      <c r="F204" t="s">
        <v>52</v>
      </c>
      <c r="G204" t="s">
        <v>122</v>
      </c>
      <c r="H204" t="s">
        <v>387</v>
      </c>
      <c r="I204" t="s">
        <v>42</v>
      </c>
      <c r="J204" s="8" t="str">
        <f t="shared" si="16"/>
        <v>High</v>
      </c>
      <c r="K204" s="4">
        <v>973.04</v>
      </c>
      <c r="L204" s="4">
        <v>973.04</v>
      </c>
      <c r="M204" s="4">
        <v>0</v>
      </c>
      <c r="N204" s="4">
        <v>26</v>
      </c>
      <c r="O204" s="4">
        <f t="shared" si="17"/>
        <v>37877.06</v>
      </c>
    </row>
    <row r="205" spans="1:15" x14ac:dyDescent="0.3">
      <c r="A205" s="13">
        <v>45565</v>
      </c>
      <c r="B205" s="4" t="str">
        <f>TEXT(Data!B205,"MMM-YYYY")</f>
        <v>Feb-2025</v>
      </c>
      <c r="C205" s="4" t="str">
        <f t="shared" si="18"/>
        <v>Sept-2024</v>
      </c>
      <c r="D205" s="14">
        <f t="shared" si="19"/>
        <v>45565</v>
      </c>
      <c r="E205" s="4" t="str">
        <f t="shared" si="15"/>
        <v>Q3-2024</v>
      </c>
      <c r="F205" t="s">
        <v>16</v>
      </c>
      <c r="G205" t="s">
        <v>17</v>
      </c>
      <c r="H205" t="s">
        <v>18</v>
      </c>
      <c r="I205" t="s">
        <v>35</v>
      </c>
      <c r="J205" s="8" t="str">
        <f t="shared" si="16"/>
        <v>High</v>
      </c>
      <c r="K205" s="4">
        <v>1545.34</v>
      </c>
      <c r="L205" s="4">
        <v>1545.34</v>
      </c>
      <c r="M205" s="4">
        <v>0.24299999999999999</v>
      </c>
      <c r="N205" s="4">
        <v>41</v>
      </c>
      <c r="O205" s="4">
        <f t="shared" si="17"/>
        <v>28497.86303</v>
      </c>
    </row>
    <row r="206" spans="1:15" x14ac:dyDescent="0.3">
      <c r="A206" s="13">
        <v>45566</v>
      </c>
      <c r="B206" s="4" t="str">
        <f>TEXT(Data!B206,"MMM-YYYY")</f>
        <v>Apr-2023</v>
      </c>
      <c r="C206" s="4" t="str">
        <f t="shared" si="18"/>
        <v>Oct-2024</v>
      </c>
      <c r="D206" s="14">
        <f t="shared" si="19"/>
        <v>45566</v>
      </c>
      <c r="E206" s="4" t="str">
        <f t="shared" si="15"/>
        <v>Q4-2024</v>
      </c>
      <c r="F206" t="s">
        <v>78</v>
      </c>
      <c r="G206" t="s">
        <v>108</v>
      </c>
      <c r="H206" t="s">
        <v>109</v>
      </c>
      <c r="I206" t="s">
        <v>64</v>
      </c>
      <c r="J206" s="8" t="str">
        <f t="shared" si="16"/>
        <v>High</v>
      </c>
      <c r="K206" s="4">
        <v>2253.42</v>
      </c>
      <c r="L206" s="4">
        <v>2253.42</v>
      </c>
      <c r="M206" s="4">
        <v>5.5E-2</v>
      </c>
      <c r="N206" s="4">
        <v>12</v>
      </c>
      <c r="O206" s="4">
        <f t="shared" si="17"/>
        <v>554.97959999999989</v>
      </c>
    </row>
    <row r="207" spans="1:15" x14ac:dyDescent="0.3">
      <c r="A207" s="13">
        <v>45567</v>
      </c>
      <c r="B207" s="4" t="str">
        <f>TEXT(Data!B207,"MMM-YYYY")</f>
        <v>Jul-2023</v>
      </c>
      <c r="C207" s="4" t="str">
        <f t="shared" si="18"/>
        <v>Oct-2024</v>
      </c>
      <c r="D207" s="14">
        <f t="shared" si="19"/>
        <v>45567</v>
      </c>
      <c r="E207" s="4" t="str">
        <f t="shared" si="15"/>
        <v>Q4-2024</v>
      </c>
      <c r="F207" t="s">
        <v>78</v>
      </c>
      <c r="G207" t="s">
        <v>79</v>
      </c>
      <c r="H207" t="s">
        <v>80</v>
      </c>
      <c r="I207" t="s">
        <v>64</v>
      </c>
      <c r="J207" s="8" t="str">
        <f t="shared" si="16"/>
        <v>High</v>
      </c>
      <c r="K207" s="4">
        <v>2446.56</v>
      </c>
      <c r="L207" s="4">
        <v>2446.56</v>
      </c>
      <c r="M207" s="4">
        <v>2.9000000000000001E-2</v>
      </c>
      <c r="N207" s="4">
        <v>11</v>
      </c>
      <c r="O207" s="4">
        <f t="shared" si="17"/>
        <v>9957.7894899999992</v>
      </c>
    </row>
    <row r="208" spans="1:15" x14ac:dyDescent="0.3">
      <c r="A208" s="13">
        <v>45568</v>
      </c>
      <c r="B208" s="4" t="str">
        <f>TEXT(Data!B208,"MMM-YYYY")</f>
        <v>Jan-2025</v>
      </c>
      <c r="C208" s="4" t="str">
        <f t="shared" si="18"/>
        <v>Oct-2024</v>
      </c>
      <c r="D208" s="14">
        <f t="shared" si="19"/>
        <v>45568</v>
      </c>
      <c r="E208" s="4" t="str">
        <f t="shared" si="15"/>
        <v>Q4-2024</v>
      </c>
      <c r="F208" t="s">
        <v>78</v>
      </c>
      <c r="G208" t="s">
        <v>108</v>
      </c>
      <c r="H208" t="s">
        <v>109</v>
      </c>
      <c r="I208" t="s">
        <v>22</v>
      </c>
      <c r="J208" s="8" t="str">
        <f t="shared" si="16"/>
        <v>Medium</v>
      </c>
      <c r="K208" s="4">
        <v>188.3</v>
      </c>
      <c r="L208" s="4">
        <v>188.3</v>
      </c>
      <c r="M208" s="4">
        <v>3.7999999999999999E-2</v>
      </c>
      <c r="N208" s="4">
        <v>37</v>
      </c>
      <c r="O208" s="4">
        <f t="shared" si="17"/>
        <v>11596.169260000001</v>
      </c>
    </row>
    <row r="209" spans="1:15" x14ac:dyDescent="0.3">
      <c r="A209" s="13">
        <v>45569</v>
      </c>
      <c r="B209" s="4" t="str">
        <f>TEXT(Data!B209,"MMM-YYYY")</f>
        <v>Sept-2024</v>
      </c>
      <c r="C209" s="4" t="str">
        <f t="shared" si="18"/>
        <v>Oct-2024</v>
      </c>
      <c r="D209" s="14">
        <f t="shared" si="19"/>
        <v>45569</v>
      </c>
      <c r="E209" s="4" t="str">
        <f t="shared" si="15"/>
        <v>Q4-2024</v>
      </c>
      <c r="F209" t="s">
        <v>16</v>
      </c>
      <c r="G209" t="s">
        <v>17</v>
      </c>
      <c r="H209" t="s">
        <v>33</v>
      </c>
      <c r="I209" t="s">
        <v>81</v>
      </c>
      <c r="J209" s="8" t="str">
        <f t="shared" si="16"/>
        <v>High</v>
      </c>
      <c r="K209" s="4">
        <v>2562.84</v>
      </c>
      <c r="L209" s="4">
        <v>2562.84</v>
      </c>
      <c r="M209" s="4">
        <v>0.14799999999999999</v>
      </c>
      <c r="N209" s="4">
        <v>13</v>
      </c>
      <c r="O209" s="4">
        <f t="shared" si="17"/>
        <v>4496.5237200000001</v>
      </c>
    </row>
    <row r="210" spans="1:15" x14ac:dyDescent="0.3">
      <c r="A210" s="13">
        <v>45570</v>
      </c>
      <c r="B210" s="4" t="str">
        <f>TEXT(Data!B210,"MMM-YYYY")</f>
        <v>Jul-2025</v>
      </c>
      <c r="C210" s="4" t="str">
        <f t="shared" si="18"/>
        <v>Oct-2024</v>
      </c>
      <c r="D210" s="14">
        <f t="shared" si="19"/>
        <v>45570</v>
      </c>
      <c r="E210" s="4" t="str">
        <f t="shared" si="15"/>
        <v>Q4-2024</v>
      </c>
      <c r="F210" t="s">
        <v>16</v>
      </c>
      <c r="G210" t="s">
        <v>17</v>
      </c>
      <c r="H210" t="s">
        <v>18</v>
      </c>
      <c r="I210" t="s">
        <v>30</v>
      </c>
      <c r="J210" s="8" t="str">
        <f t="shared" si="16"/>
        <v>High</v>
      </c>
      <c r="K210" s="4">
        <v>1805.11</v>
      </c>
      <c r="L210" s="4">
        <v>1805.11</v>
      </c>
      <c r="M210" s="4">
        <v>0.20300000000000001</v>
      </c>
      <c r="N210" s="4">
        <v>11</v>
      </c>
      <c r="O210" s="4">
        <f t="shared" si="17"/>
        <v>13931.376689999999</v>
      </c>
    </row>
    <row r="211" spans="1:15" x14ac:dyDescent="0.3">
      <c r="A211" s="13">
        <v>45571</v>
      </c>
      <c r="B211" s="4" t="str">
        <f>TEXT(Data!B211,"MMM-YYYY")</f>
        <v>Oct-2024</v>
      </c>
      <c r="C211" s="4" t="str">
        <f t="shared" si="18"/>
        <v>Oct-2024</v>
      </c>
      <c r="D211" s="14">
        <f t="shared" si="19"/>
        <v>45571</v>
      </c>
      <c r="E211" s="4" t="str">
        <f t="shared" si="15"/>
        <v>Q4-2024</v>
      </c>
      <c r="F211" t="s">
        <v>16</v>
      </c>
      <c r="G211" t="s">
        <v>25</v>
      </c>
      <c r="H211" t="s">
        <v>38</v>
      </c>
      <c r="I211" t="s">
        <v>81</v>
      </c>
      <c r="J211" s="8" t="str">
        <f t="shared" si="16"/>
        <v>High</v>
      </c>
      <c r="K211" s="4">
        <v>2065.73</v>
      </c>
      <c r="L211" s="4">
        <v>2065.73</v>
      </c>
      <c r="M211" s="4">
        <v>0.13600000000000001</v>
      </c>
      <c r="N211" s="4">
        <v>10</v>
      </c>
      <c r="O211" s="4">
        <f t="shared" si="17"/>
        <v>12379.392</v>
      </c>
    </row>
    <row r="212" spans="1:15" x14ac:dyDescent="0.3">
      <c r="A212" s="13">
        <v>45572</v>
      </c>
      <c r="B212" s="4" t="str">
        <f>TEXT(Data!B212,"MMM-YYYY")</f>
        <v>Jul-2025</v>
      </c>
      <c r="C212" s="4" t="str">
        <f t="shared" si="18"/>
        <v>Oct-2024</v>
      </c>
      <c r="D212" s="14">
        <f t="shared" si="19"/>
        <v>45572</v>
      </c>
      <c r="E212" s="4" t="str">
        <f t="shared" si="15"/>
        <v>Q4-2024</v>
      </c>
      <c r="F212" t="s">
        <v>16</v>
      </c>
      <c r="G212" t="s">
        <v>148</v>
      </c>
      <c r="H212" t="s">
        <v>172</v>
      </c>
      <c r="I212" t="s">
        <v>22</v>
      </c>
      <c r="J212" s="8" t="str">
        <f t="shared" si="16"/>
        <v>High</v>
      </c>
      <c r="K212" s="4">
        <v>2366.5100000000002</v>
      </c>
      <c r="L212" s="4">
        <v>2366.5100000000002</v>
      </c>
      <c r="M212" s="4">
        <v>0.152</v>
      </c>
      <c r="N212" s="4">
        <v>9</v>
      </c>
      <c r="O212" s="4">
        <f t="shared" si="17"/>
        <v>13476.28032</v>
      </c>
    </row>
    <row r="213" spans="1:15" x14ac:dyDescent="0.3">
      <c r="A213" s="13">
        <v>45573</v>
      </c>
      <c r="B213" s="4" t="str">
        <f>TEXT(Data!B213,"MMM-YYYY")</f>
        <v>Sept-2024</v>
      </c>
      <c r="C213" s="4" t="str">
        <f t="shared" si="18"/>
        <v>Oct-2024</v>
      </c>
      <c r="D213" s="14">
        <f t="shared" si="19"/>
        <v>45573</v>
      </c>
      <c r="E213" s="4" t="str">
        <f t="shared" si="15"/>
        <v>Q4-2024</v>
      </c>
      <c r="F213" t="s">
        <v>52</v>
      </c>
      <c r="G213" t="s">
        <v>53</v>
      </c>
      <c r="H213" t="s">
        <v>144</v>
      </c>
      <c r="I213" t="s">
        <v>64</v>
      </c>
      <c r="J213" s="8" t="str">
        <f t="shared" si="16"/>
        <v>Medium</v>
      </c>
      <c r="K213" s="4">
        <v>131.76</v>
      </c>
      <c r="L213" s="4">
        <v>131.76</v>
      </c>
      <c r="M213" s="4">
        <v>0.10199999999999999</v>
      </c>
      <c r="N213" s="4">
        <v>15</v>
      </c>
      <c r="O213" s="4">
        <f t="shared" si="17"/>
        <v>37144.063799999996</v>
      </c>
    </row>
    <row r="214" spans="1:15" x14ac:dyDescent="0.3">
      <c r="A214" s="13">
        <v>45574</v>
      </c>
      <c r="B214" s="4" t="str">
        <f>TEXT(Data!B214,"MMM-YYYY")</f>
        <v>Jan-2025</v>
      </c>
      <c r="C214" s="4" t="str">
        <f t="shared" si="18"/>
        <v>Oct-2024</v>
      </c>
      <c r="D214" s="14">
        <f t="shared" si="19"/>
        <v>45574</v>
      </c>
      <c r="E214" s="4" t="str">
        <f t="shared" si="15"/>
        <v>Q4-2024</v>
      </c>
      <c r="F214" t="s">
        <v>45</v>
      </c>
      <c r="G214" t="s">
        <v>116</v>
      </c>
      <c r="H214" t="s">
        <v>117</v>
      </c>
      <c r="I214" t="s">
        <v>30</v>
      </c>
      <c r="J214" s="8" t="str">
        <f t="shared" si="16"/>
        <v>High</v>
      </c>
      <c r="K214" s="4">
        <v>1335.02</v>
      </c>
      <c r="L214" s="4">
        <v>1335.02</v>
      </c>
      <c r="M214" s="4">
        <v>0.128</v>
      </c>
      <c r="N214" s="4">
        <v>6</v>
      </c>
      <c r="O214" s="4">
        <f t="shared" si="17"/>
        <v>4571.46</v>
      </c>
    </row>
    <row r="215" spans="1:15" x14ac:dyDescent="0.3">
      <c r="A215" s="13">
        <v>45575</v>
      </c>
      <c r="B215" s="4" t="str">
        <f>TEXT(Data!B215,"MMM-YYYY")</f>
        <v>Nov-2023</v>
      </c>
      <c r="C215" s="4" t="str">
        <f t="shared" si="18"/>
        <v>Oct-2024</v>
      </c>
      <c r="D215" s="14">
        <f t="shared" si="19"/>
        <v>45575</v>
      </c>
      <c r="E215" s="4" t="str">
        <f t="shared" si="15"/>
        <v>Q4-2024</v>
      </c>
      <c r="F215" t="s">
        <v>16</v>
      </c>
      <c r="G215" t="s">
        <v>17</v>
      </c>
      <c r="H215" t="s">
        <v>18</v>
      </c>
      <c r="I215" t="s">
        <v>42</v>
      </c>
      <c r="J215" s="8" t="str">
        <f t="shared" si="16"/>
        <v>High</v>
      </c>
      <c r="K215" s="4">
        <v>2691.45</v>
      </c>
      <c r="L215" s="4">
        <v>2691.45</v>
      </c>
      <c r="M215" s="4">
        <v>0</v>
      </c>
      <c r="N215" s="4">
        <v>9</v>
      </c>
      <c r="O215" s="4">
        <f t="shared" si="17"/>
        <v>2326.6799999999998</v>
      </c>
    </row>
    <row r="216" spans="1:15" x14ac:dyDescent="0.3">
      <c r="A216" s="13">
        <v>45576</v>
      </c>
      <c r="B216" s="4" t="str">
        <f>TEXT(Data!B216,"MMM-YYYY")</f>
        <v>Feb-2024</v>
      </c>
      <c r="C216" s="4" t="str">
        <f t="shared" si="18"/>
        <v>Oct-2024</v>
      </c>
      <c r="D216" s="14">
        <f t="shared" si="19"/>
        <v>45576</v>
      </c>
      <c r="E216" s="4" t="str">
        <f t="shared" si="15"/>
        <v>Q4-2024</v>
      </c>
      <c r="F216" t="s">
        <v>52</v>
      </c>
      <c r="G216" t="s">
        <v>73</v>
      </c>
      <c r="H216" t="s">
        <v>87</v>
      </c>
      <c r="I216" t="s">
        <v>81</v>
      </c>
      <c r="J216" s="8" t="str">
        <f t="shared" si="16"/>
        <v>High</v>
      </c>
      <c r="K216" s="4">
        <v>776.46</v>
      </c>
      <c r="L216" s="4">
        <v>776.46</v>
      </c>
      <c r="M216" s="4">
        <v>0.157</v>
      </c>
      <c r="N216" s="4">
        <v>12</v>
      </c>
      <c r="O216" s="4">
        <f t="shared" si="17"/>
        <v>6137.98416</v>
      </c>
    </row>
    <row r="217" spans="1:15" x14ac:dyDescent="0.3">
      <c r="A217" s="13">
        <v>45577</v>
      </c>
      <c r="B217" s="4" t="str">
        <f>TEXT(Data!B217,"MMM-YYYY")</f>
        <v>Dec-2023</v>
      </c>
      <c r="C217" s="4" t="str">
        <f t="shared" si="18"/>
        <v>Oct-2024</v>
      </c>
      <c r="D217" s="14">
        <f t="shared" si="19"/>
        <v>45577</v>
      </c>
      <c r="E217" s="4" t="str">
        <f t="shared" si="15"/>
        <v>Q4-2024</v>
      </c>
      <c r="F217" t="s">
        <v>45</v>
      </c>
      <c r="G217" t="s">
        <v>46</v>
      </c>
      <c r="H217" t="s">
        <v>231</v>
      </c>
      <c r="I217" t="s">
        <v>35</v>
      </c>
      <c r="J217" s="8" t="str">
        <f t="shared" si="16"/>
        <v>High</v>
      </c>
      <c r="K217" s="4">
        <v>318.17</v>
      </c>
      <c r="L217" s="4">
        <v>318.17</v>
      </c>
      <c r="M217" s="4">
        <v>0.20100000000000001</v>
      </c>
      <c r="N217" s="4">
        <v>60</v>
      </c>
      <c r="O217" s="4">
        <f t="shared" si="17"/>
        <v>64128.8586</v>
      </c>
    </row>
    <row r="218" spans="1:15" x14ac:dyDescent="0.3">
      <c r="A218" s="13">
        <v>45578</v>
      </c>
      <c r="B218" s="4" t="str">
        <f>TEXT(Data!B218,"MMM-YYYY")</f>
        <v>Jan-2023</v>
      </c>
      <c r="C218" s="4" t="str">
        <f t="shared" si="18"/>
        <v>Oct-2024</v>
      </c>
      <c r="D218" s="14">
        <f t="shared" si="19"/>
        <v>45578</v>
      </c>
      <c r="E218" s="4" t="str">
        <f t="shared" si="15"/>
        <v>Q4-2024</v>
      </c>
      <c r="F218" t="s">
        <v>45</v>
      </c>
      <c r="G218" t="s">
        <v>60</v>
      </c>
      <c r="H218" t="s">
        <v>220</v>
      </c>
      <c r="I218" t="s">
        <v>64</v>
      </c>
      <c r="J218" s="8" t="str">
        <f t="shared" si="16"/>
        <v>High</v>
      </c>
      <c r="K218" s="4">
        <v>1246.4100000000001</v>
      </c>
      <c r="L218" s="4">
        <v>1246.4100000000001</v>
      </c>
      <c r="M218" s="4">
        <v>0.113</v>
      </c>
      <c r="N218" s="4">
        <v>7</v>
      </c>
      <c r="O218" s="4">
        <f t="shared" si="17"/>
        <v>11133.23372</v>
      </c>
    </row>
    <row r="219" spans="1:15" x14ac:dyDescent="0.3">
      <c r="A219" s="13">
        <v>45579</v>
      </c>
      <c r="B219" s="4" t="str">
        <f>TEXT(Data!B219,"MMM-YYYY")</f>
        <v>Oct-2024</v>
      </c>
      <c r="C219" s="4" t="str">
        <f t="shared" si="18"/>
        <v>Oct-2024</v>
      </c>
      <c r="D219" s="14">
        <f t="shared" si="19"/>
        <v>45579</v>
      </c>
      <c r="E219" s="4" t="str">
        <f t="shared" si="15"/>
        <v>Q4-2024</v>
      </c>
      <c r="F219" t="s">
        <v>78</v>
      </c>
      <c r="G219" t="s">
        <v>79</v>
      </c>
      <c r="H219" t="s">
        <v>159</v>
      </c>
      <c r="I219" t="s">
        <v>64</v>
      </c>
      <c r="J219" s="8" t="str">
        <f t="shared" si="16"/>
        <v>High</v>
      </c>
      <c r="K219" s="4">
        <v>346.96</v>
      </c>
      <c r="L219" s="4">
        <v>346.96</v>
      </c>
      <c r="M219" s="4">
        <v>0.19600000000000001</v>
      </c>
      <c r="N219" s="4">
        <v>8</v>
      </c>
      <c r="O219" s="4">
        <f t="shared" si="17"/>
        <v>789.46368000000007</v>
      </c>
    </row>
    <row r="220" spans="1:15" x14ac:dyDescent="0.3">
      <c r="A220" s="13">
        <v>45580</v>
      </c>
      <c r="B220" s="4" t="str">
        <f>TEXT(Data!B220,"MMM-YYYY")</f>
        <v>Sept-2024</v>
      </c>
      <c r="C220" s="4" t="str">
        <f t="shared" si="18"/>
        <v>Oct-2024</v>
      </c>
      <c r="D220" s="14">
        <f t="shared" si="19"/>
        <v>45580</v>
      </c>
      <c r="E220" s="4" t="str">
        <f t="shared" si="15"/>
        <v>Q4-2024</v>
      </c>
      <c r="F220" t="s">
        <v>45</v>
      </c>
      <c r="G220" t="s">
        <v>116</v>
      </c>
      <c r="H220" t="s">
        <v>162</v>
      </c>
      <c r="I220" t="s">
        <v>30</v>
      </c>
      <c r="J220" s="8" t="str">
        <f t="shared" si="16"/>
        <v>High</v>
      </c>
      <c r="K220" s="4">
        <v>504.76</v>
      </c>
      <c r="L220" s="4">
        <v>504.76</v>
      </c>
      <c r="M220" s="4">
        <v>4.0000000000000001E-3</v>
      </c>
      <c r="N220" s="4">
        <v>13</v>
      </c>
      <c r="O220" s="4">
        <f t="shared" si="17"/>
        <v>12014.83764</v>
      </c>
    </row>
    <row r="221" spans="1:15" x14ac:dyDescent="0.3">
      <c r="A221" s="13">
        <v>45581</v>
      </c>
      <c r="B221" s="4" t="str">
        <f>TEXT(Data!B221,"MMM-YYYY")</f>
        <v>Aug-2025</v>
      </c>
      <c r="C221" s="4" t="str">
        <f t="shared" si="18"/>
        <v>Oct-2024</v>
      </c>
      <c r="D221" s="14">
        <f t="shared" si="19"/>
        <v>45581</v>
      </c>
      <c r="E221" s="4" t="str">
        <f t="shared" si="15"/>
        <v>Q4-2024</v>
      </c>
      <c r="F221" t="s">
        <v>52</v>
      </c>
      <c r="G221" t="s">
        <v>73</v>
      </c>
      <c r="H221" t="s">
        <v>225</v>
      </c>
      <c r="I221" t="s">
        <v>30</v>
      </c>
      <c r="J221" s="8" t="str">
        <f t="shared" si="16"/>
        <v>High</v>
      </c>
      <c r="K221" s="4">
        <v>937.46</v>
      </c>
      <c r="L221" s="4">
        <v>937.46</v>
      </c>
      <c r="M221" s="4">
        <v>0.26600000000000001</v>
      </c>
      <c r="N221" s="4">
        <v>41</v>
      </c>
      <c r="O221" s="4">
        <f t="shared" si="17"/>
        <v>4570.6767199999995</v>
      </c>
    </row>
    <row r="222" spans="1:15" x14ac:dyDescent="0.3">
      <c r="A222" s="13">
        <v>45582</v>
      </c>
      <c r="B222" s="4" t="str">
        <f>TEXT(Data!B222,"MMM-YYYY")</f>
        <v>Sept-2023</v>
      </c>
      <c r="C222" s="4" t="str">
        <f t="shared" si="18"/>
        <v>Oct-2024</v>
      </c>
      <c r="D222" s="14">
        <f t="shared" si="19"/>
        <v>45582</v>
      </c>
      <c r="E222" s="4" t="str">
        <f t="shared" si="15"/>
        <v>Q4-2024</v>
      </c>
      <c r="F222" t="s">
        <v>16</v>
      </c>
      <c r="G222" t="s">
        <v>17</v>
      </c>
      <c r="H222" t="s">
        <v>33</v>
      </c>
      <c r="I222" t="s">
        <v>22</v>
      </c>
      <c r="J222" s="8" t="str">
        <f t="shared" si="16"/>
        <v>High</v>
      </c>
      <c r="K222" s="4">
        <v>1300.58</v>
      </c>
      <c r="L222" s="4">
        <v>1300.58</v>
      </c>
      <c r="M222" s="4">
        <v>5.5E-2</v>
      </c>
      <c r="N222" s="4">
        <v>11</v>
      </c>
      <c r="O222" s="4">
        <f t="shared" si="17"/>
        <v>22977.108</v>
      </c>
    </row>
    <row r="223" spans="1:15" x14ac:dyDescent="0.3">
      <c r="A223" s="13">
        <v>45583</v>
      </c>
      <c r="B223" s="4" t="str">
        <f>TEXT(Data!B223,"MMM-YYYY")</f>
        <v>Aug-2023</v>
      </c>
      <c r="C223" s="4" t="str">
        <f t="shared" si="18"/>
        <v>Oct-2024</v>
      </c>
      <c r="D223" s="14">
        <f t="shared" si="19"/>
        <v>45583</v>
      </c>
      <c r="E223" s="4" t="str">
        <f t="shared" si="15"/>
        <v>Q4-2024</v>
      </c>
      <c r="F223" t="s">
        <v>52</v>
      </c>
      <c r="G223" t="s">
        <v>122</v>
      </c>
      <c r="H223" t="s">
        <v>387</v>
      </c>
      <c r="I223" t="s">
        <v>81</v>
      </c>
      <c r="J223" s="8" t="str">
        <f t="shared" si="16"/>
        <v>High</v>
      </c>
      <c r="K223" s="4">
        <v>228.15</v>
      </c>
      <c r="L223" s="4">
        <v>228.15</v>
      </c>
      <c r="M223" s="4">
        <v>0.20399999999999999</v>
      </c>
      <c r="N223" s="4">
        <v>5</v>
      </c>
      <c r="O223" s="4">
        <f t="shared" si="17"/>
        <v>158.16520000000003</v>
      </c>
    </row>
    <row r="224" spans="1:15" x14ac:dyDescent="0.3">
      <c r="A224" s="13">
        <v>45584</v>
      </c>
      <c r="B224" s="4" t="str">
        <f>TEXT(Data!B224,"MMM-YYYY")</f>
        <v>Jul-2025</v>
      </c>
      <c r="C224" s="4" t="str">
        <f t="shared" si="18"/>
        <v>Oct-2024</v>
      </c>
      <c r="D224" s="14">
        <f t="shared" si="19"/>
        <v>45584</v>
      </c>
      <c r="E224" s="4" t="str">
        <f t="shared" si="15"/>
        <v>Q4-2024</v>
      </c>
      <c r="F224" t="s">
        <v>16</v>
      </c>
      <c r="G224" t="s">
        <v>148</v>
      </c>
      <c r="H224" t="s">
        <v>258</v>
      </c>
      <c r="I224" t="s">
        <v>22</v>
      </c>
      <c r="J224" s="8" t="str">
        <f t="shared" si="16"/>
        <v>High</v>
      </c>
      <c r="K224" s="4">
        <v>496.52</v>
      </c>
      <c r="L224" s="4">
        <v>496.52</v>
      </c>
      <c r="M224" s="4">
        <v>9.2999999999999999E-2</v>
      </c>
      <c r="N224" s="4">
        <v>10</v>
      </c>
      <c r="O224" s="4">
        <f t="shared" si="17"/>
        <v>9151.630000000001</v>
      </c>
    </row>
    <row r="225" spans="1:15" x14ac:dyDescent="0.3">
      <c r="A225" s="13">
        <v>45585</v>
      </c>
      <c r="B225" s="4" t="str">
        <f>TEXT(Data!B225,"MMM-YYYY")</f>
        <v>Apr-2023</v>
      </c>
      <c r="C225" s="4" t="str">
        <f t="shared" si="18"/>
        <v>Oct-2024</v>
      </c>
      <c r="D225" s="14">
        <f t="shared" si="19"/>
        <v>45585</v>
      </c>
      <c r="E225" s="4" t="str">
        <f t="shared" si="15"/>
        <v>Q4-2024</v>
      </c>
      <c r="F225" t="s">
        <v>16</v>
      </c>
      <c r="G225" t="s">
        <v>148</v>
      </c>
      <c r="H225" t="s">
        <v>172</v>
      </c>
      <c r="I225" t="s">
        <v>35</v>
      </c>
      <c r="J225" s="8" t="str">
        <f t="shared" si="16"/>
        <v>High</v>
      </c>
      <c r="K225" s="4">
        <v>2941.2</v>
      </c>
      <c r="L225" s="4">
        <v>2941.2</v>
      </c>
      <c r="M225" s="4">
        <v>5.0999999999999997E-2</v>
      </c>
      <c r="N225" s="4">
        <v>24</v>
      </c>
      <c r="O225" s="4">
        <f t="shared" si="17"/>
        <v>37663.304640000002</v>
      </c>
    </row>
    <row r="226" spans="1:15" x14ac:dyDescent="0.3">
      <c r="A226" s="13">
        <v>45586</v>
      </c>
      <c r="B226" s="4" t="str">
        <f>TEXT(Data!B226,"MMM-YYYY")</f>
        <v>Dec-2023</v>
      </c>
      <c r="C226" s="4" t="str">
        <f t="shared" si="18"/>
        <v>Oct-2024</v>
      </c>
      <c r="D226" s="14">
        <f t="shared" si="19"/>
        <v>45586</v>
      </c>
      <c r="E226" s="4" t="str">
        <f t="shared" si="15"/>
        <v>Q4-2024</v>
      </c>
      <c r="F226" t="s">
        <v>78</v>
      </c>
      <c r="G226" t="s">
        <v>108</v>
      </c>
      <c r="H226" t="s">
        <v>109</v>
      </c>
      <c r="I226" t="s">
        <v>57</v>
      </c>
      <c r="J226" s="8" t="str">
        <f t="shared" si="16"/>
        <v>High</v>
      </c>
      <c r="K226" s="4">
        <v>1088.2</v>
      </c>
      <c r="L226" s="4">
        <v>1088.2</v>
      </c>
      <c r="M226" s="4">
        <v>5.0999999999999997E-2</v>
      </c>
      <c r="N226" s="4">
        <v>15</v>
      </c>
      <c r="O226" s="4">
        <f t="shared" si="17"/>
        <v>14458.4895</v>
      </c>
    </row>
    <row r="227" spans="1:15" x14ac:dyDescent="0.3">
      <c r="A227" s="13">
        <v>45587</v>
      </c>
      <c r="B227" s="4" t="str">
        <f>TEXT(Data!B227,"MMM-YYYY")</f>
        <v>Jul-2023</v>
      </c>
      <c r="C227" s="4" t="str">
        <f t="shared" si="18"/>
        <v>Oct-2024</v>
      </c>
      <c r="D227" s="14">
        <f t="shared" si="19"/>
        <v>45587</v>
      </c>
      <c r="E227" s="4" t="str">
        <f t="shared" si="15"/>
        <v>Q4-2024</v>
      </c>
      <c r="F227" t="s">
        <v>52</v>
      </c>
      <c r="G227" t="s">
        <v>73</v>
      </c>
      <c r="H227" t="s">
        <v>225</v>
      </c>
      <c r="I227" t="s">
        <v>42</v>
      </c>
      <c r="J227" s="8" t="str">
        <f t="shared" si="16"/>
        <v>High</v>
      </c>
      <c r="K227" s="4">
        <v>2529.15</v>
      </c>
      <c r="L227" s="4">
        <v>2529.15</v>
      </c>
      <c r="M227" s="4">
        <v>0.14699999999999999</v>
      </c>
      <c r="N227" s="4">
        <v>10</v>
      </c>
      <c r="O227" s="4">
        <f t="shared" si="17"/>
        <v>7783.1984999999995</v>
      </c>
    </row>
    <row r="228" spans="1:15" x14ac:dyDescent="0.3">
      <c r="A228" s="13">
        <v>45588</v>
      </c>
      <c r="B228" s="4" t="str">
        <f>TEXT(Data!B228,"MMM-YYYY")</f>
        <v>Oct-2023</v>
      </c>
      <c r="C228" s="4" t="str">
        <f t="shared" si="18"/>
        <v>Oct-2024</v>
      </c>
      <c r="D228" s="14">
        <f t="shared" si="19"/>
        <v>45588</v>
      </c>
      <c r="E228" s="4" t="str">
        <f t="shared" si="15"/>
        <v>Q4-2024</v>
      </c>
      <c r="F228" t="s">
        <v>45</v>
      </c>
      <c r="G228" t="s">
        <v>46</v>
      </c>
      <c r="H228" t="s">
        <v>231</v>
      </c>
      <c r="I228" t="s">
        <v>35</v>
      </c>
      <c r="J228" s="8" t="str">
        <f t="shared" si="16"/>
        <v>High</v>
      </c>
      <c r="K228" s="4">
        <v>2698.01</v>
      </c>
      <c r="L228" s="4">
        <v>2698.01</v>
      </c>
      <c r="M228" s="4">
        <v>0.13100000000000001</v>
      </c>
      <c r="N228" s="4">
        <v>13</v>
      </c>
      <c r="O228" s="4">
        <f t="shared" si="17"/>
        <v>9209.201430000001</v>
      </c>
    </row>
    <row r="229" spans="1:15" x14ac:dyDescent="0.3">
      <c r="A229" s="13">
        <v>45589</v>
      </c>
      <c r="B229" s="4" t="str">
        <f>TEXT(Data!B229,"MMM-YYYY")</f>
        <v>Aug-2025</v>
      </c>
      <c r="C229" s="4" t="str">
        <f t="shared" si="18"/>
        <v>Oct-2024</v>
      </c>
      <c r="D229" s="14">
        <f t="shared" si="19"/>
        <v>45589</v>
      </c>
      <c r="E229" s="4" t="str">
        <f t="shared" si="15"/>
        <v>Q4-2024</v>
      </c>
      <c r="F229" t="s">
        <v>52</v>
      </c>
      <c r="G229" t="s">
        <v>122</v>
      </c>
      <c r="H229" t="s">
        <v>167</v>
      </c>
      <c r="I229" t="s">
        <v>81</v>
      </c>
      <c r="J229" s="8" t="str">
        <f t="shared" si="16"/>
        <v>High</v>
      </c>
      <c r="K229" s="4">
        <v>1482.75</v>
      </c>
      <c r="L229" s="4">
        <v>1482.75</v>
      </c>
      <c r="M229" s="4">
        <v>6.7000000000000004E-2</v>
      </c>
      <c r="N229" s="4">
        <v>4</v>
      </c>
      <c r="O229" s="4">
        <f t="shared" si="17"/>
        <v>6770.0719200000003</v>
      </c>
    </row>
    <row r="230" spans="1:15" x14ac:dyDescent="0.3">
      <c r="A230" s="13">
        <v>45590</v>
      </c>
      <c r="B230" s="4" t="str">
        <f>TEXT(Data!B230,"MMM-YYYY")</f>
        <v>Mar-2023</v>
      </c>
      <c r="C230" s="4" t="str">
        <f t="shared" si="18"/>
        <v>Oct-2024</v>
      </c>
      <c r="D230" s="14">
        <f t="shared" si="19"/>
        <v>45590</v>
      </c>
      <c r="E230" s="4" t="str">
        <f t="shared" si="15"/>
        <v>Q4-2024</v>
      </c>
      <c r="F230" t="s">
        <v>52</v>
      </c>
      <c r="G230" t="s">
        <v>122</v>
      </c>
      <c r="H230" t="s">
        <v>167</v>
      </c>
      <c r="I230" t="s">
        <v>30</v>
      </c>
      <c r="J230" s="8" t="str">
        <f t="shared" si="16"/>
        <v>High</v>
      </c>
      <c r="K230" s="4">
        <v>1456.81</v>
      </c>
      <c r="L230" s="4">
        <v>1456.81</v>
      </c>
      <c r="M230" s="4">
        <v>0.123</v>
      </c>
      <c r="N230" s="4">
        <v>13</v>
      </c>
      <c r="O230" s="4">
        <f t="shared" si="17"/>
        <v>8652.4469199999985</v>
      </c>
    </row>
    <row r="231" spans="1:15" x14ac:dyDescent="0.3">
      <c r="A231" s="13">
        <v>45591</v>
      </c>
      <c r="B231" s="4" t="str">
        <f>TEXT(Data!B231,"MMM-YYYY")</f>
        <v>May-2023</v>
      </c>
      <c r="C231" s="4" t="str">
        <f t="shared" si="18"/>
        <v>Oct-2024</v>
      </c>
      <c r="D231" s="14">
        <f t="shared" si="19"/>
        <v>45591</v>
      </c>
      <c r="E231" s="4" t="str">
        <f t="shared" si="15"/>
        <v>Q4-2024</v>
      </c>
      <c r="F231" t="s">
        <v>16</v>
      </c>
      <c r="G231" t="s">
        <v>17</v>
      </c>
      <c r="H231" t="s">
        <v>33</v>
      </c>
      <c r="I231" t="s">
        <v>30</v>
      </c>
      <c r="J231" s="8" t="str">
        <f t="shared" si="16"/>
        <v>High</v>
      </c>
      <c r="K231" s="4">
        <v>918.19</v>
      </c>
      <c r="L231" s="4">
        <v>918.19</v>
      </c>
      <c r="M231" s="4">
        <v>0.189</v>
      </c>
      <c r="N231" s="4">
        <v>10</v>
      </c>
      <c r="O231" s="4">
        <f t="shared" si="17"/>
        <v>13522.938400000001</v>
      </c>
    </row>
    <row r="232" spans="1:15" x14ac:dyDescent="0.3">
      <c r="A232" s="13">
        <v>45592</v>
      </c>
      <c r="B232" s="4" t="str">
        <f>TEXT(Data!B232,"MMM-YYYY")</f>
        <v>Apr-2025</v>
      </c>
      <c r="C232" s="4" t="str">
        <f t="shared" si="18"/>
        <v>Oct-2024</v>
      </c>
      <c r="D232" s="14">
        <f t="shared" si="19"/>
        <v>45592</v>
      </c>
      <c r="E232" s="4" t="str">
        <f t="shared" si="15"/>
        <v>Q4-2024</v>
      </c>
      <c r="F232" t="s">
        <v>45</v>
      </c>
      <c r="G232" t="s">
        <v>116</v>
      </c>
      <c r="H232" t="s">
        <v>162</v>
      </c>
      <c r="I232" t="s">
        <v>22</v>
      </c>
      <c r="J232" s="8" t="str">
        <f t="shared" si="16"/>
        <v>Low</v>
      </c>
      <c r="K232" s="4">
        <v>48.94</v>
      </c>
      <c r="L232" s="4">
        <v>48.94</v>
      </c>
      <c r="M232" s="4">
        <v>0.14799999999999999</v>
      </c>
      <c r="N232" s="4">
        <v>16</v>
      </c>
      <c r="O232" s="4">
        <f t="shared" si="17"/>
        <v>34932.681600000004</v>
      </c>
    </row>
    <row r="233" spans="1:15" x14ac:dyDescent="0.3">
      <c r="A233" s="13">
        <v>45593</v>
      </c>
      <c r="B233" s="4" t="str">
        <f>TEXT(Data!B233,"MMM-YYYY")</f>
        <v>Sept-2024</v>
      </c>
      <c r="C233" s="4" t="str">
        <f t="shared" si="18"/>
        <v>Oct-2024</v>
      </c>
      <c r="D233" s="14">
        <f t="shared" si="19"/>
        <v>45593</v>
      </c>
      <c r="E233" s="4" t="str">
        <f t="shared" si="15"/>
        <v>Q4-2024</v>
      </c>
      <c r="F233" t="s">
        <v>52</v>
      </c>
      <c r="G233" t="s">
        <v>73</v>
      </c>
      <c r="H233" t="s">
        <v>87</v>
      </c>
      <c r="I233" t="s">
        <v>42</v>
      </c>
      <c r="J233" s="8" t="str">
        <f t="shared" si="16"/>
        <v>High</v>
      </c>
      <c r="K233" s="4">
        <v>932.29</v>
      </c>
      <c r="L233" s="4">
        <v>932.29</v>
      </c>
      <c r="M233" s="4">
        <v>0.109</v>
      </c>
      <c r="N233" s="4">
        <v>7</v>
      </c>
      <c r="O233" s="4">
        <f t="shared" si="17"/>
        <v>4648.9350599999998</v>
      </c>
    </row>
    <row r="234" spans="1:15" x14ac:dyDescent="0.3">
      <c r="A234" s="13">
        <v>45594</v>
      </c>
      <c r="B234" s="4" t="str">
        <f>TEXT(Data!B234,"MMM-YYYY")</f>
        <v>Sept-2024</v>
      </c>
      <c r="C234" s="4" t="str">
        <f t="shared" si="18"/>
        <v>Oct-2024</v>
      </c>
      <c r="D234" s="14">
        <f t="shared" si="19"/>
        <v>45594</v>
      </c>
      <c r="E234" s="4" t="str">
        <f t="shared" si="15"/>
        <v>Q4-2024</v>
      </c>
      <c r="F234" t="s">
        <v>16</v>
      </c>
      <c r="G234" t="s">
        <v>25</v>
      </c>
      <c r="H234" t="s">
        <v>38</v>
      </c>
      <c r="I234" t="s">
        <v>30</v>
      </c>
      <c r="J234" s="8" t="str">
        <f t="shared" si="16"/>
        <v>High</v>
      </c>
      <c r="K234" s="4">
        <v>325.79000000000002</v>
      </c>
      <c r="L234" s="4">
        <v>325.79000000000002</v>
      </c>
      <c r="M234" s="4">
        <v>0.11600000000000001</v>
      </c>
      <c r="N234" s="4">
        <v>10</v>
      </c>
      <c r="O234" s="4">
        <f t="shared" si="17"/>
        <v>6081.4780000000001</v>
      </c>
    </row>
    <row r="235" spans="1:15" x14ac:dyDescent="0.3">
      <c r="A235" s="13">
        <v>45595</v>
      </c>
      <c r="B235" s="4" t="str">
        <f>TEXT(Data!B235,"MMM-YYYY")</f>
        <v>Mar-2023</v>
      </c>
      <c r="C235" s="4" t="str">
        <f t="shared" si="18"/>
        <v>Oct-2024</v>
      </c>
      <c r="D235" s="14">
        <f t="shared" si="19"/>
        <v>45595</v>
      </c>
      <c r="E235" s="4" t="str">
        <f t="shared" si="15"/>
        <v>Q4-2024</v>
      </c>
      <c r="F235" t="s">
        <v>45</v>
      </c>
      <c r="G235" t="s">
        <v>46</v>
      </c>
      <c r="H235" t="s">
        <v>47</v>
      </c>
      <c r="I235" t="s">
        <v>64</v>
      </c>
      <c r="J235" s="8" t="str">
        <f t="shared" si="16"/>
        <v>High</v>
      </c>
      <c r="K235" s="4">
        <v>405.97</v>
      </c>
      <c r="L235" s="4">
        <v>405.97</v>
      </c>
      <c r="M235" s="4">
        <v>0.187</v>
      </c>
      <c r="N235" s="4">
        <v>16</v>
      </c>
      <c r="O235" s="4">
        <f t="shared" si="17"/>
        <v>7155.3105599999999</v>
      </c>
    </row>
    <row r="236" spans="1:15" x14ac:dyDescent="0.3">
      <c r="A236" s="13">
        <v>45596</v>
      </c>
      <c r="B236" s="4" t="str">
        <f>TEXT(Data!B236,"MMM-YYYY")</f>
        <v>Jan-2024</v>
      </c>
      <c r="C236" s="4" t="str">
        <f t="shared" si="18"/>
        <v>Oct-2024</v>
      </c>
      <c r="D236" s="14">
        <f t="shared" si="19"/>
        <v>45596</v>
      </c>
      <c r="E236" s="4" t="str">
        <f t="shared" si="15"/>
        <v>Q4-2024</v>
      </c>
      <c r="F236" t="s">
        <v>16</v>
      </c>
      <c r="G236" t="s">
        <v>148</v>
      </c>
      <c r="H236" t="s">
        <v>258</v>
      </c>
      <c r="I236" t="s">
        <v>22</v>
      </c>
      <c r="J236" s="8" t="str">
        <f t="shared" si="16"/>
        <v>High</v>
      </c>
      <c r="K236" s="4">
        <v>1589.07</v>
      </c>
      <c r="L236" s="4">
        <v>1589.07</v>
      </c>
      <c r="M236" s="4">
        <v>0.10199999999999999</v>
      </c>
      <c r="N236" s="4">
        <v>10</v>
      </c>
      <c r="O236" s="4">
        <f t="shared" si="17"/>
        <v>18572.525799999999</v>
      </c>
    </row>
    <row r="237" spans="1:15" x14ac:dyDescent="0.3">
      <c r="A237" s="13">
        <v>45597</v>
      </c>
      <c r="B237" s="4" t="str">
        <f>TEXT(Data!B237,"MMM-YYYY")</f>
        <v>Sept-2024</v>
      </c>
      <c r="C237" s="4" t="str">
        <f t="shared" si="18"/>
        <v>Nov-2024</v>
      </c>
      <c r="D237" s="14">
        <f t="shared" si="19"/>
        <v>45597</v>
      </c>
      <c r="E237" s="4" t="str">
        <f t="shared" si="15"/>
        <v>Q4-2024</v>
      </c>
      <c r="F237" t="s">
        <v>45</v>
      </c>
      <c r="G237" t="s">
        <v>46</v>
      </c>
      <c r="H237" t="s">
        <v>231</v>
      </c>
      <c r="I237" t="s">
        <v>30</v>
      </c>
      <c r="J237" s="8" t="str">
        <f t="shared" si="16"/>
        <v>High</v>
      </c>
      <c r="K237" s="4">
        <v>1432.8</v>
      </c>
      <c r="L237" s="4">
        <v>1432.8</v>
      </c>
      <c r="M237" s="4">
        <v>6.8000000000000005E-2</v>
      </c>
      <c r="N237" s="4">
        <v>13</v>
      </c>
      <c r="O237" s="4">
        <f t="shared" si="17"/>
        <v>31218.691400000003</v>
      </c>
    </row>
    <row r="238" spans="1:15" x14ac:dyDescent="0.3">
      <c r="A238" s="13">
        <v>45598</v>
      </c>
      <c r="B238" s="4" t="str">
        <f>TEXT(Data!B238,"MMM-YYYY")</f>
        <v>Jul-2025</v>
      </c>
      <c r="C238" s="4" t="str">
        <f t="shared" si="18"/>
        <v>Nov-2024</v>
      </c>
      <c r="D238" s="14">
        <f t="shared" si="19"/>
        <v>45598</v>
      </c>
      <c r="E238" s="4" t="str">
        <f t="shared" si="15"/>
        <v>Q4-2024</v>
      </c>
      <c r="F238" t="s">
        <v>16</v>
      </c>
      <c r="G238" t="s">
        <v>17</v>
      </c>
      <c r="H238" t="s">
        <v>113</v>
      </c>
      <c r="I238" t="s">
        <v>42</v>
      </c>
      <c r="J238" s="8" t="str">
        <f t="shared" si="16"/>
        <v>High</v>
      </c>
      <c r="K238" s="4">
        <v>1765.76</v>
      </c>
      <c r="L238" s="4">
        <v>1765.76</v>
      </c>
      <c r="M238" s="4">
        <v>0.126</v>
      </c>
      <c r="N238" s="4">
        <v>24</v>
      </c>
      <c r="O238" s="4">
        <f t="shared" si="17"/>
        <v>21901.880639999999</v>
      </c>
    </row>
    <row r="239" spans="1:15" x14ac:dyDescent="0.3">
      <c r="A239" s="13">
        <v>45599</v>
      </c>
      <c r="B239" s="4" t="str">
        <f>TEXT(Data!B239,"MMM-YYYY")</f>
        <v>Nov-2023</v>
      </c>
      <c r="C239" s="4" t="str">
        <f t="shared" si="18"/>
        <v>Nov-2024</v>
      </c>
      <c r="D239" s="14">
        <f t="shared" si="19"/>
        <v>45599</v>
      </c>
      <c r="E239" s="4" t="str">
        <f t="shared" si="15"/>
        <v>Q4-2024</v>
      </c>
      <c r="F239" t="s">
        <v>52</v>
      </c>
      <c r="G239" t="s">
        <v>53</v>
      </c>
      <c r="H239" t="s">
        <v>179</v>
      </c>
      <c r="I239" t="s">
        <v>22</v>
      </c>
      <c r="J239" s="8" t="str">
        <f t="shared" si="16"/>
        <v>High</v>
      </c>
      <c r="K239" s="4">
        <v>2757.54</v>
      </c>
      <c r="L239" s="4">
        <v>2757.54</v>
      </c>
      <c r="M239" s="4">
        <v>0.17199999999999999</v>
      </c>
      <c r="N239" s="4">
        <v>61</v>
      </c>
      <c r="O239" s="4">
        <f t="shared" si="17"/>
        <v>5002.3123200000009</v>
      </c>
    </row>
    <row r="240" spans="1:15" x14ac:dyDescent="0.3">
      <c r="A240" s="13">
        <v>45600</v>
      </c>
      <c r="B240" s="4" t="str">
        <f>TEXT(Data!B240,"MMM-YYYY")</f>
        <v>Mar-2024</v>
      </c>
      <c r="C240" s="4" t="str">
        <f t="shared" si="18"/>
        <v>Nov-2024</v>
      </c>
      <c r="D240" s="14">
        <f t="shared" si="19"/>
        <v>45600</v>
      </c>
      <c r="E240" s="4" t="str">
        <f t="shared" si="15"/>
        <v>Q4-2024</v>
      </c>
      <c r="F240" t="s">
        <v>45</v>
      </c>
      <c r="G240" t="s">
        <v>60</v>
      </c>
      <c r="H240" t="s">
        <v>141</v>
      </c>
      <c r="I240" t="s">
        <v>42</v>
      </c>
      <c r="J240" s="8" t="str">
        <f t="shared" si="16"/>
        <v>High</v>
      </c>
      <c r="K240" s="4">
        <v>873.75</v>
      </c>
      <c r="L240" s="4">
        <v>873.75</v>
      </c>
      <c r="M240" s="4">
        <v>0.23499999999999999</v>
      </c>
      <c r="N240" s="4">
        <v>10</v>
      </c>
      <c r="O240" s="4">
        <f t="shared" si="17"/>
        <v>15275.5965</v>
      </c>
    </row>
    <row r="241" spans="1:15" x14ac:dyDescent="0.3">
      <c r="A241" s="13">
        <v>45601</v>
      </c>
      <c r="B241" s="4" t="str">
        <f>TEXT(Data!B241,"MMM-YYYY")</f>
        <v>Sept-2023</v>
      </c>
      <c r="C241" s="4" t="str">
        <f t="shared" si="18"/>
        <v>Nov-2024</v>
      </c>
      <c r="D241" s="14">
        <f t="shared" si="19"/>
        <v>45601</v>
      </c>
      <c r="E241" s="4" t="str">
        <f t="shared" si="15"/>
        <v>Q4-2024</v>
      </c>
      <c r="F241" t="s">
        <v>52</v>
      </c>
      <c r="G241" t="s">
        <v>122</v>
      </c>
      <c r="H241" t="s">
        <v>326</v>
      </c>
      <c r="I241" t="s">
        <v>57</v>
      </c>
      <c r="J241" s="8" t="str">
        <f t="shared" si="16"/>
        <v>High</v>
      </c>
      <c r="K241" s="4">
        <v>258.52</v>
      </c>
      <c r="L241" s="4">
        <v>258.52</v>
      </c>
      <c r="M241" s="4">
        <v>0.13</v>
      </c>
      <c r="N241" s="4">
        <v>17</v>
      </c>
      <c r="O241" s="4">
        <f t="shared" si="17"/>
        <v>13631.647199999999</v>
      </c>
    </row>
    <row r="242" spans="1:15" x14ac:dyDescent="0.3">
      <c r="A242" s="13">
        <v>45602</v>
      </c>
      <c r="B242" s="4" t="str">
        <f>TEXT(Data!B242,"MMM-YYYY")</f>
        <v>May-2025</v>
      </c>
      <c r="C242" s="4" t="str">
        <f t="shared" si="18"/>
        <v>Nov-2024</v>
      </c>
      <c r="D242" s="14">
        <f t="shared" si="19"/>
        <v>45602</v>
      </c>
      <c r="E242" s="4" t="str">
        <f t="shared" si="15"/>
        <v>Q4-2024</v>
      </c>
      <c r="F242" t="s">
        <v>45</v>
      </c>
      <c r="G242" t="s">
        <v>60</v>
      </c>
      <c r="H242" t="s">
        <v>61</v>
      </c>
      <c r="I242" t="s">
        <v>30</v>
      </c>
      <c r="J242" s="8" t="str">
        <f t="shared" si="16"/>
        <v>High</v>
      </c>
      <c r="K242" s="4">
        <v>606.76</v>
      </c>
      <c r="L242" s="4">
        <v>606.76</v>
      </c>
      <c r="M242" s="4">
        <v>8.5999999999999993E-2</v>
      </c>
      <c r="N242" s="4">
        <v>8</v>
      </c>
      <c r="O242" s="4">
        <f t="shared" si="17"/>
        <v>18307.712480000002</v>
      </c>
    </row>
    <row r="243" spans="1:15" x14ac:dyDescent="0.3">
      <c r="A243" s="13">
        <v>45603</v>
      </c>
      <c r="B243" s="4" t="str">
        <f>TEXT(Data!B243,"MMM-YYYY")</f>
        <v>Aug-2025</v>
      </c>
      <c r="C243" s="4" t="str">
        <f t="shared" si="18"/>
        <v>Nov-2024</v>
      </c>
      <c r="D243" s="14">
        <f t="shared" si="19"/>
        <v>45603</v>
      </c>
      <c r="E243" s="4" t="str">
        <f t="shared" si="15"/>
        <v>Q4-2024</v>
      </c>
      <c r="F243" t="s">
        <v>45</v>
      </c>
      <c r="G243" t="s">
        <v>116</v>
      </c>
      <c r="H243" t="s">
        <v>338</v>
      </c>
      <c r="I243" t="s">
        <v>42</v>
      </c>
      <c r="J243" s="8" t="str">
        <f t="shared" si="16"/>
        <v>High</v>
      </c>
      <c r="K243" s="4">
        <v>1337.69</v>
      </c>
      <c r="L243" s="4">
        <v>1337.69</v>
      </c>
      <c r="M243" s="4">
        <v>9.5000000000000001E-2</v>
      </c>
      <c r="N243" s="4">
        <v>8</v>
      </c>
      <c r="O243" s="4">
        <f t="shared" si="17"/>
        <v>17830.4548</v>
      </c>
    </row>
    <row r="244" spans="1:15" x14ac:dyDescent="0.3">
      <c r="A244" s="13">
        <v>45604</v>
      </c>
      <c r="B244" s="4" t="str">
        <f>TEXT(Data!B244,"MMM-YYYY")</f>
        <v>Dec-2024</v>
      </c>
      <c r="C244" s="4" t="str">
        <f t="shared" si="18"/>
        <v>Nov-2024</v>
      </c>
      <c r="D244" s="14">
        <f t="shared" si="19"/>
        <v>45604</v>
      </c>
      <c r="E244" s="4" t="str">
        <f t="shared" si="15"/>
        <v>Q4-2024</v>
      </c>
      <c r="F244" t="s">
        <v>45</v>
      </c>
      <c r="G244" t="s">
        <v>46</v>
      </c>
      <c r="H244" t="s">
        <v>47</v>
      </c>
      <c r="I244" t="s">
        <v>57</v>
      </c>
      <c r="J244" s="8" t="str">
        <f t="shared" si="16"/>
        <v>High</v>
      </c>
      <c r="K244" s="4">
        <v>1793.08</v>
      </c>
      <c r="L244" s="4">
        <v>1793.08</v>
      </c>
      <c r="M244" s="4">
        <v>0.13600000000000001</v>
      </c>
      <c r="N244" s="4">
        <v>22</v>
      </c>
      <c r="O244" s="4">
        <f t="shared" si="17"/>
        <v>9431.7695999999996</v>
      </c>
    </row>
    <row r="245" spans="1:15" x14ac:dyDescent="0.3">
      <c r="A245" s="13">
        <v>45605</v>
      </c>
      <c r="B245" s="4" t="str">
        <f>TEXT(Data!B245,"MMM-YYYY")</f>
        <v>Apr-2023</v>
      </c>
      <c r="C245" s="4" t="str">
        <f t="shared" si="18"/>
        <v>Nov-2024</v>
      </c>
      <c r="D245" s="14">
        <f t="shared" si="19"/>
        <v>45605</v>
      </c>
      <c r="E245" s="4" t="str">
        <f t="shared" si="15"/>
        <v>Q4-2024</v>
      </c>
      <c r="F245" t="s">
        <v>78</v>
      </c>
      <c r="G245" t="s">
        <v>79</v>
      </c>
      <c r="H245" t="s">
        <v>335</v>
      </c>
      <c r="I245" t="s">
        <v>30</v>
      </c>
      <c r="J245" s="8" t="str">
        <f t="shared" si="16"/>
        <v>Medium</v>
      </c>
      <c r="K245" s="4">
        <v>122.74</v>
      </c>
      <c r="L245" s="4">
        <v>122.74</v>
      </c>
      <c r="M245" s="4">
        <v>0.23799999999999999</v>
      </c>
      <c r="N245" s="4">
        <v>8</v>
      </c>
      <c r="O245" s="4">
        <f t="shared" si="17"/>
        <v>5532.6686399999999</v>
      </c>
    </row>
    <row r="246" spans="1:15" x14ac:dyDescent="0.3">
      <c r="A246" s="13">
        <v>45606</v>
      </c>
      <c r="B246" s="4" t="str">
        <f>TEXT(Data!B246,"MMM-YYYY")</f>
        <v>Mar-2024</v>
      </c>
      <c r="C246" s="4" t="str">
        <f t="shared" si="18"/>
        <v>Nov-2024</v>
      </c>
      <c r="D246" s="14">
        <f t="shared" si="19"/>
        <v>45606</v>
      </c>
      <c r="E246" s="4" t="str">
        <f t="shared" si="15"/>
        <v>Q4-2024</v>
      </c>
      <c r="F246" t="s">
        <v>52</v>
      </c>
      <c r="G246" t="s">
        <v>73</v>
      </c>
      <c r="H246" t="s">
        <v>225</v>
      </c>
      <c r="I246" t="s">
        <v>42</v>
      </c>
      <c r="J246" s="8" t="str">
        <f t="shared" si="16"/>
        <v>High</v>
      </c>
      <c r="K246" s="4">
        <v>927.93</v>
      </c>
      <c r="L246" s="4">
        <v>927.93</v>
      </c>
      <c r="M246" s="4">
        <v>0.17499999999999999</v>
      </c>
      <c r="N246" s="4">
        <v>16</v>
      </c>
      <c r="O246" s="4">
        <f t="shared" si="17"/>
        <v>4411.308</v>
      </c>
    </row>
    <row r="247" spans="1:15" x14ac:dyDescent="0.3">
      <c r="A247" s="13">
        <v>45607</v>
      </c>
      <c r="B247" s="4" t="str">
        <f>TEXT(Data!B247,"MMM-YYYY")</f>
        <v>Feb-2024</v>
      </c>
      <c r="C247" s="4" t="str">
        <f t="shared" si="18"/>
        <v>Nov-2024</v>
      </c>
      <c r="D247" s="14">
        <f t="shared" si="19"/>
        <v>45607</v>
      </c>
      <c r="E247" s="4" t="str">
        <f t="shared" si="15"/>
        <v>Q4-2024</v>
      </c>
      <c r="F247" t="s">
        <v>16</v>
      </c>
      <c r="G247" t="s">
        <v>25</v>
      </c>
      <c r="H247" t="s">
        <v>26</v>
      </c>
      <c r="I247" t="s">
        <v>42</v>
      </c>
      <c r="J247" s="8" t="str">
        <f t="shared" si="16"/>
        <v>Medium</v>
      </c>
      <c r="K247" s="4">
        <v>151.88</v>
      </c>
      <c r="L247" s="4">
        <v>151.88</v>
      </c>
      <c r="M247" s="4">
        <v>0.16700000000000001</v>
      </c>
      <c r="N247" s="4">
        <v>23</v>
      </c>
      <c r="O247" s="4">
        <f t="shared" si="17"/>
        <v>10322.677609999999</v>
      </c>
    </row>
    <row r="248" spans="1:15" x14ac:dyDescent="0.3">
      <c r="A248" s="13">
        <v>45608</v>
      </c>
      <c r="B248" s="4" t="str">
        <f>TEXT(Data!B248,"MMM-YYYY")</f>
        <v>Apr-2025</v>
      </c>
      <c r="C248" s="4" t="str">
        <f t="shared" si="18"/>
        <v>Nov-2024</v>
      </c>
      <c r="D248" s="14">
        <f t="shared" si="19"/>
        <v>45608</v>
      </c>
      <c r="E248" s="4" t="str">
        <f t="shared" si="15"/>
        <v>Q4-2024</v>
      </c>
      <c r="F248" t="s">
        <v>52</v>
      </c>
      <c r="G248" t="s">
        <v>53</v>
      </c>
      <c r="H248" t="s">
        <v>144</v>
      </c>
      <c r="I248" t="s">
        <v>57</v>
      </c>
      <c r="J248" s="8" t="str">
        <f t="shared" si="16"/>
        <v>High</v>
      </c>
      <c r="K248" s="4">
        <v>2210.4</v>
      </c>
      <c r="L248" s="4">
        <v>2210.4</v>
      </c>
      <c r="M248" s="4">
        <v>0.26300000000000001</v>
      </c>
      <c r="N248" s="4">
        <v>6</v>
      </c>
      <c r="O248" s="4">
        <f t="shared" si="17"/>
        <v>6352.3798799999995</v>
      </c>
    </row>
    <row r="249" spans="1:15" x14ac:dyDescent="0.3">
      <c r="A249" s="13">
        <v>45609</v>
      </c>
      <c r="B249" s="4" t="str">
        <f>TEXT(Data!B249,"MMM-YYYY")</f>
        <v>Nov-2024</v>
      </c>
      <c r="C249" s="4" t="str">
        <f t="shared" si="18"/>
        <v>Nov-2024</v>
      </c>
      <c r="D249" s="14">
        <f t="shared" si="19"/>
        <v>45609</v>
      </c>
      <c r="E249" s="4" t="str">
        <f t="shared" si="15"/>
        <v>Q4-2024</v>
      </c>
      <c r="F249" t="s">
        <v>78</v>
      </c>
      <c r="G249" t="s">
        <v>79</v>
      </c>
      <c r="H249" t="s">
        <v>80</v>
      </c>
      <c r="I249" t="s">
        <v>64</v>
      </c>
      <c r="J249" s="8" t="str">
        <f t="shared" si="16"/>
        <v>Low</v>
      </c>
      <c r="K249" s="4">
        <v>39.74</v>
      </c>
      <c r="L249" s="4">
        <v>39.74</v>
      </c>
      <c r="M249" s="4">
        <v>0.151</v>
      </c>
      <c r="N249" s="4">
        <v>18</v>
      </c>
      <c r="O249" s="4">
        <f t="shared" si="17"/>
        <v>26996.417099999999</v>
      </c>
    </row>
    <row r="250" spans="1:15" x14ac:dyDescent="0.3">
      <c r="A250" s="13">
        <v>45610</v>
      </c>
      <c r="B250" s="4" t="str">
        <f>TEXT(Data!B250,"MMM-YYYY")</f>
        <v>Sept-2025</v>
      </c>
      <c r="C250" s="4" t="str">
        <f t="shared" si="18"/>
        <v>Nov-2024</v>
      </c>
      <c r="D250" s="14">
        <f t="shared" si="19"/>
        <v>45610</v>
      </c>
      <c r="E250" s="4" t="str">
        <f t="shared" si="15"/>
        <v>Q4-2024</v>
      </c>
      <c r="F250" t="s">
        <v>16</v>
      </c>
      <c r="G250" t="s">
        <v>17</v>
      </c>
      <c r="H250" t="s">
        <v>135</v>
      </c>
      <c r="I250" t="s">
        <v>35</v>
      </c>
      <c r="J250" s="8" t="str">
        <f t="shared" si="16"/>
        <v>High</v>
      </c>
      <c r="K250" s="4">
        <v>1009</v>
      </c>
      <c r="L250" s="4">
        <v>1009</v>
      </c>
      <c r="M250" s="4">
        <v>0.11</v>
      </c>
      <c r="N250" s="4">
        <v>4</v>
      </c>
      <c r="O250" s="4">
        <f t="shared" si="17"/>
        <v>2237.6023999999998</v>
      </c>
    </row>
    <row r="251" spans="1:15" x14ac:dyDescent="0.3">
      <c r="A251" s="13">
        <v>45611</v>
      </c>
      <c r="B251" s="4" t="str">
        <f>TEXT(Data!B251,"MMM-YYYY")</f>
        <v>Sept-2024</v>
      </c>
      <c r="C251" s="4" t="str">
        <f t="shared" si="18"/>
        <v>Nov-2024</v>
      </c>
      <c r="D251" s="14">
        <f t="shared" si="19"/>
        <v>45611</v>
      </c>
      <c r="E251" s="4" t="str">
        <f t="shared" si="15"/>
        <v>Q4-2024</v>
      </c>
      <c r="F251" t="s">
        <v>45</v>
      </c>
      <c r="G251" t="s">
        <v>46</v>
      </c>
      <c r="H251" t="s">
        <v>231</v>
      </c>
      <c r="I251" t="s">
        <v>64</v>
      </c>
      <c r="J251" s="8" t="str">
        <f t="shared" si="16"/>
        <v>High</v>
      </c>
      <c r="K251" s="4">
        <v>1653.64</v>
      </c>
      <c r="L251" s="4">
        <v>1653.64</v>
      </c>
      <c r="M251" s="4">
        <v>0.107</v>
      </c>
      <c r="N251" s="4">
        <v>8</v>
      </c>
      <c r="O251" s="4">
        <f t="shared" si="17"/>
        <v>11792.958000000001</v>
      </c>
    </row>
    <row r="252" spans="1:15" x14ac:dyDescent="0.3">
      <c r="A252" s="13">
        <v>45612</v>
      </c>
      <c r="B252" s="4" t="str">
        <f>TEXT(Data!B252,"MMM-YYYY")</f>
        <v>Mar-2023</v>
      </c>
      <c r="C252" s="4" t="str">
        <f t="shared" si="18"/>
        <v>Nov-2024</v>
      </c>
      <c r="D252" s="14">
        <f t="shared" si="19"/>
        <v>45612</v>
      </c>
      <c r="E252" s="4" t="str">
        <f t="shared" si="15"/>
        <v>Q4-2024</v>
      </c>
      <c r="F252" t="s">
        <v>52</v>
      </c>
      <c r="G252" t="s">
        <v>122</v>
      </c>
      <c r="H252" t="s">
        <v>326</v>
      </c>
      <c r="I252" t="s">
        <v>22</v>
      </c>
      <c r="J252" s="8" t="str">
        <f t="shared" si="16"/>
        <v>High</v>
      </c>
      <c r="K252" s="4">
        <v>1015.7</v>
      </c>
      <c r="L252" s="4">
        <v>1015.7</v>
      </c>
      <c r="M252" s="4">
        <v>0.14299999999999999</v>
      </c>
      <c r="N252" s="4">
        <v>14</v>
      </c>
      <c r="O252" s="4">
        <f t="shared" si="17"/>
        <v>26961.185719999998</v>
      </c>
    </row>
    <row r="253" spans="1:15" x14ac:dyDescent="0.3">
      <c r="A253" s="13">
        <v>45613</v>
      </c>
      <c r="B253" s="4" t="str">
        <f>TEXT(Data!B253,"MMM-YYYY")</f>
        <v>Mar-2024</v>
      </c>
      <c r="C253" s="4" t="str">
        <f t="shared" si="18"/>
        <v>Nov-2024</v>
      </c>
      <c r="D253" s="14">
        <f t="shared" si="19"/>
        <v>45613</v>
      </c>
      <c r="E253" s="4" t="str">
        <f t="shared" si="15"/>
        <v>Q4-2024</v>
      </c>
      <c r="F253" t="s">
        <v>52</v>
      </c>
      <c r="G253" t="s">
        <v>53</v>
      </c>
      <c r="H253" t="s">
        <v>144</v>
      </c>
      <c r="I253" t="s">
        <v>57</v>
      </c>
      <c r="J253" s="8" t="str">
        <f t="shared" si="16"/>
        <v>High</v>
      </c>
      <c r="K253" s="4">
        <v>912.45</v>
      </c>
      <c r="L253" s="4">
        <v>912.45</v>
      </c>
      <c r="M253" s="4">
        <v>0.20300000000000001</v>
      </c>
      <c r="N253" s="4">
        <v>24</v>
      </c>
      <c r="O253" s="4">
        <f t="shared" si="17"/>
        <v>17084.938320000001</v>
      </c>
    </row>
    <row r="254" spans="1:15" x14ac:dyDescent="0.3">
      <c r="A254" s="13">
        <v>45614</v>
      </c>
      <c r="B254" s="4" t="str">
        <f>TEXT(Data!B254,"MMM-YYYY")</f>
        <v>Jul-2024</v>
      </c>
      <c r="C254" s="4" t="str">
        <f t="shared" si="18"/>
        <v>Nov-2024</v>
      </c>
      <c r="D254" s="14">
        <f t="shared" si="19"/>
        <v>45614</v>
      </c>
      <c r="E254" s="4" t="str">
        <f t="shared" si="15"/>
        <v>Q4-2024</v>
      </c>
      <c r="F254" t="s">
        <v>52</v>
      </c>
      <c r="G254" t="s">
        <v>53</v>
      </c>
      <c r="H254" t="s">
        <v>179</v>
      </c>
      <c r="I254" t="s">
        <v>64</v>
      </c>
      <c r="J254" s="8" t="str">
        <f t="shared" si="16"/>
        <v>High</v>
      </c>
      <c r="K254" s="4">
        <v>815.19</v>
      </c>
      <c r="L254" s="4">
        <v>815.19</v>
      </c>
      <c r="M254" s="4">
        <v>0.22500000000000001</v>
      </c>
      <c r="N254" s="4">
        <v>28</v>
      </c>
      <c r="O254" s="4">
        <f t="shared" si="17"/>
        <v>50537.130000000005</v>
      </c>
    </row>
    <row r="255" spans="1:15" x14ac:dyDescent="0.3">
      <c r="A255" s="13">
        <v>45615</v>
      </c>
      <c r="B255" s="4" t="str">
        <f>TEXT(Data!B255,"MMM-YYYY")</f>
        <v>Oct-2024</v>
      </c>
      <c r="C255" s="4" t="str">
        <f t="shared" si="18"/>
        <v>Nov-2024</v>
      </c>
      <c r="D255" s="14">
        <f t="shared" si="19"/>
        <v>45615</v>
      </c>
      <c r="E255" s="4" t="str">
        <f t="shared" si="15"/>
        <v>Q4-2024</v>
      </c>
      <c r="F255" t="s">
        <v>52</v>
      </c>
      <c r="G255" t="s">
        <v>122</v>
      </c>
      <c r="H255" t="s">
        <v>387</v>
      </c>
      <c r="I255" t="s">
        <v>30</v>
      </c>
      <c r="J255" s="8" t="str">
        <f t="shared" si="16"/>
        <v>High</v>
      </c>
      <c r="K255" s="4">
        <v>1814.06</v>
      </c>
      <c r="L255" s="4">
        <v>1814.06</v>
      </c>
      <c r="M255" s="4">
        <v>0.122</v>
      </c>
      <c r="N255" s="4">
        <v>16</v>
      </c>
      <c r="O255" s="4">
        <f t="shared" si="17"/>
        <v>29033.704000000002</v>
      </c>
    </row>
    <row r="256" spans="1:15" x14ac:dyDescent="0.3">
      <c r="A256" s="13">
        <v>45616</v>
      </c>
      <c r="B256" s="4" t="str">
        <f>TEXT(Data!B256,"MMM-YYYY")</f>
        <v>Apr-2024</v>
      </c>
      <c r="C256" s="4" t="str">
        <f t="shared" si="18"/>
        <v>Nov-2024</v>
      </c>
      <c r="D256" s="14">
        <f t="shared" si="19"/>
        <v>45616</v>
      </c>
      <c r="E256" s="4" t="str">
        <f t="shared" si="15"/>
        <v>Q4-2024</v>
      </c>
      <c r="F256" t="s">
        <v>45</v>
      </c>
      <c r="G256" t="s">
        <v>46</v>
      </c>
      <c r="H256" t="s">
        <v>231</v>
      </c>
      <c r="I256" t="s">
        <v>64</v>
      </c>
      <c r="J256" s="8" t="str">
        <f t="shared" si="16"/>
        <v>High</v>
      </c>
      <c r="K256" s="4">
        <v>758.92</v>
      </c>
      <c r="L256" s="4">
        <v>758.92</v>
      </c>
      <c r="M256" s="4">
        <v>5.2999999999999999E-2</v>
      </c>
      <c r="N256" s="4">
        <v>9</v>
      </c>
      <c r="O256" s="4">
        <f t="shared" si="17"/>
        <v>18599.828130000002</v>
      </c>
    </row>
    <row r="257" spans="1:15" x14ac:dyDescent="0.3">
      <c r="A257" s="13">
        <v>45617</v>
      </c>
      <c r="B257" s="4" t="str">
        <f>TEXT(Data!B257,"MMM-YYYY")</f>
        <v>Oct-2023</v>
      </c>
      <c r="C257" s="4" t="str">
        <f t="shared" si="18"/>
        <v>Nov-2024</v>
      </c>
      <c r="D257" s="14">
        <f t="shared" si="19"/>
        <v>45617</v>
      </c>
      <c r="E257" s="4" t="str">
        <f t="shared" si="15"/>
        <v>Q4-2024</v>
      </c>
      <c r="F257" t="s">
        <v>78</v>
      </c>
      <c r="G257" t="s">
        <v>79</v>
      </c>
      <c r="H257" t="s">
        <v>335</v>
      </c>
      <c r="I257" t="s">
        <v>57</v>
      </c>
      <c r="J257" s="8" t="str">
        <f t="shared" si="16"/>
        <v>High</v>
      </c>
      <c r="K257" s="4">
        <v>1667.44</v>
      </c>
      <c r="L257" s="4">
        <v>1667.44</v>
      </c>
      <c r="M257" s="4">
        <v>3.4000000000000002E-2</v>
      </c>
      <c r="N257" s="4">
        <v>15</v>
      </c>
      <c r="O257" s="4">
        <f t="shared" si="17"/>
        <v>39508.723799999992</v>
      </c>
    </row>
    <row r="258" spans="1:15" x14ac:dyDescent="0.3">
      <c r="A258" s="13">
        <v>45618</v>
      </c>
      <c r="B258" s="4" t="str">
        <f>TEXT(Data!B258,"MMM-YYYY")</f>
        <v>Apr-2023</v>
      </c>
      <c r="C258" s="4" t="str">
        <f t="shared" si="18"/>
        <v>Nov-2024</v>
      </c>
      <c r="D258" s="14">
        <f t="shared" si="19"/>
        <v>45618</v>
      </c>
      <c r="E258" s="4" t="str">
        <f t="shared" ref="E258:E321" si="20">"Q"&amp;ROUNDUP(MONTH(A258)/3,0)&amp;"-"&amp;YEAR(A258)</f>
        <v>Q4-2024</v>
      </c>
      <c r="F258" t="s">
        <v>45</v>
      </c>
      <c r="G258" t="s">
        <v>60</v>
      </c>
      <c r="H258" t="s">
        <v>61</v>
      </c>
      <c r="I258" t="s">
        <v>22</v>
      </c>
      <c r="J258" s="8" t="str">
        <f t="shared" ref="J258:J321" si="21">IF(K258&lt;50, "Low", IF(K258&lt;200, "Medium", "High"))</f>
        <v>High</v>
      </c>
      <c r="K258" s="4">
        <v>2562.5500000000002</v>
      </c>
      <c r="L258" s="4">
        <v>2562.5500000000002</v>
      </c>
      <c r="M258" s="4">
        <v>0.17299999999999999</v>
      </c>
      <c r="N258" s="4">
        <v>9</v>
      </c>
      <c r="O258" s="4">
        <f t="shared" ref="O258:O321" si="22">(L284*N258)*(1-M258)</f>
        <v>828.33146999999997</v>
      </c>
    </row>
    <row r="259" spans="1:15" x14ac:dyDescent="0.3">
      <c r="A259" s="13">
        <v>45619</v>
      </c>
      <c r="B259" s="4" t="str">
        <f>TEXT(Data!B259,"MMM-YYYY")</f>
        <v>Jun-2025</v>
      </c>
      <c r="C259" s="4" t="str">
        <f t="shared" ref="C259:C322" si="23">TEXT(D259, "MMM-YYYY")</f>
        <v>Nov-2024</v>
      </c>
      <c r="D259" s="14">
        <f t="shared" ref="D259:D322" si="24">_xlfn.MINIFS(A259:A259, G259:G259,G259)</f>
        <v>45619</v>
      </c>
      <c r="E259" s="4" t="str">
        <f t="shared" si="20"/>
        <v>Q4-2024</v>
      </c>
      <c r="F259" t="s">
        <v>78</v>
      </c>
      <c r="G259" t="s">
        <v>108</v>
      </c>
      <c r="H259" t="s">
        <v>152</v>
      </c>
      <c r="I259" t="s">
        <v>35</v>
      </c>
      <c r="J259" s="8" t="str">
        <f t="shared" si="21"/>
        <v>High</v>
      </c>
      <c r="K259" s="4">
        <v>745.38</v>
      </c>
      <c r="L259" s="4">
        <v>745.38</v>
      </c>
      <c r="M259" s="4">
        <v>0.19700000000000001</v>
      </c>
      <c r="N259" s="4">
        <v>4</v>
      </c>
      <c r="O259" s="4">
        <f t="shared" si="22"/>
        <v>3533.4890799999994</v>
      </c>
    </row>
    <row r="260" spans="1:15" x14ac:dyDescent="0.3">
      <c r="A260" s="13">
        <v>45620</v>
      </c>
      <c r="B260" s="4" t="str">
        <f>TEXT(Data!B260,"MMM-YYYY")</f>
        <v>Oct-2023</v>
      </c>
      <c r="C260" s="4" t="str">
        <f t="shared" si="23"/>
        <v>Nov-2024</v>
      </c>
      <c r="D260" s="14">
        <f t="shared" si="24"/>
        <v>45620</v>
      </c>
      <c r="E260" s="4" t="str">
        <f t="shared" si="20"/>
        <v>Q4-2024</v>
      </c>
      <c r="F260" t="s">
        <v>78</v>
      </c>
      <c r="G260" t="s">
        <v>79</v>
      </c>
      <c r="H260" t="s">
        <v>159</v>
      </c>
      <c r="I260" t="s">
        <v>64</v>
      </c>
      <c r="J260" s="8" t="str">
        <f t="shared" si="21"/>
        <v>High</v>
      </c>
      <c r="K260" s="4">
        <v>687.95</v>
      </c>
      <c r="L260" s="4">
        <v>687.95</v>
      </c>
      <c r="M260" s="4">
        <v>0.20499999999999999</v>
      </c>
      <c r="N260" s="4">
        <v>8</v>
      </c>
      <c r="O260" s="4">
        <f t="shared" si="22"/>
        <v>9725.3304000000007</v>
      </c>
    </row>
    <row r="261" spans="1:15" x14ac:dyDescent="0.3">
      <c r="A261" s="13">
        <v>45621</v>
      </c>
      <c r="B261" s="4" t="str">
        <f>TEXT(Data!B261,"MMM-YYYY")</f>
        <v>May-2023</v>
      </c>
      <c r="C261" s="4" t="str">
        <f t="shared" si="23"/>
        <v>Nov-2024</v>
      </c>
      <c r="D261" s="14">
        <f t="shared" si="24"/>
        <v>45621</v>
      </c>
      <c r="E261" s="4" t="str">
        <f t="shared" si="20"/>
        <v>Q4-2024</v>
      </c>
      <c r="F261" t="s">
        <v>52</v>
      </c>
      <c r="G261" t="s">
        <v>73</v>
      </c>
      <c r="H261" t="s">
        <v>87</v>
      </c>
      <c r="I261" t="s">
        <v>81</v>
      </c>
      <c r="J261" s="8" t="str">
        <f t="shared" si="21"/>
        <v>High</v>
      </c>
      <c r="K261" s="4">
        <v>550.07000000000005</v>
      </c>
      <c r="L261" s="4">
        <v>550.07000000000005</v>
      </c>
      <c r="M261" s="4">
        <v>0.14000000000000001</v>
      </c>
      <c r="N261" s="4">
        <v>16</v>
      </c>
      <c r="O261" s="4">
        <f t="shared" si="22"/>
        <v>10026.7744</v>
      </c>
    </row>
    <row r="262" spans="1:15" x14ac:dyDescent="0.3">
      <c r="A262" s="13">
        <v>45622</v>
      </c>
      <c r="B262" s="4" t="str">
        <f>TEXT(Data!B262,"MMM-YYYY")</f>
        <v>May-2023</v>
      </c>
      <c r="C262" s="4" t="str">
        <f t="shared" si="23"/>
        <v>Nov-2024</v>
      </c>
      <c r="D262" s="14">
        <f t="shared" si="24"/>
        <v>45622</v>
      </c>
      <c r="E262" s="4" t="str">
        <f t="shared" si="20"/>
        <v>Q4-2024</v>
      </c>
      <c r="F262" t="s">
        <v>16</v>
      </c>
      <c r="G262" t="s">
        <v>25</v>
      </c>
      <c r="H262" t="s">
        <v>26</v>
      </c>
      <c r="I262" t="s">
        <v>22</v>
      </c>
      <c r="J262" s="8" t="str">
        <f t="shared" si="21"/>
        <v>High</v>
      </c>
      <c r="K262" s="4">
        <v>2068.21</v>
      </c>
      <c r="L262" s="4">
        <v>2068.21</v>
      </c>
      <c r="M262" s="4">
        <v>7.8E-2</v>
      </c>
      <c r="N262" s="4">
        <v>12</v>
      </c>
      <c r="O262" s="4">
        <f t="shared" si="22"/>
        <v>69.481920000000002</v>
      </c>
    </row>
    <row r="263" spans="1:15" x14ac:dyDescent="0.3">
      <c r="A263" s="13">
        <v>45623</v>
      </c>
      <c r="B263" s="4" t="str">
        <f>TEXT(Data!B263,"MMM-YYYY")</f>
        <v>Aug-2023</v>
      </c>
      <c r="C263" s="4" t="str">
        <f t="shared" si="23"/>
        <v>Nov-2024</v>
      </c>
      <c r="D263" s="14">
        <f t="shared" si="24"/>
        <v>45623</v>
      </c>
      <c r="E263" s="4" t="str">
        <f t="shared" si="20"/>
        <v>Q4-2024</v>
      </c>
      <c r="F263" t="s">
        <v>78</v>
      </c>
      <c r="G263" t="s">
        <v>79</v>
      </c>
      <c r="H263" t="s">
        <v>80</v>
      </c>
      <c r="I263" t="s">
        <v>81</v>
      </c>
      <c r="J263" s="8" t="str">
        <f t="shared" si="21"/>
        <v>High</v>
      </c>
      <c r="K263" s="4">
        <v>2576.65</v>
      </c>
      <c r="L263" s="4">
        <v>2576.65</v>
      </c>
      <c r="M263" s="4">
        <v>4.0000000000000001E-3</v>
      </c>
      <c r="N263" s="4">
        <v>7</v>
      </c>
      <c r="O263" s="4">
        <f t="shared" si="22"/>
        <v>17916.436439999998</v>
      </c>
    </row>
    <row r="264" spans="1:15" x14ac:dyDescent="0.3">
      <c r="A264" s="13">
        <v>45624</v>
      </c>
      <c r="B264" s="4" t="str">
        <f>TEXT(Data!B264,"MMM-YYYY")</f>
        <v>Jun-2025</v>
      </c>
      <c r="C264" s="4" t="str">
        <f t="shared" si="23"/>
        <v>Nov-2024</v>
      </c>
      <c r="D264" s="14">
        <f t="shared" si="24"/>
        <v>45624</v>
      </c>
      <c r="E264" s="4" t="str">
        <f t="shared" si="20"/>
        <v>Q4-2024</v>
      </c>
      <c r="F264" t="s">
        <v>52</v>
      </c>
      <c r="G264" t="s">
        <v>73</v>
      </c>
      <c r="H264" t="s">
        <v>87</v>
      </c>
      <c r="I264" t="s">
        <v>35</v>
      </c>
      <c r="J264" s="8" t="str">
        <f t="shared" si="21"/>
        <v>High</v>
      </c>
      <c r="K264" s="4">
        <v>1044.1400000000001</v>
      </c>
      <c r="L264" s="4">
        <v>1044.1400000000001</v>
      </c>
      <c r="M264" s="4">
        <v>0.216</v>
      </c>
      <c r="N264" s="4">
        <v>10</v>
      </c>
      <c r="O264" s="4">
        <f t="shared" si="22"/>
        <v>12481.436800000001</v>
      </c>
    </row>
    <row r="265" spans="1:15" x14ac:dyDescent="0.3">
      <c r="A265" s="13">
        <v>45625</v>
      </c>
      <c r="B265" s="4" t="str">
        <f>TEXT(Data!B265,"MMM-YYYY")</f>
        <v>Apr-2025</v>
      </c>
      <c r="C265" s="4" t="str">
        <f t="shared" si="23"/>
        <v>Nov-2024</v>
      </c>
      <c r="D265" s="14">
        <f t="shared" si="24"/>
        <v>45625</v>
      </c>
      <c r="E265" s="4" t="str">
        <f t="shared" si="20"/>
        <v>Q4-2024</v>
      </c>
      <c r="F265" t="s">
        <v>16</v>
      </c>
      <c r="G265" t="s">
        <v>148</v>
      </c>
      <c r="H265" t="s">
        <v>172</v>
      </c>
      <c r="I265" t="s">
        <v>42</v>
      </c>
      <c r="J265" s="8" t="str">
        <f t="shared" si="21"/>
        <v>Medium</v>
      </c>
      <c r="K265" s="4">
        <v>99.04</v>
      </c>
      <c r="L265" s="4">
        <v>99.04</v>
      </c>
      <c r="M265" s="4">
        <v>5.7000000000000002E-2</v>
      </c>
      <c r="N265" s="4">
        <v>6</v>
      </c>
      <c r="O265" s="4">
        <f t="shared" si="22"/>
        <v>5632.3692599999995</v>
      </c>
    </row>
    <row r="266" spans="1:15" x14ac:dyDescent="0.3">
      <c r="A266" s="13">
        <v>45626</v>
      </c>
      <c r="B266" s="4" t="str">
        <f>TEXT(Data!B266,"MMM-YYYY")</f>
        <v>Sept-2025</v>
      </c>
      <c r="C266" s="4" t="str">
        <f t="shared" si="23"/>
        <v>Nov-2024</v>
      </c>
      <c r="D266" s="14">
        <f t="shared" si="24"/>
        <v>45626</v>
      </c>
      <c r="E266" s="4" t="str">
        <f t="shared" si="20"/>
        <v>Q4-2024</v>
      </c>
      <c r="F266" t="s">
        <v>16</v>
      </c>
      <c r="G266" t="s">
        <v>25</v>
      </c>
      <c r="H266" t="s">
        <v>26</v>
      </c>
      <c r="I266" t="s">
        <v>57</v>
      </c>
      <c r="J266" s="8" t="str">
        <f t="shared" si="21"/>
        <v>High</v>
      </c>
      <c r="K266" s="4">
        <v>1996.81</v>
      </c>
      <c r="L266" s="4">
        <v>1996.81</v>
      </c>
      <c r="M266" s="4">
        <v>0.126</v>
      </c>
      <c r="N266" s="4">
        <v>23</v>
      </c>
      <c r="O266" s="4">
        <f t="shared" si="22"/>
        <v>24932.711619999998</v>
      </c>
    </row>
    <row r="267" spans="1:15" x14ac:dyDescent="0.3">
      <c r="A267" s="13">
        <v>45627</v>
      </c>
      <c r="B267" s="4" t="str">
        <f>TEXT(Data!B267,"MMM-YYYY")</f>
        <v>Oct-2024</v>
      </c>
      <c r="C267" s="4" t="str">
        <f t="shared" si="23"/>
        <v>Dec-2024</v>
      </c>
      <c r="D267" s="14">
        <f t="shared" si="24"/>
        <v>45627</v>
      </c>
      <c r="E267" s="4" t="str">
        <f t="shared" si="20"/>
        <v>Q4-2024</v>
      </c>
      <c r="F267" t="s">
        <v>52</v>
      </c>
      <c r="G267" t="s">
        <v>53</v>
      </c>
      <c r="H267" t="s">
        <v>54</v>
      </c>
      <c r="I267" t="s">
        <v>30</v>
      </c>
      <c r="J267" s="8" t="str">
        <f t="shared" si="21"/>
        <v>High</v>
      </c>
      <c r="K267" s="4">
        <v>921.68</v>
      </c>
      <c r="L267" s="4">
        <v>921.68</v>
      </c>
      <c r="M267" s="4">
        <v>0.19600000000000001</v>
      </c>
      <c r="N267" s="4">
        <v>17</v>
      </c>
      <c r="O267" s="4">
        <f t="shared" si="22"/>
        <v>1617.8811600000001</v>
      </c>
    </row>
    <row r="268" spans="1:15" x14ac:dyDescent="0.3">
      <c r="A268" s="13">
        <v>45628</v>
      </c>
      <c r="B268" s="4" t="str">
        <f>TEXT(Data!B268,"MMM-YYYY")</f>
        <v>May-2023</v>
      </c>
      <c r="C268" s="4" t="str">
        <f t="shared" si="23"/>
        <v>Dec-2024</v>
      </c>
      <c r="D268" s="14">
        <f t="shared" si="24"/>
        <v>45628</v>
      </c>
      <c r="E268" s="4" t="str">
        <f t="shared" si="20"/>
        <v>Q4-2024</v>
      </c>
      <c r="F268" t="s">
        <v>78</v>
      </c>
      <c r="G268" t="s">
        <v>108</v>
      </c>
      <c r="H268" t="s">
        <v>152</v>
      </c>
      <c r="I268" t="s">
        <v>64</v>
      </c>
      <c r="J268" s="8" t="str">
        <f t="shared" si="21"/>
        <v>High</v>
      </c>
      <c r="K268" s="4">
        <v>2503.79</v>
      </c>
      <c r="L268" s="4">
        <v>2503.79</v>
      </c>
      <c r="M268" s="4">
        <v>0.184</v>
      </c>
      <c r="N268" s="4">
        <v>19</v>
      </c>
      <c r="O268" s="4">
        <f t="shared" si="22"/>
        <v>32644.137120000007</v>
      </c>
    </row>
    <row r="269" spans="1:15" x14ac:dyDescent="0.3">
      <c r="A269" s="13">
        <v>45629</v>
      </c>
      <c r="B269" s="4" t="str">
        <f>TEXT(Data!B269,"MMM-YYYY")</f>
        <v>Dec-2023</v>
      </c>
      <c r="C269" s="4" t="str">
        <f t="shared" si="23"/>
        <v>Dec-2024</v>
      </c>
      <c r="D269" s="14">
        <f t="shared" si="24"/>
        <v>45629</v>
      </c>
      <c r="E269" s="4" t="str">
        <f t="shared" si="20"/>
        <v>Q4-2024</v>
      </c>
      <c r="F269" t="s">
        <v>16</v>
      </c>
      <c r="G269" t="s">
        <v>25</v>
      </c>
      <c r="H269" t="s">
        <v>26</v>
      </c>
      <c r="I269" t="s">
        <v>22</v>
      </c>
      <c r="J269" s="8" t="str">
        <f t="shared" si="21"/>
        <v>High</v>
      </c>
      <c r="K269" s="4">
        <v>2462.77</v>
      </c>
      <c r="L269" s="4">
        <v>2462.77</v>
      </c>
      <c r="M269" s="4">
        <v>0.107</v>
      </c>
      <c r="N269" s="4">
        <v>8</v>
      </c>
      <c r="O269" s="4">
        <f t="shared" si="22"/>
        <v>3736.3119999999999</v>
      </c>
    </row>
    <row r="270" spans="1:15" x14ac:dyDescent="0.3">
      <c r="A270" s="13">
        <v>45630</v>
      </c>
      <c r="B270" s="4" t="str">
        <f>TEXT(Data!B270,"MMM-YYYY")</f>
        <v>Jan-2024</v>
      </c>
      <c r="C270" s="4" t="str">
        <f t="shared" si="23"/>
        <v>Dec-2024</v>
      </c>
      <c r="D270" s="14">
        <f t="shared" si="24"/>
        <v>45630</v>
      </c>
      <c r="E270" s="4" t="str">
        <f t="shared" si="20"/>
        <v>Q4-2024</v>
      </c>
      <c r="F270" t="s">
        <v>52</v>
      </c>
      <c r="G270" t="s">
        <v>73</v>
      </c>
      <c r="H270" t="s">
        <v>74</v>
      </c>
      <c r="I270" t="s">
        <v>42</v>
      </c>
      <c r="J270" s="8" t="str">
        <f t="shared" si="21"/>
        <v>High</v>
      </c>
      <c r="K270" s="4">
        <v>496.2</v>
      </c>
      <c r="L270" s="4">
        <v>496.2</v>
      </c>
      <c r="M270" s="4">
        <v>0</v>
      </c>
      <c r="N270" s="4">
        <v>14</v>
      </c>
      <c r="O270" s="4">
        <f t="shared" si="22"/>
        <v>15054.199999999999</v>
      </c>
    </row>
    <row r="271" spans="1:15" x14ac:dyDescent="0.3">
      <c r="A271" s="13">
        <v>45631</v>
      </c>
      <c r="B271" s="4" t="str">
        <f>TEXT(Data!B271,"MMM-YYYY")</f>
        <v>Aug-2023</v>
      </c>
      <c r="C271" s="4" t="str">
        <f t="shared" si="23"/>
        <v>Dec-2024</v>
      </c>
      <c r="D271" s="14">
        <f t="shared" si="24"/>
        <v>45631</v>
      </c>
      <c r="E271" s="4" t="str">
        <f t="shared" si="20"/>
        <v>Q4-2024</v>
      </c>
      <c r="F271" t="s">
        <v>78</v>
      </c>
      <c r="G271" t="s">
        <v>90</v>
      </c>
      <c r="H271" t="s">
        <v>91</v>
      </c>
      <c r="I271" t="s">
        <v>30</v>
      </c>
      <c r="J271" s="8" t="str">
        <f t="shared" si="21"/>
        <v>High</v>
      </c>
      <c r="K271" s="4">
        <v>907.59</v>
      </c>
      <c r="L271" s="4">
        <v>907.59</v>
      </c>
      <c r="M271" s="4">
        <v>0.154</v>
      </c>
      <c r="N271" s="4">
        <v>10</v>
      </c>
      <c r="O271" s="4">
        <f t="shared" si="22"/>
        <v>27872.062200000004</v>
      </c>
    </row>
    <row r="272" spans="1:15" x14ac:dyDescent="0.3">
      <c r="A272" s="13">
        <v>45632</v>
      </c>
      <c r="B272" s="4" t="str">
        <f>TEXT(Data!B272,"MMM-YYYY")</f>
        <v>Feb-2025</v>
      </c>
      <c r="C272" s="4" t="str">
        <f t="shared" si="23"/>
        <v>Dec-2024</v>
      </c>
      <c r="D272" s="14">
        <f t="shared" si="24"/>
        <v>45632</v>
      </c>
      <c r="E272" s="4" t="str">
        <f t="shared" si="20"/>
        <v>Q4-2024</v>
      </c>
      <c r="F272" t="s">
        <v>52</v>
      </c>
      <c r="G272" t="s">
        <v>73</v>
      </c>
      <c r="H272" t="s">
        <v>87</v>
      </c>
      <c r="I272" t="s">
        <v>81</v>
      </c>
      <c r="J272" s="8" t="str">
        <f t="shared" si="21"/>
        <v>High</v>
      </c>
      <c r="K272" s="4">
        <v>334.19</v>
      </c>
      <c r="L272" s="4">
        <v>334.19</v>
      </c>
      <c r="M272" s="4">
        <v>0.13400000000000001</v>
      </c>
      <c r="N272" s="4">
        <v>25</v>
      </c>
      <c r="O272" s="4">
        <f t="shared" si="22"/>
        <v>10046.682500000001</v>
      </c>
    </row>
    <row r="273" spans="1:15" x14ac:dyDescent="0.3">
      <c r="A273" s="13">
        <v>45633</v>
      </c>
      <c r="B273" s="4" t="str">
        <f>TEXT(Data!B273,"MMM-YYYY")</f>
        <v>Mar-2024</v>
      </c>
      <c r="C273" s="4" t="str">
        <f t="shared" si="23"/>
        <v>Dec-2024</v>
      </c>
      <c r="D273" s="14">
        <f t="shared" si="24"/>
        <v>45633</v>
      </c>
      <c r="E273" s="4" t="str">
        <f t="shared" si="20"/>
        <v>Q4-2024</v>
      </c>
      <c r="F273" t="s">
        <v>45</v>
      </c>
      <c r="G273" t="s">
        <v>60</v>
      </c>
      <c r="H273" t="s">
        <v>141</v>
      </c>
      <c r="I273" t="s">
        <v>64</v>
      </c>
      <c r="J273" s="8" t="str">
        <f t="shared" si="21"/>
        <v>High</v>
      </c>
      <c r="K273" s="4">
        <v>538.79</v>
      </c>
      <c r="L273" s="4">
        <v>538.79</v>
      </c>
      <c r="M273" s="4">
        <v>0.17399999999999999</v>
      </c>
      <c r="N273" s="4">
        <v>16</v>
      </c>
      <c r="O273" s="4">
        <f t="shared" si="22"/>
        <v>6753.7724800000005</v>
      </c>
    </row>
    <row r="274" spans="1:15" x14ac:dyDescent="0.3">
      <c r="A274" s="13">
        <v>45634</v>
      </c>
      <c r="B274" s="4" t="str">
        <f>TEXT(Data!B274,"MMM-YYYY")</f>
        <v>Jul-2023</v>
      </c>
      <c r="C274" s="4" t="str">
        <f t="shared" si="23"/>
        <v>Dec-2024</v>
      </c>
      <c r="D274" s="14">
        <f t="shared" si="24"/>
        <v>45634</v>
      </c>
      <c r="E274" s="4" t="str">
        <f t="shared" si="20"/>
        <v>Q4-2024</v>
      </c>
      <c r="F274" t="s">
        <v>78</v>
      </c>
      <c r="G274" t="s">
        <v>79</v>
      </c>
      <c r="H274" t="s">
        <v>335</v>
      </c>
      <c r="I274" t="s">
        <v>64</v>
      </c>
      <c r="J274" s="8" t="str">
        <f t="shared" si="21"/>
        <v>High</v>
      </c>
      <c r="K274" s="4">
        <v>1436.54</v>
      </c>
      <c r="L274" s="4">
        <v>1436.54</v>
      </c>
      <c r="M274" s="4">
        <v>0.13900000000000001</v>
      </c>
      <c r="N274" s="4">
        <v>28</v>
      </c>
      <c r="O274" s="4">
        <f t="shared" si="22"/>
        <v>101.73576</v>
      </c>
    </row>
    <row r="275" spans="1:15" x14ac:dyDescent="0.3">
      <c r="A275" s="13">
        <v>45635</v>
      </c>
      <c r="B275" s="4" t="str">
        <f>TEXT(Data!B275,"MMM-YYYY")</f>
        <v>Mar-2024</v>
      </c>
      <c r="C275" s="4" t="str">
        <f t="shared" si="23"/>
        <v>Dec-2024</v>
      </c>
      <c r="D275" s="14">
        <f t="shared" si="24"/>
        <v>45635</v>
      </c>
      <c r="E275" s="4" t="str">
        <f t="shared" si="20"/>
        <v>Q4-2024</v>
      </c>
      <c r="F275" t="s">
        <v>52</v>
      </c>
      <c r="G275" t="s">
        <v>53</v>
      </c>
      <c r="H275" t="s">
        <v>144</v>
      </c>
      <c r="I275" t="s">
        <v>64</v>
      </c>
      <c r="J275" s="8" t="str">
        <f t="shared" si="21"/>
        <v>High</v>
      </c>
      <c r="K275" s="4">
        <v>1766.55</v>
      </c>
      <c r="L275" s="4">
        <v>1766.55</v>
      </c>
      <c r="M275" s="4">
        <v>0.16400000000000001</v>
      </c>
      <c r="N275" s="4">
        <v>20</v>
      </c>
      <c r="O275" s="4">
        <f t="shared" si="22"/>
        <v>9651.4527999999991</v>
      </c>
    </row>
    <row r="276" spans="1:15" x14ac:dyDescent="0.3">
      <c r="A276" s="13">
        <v>45636</v>
      </c>
      <c r="B276" s="4" t="str">
        <f>TEXT(Data!B276,"MMM-YYYY")</f>
        <v>Jan-2024</v>
      </c>
      <c r="C276" s="4" t="str">
        <f t="shared" si="23"/>
        <v>Dec-2024</v>
      </c>
      <c r="D276" s="14">
        <f t="shared" si="24"/>
        <v>45636</v>
      </c>
      <c r="E276" s="4" t="str">
        <f t="shared" si="20"/>
        <v>Q4-2024</v>
      </c>
      <c r="F276" t="s">
        <v>78</v>
      </c>
      <c r="G276" t="s">
        <v>90</v>
      </c>
      <c r="H276" t="s">
        <v>217</v>
      </c>
      <c r="I276" t="s">
        <v>30</v>
      </c>
      <c r="J276" s="8" t="str">
        <f t="shared" si="21"/>
        <v>High</v>
      </c>
      <c r="K276" s="4">
        <v>628.54</v>
      </c>
      <c r="L276" s="4">
        <v>628.54</v>
      </c>
      <c r="M276" s="4">
        <v>0.13500000000000001</v>
      </c>
      <c r="N276" s="4">
        <v>21</v>
      </c>
      <c r="O276" s="4">
        <f t="shared" si="22"/>
        <v>25903.83495</v>
      </c>
    </row>
    <row r="277" spans="1:15" x14ac:dyDescent="0.3">
      <c r="A277" s="13">
        <v>45637</v>
      </c>
      <c r="B277" s="4" t="str">
        <f>TEXT(Data!B277,"MMM-YYYY")</f>
        <v>Mar-2024</v>
      </c>
      <c r="C277" s="4" t="str">
        <f t="shared" si="23"/>
        <v>Dec-2024</v>
      </c>
      <c r="D277" s="14">
        <f t="shared" si="24"/>
        <v>45637</v>
      </c>
      <c r="E277" s="4" t="str">
        <f t="shared" si="20"/>
        <v>Q4-2024</v>
      </c>
      <c r="F277" t="s">
        <v>52</v>
      </c>
      <c r="G277" t="s">
        <v>73</v>
      </c>
      <c r="H277" t="s">
        <v>74</v>
      </c>
      <c r="I277" t="s">
        <v>57</v>
      </c>
      <c r="J277" s="8" t="str">
        <f t="shared" si="21"/>
        <v>High</v>
      </c>
      <c r="K277" s="4">
        <v>1650.75</v>
      </c>
      <c r="L277" s="4">
        <v>1650.75</v>
      </c>
      <c r="M277" s="4">
        <v>0.13500000000000001</v>
      </c>
      <c r="N277" s="4">
        <v>6</v>
      </c>
      <c r="O277" s="4">
        <f t="shared" si="22"/>
        <v>7059.0227999999997</v>
      </c>
    </row>
    <row r="278" spans="1:15" x14ac:dyDescent="0.3">
      <c r="A278" s="13">
        <v>45638</v>
      </c>
      <c r="B278" s="4" t="str">
        <f>TEXT(Data!B278,"MMM-YYYY")</f>
        <v>Jun-2025</v>
      </c>
      <c r="C278" s="4" t="str">
        <f t="shared" si="23"/>
        <v>Dec-2024</v>
      </c>
      <c r="D278" s="14">
        <f t="shared" si="24"/>
        <v>45638</v>
      </c>
      <c r="E278" s="4" t="str">
        <f t="shared" si="20"/>
        <v>Q4-2024</v>
      </c>
      <c r="F278" t="s">
        <v>52</v>
      </c>
      <c r="G278" t="s">
        <v>122</v>
      </c>
      <c r="H278" t="s">
        <v>167</v>
      </c>
      <c r="I278" t="s">
        <v>35</v>
      </c>
      <c r="J278" s="8" t="str">
        <f t="shared" si="21"/>
        <v>High</v>
      </c>
      <c r="K278" s="4">
        <v>2247.14</v>
      </c>
      <c r="L278" s="4">
        <v>2247.14</v>
      </c>
      <c r="M278" s="4">
        <v>0.115</v>
      </c>
      <c r="N278" s="4">
        <v>40</v>
      </c>
      <c r="O278" s="4">
        <f t="shared" si="22"/>
        <v>73316.94</v>
      </c>
    </row>
    <row r="279" spans="1:15" x14ac:dyDescent="0.3">
      <c r="A279" s="13">
        <v>45639</v>
      </c>
      <c r="B279" s="4" t="str">
        <f>TEXT(Data!B279,"MMM-YYYY")</f>
        <v>Jun-2024</v>
      </c>
      <c r="C279" s="4" t="str">
        <f t="shared" si="23"/>
        <v>Dec-2024</v>
      </c>
      <c r="D279" s="14">
        <f t="shared" si="24"/>
        <v>45639</v>
      </c>
      <c r="E279" s="4" t="str">
        <f t="shared" si="20"/>
        <v>Q4-2024</v>
      </c>
      <c r="F279" t="s">
        <v>78</v>
      </c>
      <c r="G279" t="s">
        <v>79</v>
      </c>
      <c r="H279" t="s">
        <v>80</v>
      </c>
      <c r="I279" t="s">
        <v>81</v>
      </c>
      <c r="J279" s="8" t="str">
        <f t="shared" si="21"/>
        <v>High</v>
      </c>
      <c r="K279" s="4">
        <v>893.19</v>
      </c>
      <c r="L279" s="4">
        <v>893.19</v>
      </c>
      <c r="M279" s="4">
        <v>0.151</v>
      </c>
      <c r="N279" s="4">
        <v>8</v>
      </c>
      <c r="O279" s="4">
        <f t="shared" si="22"/>
        <v>6655.0732799999996</v>
      </c>
    </row>
    <row r="280" spans="1:15" x14ac:dyDescent="0.3">
      <c r="A280" s="13">
        <v>45640</v>
      </c>
      <c r="B280" s="4" t="str">
        <f>TEXT(Data!B280,"MMM-YYYY")</f>
        <v>Oct-2023</v>
      </c>
      <c r="C280" s="4" t="str">
        <f t="shared" si="23"/>
        <v>Dec-2024</v>
      </c>
      <c r="D280" s="14">
        <f t="shared" si="24"/>
        <v>45640</v>
      </c>
      <c r="E280" s="4" t="str">
        <f t="shared" si="20"/>
        <v>Q4-2024</v>
      </c>
      <c r="F280" t="s">
        <v>16</v>
      </c>
      <c r="G280" t="s">
        <v>148</v>
      </c>
      <c r="H280" t="s">
        <v>149</v>
      </c>
      <c r="I280" t="s">
        <v>42</v>
      </c>
      <c r="J280" s="8" t="str">
        <f t="shared" si="21"/>
        <v>High</v>
      </c>
      <c r="K280" s="4">
        <v>2328.9</v>
      </c>
      <c r="L280" s="4">
        <v>2328.9</v>
      </c>
      <c r="M280" s="4">
        <v>0.12</v>
      </c>
      <c r="N280" s="4">
        <v>17</v>
      </c>
      <c r="O280" s="4">
        <f t="shared" si="22"/>
        <v>8039.3543999999993</v>
      </c>
    </row>
    <row r="281" spans="1:15" x14ac:dyDescent="0.3">
      <c r="A281" s="13">
        <v>45641</v>
      </c>
      <c r="B281" s="4" t="str">
        <f>TEXT(Data!B281,"MMM-YYYY")</f>
        <v>Jun-2023</v>
      </c>
      <c r="C281" s="4" t="str">
        <f t="shared" si="23"/>
        <v>Dec-2024</v>
      </c>
      <c r="D281" s="14">
        <f t="shared" si="24"/>
        <v>45641</v>
      </c>
      <c r="E281" s="4" t="str">
        <f t="shared" si="20"/>
        <v>Q4-2024</v>
      </c>
      <c r="F281" t="s">
        <v>45</v>
      </c>
      <c r="G281" t="s">
        <v>60</v>
      </c>
      <c r="H281" t="s">
        <v>61</v>
      </c>
      <c r="I281" t="s">
        <v>57</v>
      </c>
      <c r="J281" s="8" t="str">
        <f t="shared" si="21"/>
        <v>High</v>
      </c>
      <c r="K281" s="4">
        <v>2066.75</v>
      </c>
      <c r="L281" s="4">
        <v>2066.75</v>
      </c>
      <c r="M281" s="4">
        <v>0.13800000000000001</v>
      </c>
      <c r="N281" s="4">
        <v>5</v>
      </c>
      <c r="O281" s="4">
        <f t="shared" si="22"/>
        <v>919.40919999999994</v>
      </c>
    </row>
    <row r="282" spans="1:15" x14ac:dyDescent="0.3">
      <c r="A282" s="13">
        <v>45642</v>
      </c>
      <c r="B282" s="4" t="str">
        <f>TEXT(Data!B282,"MMM-YYYY")</f>
        <v>Mar-2025</v>
      </c>
      <c r="C282" s="4" t="str">
        <f t="shared" si="23"/>
        <v>Dec-2024</v>
      </c>
      <c r="D282" s="14">
        <f t="shared" si="24"/>
        <v>45642</v>
      </c>
      <c r="E282" s="4" t="str">
        <f t="shared" si="20"/>
        <v>Q4-2024</v>
      </c>
      <c r="F282" t="s">
        <v>52</v>
      </c>
      <c r="G282" t="s">
        <v>122</v>
      </c>
      <c r="H282" t="s">
        <v>167</v>
      </c>
      <c r="I282" t="s">
        <v>64</v>
      </c>
      <c r="J282" s="8" t="str">
        <f t="shared" si="21"/>
        <v>High</v>
      </c>
      <c r="K282" s="4">
        <v>2182.31</v>
      </c>
      <c r="L282" s="4">
        <v>2182.31</v>
      </c>
      <c r="M282" s="4">
        <v>0.112</v>
      </c>
      <c r="N282" s="4">
        <v>9</v>
      </c>
      <c r="O282" s="4">
        <f t="shared" si="22"/>
        <v>15941.402639999998</v>
      </c>
    </row>
    <row r="283" spans="1:15" x14ac:dyDescent="0.3">
      <c r="A283" s="13">
        <v>45643</v>
      </c>
      <c r="B283" s="4" t="str">
        <f>TEXT(Data!B283,"MMM-YYYY")</f>
        <v>Aug-2023</v>
      </c>
      <c r="C283" s="4" t="str">
        <f t="shared" si="23"/>
        <v>Dec-2024</v>
      </c>
      <c r="D283" s="14">
        <f t="shared" si="24"/>
        <v>45643</v>
      </c>
      <c r="E283" s="4" t="str">
        <f t="shared" si="20"/>
        <v>Q4-2024</v>
      </c>
      <c r="F283" t="s">
        <v>45</v>
      </c>
      <c r="G283" t="s">
        <v>46</v>
      </c>
      <c r="H283" t="s">
        <v>214</v>
      </c>
      <c r="I283" t="s">
        <v>35</v>
      </c>
      <c r="J283" s="8" t="str">
        <f t="shared" si="21"/>
        <v>High</v>
      </c>
      <c r="K283" s="4">
        <v>2726.62</v>
      </c>
      <c r="L283" s="4">
        <v>2726.62</v>
      </c>
      <c r="M283" s="4">
        <v>0.317</v>
      </c>
      <c r="N283" s="4">
        <v>7</v>
      </c>
      <c r="O283" s="4">
        <f t="shared" si="22"/>
        <v>2643.1280400000001</v>
      </c>
    </row>
    <row r="284" spans="1:15" x14ac:dyDescent="0.3">
      <c r="A284" s="13">
        <v>45644</v>
      </c>
      <c r="B284" s="4" t="str">
        <f>TEXT(Data!B284,"MMM-YYYY")</f>
        <v>May-2025</v>
      </c>
      <c r="C284" s="4" t="str">
        <f t="shared" si="23"/>
        <v>Dec-2024</v>
      </c>
      <c r="D284" s="14">
        <f t="shared" si="24"/>
        <v>45644</v>
      </c>
      <c r="E284" s="4" t="str">
        <f t="shared" si="20"/>
        <v>Q4-2024</v>
      </c>
      <c r="F284" t="s">
        <v>16</v>
      </c>
      <c r="G284" t="s">
        <v>17</v>
      </c>
      <c r="H284" t="s">
        <v>33</v>
      </c>
      <c r="I284" t="s">
        <v>42</v>
      </c>
      <c r="J284" s="8" t="str">
        <f t="shared" si="21"/>
        <v>Medium</v>
      </c>
      <c r="K284" s="4">
        <v>111.29</v>
      </c>
      <c r="L284" s="4">
        <v>111.29</v>
      </c>
      <c r="M284" s="4">
        <v>0</v>
      </c>
      <c r="N284" s="4">
        <v>6</v>
      </c>
      <c r="O284" s="4">
        <f t="shared" si="22"/>
        <v>1349.6999999999998</v>
      </c>
    </row>
    <row r="285" spans="1:15" x14ac:dyDescent="0.3">
      <c r="A285" s="13">
        <v>45645</v>
      </c>
      <c r="B285" s="4" t="str">
        <f>TEXT(Data!B285,"MMM-YYYY")</f>
        <v>Jan-2024</v>
      </c>
      <c r="C285" s="4" t="str">
        <f t="shared" si="23"/>
        <v>Dec-2024</v>
      </c>
      <c r="D285" s="14">
        <f t="shared" si="24"/>
        <v>45645</v>
      </c>
      <c r="E285" s="4" t="str">
        <f t="shared" si="20"/>
        <v>Q4-2024</v>
      </c>
      <c r="F285" t="s">
        <v>45</v>
      </c>
      <c r="G285" t="s">
        <v>60</v>
      </c>
      <c r="H285" t="s">
        <v>61</v>
      </c>
      <c r="I285" t="s">
        <v>57</v>
      </c>
      <c r="J285" s="8" t="str">
        <f t="shared" si="21"/>
        <v>High</v>
      </c>
      <c r="K285" s="4">
        <v>1100.0899999999999</v>
      </c>
      <c r="L285" s="4">
        <v>1100.0899999999999</v>
      </c>
      <c r="M285" s="4">
        <v>0.114</v>
      </c>
      <c r="N285" s="4">
        <v>12</v>
      </c>
      <c r="O285" s="4">
        <f t="shared" si="22"/>
        <v>8208.8608800000002</v>
      </c>
    </row>
    <row r="286" spans="1:15" x14ac:dyDescent="0.3">
      <c r="A286" s="13">
        <v>45646</v>
      </c>
      <c r="B286" s="4" t="str">
        <f>TEXT(Data!B286,"MMM-YYYY")</f>
        <v>Jun-2023</v>
      </c>
      <c r="C286" s="4" t="str">
        <f t="shared" si="23"/>
        <v>Dec-2024</v>
      </c>
      <c r="D286" s="14">
        <f t="shared" si="24"/>
        <v>45646</v>
      </c>
      <c r="E286" s="4" t="str">
        <f t="shared" si="20"/>
        <v>Q4-2024</v>
      </c>
      <c r="F286" t="s">
        <v>78</v>
      </c>
      <c r="G286" t="s">
        <v>79</v>
      </c>
      <c r="H286" t="s">
        <v>335</v>
      </c>
      <c r="I286" t="s">
        <v>57</v>
      </c>
      <c r="J286" s="8" t="str">
        <f t="shared" si="21"/>
        <v>High</v>
      </c>
      <c r="K286" s="4">
        <v>1529.14</v>
      </c>
      <c r="L286" s="4">
        <v>1529.14</v>
      </c>
      <c r="M286" s="4">
        <v>0.155</v>
      </c>
      <c r="N286" s="4">
        <v>12</v>
      </c>
      <c r="O286" s="4">
        <f t="shared" si="22"/>
        <v>31932.989400000002</v>
      </c>
    </row>
    <row r="287" spans="1:15" x14ac:dyDescent="0.3">
      <c r="A287" s="13">
        <v>45647</v>
      </c>
      <c r="B287" s="4" t="str">
        <f>TEXT(Data!B287,"MMM-YYYY")</f>
        <v>Apr-2025</v>
      </c>
      <c r="C287" s="4" t="str">
        <f t="shared" si="23"/>
        <v>Dec-2024</v>
      </c>
      <c r="D287" s="14">
        <f t="shared" si="24"/>
        <v>45647</v>
      </c>
      <c r="E287" s="4" t="str">
        <f t="shared" si="20"/>
        <v>Q4-2024</v>
      </c>
      <c r="F287" t="s">
        <v>45</v>
      </c>
      <c r="G287" t="s">
        <v>46</v>
      </c>
      <c r="H287" t="s">
        <v>231</v>
      </c>
      <c r="I287" t="s">
        <v>42</v>
      </c>
      <c r="J287" s="8" t="str">
        <f t="shared" si="21"/>
        <v>High</v>
      </c>
      <c r="K287" s="4">
        <v>728.69</v>
      </c>
      <c r="L287" s="4">
        <v>728.69</v>
      </c>
      <c r="M287" s="4">
        <v>0.22</v>
      </c>
      <c r="N287" s="4">
        <v>7</v>
      </c>
      <c r="O287" s="4">
        <f t="shared" si="22"/>
        <v>314.11380000000003</v>
      </c>
    </row>
    <row r="288" spans="1:15" x14ac:dyDescent="0.3">
      <c r="A288" s="13">
        <v>45648</v>
      </c>
      <c r="B288" s="4" t="str">
        <f>TEXT(Data!B288,"MMM-YYYY")</f>
        <v>Sept-2024</v>
      </c>
      <c r="C288" s="4" t="str">
        <f t="shared" si="23"/>
        <v>Dec-2024</v>
      </c>
      <c r="D288" s="14">
        <f t="shared" si="24"/>
        <v>45648</v>
      </c>
      <c r="E288" s="4" t="str">
        <f t="shared" si="20"/>
        <v>Q4-2024</v>
      </c>
      <c r="F288" t="s">
        <v>78</v>
      </c>
      <c r="G288" t="s">
        <v>79</v>
      </c>
      <c r="H288" t="s">
        <v>159</v>
      </c>
      <c r="I288" t="s">
        <v>42</v>
      </c>
      <c r="J288" s="8" t="str">
        <f t="shared" si="21"/>
        <v>Low</v>
      </c>
      <c r="K288" s="4">
        <v>6.28</v>
      </c>
      <c r="L288" s="4">
        <v>6.28</v>
      </c>
      <c r="M288" s="4">
        <v>0.13400000000000001</v>
      </c>
      <c r="N288" s="4">
        <v>14</v>
      </c>
      <c r="O288" s="4">
        <f t="shared" si="22"/>
        <v>9999.9964400000008</v>
      </c>
    </row>
    <row r="289" spans="1:15" x14ac:dyDescent="0.3">
      <c r="A289" s="13">
        <v>45649</v>
      </c>
      <c r="B289" s="4" t="str">
        <f>TEXT(Data!B289,"MMM-YYYY")</f>
        <v>Jan-2024</v>
      </c>
      <c r="C289" s="4" t="str">
        <f t="shared" si="23"/>
        <v>Dec-2024</v>
      </c>
      <c r="D289" s="14">
        <f t="shared" si="24"/>
        <v>45649</v>
      </c>
      <c r="E289" s="4" t="str">
        <f t="shared" si="20"/>
        <v>Q4-2024</v>
      </c>
      <c r="F289" t="s">
        <v>45</v>
      </c>
      <c r="G289" t="s">
        <v>60</v>
      </c>
      <c r="H289" t="s">
        <v>220</v>
      </c>
      <c r="I289" t="s">
        <v>35</v>
      </c>
      <c r="J289" s="8" t="str">
        <f t="shared" si="21"/>
        <v>High</v>
      </c>
      <c r="K289" s="4">
        <v>2569.77</v>
      </c>
      <c r="L289" s="4">
        <v>2569.77</v>
      </c>
      <c r="M289" s="4">
        <v>0.13400000000000001</v>
      </c>
      <c r="N289" s="4">
        <v>9</v>
      </c>
      <c r="O289" s="4">
        <f t="shared" si="22"/>
        <v>11640.572819999999</v>
      </c>
    </row>
    <row r="290" spans="1:15" x14ac:dyDescent="0.3">
      <c r="A290" s="13">
        <v>45650</v>
      </c>
      <c r="B290" s="4" t="str">
        <f>TEXT(Data!B290,"MMM-YYYY")</f>
        <v>Jul-2023</v>
      </c>
      <c r="C290" s="4" t="str">
        <f t="shared" si="23"/>
        <v>Dec-2024</v>
      </c>
      <c r="D290" s="14">
        <f t="shared" si="24"/>
        <v>45650</v>
      </c>
      <c r="E290" s="4" t="str">
        <f t="shared" si="20"/>
        <v>Q4-2024</v>
      </c>
      <c r="F290" t="s">
        <v>16</v>
      </c>
      <c r="G290" t="s">
        <v>148</v>
      </c>
      <c r="H290" t="s">
        <v>258</v>
      </c>
      <c r="I290" t="s">
        <v>81</v>
      </c>
      <c r="J290" s="8" t="str">
        <f t="shared" si="21"/>
        <v>High</v>
      </c>
      <c r="K290" s="4">
        <v>1592.02</v>
      </c>
      <c r="L290" s="4">
        <v>1592.02</v>
      </c>
      <c r="M290" s="4">
        <v>6.6000000000000003E-2</v>
      </c>
      <c r="N290" s="4">
        <v>18</v>
      </c>
      <c r="O290" s="4">
        <f t="shared" si="22"/>
        <v>12473.159039999999</v>
      </c>
    </row>
    <row r="291" spans="1:15" x14ac:dyDescent="0.3">
      <c r="A291" s="13">
        <v>45651</v>
      </c>
      <c r="B291" s="4" t="str">
        <f>TEXT(Data!B291,"MMM-YYYY")</f>
        <v>Aug-2025</v>
      </c>
      <c r="C291" s="4" t="str">
        <f t="shared" si="23"/>
        <v>Dec-2024</v>
      </c>
      <c r="D291" s="14">
        <f t="shared" si="24"/>
        <v>45651</v>
      </c>
      <c r="E291" s="4" t="str">
        <f t="shared" si="20"/>
        <v>Q4-2024</v>
      </c>
      <c r="F291" t="s">
        <v>16</v>
      </c>
      <c r="G291" t="s">
        <v>148</v>
      </c>
      <c r="H291" t="s">
        <v>149</v>
      </c>
      <c r="I291" t="s">
        <v>22</v>
      </c>
      <c r="J291" s="8" t="str">
        <f t="shared" si="21"/>
        <v>High</v>
      </c>
      <c r="K291" s="4">
        <v>995.47</v>
      </c>
      <c r="L291" s="4">
        <v>995.47</v>
      </c>
      <c r="M291" s="4">
        <v>0.192</v>
      </c>
      <c r="N291" s="4">
        <v>13</v>
      </c>
      <c r="O291" s="4">
        <f t="shared" si="22"/>
        <v>7796.3839200000002</v>
      </c>
    </row>
    <row r="292" spans="1:15" x14ac:dyDescent="0.3">
      <c r="A292" s="13">
        <v>45652</v>
      </c>
      <c r="B292" s="4" t="str">
        <f>TEXT(Data!B292,"MMM-YYYY")</f>
        <v>Mar-2025</v>
      </c>
      <c r="C292" s="4" t="str">
        <f t="shared" si="23"/>
        <v>Dec-2024</v>
      </c>
      <c r="D292" s="14">
        <f t="shared" si="24"/>
        <v>45652</v>
      </c>
      <c r="E292" s="4" t="str">
        <f t="shared" si="20"/>
        <v>Q4-2024</v>
      </c>
      <c r="F292" t="s">
        <v>16</v>
      </c>
      <c r="G292" t="s">
        <v>25</v>
      </c>
      <c r="H292" t="s">
        <v>26</v>
      </c>
      <c r="I292" t="s">
        <v>81</v>
      </c>
      <c r="J292" s="8" t="str">
        <f t="shared" si="21"/>
        <v>High</v>
      </c>
      <c r="K292" s="4">
        <v>1240.31</v>
      </c>
      <c r="L292" s="4">
        <v>1240.31</v>
      </c>
      <c r="M292" s="4">
        <v>0.14599999999999999</v>
      </c>
      <c r="N292" s="4">
        <v>18</v>
      </c>
      <c r="O292" s="4">
        <f t="shared" si="22"/>
        <v>7371.4888800000008</v>
      </c>
    </row>
    <row r="293" spans="1:15" x14ac:dyDescent="0.3">
      <c r="A293" s="13">
        <v>45653</v>
      </c>
      <c r="B293" s="4" t="str">
        <f>TEXT(Data!B293,"MMM-YYYY")</f>
        <v>Oct-2023</v>
      </c>
      <c r="C293" s="4" t="str">
        <f t="shared" si="23"/>
        <v>Dec-2024</v>
      </c>
      <c r="D293" s="14">
        <f t="shared" si="24"/>
        <v>45653</v>
      </c>
      <c r="E293" s="4" t="str">
        <f t="shared" si="20"/>
        <v>Q4-2024</v>
      </c>
      <c r="F293" t="s">
        <v>52</v>
      </c>
      <c r="G293" t="s">
        <v>73</v>
      </c>
      <c r="H293" t="s">
        <v>74</v>
      </c>
      <c r="I293" t="s">
        <v>30</v>
      </c>
      <c r="J293" s="8" t="str">
        <f t="shared" si="21"/>
        <v>Medium</v>
      </c>
      <c r="K293" s="4">
        <v>118.37</v>
      </c>
      <c r="L293" s="4">
        <v>118.37</v>
      </c>
      <c r="M293" s="4">
        <v>0.156</v>
      </c>
      <c r="N293" s="4">
        <v>11</v>
      </c>
      <c r="O293" s="4">
        <f t="shared" si="22"/>
        <v>10911.020999999999</v>
      </c>
    </row>
    <row r="294" spans="1:15" x14ac:dyDescent="0.3">
      <c r="A294" s="13">
        <v>45654</v>
      </c>
      <c r="B294" s="4" t="str">
        <f>TEXT(Data!B294,"MMM-YYYY")</f>
        <v>Aug-2023</v>
      </c>
      <c r="C294" s="4" t="str">
        <f t="shared" si="23"/>
        <v>Dec-2024</v>
      </c>
      <c r="D294" s="14">
        <f t="shared" si="24"/>
        <v>45654</v>
      </c>
      <c r="E294" s="4" t="str">
        <f t="shared" si="20"/>
        <v>Q4-2024</v>
      </c>
      <c r="F294" t="s">
        <v>78</v>
      </c>
      <c r="G294" t="s">
        <v>108</v>
      </c>
      <c r="H294" t="s">
        <v>152</v>
      </c>
      <c r="I294" t="s">
        <v>81</v>
      </c>
      <c r="J294" s="8" t="str">
        <f t="shared" si="21"/>
        <v>High</v>
      </c>
      <c r="K294" s="4">
        <v>2105.5300000000002</v>
      </c>
      <c r="L294" s="4">
        <v>2105.5300000000002</v>
      </c>
      <c r="M294" s="4">
        <v>0.20699999999999999</v>
      </c>
      <c r="N294" s="4">
        <v>14</v>
      </c>
      <c r="O294" s="4">
        <f t="shared" si="22"/>
        <v>2525.1498999999999</v>
      </c>
    </row>
    <row r="295" spans="1:15" x14ac:dyDescent="0.3">
      <c r="A295" s="13">
        <v>45655</v>
      </c>
      <c r="B295" s="4" t="str">
        <f>TEXT(Data!B295,"MMM-YYYY")</f>
        <v>Apr-2025</v>
      </c>
      <c r="C295" s="4" t="str">
        <f t="shared" si="23"/>
        <v>Dec-2024</v>
      </c>
      <c r="D295" s="14">
        <f t="shared" si="24"/>
        <v>45655</v>
      </c>
      <c r="E295" s="4" t="str">
        <f t="shared" si="20"/>
        <v>Q4-2024</v>
      </c>
      <c r="F295" t="s">
        <v>78</v>
      </c>
      <c r="G295" t="s">
        <v>108</v>
      </c>
      <c r="H295" t="s">
        <v>152</v>
      </c>
      <c r="I295" t="s">
        <v>81</v>
      </c>
      <c r="J295" s="8" t="str">
        <f t="shared" si="21"/>
        <v>High</v>
      </c>
      <c r="K295" s="4">
        <v>523</v>
      </c>
      <c r="L295" s="4">
        <v>523</v>
      </c>
      <c r="M295" s="4">
        <v>5.8999999999999997E-2</v>
      </c>
      <c r="N295" s="4">
        <v>15</v>
      </c>
      <c r="O295" s="4">
        <f t="shared" si="22"/>
        <v>16636.221300000001</v>
      </c>
    </row>
    <row r="296" spans="1:15" x14ac:dyDescent="0.3">
      <c r="A296" s="13">
        <v>45656</v>
      </c>
      <c r="B296" s="4" t="str">
        <f>TEXT(Data!B296,"MMM-YYYY")</f>
        <v>Jun-2025</v>
      </c>
      <c r="C296" s="4" t="str">
        <f t="shared" si="23"/>
        <v>Dec-2024</v>
      </c>
      <c r="D296" s="14">
        <f t="shared" si="24"/>
        <v>45656</v>
      </c>
      <c r="E296" s="4" t="str">
        <f t="shared" si="20"/>
        <v>Q4-2024</v>
      </c>
      <c r="F296" t="s">
        <v>45</v>
      </c>
      <c r="G296" t="s">
        <v>46</v>
      </c>
      <c r="H296" t="s">
        <v>47</v>
      </c>
      <c r="I296" t="s">
        <v>22</v>
      </c>
      <c r="J296" s="8" t="str">
        <f t="shared" si="21"/>
        <v>High</v>
      </c>
      <c r="K296" s="4">
        <v>1075.3</v>
      </c>
      <c r="L296" s="4">
        <v>1075.3</v>
      </c>
      <c r="M296" s="4">
        <v>0.08</v>
      </c>
      <c r="N296" s="4">
        <v>9</v>
      </c>
      <c r="O296" s="4">
        <f t="shared" si="22"/>
        <v>20054.987999999998</v>
      </c>
    </row>
    <row r="297" spans="1:15" x14ac:dyDescent="0.3">
      <c r="A297" s="13">
        <v>45657</v>
      </c>
      <c r="B297" s="4" t="str">
        <f>TEXT(Data!B297,"MMM-YYYY")</f>
        <v>Mar-2024</v>
      </c>
      <c r="C297" s="4" t="str">
        <f t="shared" si="23"/>
        <v>Dec-2024</v>
      </c>
      <c r="D297" s="14">
        <f t="shared" si="24"/>
        <v>45657</v>
      </c>
      <c r="E297" s="4" t="str">
        <f t="shared" si="20"/>
        <v>Q4-2024</v>
      </c>
      <c r="F297" t="s">
        <v>78</v>
      </c>
      <c r="G297" t="s">
        <v>79</v>
      </c>
      <c r="H297" t="s">
        <v>159</v>
      </c>
      <c r="I297" t="s">
        <v>57</v>
      </c>
      <c r="J297" s="8" t="str">
        <f t="shared" si="21"/>
        <v>High</v>
      </c>
      <c r="K297" s="4">
        <v>3294.57</v>
      </c>
      <c r="L297" s="4">
        <v>3294.57</v>
      </c>
      <c r="M297" s="4">
        <v>0.113</v>
      </c>
      <c r="N297" s="4">
        <v>7</v>
      </c>
      <c r="O297" s="4">
        <f t="shared" si="22"/>
        <v>2693.96092</v>
      </c>
    </row>
    <row r="298" spans="1:15" x14ac:dyDescent="0.3">
      <c r="A298" s="13">
        <v>45658</v>
      </c>
      <c r="B298" s="4" t="str">
        <f>TEXT(Data!B298,"MMM-YYYY")</f>
        <v>Jun-2023</v>
      </c>
      <c r="C298" s="4" t="str">
        <f t="shared" si="23"/>
        <v>Jan-2025</v>
      </c>
      <c r="D298" s="14">
        <f t="shared" si="24"/>
        <v>45658</v>
      </c>
      <c r="E298" s="4" t="str">
        <f t="shared" si="20"/>
        <v>Q1-2025</v>
      </c>
      <c r="F298" t="s">
        <v>52</v>
      </c>
      <c r="G298" t="s">
        <v>53</v>
      </c>
      <c r="H298" t="s">
        <v>179</v>
      </c>
      <c r="I298" t="s">
        <v>30</v>
      </c>
      <c r="J298" s="8" t="str">
        <f t="shared" si="21"/>
        <v>High</v>
      </c>
      <c r="K298" s="4">
        <v>464.05</v>
      </c>
      <c r="L298" s="4">
        <v>464.05</v>
      </c>
      <c r="M298" s="4">
        <v>0.16900000000000001</v>
      </c>
      <c r="N298" s="4">
        <v>11</v>
      </c>
      <c r="O298" s="4">
        <f t="shared" si="22"/>
        <v>28786.197329999999</v>
      </c>
    </row>
    <row r="299" spans="1:15" x14ac:dyDescent="0.3">
      <c r="A299" s="13">
        <v>45659</v>
      </c>
      <c r="B299" s="4" t="str">
        <f>TEXT(Data!B299,"MMM-YYYY")</f>
        <v>Mar-2024</v>
      </c>
      <c r="C299" s="4" t="str">
        <f t="shared" si="23"/>
        <v>Jan-2025</v>
      </c>
      <c r="D299" s="14">
        <f t="shared" si="24"/>
        <v>45659</v>
      </c>
      <c r="E299" s="4" t="str">
        <f t="shared" si="20"/>
        <v>Q1-2025</v>
      </c>
      <c r="F299" t="s">
        <v>52</v>
      </c>
      <c r="G299" t="s">
        <v>122</v>
      </c>
      <c r="H299" t="s">
        <v>326</v>
      </c>
      <c r="I299" t="s">
        <v>64</v>
      </c>
      <c r="J299" s="8" t="str">
        <f t="shared" si="21"/>
        <v>High</v>
      </c>
      <c r="K299" s="4">
        <v>511.03</v>
      </c>
      <c r="L299" s="4">
        <v>511.03</v>
      </c>
      <c r="M299" s="4">
        <v>0.108</v>
      </c>
      <c r="N299" s="4">
        <v>7</v>
      </c>
      <c r="O299" s="4">
        <f t="shared" si="22"/>
        <v>409.91860000000008</v>
      </c>
    </row>
    <row r="300" spans="1:15" x14ac:dyDescent="0.3">
      <c r="A300" s="13">
        <v>45660</v>
      </c>
      <c r="B300" s="4" t="str">
        <f>TEXT(Data!B300,"MMM-YYYY")</f>
        <v>Jan-2025</v>
      </c>
      <c r="C300" s="4" t="str">
        <f t="shared" si="23"/>
        <v>Jan-2025</v>
      </c>
      <c r="D300" s="14">
        <f t="shared" si="24"/>
        <v>45660</v>
      </c>
      <c r="E300" s="4" t="str">
        <f t="shared" si="20"/>
        <v>Q1-2025</v>
      </c>
      <c r="F300" t="s">
        <v>52</v>
      </c>
      <c r="G300" t="s">
        <v>122</v>
      </c>
      <c r="H300" t="s">
        <v>326</v>
      </c>
      <c r="I300" t="s">
        <v>64</v>
      </c>
      <c r="J300" s="8" t="str">
        <f t="shared" si="21"/>
        <v>Low</v>
      </c>
      <c r="K300" s="4">
        <v>4.22</v>
      </c>
      <c r="L300" s="4">
        <v>4.22</v>
      </c>
      <c r="M300" s="4">
        <v>0.11899999999999999</v>
      </c>
      <c r="N300" s="4">
        <v>18</v>
      </c>
      <c r="O300" s="4">
        <f t="shared" si="22"/>
        <v>39520.356119999997</v>
      </c>
    </row>
    <row r="301" spans="1:15" x14ac:dyDescent="0.3">
      <c r="A301" s="13">
        <v>45661</v>
      </c>
      <c r="B301" s="4" t="str">
        <f>TEXT(Data!B301,"MMM-YYYY")</f>
        <v>May-2025</v>
      </c>
      <c r="C301" s="4" t="str">
        <f t="shared" si="23"/>
        <v>Jan-2025</v>
      </c>
      <c r="D301" s="14">
        <f t="shared" si="24"/>
        <v>45661</v>
      </c>
      <c r="E301" s="4" t="str">
        <f t="shared" si="20"/>
        <v>Q1-2025</v>
      </c>
      <c r="F301" t="s">
        <v>78</v>
      </c>
      <c r="G301" t="s">
        <v>90</v>
      </c>
      <c r="H301" t="s">
        <v>138</v>
      </c>
      <c r="I301" t="s">
        <v>81</v>
      </c>
      <c r="J301" s="8" t="str">
        <f t="shared" si="21"/>
        <v>High</v>
      </c>
      <c r="K301" s="4">
        <v>577.24</v>
      </c>
      <c r="L301" s="4">
        <v>577.24</v>
      </c>
      <c r="M301" s="4">
        <v>0</v>
      </c>
      <c r="N301" s="4">
        <v>22</v>
      </c>
      <c r="O301" s="4">
        <f t="shared" si="22"/>
        <v>20500.48</v>
      </c>
    </row>
    <row r="302" spans="1:15" x14ac:dyDescent="0.3">
      <c r="A302" s="13">
        <v>45662</v>
      </c>
      <c r="B302" s="4" t="str">
        <f>TEXT(Data!B302,"MMM-YYYY")</f>
        <v>Oct-2023</v>
      </c>
      <c r="C302" s="4" t="str">
        <f t="shared" si="23"/>
        <v>Jan-2025</v>
      </c>
      <c r="D302" s="14">
        <f t="shared" si="24"/>
        <v>45662</v>
      </c>
      <c r="E302" s="4" t="str">
        <f t="shared" si="20"/>
        <v>Q1-2025</v>
      </c>
      <c r="F302" t="s">
        <v>52</v>
      </c>
      <c r="G302" t="s">
        <v>53</v>
      </c>
      <c r="H302" t="s">
        <v>179</v>
      </c>
      <c r="I302" t="s">
        <v>22</v>
      </c>
      <c r="J302" s="8" t="str">
        <f t="shared" si="21"/>
        <v>High</v>
      </c>
      <c r="K302" s="4">
        <v>1426.03</v>
      </c>
      <c r="L302" s="4">
        <v>1426.03</v>
      </c>
      <c r="M302" s="4">
        <v>5.6000000000000001E-2</v>
      </c>
      <c r="N302" s="4">
        <v>19</v>
      </c>
      <c r="O302" s="4">
        <f t="shared" si="22"/>
        <v>11111.531359999999</v>
      </c>
    </row>
    <row r="303" spans="1:15" x14ac:dyDescent="0.3">
      <c r="A303" s="13">
        <v>45663</v>
      </c>
      <c r="B303" s="4" t="str">
        <f>TEXT(Data!B303,"MMM-YYYY")</f>
        <v>Jul-2023</v>
      </c>
      <c r="C303" s="4" t="str">
        <f t="shared" si="23"/>
        <v>Jan-2025</v>
      </c>
      <c r="D303" s="14">
        <f t="shared" si="24"/>
        <v>45663</v>
      </c>
      <c r="E303" s="4" t="str">
        <f t="shared" si="20"/>
        <v>Q1-2025</v>
      </c>
      <c r="F303" t="s">
        <v>45</v>
      </c>
      <c r="G303" t="s">
        <v>116</v>
      </c>
      <c r="H303" t="s">
        <v>162</v>
      </c>
      <c r="I303" t="s">
        <v>30</v>
      </c>
      <c r="J303" s="8" t="str">
        <f t="shared" si="21"/>
        <v>High</v>
      </c>
      <c r="K303" s="4">
        <v>1360.12</v>
      </c>
      <c r="L303" s="4">
        <v>1360.12</v>
      </c>
      <c r="M303" s="4">
        <v>0.19400000000000001</v>
      </c>
      <c r="N303" s="4">
        <v>9</v>
      </c>
      <c r="O303" s="4">
        <f t="shared" si="22"/>
        <v>10311.923699999999</v>
      </c>
    </row>
    <row r="304" spans="1:15" x14ac:dyDescent="0.3">
      <c r="A304" s="13">
        <v>45664</v>
      </c>
      <c r="B304" s="4" t="str">
        <f>TEXT(Data!B304,"MMM-YYYY")</f>
        <v>Jun-2025</v>
      </c>
      <c r="C304" s="4" t="str">
        <f t="shared" si="23"/>
        <v>Jan-2025</v>
      </c>
      <c r="D304" s="14">
        <f t="shared" si="24"/>
        <v>45664</v>
      </c>
      <c r="E304" s="4" t="str">
        <f t="shared" si="20"/>
        <v>Q1-2025</v>
      </c>
      <c r="F304" t="s">
        <v>52</v>
      </c>
      <c r="G304" t="s">
        <v>73</v>
      </c>
      <c r="H304" t="s">
        <v>74</v>
      </c>
      <c r="I304" t="s">
        <v>35</v>
      </c>
      <c r="J304" s="8" t="str">
        <f t="shared" si="21"/>
        <v>High</v>
      </c>
      <c r="K304" s="4">
        <v>2071.1</v>
      </c>
      <c r="L304" s="4">
        <v>2071.1</v>
      </c>
      <c r="M304" s="4">
        <v>0.129</v>
      </c>
      <c r="N304" s="4">
        <v>22</v>
      </c>
      <c r="O304" s="4">
        <f t="shared" si="22"/>
        <v>18252.954719999998</v>
      </c>
    </row>
    <row r="305" spans="1:15" x14ac:dyDescent="0.3">
      <c r="A305" s="13">
        <v>45665</v>
      </c>
      <c r="B305" s="4" t="str">
        <f>TEXT(Data!B305,"MMM-YYYY")</f>
        <v>Jun-2024</v>
      </c>
      <c r="C305" s="4" t="str">
        <f t="shared" si="23"/>
        <v>Jan-2025</v>
      </c>
      <c r="D305" s="14">
        <f t="shared" si="24"/>
        <v>45665</v>
      </c>
      <c r="E305" s="4" t="str">
        <f t="shared" si="20"/>
        <v>Q1-2025</v>
      </c>
      <c r="F305" t="s">
        <v>78</v>
      </c>
      <c r="G305" t="s">
        <v>108</v>
      </c>
      <c r="H305" t="s">
        <v>152</v>
      </c>
      <c r="I305" t="s">
        <v>42</v>
      </c>
      <c r="J305" s="8" t="str">
        <f t="shared" si="21"/>
        <v>High</v>
      </c>
      <c r="K305" s="4">
        <v>979.84</v>
      </c>
      <c r="L305" s="4">
        <v>979.84</v>
      </c>
      <c r="M305" s="4">
        <v>0.17399999999999999</v>
      </c>
      <c r="N305" s="4">
        <v>10</v>
      </c>
      <c r="O305" s="4">
        <f t="shared" si="22"/>
        <v>26053.196400000001</v>
      </c>
    </row>
    <row r="306" spans="1:15" x14ac:dyDescent="0.3">
      <c r="A306" s="13">
        <v>45666</v>
      </c>
      <c r="B306" s="4" t="str">
        <f>TEXT(Data!B306,"MMM-YYYY")</f>
        <v>Apr-2025</v>
      </c>
      <c r="C306" s="4" t="str">
        <f t="shared" si="23"/>
        <v>Jan-2025</v>
      </c>
      <c r="D306" s="14">
        <f t="shared" si="24"/>
        <v>45666</v>
      </c>
      <c r="E306" s="4" t="str">
        <f t="shared" si="20"/>
        <v>Q1-2025</v>
      </c>
      <c r="F306" t="s">
        <v>16</v>
      </c>
      <c r="G306" t="s">
        <v>17</v>
      </c>
      <c r="H306" t="s">
        <v>18</v>
      </c>
      <c r="I306" t="s">
        <v>57</v>
      </c>
      <c r="J306" s="8" t="str">
        <f t="shared" si="21"/>
        <v>High</v>
      </c>
      <c r="K306" s="4">
        <v>537.39</v>
      </c>
      <c r="L306" s="4">
        <v>537.39</v>
      </c>
      <c r="M306" s="4">
        <v>0.08</v>
      </c>
      <c r="N306" s="4">
        <v>12</v>
      </c>
      <c r="O306" s="4">
        <f t="shared" si="22"/>
        <v>2496.5855999999999</v>
      </c>
    </row>
    <row r="307" spans="1:15" x14ac:dyDescent="0.3">
      <c r="A307" s="13">
        <v>45667</v>
      </c>
      <c r="B307" s="4" t="str">
        <f>TEXT(Data!B307,"MMM-YYYY")</f>
        <v>Mar-2025</v>
      </c>
      <c r="C307" s="4" t="str">
        <f t="shared" si="23"/>
        <v>Jan-2025</v>
      </c>
      <c r="D307" s="14">
        <f t="shared" si="24"/>
        <v>45667</v>
      </c>
      <c r="E307" s="4" t="str">
        <f t="shared" si="20"/>
        <v>Q1-2025</v>
      </c>
      <c r="F307" t="s">
        <v>78</v>
      </c>
      <c r="G307" t="s">
        <v>90</v>
      </c>
      <c r="H307" t="s">
        <v>138</v>
      </c>
      <c r="I307" t="s">
        <v>64</v>
      </c>
      <c r="J307" s="8" t="str">
        <f t="shared" si="21"/>
        <v>High</v>
      </c>
      <c r="K307" s="4">
        <v>213.32</v>
      </c>
      <c r="L307" s="4">
        <v>213.32</v>
      </c>
      <c r="M307" s="4">
        <v>3.7999999999999999E-2</v>
      </c>
      <c r="N307" s="4">
        <v>8</v>
      </c>
      <c r="O307" s="4">
        <f t="shared" si="22"/>
        <v>6818.0403199999992</v>
      </c>
    </row>
    <row r="308" spans="1:15" x14ac:dyDescent="0.3">
      <c r="A308" s="13">
        <v>45668</v>
      </c>
      <c r="B308" s="4" t="str">
        <f>TEXT(Data!B308,"MMM-YYYY")</f>
        <v>May-2025</v>
      </c>
      <c r="C308" s="4" t="str">
        <f t="shared" si="23"/>
        <v>Jan-2025</v>
      </c>
      <c r="D308" s="14">
        <f t="shared" si="24"/>
        <v>45668</v>
      </c>
      <c r="E308" s="4" t="str">
        <f t="shared" si="20"/>
        <v>Q1-2025</v>
      </c>
      <c r="F308" t="s">
        <v>16</v>
      </c>
      <c r="G308" t="s">
        <v>25</v>
      </c>
      <c r="H308" t="s">
        <v>38</v>
      </c>
      <c r="I308" t="s">
        <v>81</v>
      </c>
      <c r="J308" s="8" t="str">
        <f t="shared" si="21"/>
        <v>High</v>
      </c>
      <c r="K308" s="4">
        <v>1994.67</v>
      </c>
      <c r="L308" s="4">
        <v>1994.67</v>
      </c>
      <c r="M308" s="4">
        <v>0.1</v>
      </c>
      <c r="N308" s="4">
        <v>24</v>
      </c>
      <c r="O308" s="4">
        <f t="shared" si="22"/>
        <v>52560.144000000008</v>
      </c>
    </row>
    <row r="309" spans="1:15" x14ac:dyDescent="0.3">
      <c r="A309" s="13">
        <v>45669</v>
      </c>
      <c r="B309" s="4" t="str">
        <f>TEXT(Data!B309,"MMM-YYYY")</f>
        <v>Jan-2025</v>
      </c>
      <c r="C309" s="4" t="str">
        <f t="shared" si="23"/>
        <v>Jan-2025</v>
      </c>
      <c r="D309" s="14">
        <f t="shared" si="24"/>
        <v>45669</v>
      </c>
      <c r="E309" s="4" t="str">
        <f t="shared" si="20"/>
        <v>Q1-2025</v>
      </c>
      <c r="F309" t="s">
        <v>52</v>
      </c>
      <c r="G309" t="s">
        <v>122</v>
      </c>
      <c r="H309" t="s">
        <v>387</v>
      </c>
      <c r="I309" t="s">
        <v>35</v>
      </c>
      <c r="J309" s="8" t="str">
        <f t="shared" si="21"/>
        <v>High</v>
      </c>
      <c r="K309" s="4">
        <v>552.84</v>
      </c>
      <c r="L309" s="4">
        <v>552.84</v>
      </c>
      <c r="M309" s="4">
        <v>0.17599999999999999</v>
      </c>
      <c r="N309" s="4">
        <v>8</v>
      </c>
      <c r="O309" s="4">
        <f t="shared" si="22"/>
        <v>7609.4092799999999</v>
      </c>
    </row>
    <row r="310" spans="1:15" x14ac:dyDescent="0.3">
      <c r="A310" s="13">
        <v>45670</v>
      </c>
      <c r="B310" s="4" t="str">
        <f>TEXT(Data!B310,"MMM-YYYY")</f>
        <v>Jan-2023</v>
      </c>
      <c r="C310" s="4" t="str">
        <f t="shared" si="23"/>
        <v>Jan-2025</v>
      </c>
      <c r="D310" s="14">
        <f t="shared" si="24"/>
        <v>45670</v>
      </c>
      <c r="E310" s="4" t="str">
        <f t="shared" si="20"/>
        <v>Q1-2025</v>
      </c>
      <c r="F310" t="s">
        <v>45</v>
      </c>
      <c r="G310" t="s">
        <v>46</v>
      </c>
      <c r="H310" t="s">
        <v>214</v>
      </c>
      <c r="I310" t="s">
        <v>30</v>
      </c>
      <c r="J310" s="8" t="str">
        <f t="shared" si="21"/>
        <v>High</v>
      </c>
      <c r="K310" s="4">
        <v>224.95</v>
      </c>
      <c r="L310" s="4">
        <v>224.95</v>
      </c>
      <c r="M310" s="4">
        <v>0.153</v>
      </c>
      <c r="N310" s="4">
        <v>28</v>
      </c>
      <c r="O310" s="4">
        <f t="shared" si="22"/>
        <v>26941.13884</v>
      </c>
    </row>
    <row r="311" spans="1:15" x14ac:dyDescent="0.3">
      <c r="A311" s="13">
        <v>45671</v>
      </c>
      <c r="B311" s="4" t="str">
        <f>TEXT(Data!B311,"MMM-YYYY")</f>
        <v>Dec-2024</v>
      </c>
      <c r="C311" s="4" t="str">
        <f t="shared" si="23"/>
        <v>Jan-2025</v>
      </c>
      <c r="D311" s="14">
        <f t="shared" si="24"/>
        <v>45671</v>
      </c>
      <c r="E311" s="4" t="str">
        <f t="shared" si="20"/>
        <v>Q1-2025</v>
      </c>
      <c r="F311" t="s">
        <v>78</v>
      </c>
      <c r="G311" t="s">
        <v>90</v>
      </c>
      <c r="H311" t="s">
        <v>138</v>
      </c>
      <c r="I311" t="s">
        <v>57</v>
      </c>
      <c r="J311" s="8" t="str">
        <f t="shared" si="21"/>
        <v>High</v>
      </c>
      <c r="K311" s="4">
        <v>772.09</v>
      </c>
      <c r="L311" s="4">
        <v>772.09</v>
      </c>
      <c r="M311" s="4">
        <v>8.8999999999999996E-2</v>
      </c>
      <c r="N311" s="4">
        <v>14</v>
      </c>
      <c r="O311" s="4">
        <f t="shared" si="22"/>
        <v>35096.967360000002</v>
      </c>
    </row>
    <row r="312" spans="1:15" x14ac:dyDescent="0.3">
      <c r="A312" s="13">
        <v>45672</v>
      </c>
      <c r="B312" s="4" t="str">
        <f>TEXT(Data!B312,"MMM-YYYY")</f>
        <v>May-2024</v>
      </c>
      <c r="C312" s="4" t="str">
        <f t="shared" si="23"/>
        <v>Jan-2025</v>
      </c>
      <c r="D312" s="14">
        <f t="shared" si="24"/>
        <v>45672</v>
      </c>
      <c r="E312" s="4" t="str">
        <f t="shared" si="20"/>
        <v>Q1-2025</v>
      </c>
      <c r="F312" t="s">
        <v>78</v>
      </c>
      <c r="G312" t="s">
        <v>108</v>
      </c>
      <c r="H312" t="s">
        <v>228</v>
      </c>
      <c r="I312" t="s">
        <v>64</v>
      </c>
      <c r="J312" s="8" t="str">
        <f t="shared" si="21"/>
        <v>High</v>
      </c>
      <c r="K312" s="4">
        <v>3149.21</v>
      </c>
      <c r="L312" s="4">
        <v>3149.21</v>
      </c>
      <c r="M312" s="4">
        <v>0.185</v>
      </c>
      <c r="N312" s="4">
        <v>12</v>
      </c>
      <c r="O312" s="4">
        <f t="shared" si="22"/>
        <v>13444.761599999998</v>
      </c>
    </row>
    <row r="313" spans="1:15" x14ac:dyDescent="0.3">
      <c r="A313" s="13">
        <v>45673</v>
      </c>
      <c r="B313" s="4" t="str">
        <f>TEXT(Data!B313,"MMM-YYYY")</f>
        <v>Jun-2023</v>
      </c>
      <c r="C313" s="4" t="str">
        <f t="shared" si="23"/>
        <v>Jan-2025</v>
      </c>
      <c r="D313" s="14">
        <f t="shared" si="24"/>
        <v>45673</v>
      </c>
      <c r="E313" s="4" t="str">
        <f t="shared" si="20"/>
        <v>Q1-2025</v>
      </c>
      <c r="F313" t="s">
        <v>52</v>
      </c>
      <c r="G313" t="s">
        <v>73</v>
      </c>
      <c r="H313" t="s">
        <v>225</v>
      </c>
      <c r="I313" t="s">
        <v>35</v>
      </c>
      <c r="J313" s="8" t="str">
        <f t="shared" si="21"/>
        <v>Medium</v>
      </c>
      <c r="K313" s="4">
        <v>57.53</v>
      </c>
      <c r="L313" s="4">
        <v>57.53</v>
      </c>
      <c r="M313" s="4">
        <v>4.4999999999999998E-2</v>
      </c>
      <c r="N313" s="4">
        <v>16</v>
      </c>
      <c r="O313" s="4">
        <f t="shared" si="22"/>
        <v>20144.693599999999</v>
      </c>
    </row>
    <row r="314" spans="1:15" x14ac:dyDescent="0.3">
      <c r="A314" s="13">
        <v>45674</v>
      </c>
      <c r="B314" s="4" t="str">
        <f>TEXT(Data!B314,"MMM-YYYY")</f>
        <v>Nov-2024</v>
      </c>
      <c r="C314" s="4" t="str">
        <f t="shared" si="23"/>
        <v>Jan-2025</v>
      </c>
      <c r="D314" s="14">
        <f t="shared" si="24"/>
        <v>45674</v>
      </c>
      <c r="E314" s="4" t="str">
        <f t="shared" si="20"/>
        <v>Q1-2025</v>
      </c>
      <c r="F314" t="s">
        <v>52</v>
      </c>
      <c r="G314" t="s">
        <v>53</v>
      </c>
      <c r="H314" t="s">
        <v>54</v>
      </c>
      <c r="I314" t="s">
        <v>81</v>
      </c>
      <c r="J314" s="8" t="str">
        <f t="shared" si="21"/>
        <v>High</v>
      </c>
      <c r="K314" s="4">
        <v>824.81</v>
      </c>
      <c r="L314" s="4">
        <v>824.81</v>
      </c>
      <c r="M314" s="4">
        <v>8.7999999999999995E-2</v>
      </c>
      <c r="N314" s="4">
        <v>15</v>
      </c>
      <c r="O314" s="4">
        <f t="shared" si="22"/>
        <v>6043.0032000000001</v>
      </c>
    </row>
    <row r="315" spans="1:15" x14ac:dyDescent="0.3">
      <c r="A315" s="13">
        <v>45675</v>
      </c>
      <c r="B315" s="4" t="str">
        <f>TEXT(Data!B315,"MMM-YYYY")</f>
        <v>Jun-2024</v>
      </c>
      <c r="C315" s="4" t="str">
        <f t="shared" si="23"/>
        <v>Jan-2025</v>
      </c>
      <c r="D315" s="14">
        <f t="shared" si="24"/>
        <v>45675</v>
      </c>
      <c r="E315" s="4" t="str">
        <f t="shared" si="20"/>
        <v>Q1-2025</v>
      </c>
      <c r="F315" t="s">
        <v>78</v>
      </c>
      <c r="G315" t="s">
        <v>108</v>
      </c>
      <c r="H315" t="s">
        <v>152</v>
      </c>
      <c r="I315" t="s">
        <v>30</v>
      </c>
      <c r="J315" s="8" t="str">
        <f t="shared" si="21"/>
        <v>High</v>
      </c>
      <c r="K315" s="4">
        <v>1493.53</v>
      </c>
      <c r="L315" s="4">
        <v>1493.53</v>
      </c>
      <c r="M315" s="4">
        <v>0</v>
      </c>
      <c r="N315" s="4">
        <v>27</v>
      </c>
      <c r="O315" s="4">
        <f t="shared" si="22"/>
        <v>35911.89</v>
      </c>
    </row>
    <row r="316" spans="1:15" x14ac:dyDescent="0.3">
      <c r="A316" s="13">
        <v>45676</v>
      </c>
      <c r="B316" s="4" t="str">
        <f>TEXT(Data!B316,"MMM-YYYY")</f>
        <v>Jun-2025</v>
      </c>
      <c r="C316" s="4" t="str">
        <f t="shared" si="23"/>
        <v>Jan-2025</v>
      </c>
      <c r="D316" s="14">
        <f t="shared" si="24"/>
        <v>45676</v>
      </c>
      <c r="E316" s="4" t="str">
        <f t="shared" si="20"/>
        <v>Q1-2025</v>
      </c>
      <c r="F316" t="s">
        <v>16</v>
      </c>
      <c r="G316" t="s">
        <v>148</v>
      </c>
      <c r="H316" t="s">
        <v>172</v>
      </c>
      <c r="I316" t="s">
        <v>64</v>
      </c>
      <c r="J316" s="8" t="str">
        <f t="shared" si="21"/>
        <v>High</v>
      </c>
      <c r="K316" s="4">
        <v>741.92</v>
      </c>
      <c r="L316" s="4">
        <v>741.92</v>
      </c>
      <c r="M316" s="4">
        <v>3.1E-2</v>
      </c>
      <c r="N316" s="4">
        <v>7</v>
      </c>
      <c r="O316" s="4">
        <f t="shared" si="22"/>
        <v>11089.255379999999</v>
      </c>
    </row>
    <row r="317" spans="1:15" x14ac:dyDescent="0.3">
      <c r="A317" s="13">
        <v>45677</v>
      </c>
      <c r="B317" s="4" t="str">
        <f>TEXT(Data!B317,"MMM-YYYY")</f>
        <v>May-2023</v>
      </c>
      <c r="C317" s="4" t="str">
        <f t="shared" si="23"/>
        <v>Jan-2025</v>
      </c>
      <c r="D317" s="14">
        <f t="shared" si="24"/>
        <v>45677</v>
      </c>
      <c r="E317" s="4" t="str">
        <f t="shared" si="20"/>
        <v>Q1-2025</v>
      </c>
      <c r="F317" t="s">
        <v>78</v>
      </c>
      <c r="G317" t="s">
        <v>90</v>
      </c>
      <c r="H317" t="s">
        <v>217</v>
      </c>
      <c r="I317" t="s">
        <v>22</v>
      </c>
      <c r="J317" s="8" t="str">
        <f t="shared" si="21"/>
        <v>High</v>
      </c>
      <c r="K317" s="4">
        <v>742.23</v>
      </c>
      <c r="L317" s="4">
        <v>742.23</v>
      </c>
      <c r="M317" s="4">
        <v>0.09</v>
      </c>
      <c r="N317" s="4">
        <v>13</v>
      </c>
      <c r="O317" s="4">
        <f t="shared" si="22"/>
        <v>835.19799999999998</v>
      </c>
    </row>
    <row r="318" spans="1:15" x14ac:dyDescent="0.3">
      <c r="A318" s="13">
        <v>45678</v>
      </c>
      <c r="B318" s="4" t="str">
        <f>TEXT(Data!B318,"MMM-YYYY")</f>
        <v>Nov-2023</v>
      </c>
      <c r="C318" s="4" t="str">
        <f t="shared" si="23"/>
        <v>Jan-2025</v>
      </c>
      <c r="D318" s="14">
        <f t="shared" si="24"/>
        <v>45678</v>
      </c>
      <c r="E318" s="4" t="str">
        <f t="shared" si="20"/>
        <v>Q1-2025</v>
      </c>
      <c r="F318" t="s">
        <v>45</v>
      </c>
      <c r="G318" t="s">
        <v>46</v>
      </c>
      <c r="H318" t="s">
        <v>47</v>
      </c>
      <c r="I318" t="s">
        <v>42</v>
      </c>
      <c r="J318" s="8" t="str">
        <f t="shared" si="21"/>
        <v>High</v>
      </c>
      <c r="K318" s="4">
        <v>479.54</v>
      </c>
      <c r="L318" s="4">
        <v>479.54</v>
      </c>
      <c r="M318" s="4">
        <v>0.14099999999999999</v>
      </c>
      <c r="N318" s="4">
        <v>22</v>
      </c>
      <c r="O318" s="4">
        <f t="shared" si="22"/>
        <v>34451.80992</v>
      </c>
    </row>
    <row r="319" spans="1:15" x14ac:dyDescent="0.3">
      <c r="A319" s="13">
        <v>45679</v>
      </c>
      <c r="B319" s="4" t="str">
        <f>TEXT(Data!B319,"MMM-YYYY")</f>
        <v>Apr-2025</v>
      </c>
      <c r="C319" s="4" t="str">
        <f t="shared" si="23"/>
        <v>Jan-2025</v>
      </c>
      <c r="D319" s="14">
        <f t="shared" si="24"/>
        <v>45679</v>
      </c>
      <c r="E319" s="4" t="str">
        <f t="shared" si="20"/>
        <v>Q1-2025</v>
      </c>
      <c r="F319" t="s">
        <v>52</v>
      </c>
      <c r="G319" t="s">
        <v>73</v>
      </c>
      <c r="H319" t="s">
        <v>74</v>
      </c>
      <c r="I319" t="s">
        <v>35</v>
      </c>
      <c r="J319" s="8" t="str">
        <f t="shared" si="21"/>
        <v>High</v>
      </c>
      <c r="K319" s="4">
        <v>1175.25</v>
      </c>
      <c r="L319" s="4">
        <v>1175.25</v>
      </c>
      <c r="M319" s="4">
        <v>7.4999999999999997E-2</v>
      </c>
      <c r="N319" s="4">
        <v>15</v>
      </c>
      <c r="O319" s="4">
        <f t="shared" si="22"/>
        <v>27971.861250000002</v>
      </c>
    </row>
    <row r="320" spans="1:15" x14ac:dyDescent="0.3">
      <c r="A320" s="13">
        <v>45680</v>
      </c>
      <c r="B320" s="4" t="str">
        <f>TEXT(Data!B320,"MMM-YYYY")</f>
        <v>Mar-2023</v>
      </c>
      <c r="C320" s="4" t="str">
        <f t="shared" si="23"/>
        <v>Jan-2025</v>
      </c>
      <c r="D320" s="14">
        <f t="shared" si="24"/>
        <v>45680</v>
      </c>
      <c r="E320" s="4" t="str">
        <f t="shared" si="20"/>
        <v>Q1-2025</v>
      </c>
      <c r="F320" t="s">
        <v>52</v>
      </c>
      <c r="G320" t="s">
        <v>122</v>
      </c>
      <c r="H320" t="s">
        <v>167</v>
      </c>
      <c r="I320" t="s">
        <v>64</v>
      </c>
      <c r="J320" s="8" t="str">
        <f t="shared" si="21"/>
        <v>High</v>
      </c>
      <c r="K320" s="4">
        <v>227.45</v>
      </c>
      <c r="L320" s="4">
        <v>227.45</v>
      </c>
      <c r="M320" s="4">
        <v>1.4E-2</v>
      </c>
      <c r="N320" s="4">
        <v>13</v>
      </c>
      <c r="O320" s="4">
        <f t="shared" si="22"/>
        <v>3129.2583399999999</v>
      </c>
    </row>
    <row r="321" spans="1:15" x14ac:dyDescent="0.3">
      <c r="A321" s="13">
        <v>45681</v>
      </c>
      <c r="B321" s="4" t="str">
        <f>TEXT(Data!B321,"MMM-YYYY")</f>
        <v>May-2024</v>
      </c>
      <c r="C321" s="4" t="str">
        <f t="shared" si="23"/>
        <v>Jan-2025</v>
      </c>
      <c r="D321" s="14">
        <f t="shared" si="24"/>
        <v>45681</v>
      </c>
      <c r="E321" s="4" t="str">
        <f t="shared" si="20"/>
        <v>Q1-2025</v>
      </c>
      <c r="F321" t="s">
        <v>16</v>
      </c>
      <c r="G321" t="s">
        <v>17</v>
      </c>
      <c r="H321" t="s">
        <v>113</v>
      </c>
      <c r="I321" t="s">
        <v>81</v>
      </c>
      <c r="J321" s="8" t="str">
        <f t="shared" si="21"/>
        <v>High</v>
      </c>
      <c r="K321" s="4">
        <v>1178.6199999999999</v>
      </c>
      <c r="L321" s="4">
        <v>1178.6199999999999</v>
      </c>
      <c r="M321" s="4">
        <v>0.151</v>
      </c>
      <c r="N321" s="4">
        <v>53</v>
      </c>
      <c r="O321" s="4">
        <f t="shared" si="22"/>
        <v>125232.05063999999</v>
      </c>
    </row>
    <row r="322" spans="1:15" x14ac:dyDescent="0.3">
      <c r="A322" s="13">
        <v>45682</v>
      </c>
      <c r="B322" s="4" t="str">
        <f>TEXT(Data!B322,"MMM-YYYY")</f>
        <v>Jan-2024</v>
      </c>
      <c r="C322" s="4" t="str">
        <f t="shared" si="23"/>
        <v>Jan-2025</v>
      </c>
      <c r="D322" s="14">
        <f t="shared" si="24"/>
        <v>45682</v>
      </c>
      <c r="E322" s="4" t="str">
        <f t="shared" ref="E322:E385" si="25">"Q"&amp;ROUNDUP(MONTH(A322)/3,0)&amp;"-"&amp;YEAR(A322)</f>
        <v>Q1-2025</v>
      </c>
      <c r="F322" t="s">
        <v>78</v>
      </c>
      <c r="G322" t="s">
        <v>79</v>
      </c>
      <c r="H322" t="s">
        <v>335</v>
      </c>
      <c r="I322" t="s">
        <v>42</v>
      </c>
      <c r="J322" s="8" t="str">
        <f t="shared" ref="J322:J385" si="26">IF(K322&lt;50, "Low", IF(K322&lt;200, "Medium", "High"))</f>
        <v>High</v>
      </c>
      <c r="K322" s="4">
        <v>2422.1</v>
      </c>
      <c r="L322" s="4">
        <v>2422.1</v>
      </c>
      <c r="M322" s="4">
        <v>7.5999999999999998E-2</v>
      </c>
      <c r="N322" s="4">
        <v>10</v>
      </c>
      <c r="O322" s="4">
        <f t="shared" ref="O322:O385" si="27">(L348*N322)*(1-M322)</f>
        <v>18944.864399999999</v>
      </c>
    </row>
    <row r="323" spans="1:15" x14ac:dyDescent="0.3">
      <c r="A323" s="13">
        <v>45683</v>
      </c>
      <c r="B323" s="4" t="str">
        <f>TEXT(Data!B323,"MMM-YYYY")</f>
        <v>Feb-2023</v>
      </c>
      <c r="C323" s="4" t="str">
        <f t="shared" ref="C323:C386" si="28">TEXT(D323, "MMM-YYYY")</f>
        <v>Jan-2025</v>
      </c>
      <c r="D323" s="14">
        <f t="shared" ref="D323:D386" si="29">_xlfn.MINIFS(A323:A323, G323:G323,G323)</f>
        <v>45683</v>
      </c>
      <c r="E323" s="4" t="str">
        <f t="shared" si="25"/>
        <v>Q1-2025</v>
      </c>
      <c r="F323" t="s">
        <v>52</v>
      </c>
      <c r="G323" t="s">
        <v>122</v>
      </c>
      <c r="H323" t="s">
        <v>123</v>
      </c>
      <c r="I323" t="s">
        <v>35</v>
      </c>
      <c r="J323" s="8" t="str">
        <f t="shared" si="26"/>
        <v>High</v>
      </c>
      <c r="K323" s="4">
        <v>433.88</v>
      </c>
      <c r="L323" s="4">
        <v>433.88</v>
      </c>
      <c r="M323" s="4">
        <v>0.215</v>
      </c>
      <c r="N323" s="4">
        <v>22</v>
      </c>
      <c r="O323" s="4">
        <f t="shared" si="27"/>
        <v>2540.7624000000005</v>
      </c>
    </row>
    <row r="324" spans="1:15" x14ac:dyDescent="0.3">
      <c r="A324" s="13">
        <v>45684</v>
      </c>
      <c r="B324" s="4" t="str">
        <f>TEXT(Data!B324,"MMM-YYYY")</f>
        <v>Feb-2024</v>
      </c>
      <c r="C324" s="4" t="str">
        <f t="shared" si="28"/>
        <v>Jan-2025</v>
      </c>
      <c r="D324" s="14">
        <f t="shared" si="29"/>
        <v>45684</v>
      </c>
      <c r="E324" s="4" t="str">
        <f t="shared" si="25"/>
        <v>Q1-2025</v>
      </c>
      <c r="F324" t="s">
        <v>78</v>
      </c>
      <c r="G324" t="s">
        <v>90</v>
      </c>
      <c r="H324" t="s">
        <v>91</v>
      </c>
      <c r="I324" t="s">
        <v>35</v>
      </c>
      <c r="J324" s="8" t="str">
        <f t="shared" si="26"/>
        <v>High</v>
      </c>
      <c r="K324" s="4">
        <v>3149.13</v>
      </c>
      <c r="L324" s="4">
        <v>3149.13</v>
      </c>
      <c r="M324" s="4">
        <v>0.10299999999999999</v>
      </c>
      <c r="N324" s="4">
        <v>14</v>
      </c>
      <c r="O324" s="4">
        <f t="shared" si="27"/>
        <v>24902.262840000003</v>
      </c>
    </row>
    <row r="325" spans="1:15" x14ac:dyDescent="0.3">
      <c r="A325" s="13">
        <v>45685</v>
      </c>
      <c r="B325" s="4" t="str">
        <f>TEXT(Data!B325,"MMM-YYYY")</f>
        <v>Sept-2024</v>
      </c>
      <c r="C325" s="4" t="str">
        <f t="shared" si="28"/>
        <v>Jan-2025</v>
      </c>
      <c r="D325" s="14">
        <f t="shared" si="29"/>
        <v>45685</v>
      </c>
      <c r="E325" s="4" t="str">
        <f t="shared" si="25"/>
        <v>Q1-2025</v>
      </c>
      <c r="F325" t="s">
        <v>52</v>
      </c>
      <c r="G325" t="s">
        <v>73</v>
      </c>
      <c r="H325" t="s">
        <v>74</v>
      </c>
      <c r="I325" t="s">
        <v>22</v>
      </c>
      <c r="J325" s="8" t="str">
        <f t="shared" si="26"/>
        <v>Medium</v>
      </c>
      <c r="K325" s="4">
        <v>65.650000000000006</v>
      </c>
      <c r="L325" s="4">
        <v>65.650000000000006</v>
      </c>
      <c r="M325" s="4">
        <v>0.17599999999999999</v>
      </c>
      <c r="N325" s="4">
        <v>13</v>
      </c>
      <c r="O325" s="4">
        <f t="shared" si="27"/>
        <v>24630.101600000002</v>
      </c>
    </row>
    <row r="326" spans="1:15" x14ac:dyDescent="0.3">
      <c r="A326" s="13">
        <v>45686</v>
      </c>
      <c r="B326" s="4" t="str">
        <f>TEXT(Data!B326,"MMM-YYYY")</f>
        <v>May-2023</v>
      </c>
      <c r="C326" s="4" t="str">
        <f t="shared" si="28"/>
        <v>Jan-2025</v>
      </c>
      <c r="D326" s="14">
        <f t="shared" si="29"/>
        <v>45686</v>
      </c>
      <c r="E326" s="4" t="str">
        <f t="shared" si="25"/>
        <v>Q1-2025</v>
      </c>
      <c r="F326" t="s">
        <v>52</v>
      </c>
      <c r="G326" t="s">
        <v>73</v>
      </c>
      <c r="H326" t="s">
        <v>74</v>
      </c>
      <c r="I326" t="s">
        <v>22</v>
      </c>
      <c r="J326" s="8" t="str">
        <f t="shared" si="26"/>
        <v>High</v>
      </c>
      <c r="K326" s="4">
        <v>2492.14</v>
      </c>
      <c r="L326" s="4">
        <v>2492.14</v>
      </c>
      <c r="M326" s="4">
        <v>5.0999999999999997E-2</v>
      </c>
      <c r="N326" s="4">
        <v>11</v>
      </c>
      <c r="O326" s="4">
        <f t="shared" si="27"/>
        <v>4829.1857899999995</v>
      </c>
    </row>
    <row r="327" spans="1:15" x14ac:dyDescent="0.3">
      <c r="A327" s="13">
        <v>45687</v>
      </c>
      <c r="B327" s="4" t="str">
        <f>TEXT(Data!B327,"MMM-YYYY")</f>
        <v>Jan-2024</v>
      </c>
      <c r="C327" s="4" t="str">
        <f t="shared" si="28"/>
        <v>Jan-2025</v>
      </c>
      <c r="D327" s="14">
        <f t="shared" si="29"/>
        <v>45687</v>
      </c>
      <c r="E327" s="4" t="str">
        <f t="shared" si="25"/>
        <v>Q1-2025</v>
      </c>
      <c r="F327" t="s">
        <v>16</v>
      </c>
      <c r="G327" t="s">
        <v>148</v>
      </c>
      <c r="H327" t="s">
        <v>172</v>
      </c>
      <c r="I327" t="s">
        <v>81</v>
      </c>
      <c r="J327" s="8" t="str">
        <f t="shared" si="26"/>
        <v>High</v>
      </c>
      <c r="K327" s="4">
        <v>931.84</v>
      </c>
      <c r="L327" s="4">
        <v>931.84</v>
      </c>
      <c r="M327" s="4">
        <v>0.121</v>
      </c>
      <c r="N327" s="4">
        <v>12</v>
      </c>
      <c r="O327" s="4">
        <f t="shared" si="27"/>
        <v>11533.077720000001</v>
      </c>
    </row>
    <row r="328" spans="1:15" x14ac:dyDescent="0.3">
      <c r="A328" s="13">
        <v>45688</v>
      </c>
      <c r="B328" s="4" t="str">
        <f>TEXT(Data!B328,"MMM-YYYY")</f>
        <v>Jun-2023</v>
      </c>
      <c r="C328" s="4" t="str">
        <f t="shared" si="28"/>
        <v>Jan-2025</v>
      </c>
      <c r="D328" s="14">
        <f t="shared" si="29"/>
        <v>45688</v>
      </c>
      <c r="E328" s="4" t="str">
        <f t="shared" si="25"/>
        <v>Q1-2025</v>
      </c>
      <c r="F328" t="s">
        <v>45</v>
      </c>
      <c r="G328" t="s">
        <v>60</v>
      </c>
      <c r="H328" t="s">
        <v>281</v>
      </c>
      <c r="I328" t="s">
        <v>22</v>
      </c>
      <c r="J328" s="8" t="str">
        <f t="shared" si="26"/>
        <v>High</v>
      </c>
      <c r="K328" s="4">
        <v>619.51</v>
      </c>
      <c r="L328" s="4">
        <v>619.51</v>
      </c>
      <c r="M328" s="4">
        <v>4.2000000000000003E-2</v>
      </c>
      <c r="N328" s="4">
        <v>4</v>
      </c>
      <c r="O328" s="4">
        <f t="shared" si="27"/>
        <v>5572.5710399999998</v>
      </c>
    </row>
    <row r="329" spans="1:15" x14ac:dyDescent="0.3">
      <c r="A329" s="13">
        <v>45689</v>
      </c>
      <c r="B329" s="4" t="str">
        <f>TEXT(Data!B329,"MMM-YYYY")</f>
        <v>May-2025</v>
      </c>
      <c r="C329" s="4" t="str">
        <f t="shared" si="28"/>
        <v>Feb-2025</v>
      </c>
      <c r="D329" s="14">
        <f t="shared" si="29"/>
        <v>45689</v>
      </c>
      <c r="E329" s="4" t="str">
        <f t="shared" si="25"/>
        <v>Q1-2025</v>
      </c>
      <c r="F329" t="s">
        <v>16</v>
      </c>
      <c r="G329" t="s">
        <v>17</v>
      </c>
      <c r="H329" t="s">
        <v>135</v>
      </c>
      <c r="I329" t="s">
        <v>42</v>
      </c>
      <c r="J329" s="8" t="str">
        <f t="shared" si="26"/>
        <v>High</v>
      </c>
      <c r="K329" s="4">
        <v>1421.55</v>
      </c>
      <c r="L329" s="4">
        <v>1421.55</v>
      </c>
      <c r="M329" s="4">
        <v>0.109</v>
      </c>
      <c r="N329" s="4">
        <v>3</v>
      </c>
      <c r="O329" s="4">
        <f t="shared" si="27"/>
        <v>5667.829200000001</v>
      </c>
    </row>
    <row r="330" spans="1:15" x14ac:dyDescent="0.3">
      <c r="A330" s="13">
        <v>45690</v>
      </c>
      <c r="B330" s="4" t="str">
        <f>TEXT(Data!B330,"MMM-YYYY")</f>
        <v>Oct-2023</v>
      </c>
      <c r="C330" s="4" t="str">
        <f t="shared" si="28"/>
        <v>Feb-2025</v>
      </c>
      <c r="D330" s="14">
        <f t="shared" si="29"/>
        <v>45690</v>
      </c>
      <c r="E330" s="4" t="str">
        <f t="shared" si="25"/>
        <v>Q1-2025</v>
      </c>
      <c r="F330" t="s">
        <v>52</v>
      </c>
      <c r="G330" t="s">
        <v>73</v>
      </c>
      <c r="H330" t="s">
        <v>74</v>
      </c>
      <c r="I330" t="s">
        <v>64</v>
      </c>
      <c r="J330" s="8" t="str">
        <f t="shared" si="26"/>
        <v>High</v>
      </c>
      <c r="K330" s="4">
        <v>952.56</v>
      </c>
      <c r="L330" s="4">
        <v>952.56</v>
      </c>
      <c r="M330" s="4">
        <v>0.34599999999999997</v>
      </c>
      <c r="N330" s="4">
        <v>10</v>
      </c>
      <c r="O330" s="4">
        <f t="shared" si="27"/>
        <v>841.56720000000018</v>
      </c>
    </row>
    <row r="331" spans="1:15" x14ac:dyDescent="0.3">
      <c r="A331" s="13">
        <v>45691</v>
      </c>
      <c r="B331" s="4" t="str">
        <f>TEXT(Data!B331,"MMM-YYYY")</f>
        <v>Jan-2025</v>
      </c>
      <c r="C331" s="4" t="str">
        <f t="shared" si="28"/>
        <v>Feb-2025</v>
      </c>
      <c r="D331" s="14">
        <f t="shared" si="29"/>
        <v>45691</v>
      </c>
      <c r="E331" s="4" t="str">
        <f t="shared" si="25"/>
        <v>Q1-2025</v>
      </c>
      <c r="F331" t="s">
        <v>52</v>
      </c>
      <c r="G331" t="s">
        <v>53</v>
      </c>
      <c r="H331" t="s">
        <v>54</v>
      </c>
      <c r="I331" t="s">
        <v>57</v>
      </c>
      <c r="J331" s="8" t="str">
        <f t="shared" si="26"/>
        <v>High</v>
      </c>
      <c r="K331" s="4">
        <v>3154.14</v>
      </c>
      <c r="L331" s="4">
        <v>3154.14</v>
      </c>
      <c r="M331" s="4">
        <v>0.2</v>
      </c>
      <c r="N331" s="4">
        <v>11</v>
      </c>
      <c r="O331" s="4">
        <f t="shared" si="27"/>
        <v>11668.448000000002</v>
      </c>
    </row>
    <row r="332" spans="1:15" x14ac:dyDescent="0.3">
      <c r="A332" s="13">
        <v>45692</v>
      </c>
      <c r="B332" s="4" t="str">
        <f>TEXT(Data!B332,"MMM-YYYY")</f>
        <v>Sept-2025</v>
      </c>
      <c r="C332" s="4" t="str">
        <f t="shared" si="28"/>
        <v>Feb-2025</v>
      </c>
      <c r="D332" s="14">
        <f t="shared" si="29"/>
        <v>45692</v>
      </c>
      <c r="E332" s="4" t="str">
        <f t="shared" si="25"/>
        <v>Q1-2025</v>
      </c>
      <c r="F332" t="s">
        <v>52</v>
      </c>
      <c r="G332" t="s">
        <v>122</v>
      </c>
      <c r="H332" t="s">
        <v>326</v>
      </c>
      <c r="I332" t="s">
        <v>42</v>
      </c>
      <c r="J332" s="8" t="str">
        <f t="shared" si="26"/>
        <v>High</v>
      </c>
      <c r="K332" s="4">
        <v>226.14</v>
      </c>
      <c r="L332" s="4">
        <v>226.14</v>
      </c>
      <c r="M332" s="4">
        <v>6.5000000000000002E-2</v>
      </c>
      <c r="N332" s="4">
        <v>12</v>
      </c>
      <c r="O332" s="4">
        <f t="shared" si="27"/>
        <v>27369.282600000002</v>
      </c>
    </row>
    <row r="333" spans="1:15" x14ac:dyDescent="0.3">
      <c r="A333" s="13">
        <v>45693</v>
      </c>
      <c r="B333" s="4" t="str">
        <f>TEXT(Data!B333,"MMM-YYYY")</f>
        <v>Aug-2023</v>
      </c>
      <c r="C333" s="4" t="str">
        <f t="shared" si="28"/>
        <v>Feb-2025</v>
      </c>
      <c r="D333" s="14">
        <f t="shared" si="29"/>
        <v>45693</v>
      </c>
      <c r="E333" s="4" t="str">
        <f t="shared" si="25"/>
        <v>Q1-2025</v>
      </c>
      <c r="F333" t="s">
        <v>78</v>
      </c>
      <c r="G333" t="s">
        <v>108</v>
      </c>
      <c r="H333" t="s">
        <v>152</v>
      </c>
      <c r="I333" t="s">
        <v>35</v>
      </c>
      <c r="J333" s="8" t="str">
        <f t="shared" si="26"/>
        <v>High</v>
      </c>
      <c r="K333" s="4">
        <v>885.92</v>
      </c>
      <c r="L333" s="4">
        <v>885.92</v>
      </c>
      <c r="M333" s="4">
        <v>0.23899999999999999</v>
      </c>
      <c r="N333" s="4">
        <v>13</v>
      </c>
      <c r="O333" s="4">
        <f t="shared" si="27"/>
        <v>21779.835220000001</v>
      </c>
    </row>
    <row r="334" spans="1:15" x14ac:dyDescent="0.3">
      <c r="A334" s="13">
        <v>45694</v>
      </c>
      <c r="B334" s="4" t="str">
        <f>TEXT(Data!B334,"MMM-YYYY")</f>
        <v>Nov-2023</v>
      </c>
      <c r="C334" s="4" t="str">
        <f t="shared" si="28"/>
        <v>Feb-2025</v>
      </c>
      <c r="D334" s="14">
        <f t="shared" si="29"/>
        <v>45694</v>
      </c>
      <c r="E334" s="4" t="str">
        <f t="shared" si="25"/>
        <v>Q1-2025</v>
      </c>
      <c r="F334" t="s">
        <v>45</v>
      </c>
      <c r="G334" t="s">
        <v>60</v>
      </c>
      <c r="H334" t="s">
        <v>141</v>
      </c>
      <c r="I334" t="s">
        <v>81</v>
      </c>
      <c r="J334" s="8" t="str">
        <f t="shared" si="26"/>
        <v>High</v>
      </c>
      <c r="K334" s="4">
        <v>2433.34</v>
      </c>
      <c r="L334" s="4">
        <v>2433.34</v>
      </c>
      <c r="M334" s="4">
        <v>0.27</v>
      </c>
      <c r="N334" s="4">
        <v>4</v>
      </c>
      <c r="O334" s="4">
        <f t="shared" si="27"/>
        <v>2377.9312</v>
      </c>
    </row>
    <row r="335" spans="1:15" x14ac:dyDescent="0.3">
      <c r="A335" s="13">
        <v>45695</v>
      </c>
      <c r="B335" s="4" t="str">
        <f>TEXT(Data!B335,"MMM-YYYY")</f>
        <v>Apr-2025</v>
      </c>
      <c r="C335" s="4" t="str">
        <f t="shared" si="28"/>
        <v>Feb-2025</v>
      </c>
      <c r="D335" s="14">
        <f t="shared" si="29"/>
        <v>45695</v>
      </c>
      <c r="E335" s="4" t="str">
        <f t="shared" si="25"/>
        <v>Q1-2025</v>
      </c>
      <c r="F335" t="s">
        <v>78</v>
      </c>
      <c r="G335" t="s">
        <v>108</v>
      </c>
      <c r="H335" t="s">
        <v>228</v>
      </c>
      <c r="I335" t="s">
        <v>81</v>
      </c>
      <c r="J335" s="8" t="str">
        <f t="shared" si="26"/>
        <v>High</v>
      </c>
      <c r="K335" s="4">
        <v>1154.3399999999999</v>
      </c>
      <c r="L335" s="4">
        <v>1154.3399999999999</v>
      </c>
      <c r="M335" s="4">
        <v>2.8000000000000001E-2</v>
      </c>
      <c r="N335" s="4">
        <v>5</v>
      </c>
      <c r="O335" s="4">
        <f t="shared" si="27"/>
        <v>6720.9426000000003</v>
      </c>
    </row>
    <row r="336" spans="1:15" x14ac:dyDescent="0.3">
      <c r="A336" s="13">
        <v>45696</v>
      </c>
      <c r="B336" s="4" t="str">
        <f>TEXT(Data!B336,"MMM-YYYY")</f>
        <v>Apr-2024</v>
      </c>
      <c r="C336" s="4" t="str">
        <f t="shared" si="28"/>
        <v>Feb-2025</v>
      </c>
      <c r="D336" s="14">
        <f t="shared" si="29"/>
        <v>45696</v>
      </c>
      <c r="E336" s="4" t="str">
        <f t="shared" si="25"/>
        <v>Q1-2025</v>
      </c>
      <c r="F336" t="s">
        <v>45</v>
      </c>
      <c r="G336" t="s">
        <v>60</v>
      </c>
      <c r="H336" t="s">
        <v>1364</v>
      </c>
      <c r="I336" t="s">
        <v>42</v>
      </c>
      <c r="J336" s="8" t="str">
        <f t="shared" si="26"/>
        <v>High</v>
      </c>
      <c r="K336" s="4">
        <v>1135.99</v>
      </c>
      <c r="L336" s="4">
        <v>1135.99</v>
      </c>
      <c r="M336" s="4">
        <v>0.14499999999999999</v>
      </c>
      <c r="N336" s="4">
        <v>5</v>
      </c>
      <c r="O336" s="4">
        <f t="shared" si="27"/>
        <v>7038.4882499999994</v>
      </c>
    </row>
    <row r="337" spans="1:15" x14ac:dyDescent="0.3">
      <c r="A337" s="13">
        <v>45697</v>
      </c>
      <c r="B337" s="4" t="str">
        <f>TEXT(Data!B337,"MMM-YYYY")</f>
        <v>Jul-2024</v>
      </c>
      <c r="C337" s="4" t="str">
        <f t="shared" si="28"/>
        <v>Feb-2025</v>
      </c>
      <c r="D337" s="14">
        <f t="shared" si="29"/>
        <v>45697</v>
      </c>
      <c r="E337" s="4" t="str">
        <f t="shared" si="25"/>
        <v>Q1-2025</v>
      </c>
      <c r="F337" t="s">
        <v>78</v>
      </c>
      <c r="G337" t="s">
        <v>90</v>
      </c>
      <c r="H337" t="s">
        <v>138</v>
      </c>
      <c r="I337" t="s">
        <v>30</v>
      </c>
      <c r="J337" s="8" t="str">
        <f t="shared" si="26"/>
        <v>High</v>
      </c>
      <c r="K337" s="4">
        <v>2751.84</v>
      </c>
      <c r="L337" s="4">
        <v>2751.84</v>
      </c>
      <c r="M337" s="4">
        <v>0.158</v>
      </c>
      <c r="N337" s="4">
        <v>7</v>
      </c>
      <c r="O337" s="4">
        <f t="shared" si="27"/>
        <v>2362.5509599999996</v>
      </c>
    </row>
    <row r="338" spans="1:15" x14ac:dyDescent="0.3">
      <c r="A338" s="13">
        <v>45698</v>
      </c>
      <c r="B338" s="4" t="str">
        <f>TEXT(Data!B338,"MMM-YYYY")</f>
        <v>Feb-2024</v>
      </c>
      <c r="C338" s="4" t="str">
        <f t="shared" si="28"/>
        <v>Feb-2025</v>
      </c>
      <c r="D338" s="14">
        <f t="shared" si="29"/>
        <v>45698</v>
      </c>
      <c r="E338" s="4" t="str">
        <f t="shared" si="25"/>
        <v>Q1-2025</v>
      </c>
      <c r="F338" t="s">
        <v>45</v>
      </c>
      <c r="G338" t="s">
        <v>116</v>
      </c>
      <c r="H338" t="s">
        <v>117</v>
      </c>
      <c r="I338" t="s">
        <v>42</v>
      </c>
      <c r="J338" s="8" t="str">
        <f t="shared" si="26"/>
        <v>High</v>
      </c>
      <c r="K338" s="4">
        <v>1374.72</v>
      </c>
      <c r="L338" s="4">
        <v>1374.72</v>
      </c>
      <c r="M338" s="4">
        <v>6.6000000000000003E-2</v>
      </c>
      <c r="N338" s="4">
        <v>22</v>
      </c>
      <c r="O338" s="4">
        <f t="shared" si="27"/>
        <v>36586.946879999996</v>
      </c>
    </row>
    <row r="339" spans="1:15" x14ac:dyDescent="0.3">
      <c r="A339" s="13">
        <v>45699</v>
      </c>
      <c r="B339" s="4" t="str">
        <f>TEXT(Data!B339,"MMM-YYYY")</f>
        <v>Jul-2023</v>
      </c>
      <c r="C339" s="4" t="str">
        <f t="shared" si="28"/>
        <v>Feb-2025</v>
      </c>
      <c r="D339" s="14">
        <f t="shared" si="29"/>
        <v>45699</v>
      </c>
      <c r="E339" s="4" t="str">
        <f t="shared" si="25"/>
        <v>Q1-2025</v>
      </c>
      <c r="F339" t="s">
        <v>52</v>
      </c>
      <c r="G339" t="s">
        <v>73</v>
      </c>
      <c r="H339" t="s">
        <v>1364</v>
      </c>
      <c r="I339" t="s">
        <v>30</v>
      </c>
      <c r="J339" s="8" t="str">
        <f t="shared" si="26"/>
        <v>High</v>
      </c>
      <c r="K339" s="4">
        <v>1318.37</v>
      </c>
      <c r="L339" s="4">
        <v>1318.37</v>
      </c>
      <c r="M339" s="4">
        <v>0.21</v>
      </c>
      <c r="N339" s="4">
        <v>37</v>
      </c>
      <c r="O339" s="4">
        <f t="shared" si="27"/>
        <v>32691.708900000005</v>
      </c>
    </row>
    <row r="340" spans="1:15" x14ac:dyDescent="0.3">
      <c r="A340" s="13">
        <v>45700</v>
      </c>
      <c r="B340" s="4" t="str">
        <f>TEXT(Data!B340,"MMM-YYYY")</f>
        <v>Jul-2023</v>
      </c>
      <c r="C340" s="4" t="str">
        <f t="shared" si="28"/>
        <v>Feb-2025</v>
      </c>
      <c r="D340" s="14">
        <f t="shared" si="29"/>
        <v>45700</v>
      </c>
      <c r="E340" s="4" t="str">
        <f t="shared" si="25"/>
        <v>Q1-2025</v>
      </c>
      <c r="F340" t="s">
        <v>16</v>
      </c>
      <c r="G340" t="s">
        <v>25</v>
      </c>
      <c r="H340" t="s">
        <v>26</v>
      </c>
      <c r="I340" t="s">
        <v>81</v>
      </c>
      <c r="J340" s="8" t="str">
        <f t="shared" si="26"/>
        <v>High</v>
      </c>
      <c r="K340" s="4">
        <v>441.74</v>
      </c>
      <c r="L340" s="4">
        <v>441.74</v>
      </c>
      <c r="M340" s="4">
        <v>0.24</v>
      </c>
      <c r="N340" s="4">
        <v>9</v>
      </c>
      <c r="O340" s="4">
        <f t="shared" si="27"/>
        <v>5274.4607999999998</v>
      </c>
    </row>
    <row r="341" spans="1:15" x14ac:dyDescent="0.3">
      <c r="A341" s="13">
        <v>45701</v>
      </c>
      <c r="B341" s="4" t="str">
        <f>TEXT(Data!B341,"MMM-YYYY")</f>
        <v>Jul-2023</v>
      </c>
      <c r="C341" s="4" t="str">
        <f t="shared" si="28"/>
        <v>Feb-2025</v>
      </c>
      <c r="D341" s="14">
        <f t="shared" si="29"/>
        <v>45701</v>
      </c>
      <c r="E341" s="4" t="str">
        <f t="shared" si="25"/>
        <v>Q1-2025</v>
      </c>
      <c r="F341" t="s">
        <v>16</v>
      </c>
      <c r="G341" t="s">
        <v>148</v>
      </c>
      <c r="H341" t="s">
        <v>172</v>
      </c>
      <c r="I341" t="s">
        <v>64</v>
      </c>
      <c r="J341" s="8" t="str">
        <f t="shared" si="26"/>
        <v>High</v>
      </c>
      <c r="K341" s="4">
        <v>1330.07</v>
      </c>
      <c r="L341" s="4">
        <v>1330.07</v>
      </c>
      <c r="M341" s="4">
        <v>0.29899999999999999</v>
      </c>
      <c r="N341" s="4">
        <v>28</v>
      </c>
      <c r="O341" s="4">
        <f t="shared" si="27"/>
        <v>23750.665119999998</v>
      </c>
    </row>
    <row r="342" spans="1:15" x14ac:dyDescent="0.3">
      <c r="A342" s="13">
        <v>45702</v>
      </c>
      <c r="B342" s="4" t="str">
        <f>TEXT(Data!B342,"MMM-YYYY")</f>
        <v>Apr-2023</v>
      </c>
      <c r="C342" s="4" t="str">
        <f t="shared" si="28"/>
        <v>Feb-2025</v>
      </c>
      <c r="D342" s="14">
        <f t="shared" si="29"/>
        <v>45702</v>
      </c>
      <c r="E342" s="4" t="str">
        <f t="shared" si="25"/>
        <v>Q1-2025</v>
      </c>
      <c r="F342" t="s">
        <v>16</v>
      </c>
      <c r="G342" t="s">
        <v>17</v>
      </c>
      <c r="H342" t="s">
        <v>33</v>
      </c>
      <c r="I342" t="s">
        <v>81</v>
      </c>
      <c r="J342" s="8" t="str">
        <f t="shared" si="26"/>
        <v>High</v>
      </c>
      <c r="K342" s="4">
        <v>1634.86</v>
      </c>
      <c r="L342" s="4">
        <v>1634.86</v>
      </c>
      <c r="M342" s="4">
        <v>0.56499999999999995</v>
      </c>
      <c r="N342" s="4">
        <v>24</v>
      </c>
      <c r="O342" s="4">
        <f t="shared" si="27"/>
        <v>31570.873200000005</v>
      </c>
    </row>
    <row r="343" spans="1:15" x14ac:dyDescent="0.3">
      <c r="A343" s="13">
        <v>45703</v>
      </c>
      <c r="B343" s="4" t="str">
        <f>TEXT(Data!B343,"MMM-YYYY")</f>
        <v>Oct-2024</v>
      </c>
      <c r="C343" s="4" t="str">
        <f t="shared" si="28"/>
        <v>Feb-2025</v>
      </c>
      <c r="D343" s="14">
        <f t="shared" si="29"/>
        <v>45703</v>
      </c>
      <c r="E343" s="4" t="str">
        <f t="shared" si="25"/>
        <v>Q1-2025</v>
      </c>
      <c r="F343" t="s">
        <v>52</v>
      </c>
      <c r="G343" t="s">
        <v>122</v>
      </c>
      <c r="H343" t="s">
        <v>167</v>
      </c>
      <c r="I343" t="s">
        <v>35</v>
      </c>
      <c r="J343" s="8" t="str">
        <f t="shared" si="26"/>
        <v>Medium</v>
      </c>
      <c r="K343" s="4">
        <v>70.599999999999994</v>
      </c>
      <c r="L343" s="4">
        <v>70.599999999999994</v>
      </c>
      <c r="M343" s="4">
        <v>0.28199999999999997</v>
      </c>
      <c r="N343" s="4">
        <v>22</v>
      </c>
      <c r="O343" s="4">
        <f t="shared" si="27"/>
        <v>36385.454160000001</v>
      </c>
    </row>
    <row r="344" spans="1:15" x14ac:dyDescent="0.3">
      <c r="A344" s="13">
        <v>45704</v>
      </c>
      <c r="B344" s="4" t="str">
        <f>TEXT(Data!B344,"MMM-YYYY")</f>
        <v>Feb-2024</v>
      </c>
      <c r="C344" s="4" t="str">
        <f t="shared" si="28"/>
        <v>Feb-2025</v>
      </c>
      <c r="D344" s="14">
        <f t="shared" si="29"/>
        <v>45704</v>
      </c>
      <c r="E344" s="4" t="str">
        <f t="shared" si="25"/>
        <v>Q1-2025</v>
      </c>
      <c r="F344" t="s">
        <v>16</v>
      </c>
      <c r="G344" t="s">
        <v>17</v>
      </c>
      <c r="H344" t="s">
        <v>33</v>
      </c>
      <c r="I344" t="s">
        <v>30</v>
      </c>
      <c r="J344" s="8" t="str">
        <f t="shared" si="26"/>
        <v>High</v>
      </c>
      <c r="K344" s="4">
        <v>1823.04</v>
      </c>
      <c r="L344" s="4">
        <v>1823.04</v>
      </c>
      <c r="M344" s="4">
        <v>0</v>
      </c>
      <c r="N344" s="4">
        <v>11</v>
      </c>
      <c r="O344" s="4">
        <f t="shared" si="27"/>
        <v>33921.800000000003</v>
      </c>
    </row>
    <row r="345" spans="1:15" x14ac:dyDescent="0.3">
      <c r="A345" s="13">
        <v>45705</v>
      </c>
      <c r="B345" s="4" t="str">
        <f>TEXT(Data!B345,"MMM-YYYY")</f>
        <v>Jul-2024</v>
      </c>
      <c r="C345" s="4" t="str">
        <f t="shared" si="28"/>
        <v>Feb-2025</v>
      </c>
      <c r="D345" s="14">
        <f t="shared" si="29"/>
        <v>45705</v>
      </c>
      <c r="E345" s="4" t="str">
        <f t="shared" si="25"/>
        <v>Q1-2025</v>
      </c>
      <c r="F345" t="s">
        <v>45</v>
      </c>
      <c r="G345" t="s">
        <v>60</v>
      </c>
      <c r="H345" t="s">
        <v>141</v>
      </c>
      <c r="I345" t="s">
        <v>42</v>
      </c>
      <c r="J345" s="8" t="str">
        <f t="shared" si="26"/>
        <v>High</v>
      </c>
      <c r="K345" s="4">
        <v>2015.99</v>
      </c>
      <c r="L345" s="4">
        <v>2015.99</v>
      </c>
      <c r="M345" s="4">
        <v>0.26100000000000001</v>
      </c>
      <c r="N345" s="4">
        <v>6</v>
      </c>
      <c r="O345" s="4">
        <f t="shared" si="27"/>
        <v>1430.8961399999998</v>
      </c>
    </row>
    <row r="346" spans="1:15" x14ac:dyDescent="0.3">
      <c r="A346" s="13">
        <v>45706</v>
      </c>
      <c r="B346" s="4" t="str">
        <f>TEXT(Data!B346,"MMM-YYYY")</f>
        <v>Dec-2023</v>
      </c>
      <c r="C346" s="4" t="str">
        <f t="shared" si="28"/>
        <v>Feb-2025</v>
      </c>
      <c r="D346" s="14">
        <f t="shared" si="29"/>
        <v>45706</v>
      </c>
      <c r="E346" s="4" t="str">
        <f t="shared" si="25"/>
        <v>Q1-2025</v>
      </c>
      <c r="F346" t="s">
        <v>45</v>
      </c>
      <c r="G346" t="s">
        <v>46</v>
      </c>
      <c r="H346" t="s">
        <v>231</v>
      </c>
      <c r="I346" t="s">
        <v>35</v>
      </c>
      <c r="J346" s="8" t="str">
        <f t="shared" si="26"/>
        <v>High</v>
      </c>
      <c r="K346" s="4">
        <v>244.13</v>
      </c>
      <c r="L346" s="4">
        <v>244.13</v>
      </c>
      <c r="M346" s="4">
        <v>7.0999999999999994E-2</v>
      </c>
      <c r="N346" s="4">
        <v>14</v>
      </c>
      <c r="O346" s="4">
        <f t="shared" si="27"/>
        <v>9511.1577400000006</v>
      </c>
    </row>
    <row r="347" spans="1:15" x14ac:dyDescent="0.3">
      <c r="A347" s="13">
        <v>45707</v>
      </c>
      <c r="B347" s="4" t="str">
        <f>TEXT(Data!B347,"MMM-YYYY")</f>
        <v>Jul-2024</v>
      </c>
      <c r="C347" s="4" t="str">
        <f t="shared" si="28"/>
        <v>Feb-2025</v>
      </c>
      <c r="D347" s="14">
        <f t="shared" si="29"/>
        <v>45707</v>
      </c>
      <c r="E347" s="4" t="str">
        <f t="shared" si="25"/>
        <v>Q1-2025</v>
      </c>
      <c r="F347" t="s">
        <v>45</v>
      </c>
      <c r="G347" t="s">
        <v>46</v>
      </c>
      <c r="H347" t="s">
        <v>231</v>
      </c>
      <c r="I347" t="s">
        <v>57</v>
      </c>
      <c r="J347" s="8" t="str">
        <f t="shared" si="26"/>
        <v>High</v>
      </c>
      <c r="K347" s="4">
        <v>2783.12</v>
      </c>
      <c r="L347" s="4">
        <v>2783.12</v>
      </c>
      <c r="M347" s="4">
        <v>0.02</v>
      </c>
      <c r="N347" s="4">
        <v>5</v>
      </c>
      <c r="O347" s="4">
        <f t="shared" si="27"/>
        <v>7516.3549999999996</v>
      </c>
    </row>
    <row r="348" spans="1:15" x14ac:dyDescent="0.3">
      <c r="A348" s="13">
        <v>45708</v>
      </c>
      <c r="B348" s="4" t="str">
        <f>TEXT(Data!B348,"MMM-YYYY")</f>
        <v>May-2023</v>
      </c>
      <c r="C348" s="4" t="str">
        <f t="shared" si="28"/>
        <v>Feb-2025</v>
      </c>
      <c r="D348" s="14">
        <f t="shared" si="29"/>
        <v>45708</v>
      </c>
      <c r="E348" s="4" t="str">
        <f t="shared" si="25"/>
        <v>Q1-2025</v>
      </c>
      <c r="F348" t="s">
        <v>52</v>
      </c>
      <c r="G348" t="s">
        <v>53</v>
      </c>
      <c r="H348" t="s">
        <v>144</v>
      </c>
      <c r="I348" t="s">
        <v>81</v>
      </c>
      <c r="J348" s="8" t="str">
        <f t="shared" si="26"/>
        <v>High</v>
      </c>
      <c r="K348" s="4">
        <v>2050.31</v>
      </c>
      <c r="L348" s="4">
        <v>2050.31</v>
      </c>
      <c r="M348" s="4">
        <v>0.10299999999999999</v>
      </c>
      <c r="N348" s="4">
        <v>43</v>
      </c>
      <c r="O348" s="4">
        <f t="shared" si="27"/>
        <v>60620.497860000003</v>
      </c>
    </row>
    <row r="349" spans="1:15" x14ac:dyDescent="0.3">
      <c r="A349" s="13">
        <v>45709</v>
      </c>
      <c r="B349" s="4" t="str">
        <f>TEXT(Data!B349,"MMM-YYYY")</f>
        <v>Dec-2023</v>
      </c>
      <c r="C349" s="4" t="str">
        <f t="shared" si="28"/>
        <v>Feb-2025</v>
      </c>
      <c r="D349" s="14">
        <f t="shared" si="29"/>
        <v>45709</v>
      </c>
      <c r="E349" s="4" t="str">
        <f t="shared" si="25"/>
        <v>Q1-2025</v>
      </c>
      <c r="F349" t="s">
        <v>16</v>
      </c>
      <c r="G349" t="s">
        <v>25</v>
      </c>
      <c r="H349" t="s">
        <v>67</v>
      </c>
      <c r="I349" t="s">
        <v>42</v>
      </c>
      <c r="J349" s="8" t="str">
        <f t="shared" si="26"/>
        <v>Medium</v>
      </c>
      <c r="K349" s="4">
        <v>147.12</v>
      </c>
      <c r="L349" s="4">
        <v>147.12</v>
      </c>
      <c r="M349" s="4">
        <v>0</v>
      </c>
      <c r="N349" s="4">
        <v>15</v>
      </c>
      <c r="O349" s="4">
        <f t="shared" si="27"/>
        <v>3760.95</v>
      </c>
    </row>
    <row r="350" spans="1:15" x14ac:dyDescent="0.3">
      <c r="A350" s="13">
        <v>45710</v>
      </c>
      <c r="B350" s="4" t="str">
        <f>TEXT(Data!B350,"MMM-YYYY")</f>
        <v>Jun-2025</v>
      </c>
      <c r="C350" s="4" t="str">
        <f t="shared" si="28"/>
        <v>Feb-2025</v>
      </c>
      <c r="D350" s="14">
        <f t="shared" si="29"/>
        <v>45710</v>
      </c>
      <c r="E350" s="4" t="str">
        <f t="shared" si="25"/>
        <v>Q1-2025</v>
      </c>
      <c r="F350" t="s">
        <v>16</v>
      </c>
      <c r="G350" t="s">
        <v>25</v>
      </c>
      <c r="H350" t="s">
        <v>1364</v>
      </c>
      <c r="I350" t="s">
        <v>22</v>
      </c>
      <c r="J350" s="8" t="str">
        <f t="shared" si="26"/>
        <v>High</v>
      </c>
      <c r="K350" s="4">
        <v>1982.98</v>
      </c>
      <c r="L350" s="4">
        <v>1982.98</v>
      </c>
      <c r="M350" s="4">
        <v>0.14399999999999999</v>
      </c>
      <c r="N350" s="4">
        <v>16</v>
      </c>
      <c r="O350" s="4">
        <f t="shared" si="27"/>
        <v>47563.605759999999</v>
      </c>
    </row>
    <row r="351" spans="1:15" x14ac:dyDescent="0.3">
      <c r="A351" s="13">
        <v>45711</v>
      </c>
      <c r="B351" s="4" t="str">
        <f>TEXT(Data!B351,"MMM-YYYY")</f>
        <v>Feb-2023</v>
      </c>
      <c r="C351" s="4" t="str">
        <f t="shared" si="28"/>
        <v>Feb-2025</v>
      </c>
      <c r="D351" s="14">
        <f t="shared" si="29"/>
        <v>45711</v>
      </c>
      <c r="E351" s="4" t="str">
        <f t="shared" si="25"/>
        <v>Q1-2025</v>
      </c>
      <c r="F351" t="s">
        <v>45</v>
      </c>
      <c r="G351" t="s">
        <v>60</v>
      </c>
      <c r="H351" t="s">
        <v>141</v>
      </c>
      <c r="I351" t="s">
        <v>57</v>
      </c>
      <c r="J351" s="8" t="str">
        <f t="shared" si="26"/>
        <v>High</v>
      </c>
      <c r="K351" s="4">
        <v>2299.3000000000002</v>
      </c>
      <c r="L351" s="4">
        <v>2299.3000000000002</v>
      </c>
      <c r="M351" s="4">
        <v>0.113</v>
      </c>
      <c r="N351" s="4">
        <v>6</v>
      </c>
      <c r="O351" s="4">
        <f t="shared" si="27"/>
        <v>6418.5448799999995</v>
      </c>
    </row>
    <row r="352" spans="1:15" x14ac:dyDescent="0.3">
      <c r="A352" s="13">
        <v>45712</v>
      </c>
      <c r="B352" s="4" t="str">
        <f>TEXT(Data!B352,"MMM-YYYY")</f>
        <v>Dec-2023</v>
      </c>
      <c r="C352" s="4" t="str">
        <f t="shared" si="28"/>
        <v>Feb-2025</v>
      </c>
      <c r="D352" s="14">
        <f t="shared" si="29"/>
        <v>45712</v>
      </c>
      <c r="E352" s="4" t="str">
        <f t="shared" si="25"/>
        <v>Q1-2025</v>
      </c>
      <c r="F352" t="s">
        <v>78</v>
      </c>
      <c r="G352" t="s">
        <v>108</v>
      </c>
      <c r="H352" t="s">
        <v>228</v>
      </c>
      <c r="I352" t="s">
        <v>30</v>
      </c>
      <c r="J352" s="8" t="str">
        <f t="shared" si="26"/>
        <v>High</v>
      </c>
      <c r="K352" s="4">
        <v>462.61</v>
      </c>
      <c r="L352" s="4">
        <v>462.61</v>
      </c>
      <c r="M352" s="4">
        <v>0.188</v>
      </c>
      <c r="N352" s="4">
        <v>11</v>
      </c>
      <c r="O352" s="4">
        <f t="shared" si="27"/>
        <v>19625.658360000001</v>
      </c>
    </row>
    <row r="353" spans="1:15" x14ac:dyDescent="0.3">
      <c r="A353" s="13">
        <v>45713</v>
      </c>
      <c r="B353" s="4" t="str">
        <f>TEXT(Data!B353,"MMM-YYYY")</f>
        <v>Jul-2023</v>
      </c>
      <c r="C353" s="4" t="str">
        <f t="shared" si="28"/>
        <v>Feb-2025</v>
      </c>
      <c r="D353" s="14">
        <f t="shared" si="29"/>
        <v>45713</v>
      </c>
      <c r="E353" s="4" t="str">
        <f t="shared" si="25"/>
        <v>Q1-2025</v>
      </c>
      <c r="F353" t="s">
        <v>78</v>
      </c>
      <c r="G353" t="s">
        <v>79</v>
      </c>
      <c r="H353" t="s">
        <v>335</v>
      </c>
      <c r="I353" t="s">
        <v>64</v>
      </c>
      <c r="J353" s="8" t="str">
        <f t="shared" si="26"/>
        <v>High</v>
      </c>
      <c r="K353" s="4">
        <v>1093.3900000000001</v>
      </c>
      <c r="L353" s="4">
        <v>1093.3900000000001</v>
      </c>
      <c r="M353" s="4">
        <v>0.113</v>
      </c>
      <c r="N353" s="4">
        <v>17</v>
      </c>
      <c r="O353" s="4">
        <f t="shared" si="27"/>
        <v>24437.027399999999</v>
      </c>
    </row>
    <row r="354" spans="1:15" x14ac:dyDescent="0.3">
      <c r="A354" s="13">
        <v>45714</v>
      </c>
      <c r="B354" s="4" t="str">
        <f>TEXT(Data!B354,"MMM-YYYY")</f>
        <v>Aug-2024</v>
      </c>
      <c r="C354" s="4" t="str">
        <f t="shared" si="28"/>
        <v>Feb-2025</v>
      </c>
      <c r="D354" s="14">
        <f t="shared" si="29"/>
        <v>45714</v>
      </c>
      <c r="E354" s="4" t="str">
        <f t="shared" si="25"/>
        <v>Q1-2025</v>
      </c>
      <c r="F354" t="s">
        <v>16</v>
      </c>
      <c r="G354" t="s">
        <v>25</v>
      </c>
      <c r="H354" t="s">
        <v>38</v>
      </c>
      <c r="I354" t="s">
        <v>81</v>
      </c>
      <c r="J354" s="8" t="str">
        <f t="shared" si="26"/>
        <v>High</v>
      </c>
      <c r="K354" s="4">
        <v>1454.22</v>
      </c>
      <c r="L354" s="4">
        <v>1454.22</v>
      </c>
      <c r="M354" s="4">
        <v>3.9E-2</v>
      </c>
      <c r="N354" s="4">
        <v>19</v>
      </c>
      <c r="O354" s="4">
        <f t="shared" si="27"/>
        <v>18891.856940000001</v>
      </c>
    </row>
    <row r="355" spans="1:15" x14ac:dyDescent="0.3">
      <c r="A355" s="13">
        <v>45715</v>
      </c>
      <c r="B355" s="4" t="str">
        <f>TEXT(Data!B355,"MMM-YYYY")</f>
        <v>Nov-2024</v>
      </c>
      <c r="C355" s="4" t="str">
        <f t="shared" si="28"/>
        <v>Feb-2025</v>
      </c>
      <c r="D355" s="14">
        <f t="shared" si="29"/>
        <v>45715</v>
      </c>
      <c r="E355" s="4" t="str">
        <f t="shared" si="25"/>
        <v>Q1-2025</v>
      </c>
      <c r="F355" t="s">
        <v>45</v>
      </c>
      <c r="G355" t="s">
        <v>46</v>
      </c>
      <c r="H355" t="s">
        <v>47</v>
      </c>
      <c r="I355" t="s">
        <v>35</v>
      </c>
      <c r="J355" s="8" t="str">
        <f t="shared" si="26"/>
        <v>High</v>
      </c>
      <c r="K355" s="4">
        <v>2120.4</v>
      </c>
      <c r="L355" s="4">
        <v>2120.4</v>
      </c>
      <c r="M355" s="4">
        <v>0.17899999999999999</v>
      </c>
      <c r="N355" s="4">
        <v>20</v>
      </c>
      <c r="O355" s="4">
        <f t="shared" si="27"/>
        <v>31286.9964</v>
      </c>
    </row>
    <row r="356" spans="1:15" x14ac:dyDescent="0.3">
      <c r="A356" s="13">
        <v>45716</v>
      </c>
      <c r="B356" s="4" t="str">
        <f>TEXT(Data!B356,"MMM-YYYY")</f>
        <v>Jan-2024</v>
      </c>
      <c r="C356" s="4" t="str">
        <f t="shared" si="28"/>
        <v>Feb-2025</v>
      </c>
      <c r="D356" s="14">
        <f t="shared" si="29"/>
        <v>45716</v>
      </c>
      <c r="E356" s="4" t="str">
        <f t="shared" si="25"/>
        <v>Q1-2025</v>
      </c>
      <c r="F356" t="s">
        <v>52</v>
      </c>
      <c r="G356" t="s">
        <v>73</v>
      </c>
      <c r="H356" t="s">
        <v>225</v>
      </c>
      <c r="I356" t="s">
        <v>30</v>
      </c>
      <c r="J356" s="8" t="str">
        <f t="shared" si="26"/>
        <v>Medium</v>
      </c>
      <c r="K356" s="4">
        <v>128.68</v>
      </c>
      <c r="L356" s="4">
        <v>128.68</v>
      </c>
      <c r="M356" s="4">
        <v>0.128</v>
      </c>
      <c r="N356" s="4">
        <v>10</v>
      </c>
      <c r="O356" s="4">
        <f t="shared" si="27"/>
        <v>4722.4031999999997</v>
      </c>
    </row>
    <row r="357" spans="1:15" x14ac:dyDescent="0.3">
      <c r="A357" s="13">
        <v>45717</v>
      </c>
      <c r="B357" s="4" t="str">
        <f>TEXT(Data!B357,"MMM-YYYY")</f>
        <v>Aug-2025</v>
      </c>
      <c r="C357" s="4" t="str">
        <f t="shared" si="28"/>
        <v>Mar-2025</v>
      </c>
      <c r="D357" s="14">
        <f t="shared" si="29"/>
        <v>45717</v>
      </c>
      <c r="E357" s="4" t="str">
        <f t="shared" si="25"/>
        <v>Q1-2025</v>
      </c>
      <c r="F357" t="s">
        <v>78</v>
      </c>
      <c r="G357" t="s">
        <v>108</v>
      </c>
      <c r="H357" t="s">
        <v>228</v>
      </c>
      <c r="I357" t="s">
        <v>81</v>
      </c>
      <c r="J357" s="8" t="str">
        <f t="shared" si="26"/>
        <v>High</v>
      </c>
      <c r="K357" s="4">
        <v>1325.96</v>
      </c>
      <c r="L357" s="4">
        <v>1325.96</v>
      </c>
      <c r="M357" s="4">
        <v>0.16700000000000001</v>
      </c>
      <c r="N357" s="4">
        <v>21</v>
      </c>
      <c r="O357" s="4">
        <f t="shared" si="27"/>
        <v>19532.683799999999</v>
      </c>
    </row>
    <row r="358" spans="1:15" x14ac:dyDescent="0.3">
      <c r="A358" s="13">
        <v>45718</v>
      </c>
      <c r="B358" s="4" t="str">
        <f>TEXT(Data!B358,"MMM-YYYY")</f>
        <v>Apr-2024</v>
      </c>
      <c r="C358" s="4" t="str">
        <f t="shared" si="28"/>
        <v>Mar-2025</v>
      </c>
      <c r="D358" s="14">
        <f t="shared" si="29"/>
        <v>45718</v>
      </c>
      <c r="E358" s="4" t="str">
        <f t="shared" si="25"/>
        <v>Q1-2025</v>
      </c>
      <c r="F358" t="s">
        <v>52</v>
      </c>
      <c r="G358" t="s">
        <v>73</v>
      </c>
      <c r="H358" t="s">
        <v>74</v>
      </c>
      <c r="I358" t="s">
        <v>30</v>
      </c>
      <c r="J358" s="8" t="str">
        <f t="shared" si="26"/>
        <v>High</v>
      </c>
      <c r="K358" s="4">
        <v>2439.33</v>
      </c>
      <c r="L358" s="4">
        <v>2439.33</v>
      </c>
      <c r="M358" s="4">
        <v>0</v>
      </c>
      <c r="N358" s="4">
        <v>18</v>
      </c>
      <c r="O358" s="4">
        <f t="shared" si="27"/>
        <v>26190</v>
      </c>
    </row>
    <row r="359" spans="1:15" x14ac:dyDescent="0.3">
      <c r="A359" s="13">
        <v>45719</v>
      </c>
      <c r="B359" s="4" t="str">
        <f>TEXT(Data!B359,"MMM-YYYY")</f>
        <v>Nov-2024</v>
      </c>
      <c r="C359" s="4" t="str">
        <f t="shared" si="28"/>
        <v>Mar-2025</v>
      </c>
      <c r="D359" s="14">
        <f t="shared" si="29"/>
        <v>45719</v>
      </c>
      <c r="E359" s="4" t="str">
        <f t="shared" si="25"/>
        <v>Q1-2025</v>
      </c>
      <c r="F359" t="s">
        <v>52</v>
      </c>
      <c r="G359" t="s">
        <v>73</v>
      </c>
      <c r="H359" t="s">
        <v>87</v>
      </c>
      <c r="I359" t="s">
        <v>35</v>
      </c>
      <c r="J359" s="8" t="str">
        <f t="shared" si="26"/>
        <v>High</v>
      </c>
      <c r="K359" s="4">
        <v>2201.54</v>
      </c>
      <c r="L359" s="4">
        <v>2201.54</v>
      </c>
      <c r="M359" s="4">
        <v>0.17</v>
      </c>
      <c r="N359" s="4">
        <v>27</v>
      </c>
      <c r="O359" s="4">
        <f t="shared" si="27"/>
        <v>28646.702999999998</v>
      </c>
    </row>
    <row r="360" spans="1:15" x14ac:dyDescent="0.3">
      <c r="A360" s="13">
        <v>45720</v>
      </c>
      <c r="B360" s="4" t="str">
        <f>TEXT(Data!B360,"MMM-YYYY")</f>
        <v>Jan-2024</v>
      </c>
      <c r="C360" s="4" t="str">
        <f t="shared" si="28"/>
        <v>Mar-2025</v>
      </c>
      <c r="D360" s="14">
        <f t="shared" si="29"/>
        <v>45720</v>
      </c>
      <c r="E360" s="4" t="str">
        <f t="shared" si="25"/>
        <v>Q1-2025</v>
      </c>
      <c r="F360" t="s">
        <v>45</v>
      </c>
      <c r="G360" t="s">
        <v>116</v>
      </c>
      <c r="H360" t="s">
        <v>162</v>
      </c>
      <c r="I360" t="s">
        <v>81</v>
      </c>
      <c r="J360" s="8" t="str">
        <f t="shared" si="26"/>
        <v>High</v>
      </c>
      <c r="K360" s="4">
        <v>814.36</v>
      </c>
      <c r="L360" s="4">
        <v>814.36</v>
      </c>
      <c r="M360" s="4">
        <v>0</v>
      </c>
      <c r="N360" s="4">
        <v>5</v>
      </c>
      <c r="O360" s="4">
        <f t="shared" si="27"/>
        <v>4499.1500000000005</v>
      </c>
    </row>
    <row r="361" spans="1:15" x14ac:dyDescent="0.3">
      <c r="A361" s="13">
        <v>45721</v>
      </c>
      <c r="B361" s="4" t="str">
        <f>TEXT(Data!B361,"MMM-YYYY")</f>
        <v>Jun-2024</v>
      </c>
      <c r="C361" s="4" t="str">
        <f t="shared" si="28"/>
        <v>Mar-2025</v>
      </c>
      <c r="D361" s="14">
        <f t="shared" si="29"/>
        <v>45721</v>
      </c>
      <c r="E361" s="4" t="str">
        <f t="shared" si="25"/>
        <v>Q1-2025</v>
      </c>
      <c r="F361" t="s">
        <v>16</v>
      </c>
      <c r="G361" t="s">
        <v>148</v>
      </c>
      <c r="H361" t="s">
        <v>258</v>
      </c>
      <c r="I361" t="s">
        <v>30</v>
      </c>
      <c r="J361" s="8" t="str">
        <f t="shared" si="26"/>
        <v>High</v>
      </c>
      <c r="K361" s="4">
        <v>1382.91</v>
      </c>
      <c r="L361" s="4">
        <v>1382.91</v>
      </c>
      <c r="M361" s="4">
        <v>0.17599999999999999</v>
      </c>
      <c r="N361" s="4">
        <v>13</v>
      </c>
      <c r="O361" s="4">
        <f t="shared" si="27"/>
        <v>9412.9557600000007</v>
      </c>
    </row>
    <row r="362" spans="1:15" x14ac:dyDescent="0.3">
      <c r="A362" s="13">
        <v>45722</v>
      </c>
      <c r="B362" s="4" t="str">
        <f>TEXT(Data!B362,"MMM-YYYY")</f>
        <v>Jun-2025</v>
      </c>
      <c r="C362" s="4" t="str">
        <f t="shared" si="28"/>
        <v>Mar-2025</v>
      </c>
      <c r="D362" s="14">
        <f t="shared" si="29"/>
        <v>45722</v>
      </c>
      <c r="E362" s="4" t="str">
        <f t="shared" si="25"/>
        <v>Q1-2025</v>
      </c>
      <c r="F362" t="s">
        <v>78</v>
      </c>
      <c r="G362" t="s">
        <v>108</v>
      </c>
      <c r="H362" t="s">
        <v>109</v>
      </c>
      <c r="I362" t="s">
        <v>81</v>
      </c>
      <c r="J362" s="8" t="str">
        <f t="shared" si="26"/>
        <v>High</v>
      </c>
      <c r="K362" s="4">
        <v>1646.43</v>
      </c>
      <c r="L362" s="4">
        <v>1646.43</v>
      </c>
      <c r="M362" s="4">
        <v>0.11</v>
      </c>
      <c r="N362" s="4">
        <v>24</v>
      </c>
      <c r="O362" s="4">
        <f t="shared" si="27"/>
        <v>12696.811199999998</v>
      </c>
    </row>
    <row r="363" spans="1:15" x14ac:dyDescent="0.3">
      <c r="A363" s="13">
        <v>45723</v>
      </c>
      <c r="B363" s="4" t="str">
        <f>TEXT(Data!B363,"MMM-YYYY")</f>
        <v>Jul-2023</v>
      </c>
      <c r="C363" s="4" t="str">
        <f t="shared" si="28"/>
        <v>Mar-2025</v>
      </c>
      <c r="D363" s="14">
        <f t="shared" si="29"/>
        <v>45723</v>
      </c>
      <c r="E363" s="4" t="str">
        <f t="shared" si="25"/>
        <v>Q1-2025</v>
      </c>
      <c r="F363" t="s">
        <v>78</v>
      </c>
      <c r="G363" t="s">
        <v>108</v>
      </c>
      <c r="H363" t="s">
        <v>109</v>
      </c>
      <c r="I363" t="s">
        <v>42</v>
      </c>
      <c r="J363" s="8" t="str">
        <f t="shared" si="26"/>
        <v>High</v>
      </c>
      <c r="K363" s="4">
        <v>400.84</v>
      </c>
      <c r="L363" s="4">
        <v>400.84</v>
      </c>
      <c r="M363" s="4">
        <v>7.8E-2</v>
      </c>
      <c r="N363" s="4">
        <v>13</v>
      </c>
      <c r="O363" s="4">
        <f t="shared" si="27"/>
        <v>19391.5501</v>
      </c>
    </row>
    <row r="364" spans="1:15" x14ac:dyDescent="0.3">
      <c r="A364" s="13">
        <v>45724</v>
      </c>
      <c r="B364" s="4" t="str">
        <f>TEXT(Data!B364,"MMM-YYYY")</f>
        <v>Mar-2024</v>
      </c>
      <c r="C364" s="4" t="str">
        <f t="shared" si="28"/>
        <v>Mar-2025</v>
      </c>
      <c r="D364" s="14">
        <f t="shared" si="29"/>
        <v>45724</v>
      </c>
      <c r="E364" s="4" t="str">
        <f t="shared" si="25"/>
        <v>Q1-2025</v>
      </c>
      <c r="F364" t="s">
        <v>16</v>
      </c>
      <c r="G364" t="s">
        <v>25</v>
      </c>
      <c r="H364" t="s">
        <v>26</v>
      </c>
      <c r="I364" t="s">
        <v>57</v>
      </c>
      <c r="J364" s="8" t="str">
        <f t="shared" si="26"/>
        <v>High</v>
      </c>
      <c r="K364" s="4">
        <v>1780.56</v>
      </c>
      <c r="L364" s="4">
        <v>1780.56</v>
      </c>
      <c r="M364" s="4">
        <v>1.4E-2</v>
      </c>
      <c r="N364" s="4">
        <v>47</v>
      </c>
      <c r="O364" s="4">
        <f t="shared" si="27"/>
        <v>45086.595219999996</v>
      </c>
    </row>
    <row r="365" spans="1:15" x14ac:dyDescent="0.3">
      <c r="A365" s="13">
        <v>45725</v>
      </c>
      <c r="B365" s="4" t="str">
        <f>TEXT(Data!B365,"MMM-YYYY")</f>
        <v>Jun-2023</v>
      </c>
      <c r="C365" s="4" t="str">
        <f t="shared" si="28"/>
        <v>Mar-2025</v>
      </c>
      <c r="D365" s="14">
        <f t="shared" si="29"/>
        <v>45725</v>
      </c>
      <c r="E365" s="4" t="str">
        <f t="shared" si="25"/>
        <v>Q1-2025</v>
      </c>
      <c r="F365" t="s">
        <v>45</v>
      </c>
      <c r="G365" t="s">
        <v>116</v>
      </c>
      <c r="H365" t="s">
        <v>117</v>
      </c>
      <c r="I365" t="s">
        <v>64</v>
      </c>
      <c r="J365" s="8" t="str">
        <f t="shared" si="26"/>
        <v>High</v>
      </c>
      <c r="K365" s="4">
        <v>1118.43</v>
      </c>
      <c r="L365" s="4">
        <v>1118.43</v>
      </c>
      <c r="M365" s="4">
        <v>0.27200000000000002</v>
      </c>
      <c r="N365" s="4">
        <v>9</v>
      </c>
      <c r="O365" s="4">
        <f t="shared" si="27"/>
        <v>278.85311999999999</v>
      </c>
    </row>
    <row r="366" spans="1:15" x14ac:dyDescent="0.3">
      <c r="A366" s="13">
        <v>45726</v>
      </c>
      <c r="B366" s="4" t="str">
        <f>TEXT(Data!B366,"MMM-YYYY")</f>
        <v>Mar-2025</v>
      </c>
      <c r="C366" s="4" t="str">
        <f t="shared" si="28"/>
        <v>Mar-2025</v>
      </c>
      <c r="D366" s="14">
        <f t="shared" si="29"/>
        <v>45726</v>
      </c>
      <c r="E366" s="4" t="str">
        <f t="shared" si="25"/>
        <v>Q1-2025</v>
      </c>
      <c r="F366" t="s">
        <v>78</v>
      </c>
      <c r="G366" t="s">
        <v>108</v>
      </c>
      <c r="H366" t="s">
        <v>109</v>
      </c>
      <c r="I366" t="s">
        <v>30</v>
      </c>
      <c r="J366" s="8" t="str">
        <f t="shared" si="26"/>
        <v>High</v>
      </c>
      <c r="K366" s="4">
        <v>771.12</v>
      </c>
      <c r="L366" s="4">
        <v>771.12</v>
      </c>
      <c r="M366" s="4">
        <v>0.13200000000000001</v>
      </c>
      <c r="N366" s="4">
        <v>19</v>
      </c>
      <c r="O366" s="4">
        <f t="shared" si="27"/>
        <v>24421.848359999996</v>
      </c>
    </row>
    <row r="367" spans="1:15" x14ac:dyDescent="0.3">
      <c r="A367" s="13">
        <v>45727</v>
      </c>
      <c r="B367" s="4" t="str">
        <f>TEXT(Data!B367,"MMM-YYYY")</f>
        <v>Jun-2024</v>
      </c>
      <c r="C367" s="4" t="str">
        <f t="shared" si="28"/>
        <v>Mar-2025</v>
      </c>
      <c r="D367" s="14">
        <f t="shared" si="29"/>
        <v>45727</v>
      </c>
      <c r="E367" s="4" t="str">
        <f t="shared" si="25"/>
        <v>Q1-2025</v>
      </c>
      <c r="F367" t="s">
        <v>45</v>
      </c>
      <c r="G367" t="s">
        <v>46</v>
      </c>
      <c r="H367" t="s">
        <v>214</v>
      </c>
      <c r="I367" t="s">
        <v>22</v>
      </c>
      <c r="J367" s="8" t="str">
        <f t="shared" si="26"/>
        <v>High</v>
      </c>
      <c r="K367" s="4">
        <v>1210.04</v>
      </c>
      <c r="L367" s="4">
        <v>1210.04</v>
      </c>
      <c r="M367" s="4">
        <v>8.9999999999999993E-3</v>
      </c>
      <c r="N367" s="4">
        <v>18</v>
      </c>
      <c r="O367" s="4">
        <f t="shared" si="27"/>
        <v>10065.26988</v>
      </c>
    </row>
    <row r="368" spans="1:15" x14ac:dyDescent="0.3">
      <c r="A368" s="13">
        <v>45728</v>
      </c>
      <c r="B368" s="4" t="str">
        <f>TEXT(Data!B368,"MMM-YYYY")</f>
        <v>Mar-2025</v>
      </c>
      <c r="C368" s="4" t="str">
        <f t="shared" si="28"/>
        <v>Mar-2025</v>
      </c>
      <c r="D368" s="14">
        <f t="shared" si="29"/>
        <v>45728</v>
      </c>
      <c r="E368" s="4" t="str">
        <f t="shared" si="25"/>
        <v>Q1-2025</v>
      </c>
      <c r="F368" t="s">
        <v>16</v>
      </c>
      <c r="G368" t="s">
        <v>17</v>
      </c>
      <c r="H368" t="s">
        <v>113</v>
      </c>
      <c r="I368" t="s">
        <v>42</v>
      </c>
      <c r="J368" s="8" t="str">
        <f t="shared" si="26"/>
        <v>High</v>
      </c>
      <c r="K368" s="4">
        <v>3024.03</v>
      </c>
      <c r="L368" s="4">
        <v>3024.03</v>
      </c>
      <c r="M368" s="4">
        <v>0.192</v>
      </c>
      <c r="N368" s="4">
        <v>8</v>
      </c>
      <c r="O368" s="4">
        <f t="shared" si="27"/>
        <v>13814.925440000001</v>
      </c>
    </row>
    <row r="369" spans="1:15" x14ac:dyDescent="0.3">
      <c r="A369" s="13">
        <v>45729</v>
      </c>
      <c r="B369" s="4" t="str">
        <f>TEXT(Data!B369,"MMM-YYYY")</f>
        <v>Sept-2023</v>
      </c>
      <c r="C369" s="4" t="str">
        <f t="shared" si="28"/>
        <v>Mar-2025</v>
      </c>
      <c r="D369" s="14">
        <f t="shared" si="29"/>
        <v>45729</v>
      </c>
      <c r="E369" s="4" t="str">
        <f t="shared" si="25"/>
        <v>Q1-2025</v>
      </c>
      <c r="F369" t="s">
        <v>45</v>
      </c>
      <c r="G369" t="s">
        <v>60</v>
      </c>
      <c r="H369" t="s">
        <v>220</v>
      </c>
      <c r="I369" t="s">
        <v>22</v>
      </c>
      <c r="J369" s="8" t="str">
        <f t="shared" si="26"/>
        <v>High</v>
      </c>
      <c r="K369" s="4">
        <v>2303.46</v>
      </c>
      <c r="L369" s="4">
        <v>2303.46</v>
      </c>
      <c r="M369" s="4">
        <v>0.105</v>
      </c>
      <c r="N369" s="4">
        <v>9</v>
      </c>
      <c r="O369" s="4">
        <f t="shared" si="27"/>
        <v>13539.891150000001</v>
      </c>
    </row>
    <row r="370" spans="1:15" x14ac:dyDescent="0.3">
      <c r="A370" s="13">
        <v>45730</v>
      </c>
      <c r="B370" s="4" t="str">
        <f>TEXT(Data!B370,"MMM-YYYY")</f>
        <v>Jun-2025</v>
      </c>
      <c r="C370" s="4" t="str">
        <f t="shared" si="28"/>
        <v>Mar-2025</v>
      </c>
      <c r="D370" s="14">
        <f t="shared" si="29"/>
        <v>45730</v>
      </c>
      <c r="E370" s="4" t="str">
        <f t="shared" si="25"/>
        <v>Q1-2025</v>
      </c>
      <c r="F370" t="s">
        <v>52</v>
      </c>
      <c r="G370" t="s">
        <v>122</v>
      </c>
      <c r="H370" t="s">
        <v>387</v>
      </c>
      <c r="I370" t="s">
        <v>57</v>
      </c>
      <c r="J370" s="8" t="str">
        <f t="shared" si="26"/>
        <v>High</v>
      </c>
      <c r="K370" s="4">
        <v>3083.8</v>
      </c>
      <c r="L370" s="4">
        <v>3083.8</v>
      </c>
      <c r="M370" s="4">
        <v>0.106</v>
      </c>
      <c r="N370" s="4">
        <v>5</v>
      </c>
      <c r="O370" s="4">
        <f t="shared" si="27"/>
        <v>12985.618199999999</v>
      </c>
    </row>
    <row r="371" spans="1:15" x14ac:dyDescent="0.3">
      <c r="A371" s="13">
        <v>45731</v>
      </c>
      <c r="B371" s="4" t="str">
        <f>TEXT(Data!B371,"MMM-YYYY")</f>
        <v>Dec-2023</v>
      </c>
      <c r="C371" s="4" t="str">
        <f t="shared" si="28"/>
        <v>Mar-2025</v>
      </c>
      <c r="D371" s="14">
        <f t="shared" si="29"/>
        <v>45731</v>
      </c>
      <c r="E371" s="4" t="str">
        <f t="shared" si="25"/>
        <v>Q1-2025</v>
      </c>
      <c r="F371" t="s">
        <v>52</v>
      </c>
      <c r="G371" t="s">
        <v>53</v>
      </c>
      <c r="H371" t="s">
        <v>179</v>
      </c>
      <c r="I371" t="s">
        <v>30</v>
      </c>
      <c r="J371" s="8" t="str">
        <f t="shared" si="26"/>
        <v>High</v>
      </c>
      <c r="K371" s="4">
        <v>322.70999999999998</v>
      </c>
      <c r="L371" s="4">
        <v>322.70999999999998</v>
      </c>
      <c r="M371" s="4">
        <v>0.115</v>
      </c>
      <c r="N371" s="4">
        <v>16</v>
      </c>
      <c r="O371" s="4">
        <f t="shared" si="27"/>
        <v>11923.994400000001</v>
      </c>
    </row>
    <row r="372" spans="1:15" x14ac:dyDescent="0.3">
      <c r="A372" s="13">
        <v>45732</v>
      </c>
      <c r="B372" s="4" t="str">
        <f>TEXT(Data!B372,"MMM-YYYY")</f>
        <v>Feb-2023</v>
      </c>
      <c r="C372" s="4" t="str">
        <f t="shared" si="28"/>
        <v>Mar-2025</v>
      </c>
      <c r="D372" s="14">
        <f t="shared" si="29"/>
        <v>45732</v>
      </c>
      <c r="E372" s="4" t="str">
        <f t="shared" si="25"/>
        <v>Q1-2025</v>
      </c>
      <c r="F372" t="s">
        <v>78</v>
      </c>
      <c r="G372" t="s">
        <v>90</v>
      </c>
      <c r="H372" t="s">
        <v>138</v>
      </c>
      <c r="I372" t="s">
        <v>57</v>
      </c>
      <c r="J372" s="8" t="str">
        <f t="shared" si="26"/>
        <v>High</v>
      </c>
      <c r="K372" s="4">
        <v>731.29</v>
      </c>
      <c r="L372" s="4">
        <v>731.29</v>
      </c>
      <c r="M372" s="4">
        <v>5.8000000000000003E-2</v>
      </c>
      <c r="N372" s="4">
        <v>6</v>
      </c>
      <c r="O372" s="4">
        <f t="shared" si="27"/>
        <v>17698.503240000002</v>
      </c>
    </row>
    <row r="373" spans="1:15" x14ac:dyDescent="0.3">
      <c r="A373" s="13">
        <v>45733</v>
      </c>
      <c r="B373" s="4" t="str">
        <f>TEXT(Data!B373,"MMM-YYYY")</f>
        <v>Apr-2023</v>
      </c>
      <c r="C373" s="4" t="str">
        <f t="shared" si="28"/>
        <v>Mar-2025</v>
      </c>
      <c r="D373" s="14">
        <f t="shared" si="29"/>
        <v>45733</v>
      </c>
      <c r="E373" s="4" t="str">
        <f t="shared" si="25"/>
        <v>Q1-2025</v>
      </c>
      <c r="F373" t="s">
        <v>52</v>
      </c>
      <c r="G373" t="s">
        <v>122</v>
      </c>
      <c r="H373" t="s">
        <v>326</v>
      </c>
      <c r="I373" t="s">
        <v>42</v>
      </c>
      <c r="J373" s="8" t="str">
        <f t="shared" si="26"/>
        <v>High</v>
      </c>
      <c r="K373" s="4">
        <v>1533.95</v>
      </c>
      <c r="L373" s="4">
        <v>1533.95</v>
      </c>
      <c r="M373" s="4">
        <v>0</v>
      </c>
      <c r="N373" s="4">
        <v>11</v>
      </c>
      <c r="O373" s="4">
        <f t="shared" si="27"/>
        <v>15891.92</v>
      </c>
    </row>
    <row r="374" spans="1:15" x14ac:dyDescent="0.3">
      <c r="A374" s="13">
        <v>45734</v>
      </c>
      <c r="B374" s="4" t="str">
        <f>TEXT(Data!B374,"MMM-YYYY")</f>
        <v>Apr-2025</v>
      </c>
      <c r="C374" s="4" t="str">
        <f t="shared" si="28"/>
        <v>Mar-2025</v>
      </c>
      <c r="D374" s="14">
        <f t="shared" si="29"/>
        <v>45734</v>
      </c>
      <c r="E374" s="4" t="str">
        <f t="shared" si="25"/>
        <v>Q1-2025</v>
      </c>
      <c r="F374" t="s">
        <v>16</v>
      </c>
      <c r="G374" t="s">
        <v>25</v>
      </c>
      <c r="H374" t="s">
        <v>67</v>
      </c>
      <c r="I374" t="s">
        <v>64</v>
      </c>
      <c r="J374" s="8" t="str">
        <f t="shared" si="26"/>
        <v>High</v>
      </c>
      <c r="K374" s="4">
        <v>1571.66</v>
      </c>
      <c r="L374" s="4">
        <v>1571.66</v>
      </c>
      <c r="M374" s="4">
        <v>0.107</v>
      </c>
      <c r="N374" s="4">
        <v>23</v>
      </c>
      <c r="O374" s="4">
        <f t="shared" si="27"/>
        <v>59066.056200000006</v>
      </c>
    </row>
    <row r="375" spans="1:15" x14ac:dyDescent="0.3">
      <c r="A375" s="13">
        <v>45735</v>
      </c>
      <c r="B375" s="4" t="str">
        <f>TEXT(Data!B375,"MMM-YYYY")</f>
        <v>May-2024</v>
      </c>
      <c r="C375" s="4" t="str">
        <f t="shared" si="28"/>
        <v>Mar-2025</v>
      </c>
      <c r="D375" s="14">
        <f t="shared" si="29"/>
        <v>45735</v>
      </c>
      <c r="E375" s="4" t="str">
        <f t="shared" si="25"/>
        <v>Q1-2025</v>
      </c>
      <c r="F375" t="s">
        <v>78</v>
      </c>
      <c r="G375" t="s">
        <v>108</v>
      </c>
      <c r="H375" t="s">
        <v>109</v>
      </c>
      <c r="I375" t="s">
        <v>30</v>
      </c>
      <c r="J375" s="8" t="str">
        <f t="shared" si="26"/>
        <v>High</v>
      </c>
      <c r="K375" s="4">
        <v>250.73</v>
      </c>
      <c r="L375" s="4">
        <v>250.73</v>
      </c>
      <c r="M375" s="4">
        <v>3.4000000000000002E-2</v>
      </c>
      <c r="N375" s="4">
        <v>17</v>
      </c>
      <c r="O375" s="4">
        <f t="shared" si="27"/>
        <v>26958.519419999997</v>
      </c>
    </row>
    <row r="376" spans="1:15" x14ac:dyDescent="0.3">
      <c r="A376" s="13">
        <v>45736</v>
      </c>
      <c r="B376" s="4" t="str">
        <f>TEXT(Data!B376,"MMM-YYYY")</f>
        <v>Mar-2024</v>
      </c>
      <c r="C376" s="4" t="str">
        <f t="shared" si="28"/>
        <v>Mar-2025</v>
      </c>
      <c r="D376" s="14">
        <f t="shared" si="29"/>
        <v>45736</v>
      </c>
      <c r="E376" s="4" t="str">
        <f t="shared" si="25"/>
        <v>Q1-2025</v>
      </c>
      <c r="F376" t="s">
        <v>52</v>
      </c>
      <c r="G376" t="s">
        <v>122</v>
      </c>
      <c r="H376" t="s">
        <v>326</v>
      </c>
      <c r="I376" t="s">
        <v>42</v>
      </c>
      <c r="J376" s="8" t="str">
        <f t="shared" si="26"/>
        <v>High</v>
      </c>
      <c r="K376" s="4">
        <v>3472.81</v>
      </c>
      <c r="L376" s="4">
        <v>3472.81</v>
      </c>
      <c r="M376" s="4">
        <v>0.25600000000000001</v>
      </c>
      <c r="N376" s="4">
        <v>12</v>
      </c>
      <c r="O376" s="4">
        <f t="shared" si="27"/>
        <v>11597.65056</v>
      </c>
    </row>
    <row r="377" spans="1:15" x14ac:dyDescent="0.3">
      <c r="A377" s="13">
        <v>45737</v>
      </c>
      <c r="B377" s="4" t="str">
        <f>TEXT(Data!B377,"MMM-YYYY")</f>
        <v>Jun-2025</v>
      </c>
      <c r="C377" s="4" t="str">
        <f t="shared" si="28"/>
        <v>Mar-2025</v>
      </c>
      <c r="D377" s="14">
        <f t="shared" si="29"/>
        <v>45737</v>
      </c>
      <c r="E377" s="4" t="str">
        <f t="shared" si="25"/>
        <v>Q1-2025</v>
      </c>
      <c r="F377" t="s">
        <v>45</v>
      </c>
      <c r="G377" t="s">
        <v>116</v>
      </c>
      <c r="H377" t="s">
        <v>338</v>
      </c>
      <c r="I377" t="s">
        <v>42</v>
      </c>
      <c r="J377" s="8" t="str">
        <f t="shared" si="26"/>
        <v>High</v>
      </c>
      <c r="K377" s="4">
        <v>1206.04</v>
      </c>
      <c r="L377" s="4">
        <v>1206.04</v>
      </c>
      <c r="M377" s="4">
        <v>6.3E-2</v>
      </c>
      <c r="N377" s="4">
        <v>34</v>
      </c>
      <c r="O377" s="4">
        <f t="shared" si="27"/>
        <v>35635.084480000005</v>
      </c>
    </row>
    <row r="378" spans="1:15" x14ac:dyDescent="0.3">
      <c r="A378" s="13">
        <v>45738</v>
      </c>
      <c r="B378" s="4" t="str">
        <f>TEXT(Data!B378,"MMM-YYYY")</f>
        <v>Mar-2023</v>
      </c>
      <c r="C378" s="4" t="str">
        <f t="shared" si="28"/>
        <v>Mar-2025</v>
      </c>
      <c r="D378" s="14">
        <f t="shared" si="29"/>
        <v>45738</v>
      </c>
      <c r="E378" s="4" t="str">
        <f t="shared" si="25"/>
        <v>Q1-2025</v>
      </c>
      <c r="F378" t="s">
        <v>45</v>
      </c>
      <c r="G378" t="s">
        <v>116</v>
      </c>
      <c r="H378" t="s">
        <v>162</v>
      </c>
      <c r="I378" t="s">
        <v>35</v>
      </c>
      <c r="J378" s="8" t="str">
        <f t="shared" si="26"/>
        <v>High</v>
      </c>
      <c r="K378" s="4">
        <v>2197.23</v>
      </c>
      <c r="L378" s="4">
        <v>2197.23</v>
      </c>
      <c r="M378" s="4">
        <v>9.9000000000000005E-2</v>
      </c>
      <c r="N378" s="4">
        <v>22</v>
      </c>
      <c r="O378" s="4">
        <f t="shared" si="27"/>
        <v>23483.321620000002</v>
      </c>
    </row>
    <row r="379" spans="1:15" x14ac:dyDescent="0.3">
      <c r="A379" s="13">
        <v>45739</v>
      </c>
      <c r="B379" s="4" t="str">
        <f>TEXT(Data!B379,"MMM-YYYY")</f>
        <v>Jan-2025</v>
      </c>
      <c r="C379" s="4" t="str">
        <f t="shared" si="28"/>
        <v>Mar-2025</v>
      </c>
      <c r="D379" s="14">
        <f t="shared" si="29"/>
        <v>45739</v>
      </c>
      <c r="E379" s="4" t="str">
        <f t="shared" si="25"/>
        <v>Q1-2025</v>
      </c>
      <c r="F379" t="s">
        <v>16</v>
      </c>
      <c r="G379" t="s">
        <v>148</v>
      </c>
      <c r="H379" t="s">
        <v>172</v>
      </c>
      <c r="I379" t="s">
        <v>22</v>
      </c>
      <c r="J379" s="8" t="str">
        <f t="shared" si="26"/>
        <v>High</v>
      </c>
      <c r="K379" s="4">
        <v>1620.6</v>
      </c>
      <c r="L379" s="4">
        <v>1620.6</v>
      </c>
      <c r="M379" s="4">
        <v>0.13900000000000001</v>
      </c>
      <c r="N379" s="4">
        <v>11</v>
      </c>
      <c r="O379" s="4">
        <f t="shared" si="27"/>
        <v>11379.122369999999</v>
      </c>
    </row>
    <row r="380" spans="1:15" x14ac:dyDescent="0.3">
      <c r="A380" s="13">
        <v>45740</v>
      </c>
      <c r="B380" s="4" t="str">
        <f>TEXT(Data!B380,"MMM-YYYY")</f>
        <v>Feb-2025</v>
      </c>
      <c r="C380" s="4" t="str">
        <f t="shared" si="28"/>
        <v>Mar-2025</v>
      </c>
      <c r="D380" s="14">
        <f t="shared" si="29"/>
        <v>45740</v>
      </c>
      <c r="E380" s="4" t="str">
        <f t="shared" si="25"/>
        <v>Q1-2025</v>
      </c>
      <c r="F380" t="s">
        <v>16</v>
      </c>
      <c r="G380" t="s">
        <v>148</v>
      </c>
      <c r="H380" t="s">
        <v>258</v>
      </c>
      <c r="I380" t="s">
        <v>35</v>
      </c>
      <c r="J380" s="8" t="str">
        <f t="shared" si="26"/>
        <v>High</v>
      </c>
      <c r="K380" s="4">
        <v>1034.6600000000001</v>
      </c>
      <c r="L380" s="4">
        <v>1034.6600000000001</v>
      </c>
      <c r="M380" s="4">
        <v>9.1999999999999998E-2</v>
      </c>
      <c r="N380" s="4">
        <v>7</v>
      </c>
      <c r="O380" s="4">
        <f t="shared" si="27"/>
        <v>5599.5724400000008</v>
      </c>
    </row>
    <row r="381" spans="1:15" x14ac:dyDescent="0.3">
      <c r="A381" s="13">
        <v>45741</v>
      </c>
      <c r="B381" s="4" t="str">
        <f>TEXT(Data!B381,"MMM-YYYY")</f>
        <v>Jan-2025</v>
      </c>
      <c r="C381" s="4" t="str">
        <f t="shared" si="28"/>
        <v>Mar-2025</v>
      </c>
      <c r="D381" s="14">
        <f t="shared" si="29"/>
        <v>45741</v>
      </c>
      <c r="E381" s="4" t="str">
        <f t="shared" si="25"/>
        <v>Q1-2025</v>
      </c>
      <c r="F381" t="s">
        <v>52</v>
      </c>
      <c r="G381" t="s">
        <v>73</v>
      </c>
      <c r="H381" t="s">
        <v>74</v>
      </c>
      <c r="I381" t="s">
        <v>35</v>
      </c>
      <c r="J381" s="8" t="str">
        <f t="shared" si="26"/>
        <v>High</v>
      </c>
      <c r="K381" s="4">
        <v>1905.42</v>
      </c>
      <c r="L381" s="4">
        <v>1905.42</v>
      </c>
      <c r="M381" s="4">
        <v>3.2000000000000001E-2</v>
      </c>
      <c r="N381" s="4">
        <v>18</v>
      </c>
      <c r="O381" s="4">
        <f t="shared" si="27"/>
        <v>35734.358879999992</v>
      </c>
    </row>
    <row r="382" spans="1:15" x14ac:dyDescent="0.3">
      <c r="A382" s="13">
        <v>45742</v>
      </c>
      <c r="B382" s="4" t="str">
        <f>TEXT(Data!B382,"MMM-YYYY")</f>
        <v>Aug-2025</v>
      </c>
      <c r="C382" s="4" t="str">
        <f t="shared" si="28"/>
        <v>Mar-2025</v>
      </c>
      <c r="D382" s="14">
        <f t="shared" si="29"/>
        <v>45742</v>
      </c>
      <c r="E382" s="4" t="str">
        <f t="shared" si="25"/>
        <v>Q1-2025</v>
      </c>
      <c r="F382" t="s">
        <v>78</v>
      </c>
      <c r="G382" t="s">
        <v>108</v>
      </c>
      <c r="H382" t="s">
        <v>152</v>
      </c>
      <c r="I382" t="s">
        <v>22</v>
      </c>
      <c r="J382" s="8" t="str">
        <f t="shared" si="26"/>
        <v>High</v>
      </c>
      <c r="K382" s="4">
        <v>541.55999999999995</v>
      </c>
      <c r="L382" s="4">
        <v>541.55999999999995</v>
      </c>
      <c r="M382" s="4">
        <v>0.16300000000000001</v>
      </c>
      <c r="N382" s="4">
        <v>25</v>
      </c>
      <c r="O382" s="4">
        <f t="shared" si="27"/>
        <v>36365.557499999995</v>
      </c>
    </row>
    <row r="383" spans="1:15" x14ac:dyDescent="0.3">
      <c r="A383" s="13">
        <v>45743</v>
      </c>
      <c r="B383" s="4" t="str">
        <f>TEXT(Data!B383,"MMM-YYYY")</f>
        <v>Jul-2025</v>
      </c>
      <c r="C383" s="4" t="str">
        <f t="shared" si="28"/>
        <v>Mar-2025</v>
      </c>
      <c r="D383" s="14">
        <f t="shared" si="29"/>
        <v>45743</v>
      </c>
      <c r="E383" s="4" t="str">
        <f t="shared" si="25"/>
        <v>Q1-2025</v>
      </c>
      <c r="F383" t="s">
        <v>52</v>
      </c>
      <c r="G383" t="s">
        <v>53</v>
      </c>
      <c r="H383" t="s">
        <v>144</v>
      </c>
      <c r="I383" t="s">
        <v>35</v>
      </c>
      <c r="J383" s="8" t="str">
        <f t="shared" si="26"/>
        <v>High</v>
      </c>
      <c r="K383" s="4">
        <v>1116.5999999999999</v>
      </c>
      <c r="L383" s="4">
        <v>1116.5999999999999</v>
      </c>
      <c r="M383" s="4">
        <v>0.17599999999999999</v>
      </c>
      <c r="N383" s="4">
        <v>14</v>
      </c>
      <c r="O383" s="4">
        <f t="shared" si="27"/>
        <v>16015.544160000001</v>
      </c>
    </row>
    <row r="384" spans="1:15" x14ac:dyDescent="0.3">
      <c r="A384" s="13">
        <v>45744</v>
      </c>
      <c r="B384" s="4" t="str">
        <f>TEXT(Data!B384,"MMM-YYYY")</f>
        <v>Jun-2023</v>
      </c>
      <c r="C384" s="4" t="str">
        <f t="shared" si="28"/>
        <v>Mar-2025</v>
      </c>
      <c r="D384" s="14">
        <f t="shared" si="29"/>
        <v>45744</v>
      </c>
      <c r="E384" s="4" t="str">
        <f t="shared" si="25"/>
        <v>Q1-2025</v>
      </c>
      <c r="F384" t="s">
        <v>78</v>
      </c>
      <c r="G384" t="s">
        <v>108</v>
      </c>
      <c r="H384" t="s">
        <v>109</v>
      </c>
      <c r="I384" t="s">
        <v>30</v>
      </c>
      <c r="J384" s="8" t="str">
        <f t="shared" si="26"/>
        <v>High</v>
      </c>
      <c r="K384" s="4">
        <v>1455</v>
      </c>
      <c r="L384" s="4">
        <v>1455</v>
      </c>
      <c r="M384" s="4">
        <v>7.8E-2</v>
      </c>
      <c r="N384" s="4">
        <v>28</v>
      </c>
      <c r="O384" s="4">
        <f t="shared" si="27"/>
        <v>13660.278240000001</v>
      </c>
    </row>
    <row r="385" spans="1:15" x14ac:dyDescent="0.3">
      <c r="A385" s="13">
        <v>45745</v>
      </c>
      <c r="B385" s="4" t="str">
        <f>TEXT(Data!B385,"MMM-YYYY")</f>
        <v>Jul-2024</v>
      </c>
      <c r="C385" s="4" t="str">
        <f t="shared" si="28"/>
        <v>Mar-2025</v>
      </c>
      <c r="D385" s="14">
        <f t="shared" si="29"/>
        <v>45745</v>
      </c>
      <c r="E385" s="4" t="str">
        <f t="shared" si="25"/>
        <v>Q1-2025</v>
      </c>
      <c r="F385" t="s">
        <v>52</v>
      </c>
      <c r="G385" t="s">
        <v>122</v>
      </c>
      <c r="H385" t="s">
        <v>387</v>
      </c>
      <c r="I385" t="s">
        <v>35</v>
      </c>
      <c r="J385" s="8" t="str">
        <f t="shared" si="26"/>
        <v>High</v>
      </c>
      <c r="K385" s="4">
        <v>1278.3</v>
      </c>
      <c r="L385" s="4">
        <v>1278.3</v>
      </c>
      <c r="M385" s="4">
        <v>0.09</v>
      </c>
      <c r="N385" s="4">
        <v>41</v>
      </c>
      <c r="O385" s="4">
        <f t="shared" si="27"/>
        <v>73589.497799999997</v>
      </c>
    </row>
    <row r="386" spans="1:15" x14ac:dyDescent="0.3">
      <c r="A386" s="13">
        <v>45746</v>
      </c>
      <c r="B386" s="4" t="str">
        <f>TEXT(Data!B386,"MMM-YYYY")</f>
        <v>May-2023</v>
      </c>
      <c r="C386" s="4" t="str">
        <f t="shared" si="28"/>
        <v>Mar-2025</v>
      </c>
      <c r="D386" s="14">
        <f t="shared" si="29"/>
        <v>45746</v>
      </c>
      <c r="E386" s="4" t="str">
        <f t="shared" ref="E386:E449" si="30">"Q"&amp;ROUNDUP(MONTH(A386)/3,0)&amp;"-"&amp;YEAR(A386)</f>
        <v>Q1-2025</v>
      </c>
      <c r="F386" t="s">
        <v>78</v>
      </c>
      <c r="G386" t="s">
        <v>90</v>
      </c>
      <c r="H386" t="s">
        <v>91</v>
      </c>
      <c r="I386" t="s">
        <v>64</v>
      </c>
      <c r="J386" s="8" t="str">
        <f t="shared" ref="J386:J449" si="31">IF(K386&lt;50, "Low", IF(K386&lt;200, "Medium", "High"))</f>
        <v>High</v>
      </c>
      <c r="K386" s="4">
        <v>899.83</v>
      </c>
      <c r="L386" s="4">
        <v>899.83</v>
      </c>
      <c r="M386" s="4">
        <v>5.8000000000000003E-2</v>
      </c>
      <c r="N386" s="4">
        <v>18</v>
      </c>
      <c r="O386" s="4">
        <f t="shared" ref="O386:O449" si="32">(L412*N386)*(1-M386)</f>
        <v>14867.190359999997</v>
      </c>
    </row>
    <row r="387" spans="1:15" x14ac:dyDescent="0.3">
      <c r="A387" s="13">
        <v>45747</v>
      </c>
      <c r="B387" s="4" t="str">
        <f>TEXT(Data!B387,"MMM-YYYY")</f>
        <v>May-2025</v>
      </c>
      <c r="C387" s="4" t="str">
        <f t="shared" ref="C387:C450" si="33">TEXT(D387, "MMM-YYYY")</f>
        <v>Mar-2025</v>
      </c>
      <c r="D387" s="14">
        <f t="shared" ref="D387:D450" si="34">_xlfn.MINIFS(A387:A387, G387:G387,G387)</f>
        <v>45747</v>
      </c>
      <c r="E387" s="4" t="str">
        <f t="shared" si="30"/>
        <v>Q1-2025</v>
      </c>
      <c r="F387" t="s">
        <v>45</v>
      </c>
      <c r="G387" t="s">
        <v>60</v>
      </c>
      <c r="H387" t="s">
        <v>141</v>
      </c>
      <c r="I387" t="s">
        <v>57</v>
      </c>
      <c r="J387" s="8" t="str">
        <f t="shared" si="31"/>
        <v>High</v>
      </c>
      <c r="K387" s="4">
        <v>878.73</v>
      </c>
      <c r="L387" s="4">
        <v>878.73</v>
      </c>
      <c r="M387" s="4">
        <v>0.19</v>
      </c>
      <c r="N387" s="4">
        <v>31</v>
      </c>
      <c r="O387" s="4">
        <f t="shared" si="32"/>
        <v>20697.168600000001</v>
      </c>
    </row>
    <row r="388" spans="1:15" x14ac:dyDescent="0.3">
      <c r="A388" s="13">
        <v>45748</v>
      </c>
      <c r="B388" s="4" t="str">
        <f>TEXT(Data!B388,"MMM-YYYY")</f>
        <v>May-2024</v>
      </c>
      <c r="C388" s="4" t="str">
        <f t="shared" si="33"/>
        <v>Apr-2025</v>
      </c>
      <c r="D388" s="14">
        <f t="shared" si="34"/>
        <v>45748</v>
      </c>
      <c r="E388" s="4" t="str">
        <f t="shared" si="30"/>
        <v>Q2-2025</v>
      </c>
      <c r="F388" t="s">
        <v>45</v>
      </c>
      <c r="G388" t="s">
        <v>60</v>
      </c>
      <c r="H388" t="s">
        <v>281</v>
      </c>
      <c r="I388" t="s">
        <v>30</v>
      </c>
      <c r="J388" s="8" t="str">
        <f t="shared" si="31"/>
        <v>High</v>
      </c>
      <c r="K388" s="4">
        <v>594.41999999999996</v>
      </c>
      <c r="L388" s="4">
        <v>594.41999999999996</v>
      </c>
      <c r="M388" s="4">
        <v>0.104</v>
      </c>
      <c r="N388" s="4">
        <v>18</v>
      </c>
      <c r="O388" s="4">
        <f t="shared" si="32"/>
        <v>18697.996800000001</v>
      </c>
    </row>
    <row r="389" spans="1:15" x14ac:dyDescent="0.3">
      <c r="A389" s="13">
        <v>45749</v>
      </c>
      <c r="B389" s="4" t="str">
        <f>TEXT(Data!B389,"MMM-YYYY")</f>
        <v>Sept-2023</v>
      </c>
      <c r="C389" s="4" t="str">
        <f t="shared" si="33"/>
        <v>Apr-2025</v>
      </c>
      <c r="D389" s="14">
        <f t="shared" si="34"/>
        <v>45749</v>
      </c>
      <c r="E389" s="4" t="str">
        <f t="shared" si="30"/>
        <v>Q2-2025</v>
      </c>
      <c r="F389" t="s">
        <v>16</v>
      </c>
      <c r="G389" t="s">
        <v>25</v>
      </c>
      <c r="H389" t="s">
        <v>67</v>
      </c>
      <c r="I389" t="s">
        <v>57</v>
      </c>
      <c r="J389" s="8" t="str">
        <f t="shared" si="31"/>
        <v>High</v>
      </c>
      <c r="K389" s="4">
        <v>1617.85</v>
      </c>
      <c r="L389" s="4">
        <v>1617.85</v>
      </c>
      <c r="M389" s="4">
        <v>0.127</v>
      </c>
      <c r="N389" s="4">
        <v>14</v>
      </c>
      <c r="O389" s="4">
        <f t="shared" si="32"/>
        <v>30720.11922</v>
      </c>
    </row>
    <row r="390" spans="1:15" x14ac:dyDescent="0.3">
      <c r="A390" s="13">
        <v>45750</v>
      </c>
      <c r="B390" s="4" t="str">
        <f>TEXT(Data!B390,"MMM-YYYY")</f>
        <v>Oct-2023</v>
      </c>
      <c r="C390" s="4" t="str">
        <f t="shared" si="33"/>
        <v>Apr-2025</v>
      </c>
      <c r="D390" s="14">
        <f t="shared" si="34"/>
        <v>45750</v>
      </c>
      <c r="E390" s="4" t="str">
        <f t="shared" si="30"/>
        <v>Q2-2025</v>
      </c>
      <c r="F390" t="s">
        <v>45</v>
      </c>
      <c r="G390" t="s">
        <v>116</v>
      </c>
      <c r="H390" t="s">
        <v>338</v>
      </c>
      <c r="I390" t="s">
        <v>57</v>
      </c>
      <c r="J390" s="8" t="str">
        <f t="shared" si="31"/>
        <v>High</v>
      </c>
      <c r="K390" s="4">
        <v>972.91</v>
      </c>
      <c r="L390" s="4">
        <v>972.91</v>
      </c>
      <c r="M390" s="4">
        <v>0.14699999999999999</v>
      </c>
      <c r="N390" s="4">
        <v>17</v>
      </c>
      <c r="O390" s="4">
        <f t="shared" si="32"/>
        <v>44766.472129999995</v>
      </c>
    </row>
    <row r="391" spans="1:15" x14ac:dyDescent="0.3">
      <c r="A391" s="13">
        <v>45751</v>
      </c>
      <c r="B391" s="4" t="str">
        <f>TEXT(Data!B391,"MMM-YYYY")</f>
        <v>Jun-2025</v>
      </c>
      <c r="C391" s="4" t="str">
        <f t="shared" si="33"/>
        <v>Apr-2025</v>
      </c>
      <c r="D391" s="14">
        <f t="shared" si="34"/>
        <v>45751</v>
      </c>
      <c r="E391" s="4" t="str">
        <f t="shared" si="30"/>
        <v>Q2-2025</v>
      </c>
      <c r="F391" t="s">
        <v>16</v>
      </c>
      <c r="G391" t="s">
        <v>148</v>
      </c>
      <c r="H391" t="s">
        <v>258</v>
      </c>
      <c r="I391" t="s">
        <v>57</v>
      </c>
      <c r="J391" s="8" t="str">
        <f t="shared" si="31"/>
        <v>Low</v>
      </c>
      <c r="K391" s="4">
        <v>42.56</v>
      </c>
      <c r="L391" s="4">
        <v>42.56</v>
      </c>
      <c r="M391" s="4">
        <v>7.1999999999999995E-2</v>
      </c>
      <c r="N391" s="4">
        <v>11</v>
      </c>
      <c r="O391" s="4">
        <f t="shared" si="32"/>
        <v>27736.667200000004</v>
      </c>
    </row>
    <row r="392" spans="1:15" x14ac:dyDescent="0.3">
      <c r="A392" s="13">
        <v>45752</v>
      </c>
      <c r="B392" s="4" t="str">
        <f>TEXT(Data!B392,"MMM-YYYY")</f>
        <v>Aug-2024</v>
      </c>
      <c r="C392" s="4" t="str">
        <f t="shared" si="33"/>
        <v>Apr-2025</v>
      </c>
      <c r="D392" s="14">
        <f t="shared" si="34"/>
        <v>45752</v>
      </c>
      <c r="E392" s="4" t="str">
        <f t="shared" si="30"/>
        <v>Q2-2025</v>
      </c>
      <c r="F392" t="s">
        <v>16</v>
      </c>
      <c r="G392" t="s">
        <v>148</v>
      </c>
      <c r="H392" t="s">
        <v>149</v>
      </c>
      <c r="I392" t="s">
        <v>64</v>
      </c>
      <c r="J392" s="8" t="str">
        <f t="shared" si="31"/>
        <v>High</v>
      </c>
      <c r="K392" s="4">
        <v>1480.83</v>
      </c>
      <c r="L392" s="4">
        <v>1480.83</v>
      </c>
      <c r="M392" s="4">
        <v>8.9999999999999993E-3</v>
      </c>
      <c r="N392" s="4">
        <v>11</v>
      </c>
      <c r="O392" s="4">
        <f t="shared" si="32"/>
        <v>9830.4127899999985</v>
      </c>
    </row>
    <row r="393" spans="1:15" x14ac:dyDescent="0.3">
      <c r="A393" s="13">
        <v>45753</v>
      </c>
      <c r="B393" s="4" t="str">
        <f>TEXT(Data!B393,"MMM-YYYY")</f>
        <v>Oct-2023</v>
      </c>
      <c r="C393" s="4" t="str">
        <f t="shared" si="33"/>
        <v>Apr-2025</v>
      </c>
      <c r="D393" s="14">
        <f t="shared" si="34"/>
        <v>45753</v>
      </c>
      <c r="E393" s="4" t="str">
        <f t="shared" si="30"/>
        <v>Q2-2025</v>
      </c>
      <c r="F393" t="s">
        <v>78</v>
      </c>
      <c r="G393" t="s">
        <v>90</v>
      </c>
      <c r="H393" t="s">
        <v>91</v>
      </c>
      <c r="I393" t="s">
        <v>30</v>
      </c>
      <c r="J393" s="8" t="str">
        <f t="shared" si="31"/>
        <v>High</v>
      </c>
      <c r="K393" s="4">
        <v>564.26</v>
      </c>
      <c r="L393" s="4">
        <v>564.26</v>
      </c>
      <c r="M393" s="4">
        <v>0.105</v>
      </c>
      <c r="N393" s="4">
        <v>5</v>
      </c>
      <c r="O393" s="4">
        <f t="shared" si="32"/>
        <v>3562.7712500000002</v>
      </c>
    </row>
    <row r="394" spans="1:15" x14ac:dyDescent="0.3">
      <c r="A394" s="13">
        <v>45754</v>
      </c>
      <c r="B394" s="4" t="str">
        <f>TEXT(Data!B394,"MMM-YYYY")</f>
        <v>Mar-2024</v>
      </c>
      <c r="C394" s="4" t="str">
        <f t="shared" si="33"/>
        <v>Apr-2025</v>
      </c>
      <c r="D394" s="14">
        <f t="shared" si="34"/>
        <v>45754</v>
      </c>
      <c r="E394" s="4" t="str">
        <f t="shared" si="30"/>
        <v>Q2-2025</v>
      </c>
      <c r="F394" t="s">
        <v>45</v>
      </c>
      <c r="G394" t="s">
        <v>116</v>
      </c>
      <c r="H394" t="s">
        <v>162</v>
      </c>
      <c r="I394" t="s">
        <v>22</v>
      </c>
      <c r="J394" s="8" t="str">
        <f t="shared" si="31"/>
        <v>High</v>
      </c>
      <c r="K394" s="4">
        <v>2137.21</v>
      </c>
      <c r="L394" s="4">
        <v>2137.21</v>
      </c>
      <c r="M394" s="4">
        <v>0.35699999999999998</v>
      </c>
      <c r="N394" s="4">
        <v>35</v>
      </c>
      <c r="O394" s="4">
        <f t="shared" si="32"/>
        <v>3551.7390999999998</v>
      </c>
    </row>
    <row r="395" spans="1:15" x14ac:dyDescent="0.3">
      <c r="A395" s="13">
        <v>45755</v>
      </c>
      <c r="B395" s="4" t="str">
        <f>TEXT(Data!B395,"MMM-YYYY")</f>
        <v>May-2023</v>
      </c>
      <c r="C395" s="4" t="str">
        <f t="shared" si="33"/>
        <v>Apr-2025</v>
      </c>
      <c r="D395" s="14">
        <f t="shared" si="34"/>
        <v>45755</v>
      </c>
      <c r="E395" s="4" t="str">
        <f t="shared" si="30"/>
        <v>Q2-2025</v>
      </c>
      <c r="F395" t="s">
        <v>52</v>
      </c>
      <c r="G395" t="s">
        <v>122</v>
      </c>
      <c r="H395" t="s">
        <v>167</v>
      </c>
      <c r="I395" t="s">
        <v>42</v>
      </c>
      <c r="J395" s="8" t="str">
        <f t="shared" si="31"/>
        <v>High</v>
      </c>
      <c r="K395" s="4">
        <v>1680.93</v>
      </c>
      <c r="L395" s="4">
        <v>1680.93</v>
      </c>
      <c r="M395" s="4">
        <v>0.254</v>
      </c>
      <c r="N395" s="4">
        <v>9</v>
      </c>
      <c r="O395" s="4">
        <f t="shared" si="32"/>
        <v>5499.1688399999994</v>
      </c>
    </row>
    <row r="396" spans="1:15" x14ac:dyDescent="0.3">
      <c r="A396" s="13">
        <v>45756</v>
      </c>
      <c r="B396" s="4" t="str">
        <f>TEXT(Data!B396,"MMM-YYYY")</f>
        <v>May-2025</v>
      </c>
      <c r="C396" s="4" t="str">
        <f t="shared" si="33"/>
        <v>Apr-2025</v>
      </c>
      <c r="D396" s="14">
        <f t="shared" si="34"/>
        <v>45756</v>
      </c>
      <c r="E396" s="4" t="str">
        <f t="shared" si="30"/>
        <v>Q2-2025</v>
      </c>
      <c r="F396" t="s">
        <v>78</v>
      </c>
      <c r="G396" t="s">
        <v>108</v>
      </c>
      <c r="H396" t="s">
        <v>152</v>
      </c>
      <c r="I396" t="s">
        <v>22</v>
      </c>
      <c r="J396" s="8" t="str">
        <f t="shared" si="31"/>
        <v>High</v>
      </c>
      <c r="K396" s="4">
        <v>2905.06</v>
      </c>
      <c r="L396" s="4">
        <v>2905.06</v>
      </c>
      <c r="M396" s="4">
        <v>0.14799999999999999</v>
      </c>
      <c r="N396" s="4">
        <v>8</v>
      </c>
      <c r="O396" s="4">
        <f t="shared" si="32"/>
        <v>11663.26656</v>
      </c>
    </row>
    <row r="397" spans="1:15" x14ac:dyDescent="0.3">
      <c r="A397" s="13">
        <v>45757</v>
      </c>
      <c r="B397" s="4" t="str">
        <f>TEXT(Data!B397,"MMM-YYYY")</f>
        <v>Aug-2025</v>
      </c>
      <c r="C397" s="4" t="str">
        <f t="shared" si="33"/>
        <v>Apr-2025</v>
      </c>
      <c r="D397" s="14">
        <f t="shared" si="34"/>
        <v>45757</v>
      </c>
      <c r="E397" s="4" t="str">
        <f t="shared" si="30"/>
        <v>Q2-2025</v>
      </c>
      <c r="F397" t="s">
        <v>45</v>
      </c>
      <c r="G397" t="s">
        <v>46</v>
      </c>
      <c r="H397" t="s">
        <v>47</v>
      </c>
      <c r="I397" t="s">
        <v>81</v>
      </c>
      <c r="J397" s="8" t="str">
        <f t="shared" si="31"/>
        <v>High</v>
      </c>
      <c r="K397" s="4">
        <v>842.09</v>
      </c>
      <c r="L397" s="4">
        <v>842.09</v>
      </c>
      <c r="M397" s="4">
        <v>9.8000000000000004E-2</v>
      </c>
      <c r="N397" s="4">
        <v>19</v>
      </c>
      <c r="O397" s="4">
        <f t="shared" si="32"/>
        <v>29072.046299999998</v>
      </c>
    </row>
    <row r="398" spans="1:15" x14ac:dyDescent="0.3">
      <c r="A398" s="13">
        <v>45758</v>
      </c>
      <c r="B398" s="4" t="str">
        <f>TEXT(Data!B398,"MMM-YYYY")</f>
        <v>Dec-2024</v>
      </c>
      <c r="C398" s="4" t="str">
        <f t="shared" si="33"/>
        <v>Apr-2025</v>
      </c>
      <c r="D398" s="14">
        <f t="shared" si="34"/>
        <v>45758</v>
      </c>
      <c r="E398" s="4" t="str">
        <f t="shared" si="30"/>
        <v>Q2-2025</v>
      </c>
      <c r="F398" t="s">
        <v>78</v>
      </c>
      <c r="G398" t="s">
        <v>79</v>
      </c>
      <c r="H398" t="s">
        <v>80</v>
      </c>
      <c r="I398" t="s">
        <v>64</v>
      </c>
      <c r="J398" s="8" t="str">
        <f t="shared" si="31"/>
        <v>High</v>
      </c>
      <c r="K398" s="4">
        <v>3131.37</v>
      </c>
      <c r="L398" s="4">
        <v>3131.37</v>
      </c>
      <c r="M398" s="4">
        <v>0.10299999999999999</v>
      </c>
      <c r="N398" s="4">
        <v>20</v>
      </c>
      <c r="O398" s="4">
        <f t="shared" si="32"/>
        <v>51745.059600000001</v>
      </c>
    </row>
    <row r="399" spans="1:15" x14ac:dyDescent="0.3">
      <c r="A399" s="13">
        <v>45759</v>
      </c>
      <c r="B399" s="4" t="str">
        <f>TEXT(Data!B399,"MMM-YYYY")</f>
        <v>Sept-2025</v>
      </c>
      <c r="C399" s="4" t="str">
        <f t="shared" si="33"/>
        <v>Apr-2025</v>
      </c>
      <c r="D399" s="14">
        <f t="shared" si="34"/>
        <v>45759</v>
      </c>
      <c r="E399" s="4" t="str">
        <f t="shared" si="30"/>
        <v>Q2-2025</v>
      </c>
      <c r="F399" t="s">
        <v>45</v>
      </c>
      <c r="G399" t="s">
        <v>46</v>
      </c>
      <c r="H399" t="s">
        <v>214</v>
      </c>
      <c r="I399" t="s">
        <v>57</v>
      </c>
      <c r="J399" s="8" t="str">
        <f t="shared" si="31"/>
        <v>High</v>
      </c>
      <c r="K399" s="4">
        <v>1444.72</v>
      </c>
      <c r="L399" s="4">
        <v>1444.72</v>
      </c>
      <c r="M399" s="4">
        <v>0.24099999999999999</v>
      </c>
      <c r="N399" s="4">
        <v>17</v>
      </c>
      <c r="O399" s="4">
        <f t="shared" si="32"/>
        <v>19144.697220000002</v>
      </c>
    </row>
    <row r="400" spans="1:15" x14ac:dyDescent="0.3">
      <c r="A400" s="13">
        <v>45760</v>
      </c>
      <c r="B400" s="4" t="str">
        <f>TEXT(Data!B400,"MMM-YYYY")</f>
        <v>Sept-2024</v>
      </c>
      <c r="C400" s="4" t="str">
        <f t="shared" si="33"/>
        <v>Apr-2025</v>
      </c>
      <c r="D400" s="14">
        <f t="shared" si="34"/>
        <v>45760</v>
      </c>
      <c r="E400" s="4" t="str">
        <f t="shared" si="30"/>
        <v>Q2-2025</v>
      </c>
      <c r="F400" t="s">
        <v>16</v>
      </c>
      <c r="G400" t="s">
        <v>148</v>
      </c>
      <c r="H400" t="s">
        <v>172</v>
      </c>
      <c r="I400" t="s">
        <v>22</v>
      </c>
      <c r="J400" s="8" t="str">
        <f t="shared" si="31"/>
        <v>High</v>
      </c>
      <c r="K400" s="4">
        <v>2875.8</v>
      </c>
      <c r="L400" s="4">
        <v>2875.8</v>
      </c>
      <c r="M400" s="4">
        <v>8.3000000000000004E-2</v>
      </c>
      <c r="N400" s="4">
        <v>5</v>
      </c>
      <c r="O400" s="4">
        <f t="shared" si="32"/>
        <v>14660.399949999999</v>
      </c>
    </row>
    <row r="401" spans="1:15" x14ac:dyDescent="0.3">
      <c r="A401" s="13">
        <v>45761</v>
      </c>
      <c r="B401" s="4" t="str">
        <f>TEXT(Data!B401,"MMM-YYYY")</f>
        <v>Apr-2025</v>
      </c>
      <c r="C401" s="4" t="str">
        <f t="shared" si="33"/>
        <v>Apr-2025</v>
      </c>
      <c r="D401" s="14">
        <f t="shared" si="34"/>
        <v>45761</v>
      </c>
      <c r="E401" s="4" t="str">
        <f t="shared" si="30"/>
        <v>Q2-2025</v>
      </c>
      <c r="F401" t="s">
        <v>16</v>
      </c>
      <c r="G401" t="s">
        <v>148</v>
      </c>
      <c r="H401" t="s">
        <v>258</v>
      </c>
      <c r="I401" t="s">
        <v>64</v>
      </c>
      <c r="J401" s="8" t="str">
        <f t="shared" si="31"/>
        <v>High</v>
      </c>
      <c r="K401" s="4">
        <v>1641.61</v>
      </c>
      <c r="L401" s="4">
        <v>1641.61</v>
      </c>
      <c r="M401" s="4">
        <v>0.122</v>
      </c>
      <c r="N401" s="4">
        <v>9</v>
      </c>
      <c r="O401" s="4">
        <f t="shared" si="32"/>
        <v>18353.975399999999</v>
      </c>
    </row>
    <row r="402" spans="1:15" x14ac:dyDescent="0.3">
      <c r="A402" s="13">
        <v>45762</v>
      </c>
      <c r="B402" s="4" t="str">
        <f>TEXT(Data!B402,"MMM-YYYY")</f>
        <v>Aug-2024</v>
      </c>
      <c r="C402" s="4" t="str">
        <f t="shared" si="33"/>
        <v>Apr-2025</v>
      </c>
      <c r="D402" s="14">
        <f t="shared" si="34"/>
        <v>45762</v>
      </c>
      <c r="E402" s="4" t="str">
        <f t="shared" si="30"/>
        <v>Q2-2025</v>
      </c>
      <c r="F402" t="s">
        <v>16</v>
      </c>
      <c r="G402" t="s">
        <v>17</v>
      </c>
      <c r="H402" t="s">
        <v>18</v>
      </c>
      <c r="I402" t="s">
        <v>35</v>
      </c>
      <c r="J402" s="8" t="str">
        <f t="shared" si="31"/>
        <v>High</v>
      </c>
      <c r="K402" s="4">
        <v>1299.02</v>
      </c>
      <c r="L402" s="4">
        <v>1299.02</v>
      </c>
      <c r="M402" s="4">
        <v>2.5000000000000001E-2</v>
      </c>
      <c r="N402" s="4">
        <v>14</v>
      </c>
      <c r="O402" s="4">
        <f t="shared" si="32"/>
        <v>26377.532999999999</v>
      </c>
    </row>
    <row r="403" spans="1:15" x14ac:dyDescent="0.3">
      <c r="A403" s="13">
        <v>45763</v>
      </c>
      <c r="B403" s="4" t="str">
        <f>TEXT(Data!B403,"MMM-YYYY")</f>
        <v>Nov-2024</v>
      </c>
      <c r="C403" s="4" t="str">
        <f t="shared" si="33"/>
        <v>Apr-2025</v>
      </c>
      <c r="D403" s="14">
        <f t="shared" si="34"/>
        <v>45763</v>
      </c>
      <c r="E403" s="4" t="str">
        <f t="shared" si="30"/>
        <v>Q2-2025</v>
      </c>
      <c r="F403" t="s">
        <v>52</v>
      </c>
      <c r="G403" t="s">
        <v>122</v>
      </c>
      <c r="H403" t="s">
        <v>123</v>
      </c>
      <c r="I403" t="s">
        <v>30</v>
      </c>
      <c r="J403" s="8" t="str">
        <f t="shared" si="31"/>
        <v>High</v>
      </c>
      <c r="K403" s="4">
        <v>1118.56</v>
      </c>
      <c r="L403" s="4">
        <v>1118.56</v>
      </c>
      <c r="M403" s="4">
        <v>0.18</v>
      </c>
      <c r="N403" s="4">
        <v>19</v>
      </c>
      <c r="O403" s="4">
        <f t="shared" si="32"/>
        <v>24777.808799999999</v>
      </c>
    </row>
    <row r="404" spans="1:15" x14ac:dyDescent="0.3">
      <c r="A404" s="13">
        <v>45764</v>
      </c>
      <c r="B404" s="4" t="str">
        <f>TEXT(Data!B404,"MMM-YYYY")</f>
        <v>Jul-2024</v>
      </c>
      <c r="C404" s="4" t="str">
        <f t="shared" si="33"/>
        <v>Apr-2025</v>
      </c>
      <c r="D404" s="14">
        <f t="shared" si="34"/>
        <v>45764</v>
      </c>
      <c r="E404" s="4" t="str">
        <f t="shared" si="30"/>
        <v>Q2-2025</v>
      </c>
      <c r="F404" t="s">
        <v>52</v>
      </c>
      <c r="G404" t="s">
        <v>53</v>
      </c>
      <c r="H404" t="s">
        <v>54</v>
      </c>
      <c r="I404" t="s">
        <v>22</v>
      </c>
      <c r="J404" s="8" t="str">
        <f t="shared" si="31"/>
        <v>High</v>
      </c>
      <c r="K404" s="4">
        <v>1184.71</v>
      </c>
      <c r="L404" s="4">
        <v>1184.71</v>
      </c>
      <c r="M404" s="4">
        <v>0.106</v>
      </c>
      <c r="N404" s="4">
        <v>16</v>
      </c>
      <c r="O404" s="4">
        <f t="shared" si="32"/>
        <v>5658.8054400000001</v>
      </c>
    </row>
    <row r="405" spans="1:15" x14ac:dyDescent="0.3">
      <c r="A405" s="13">
        <v>45765</v>
      </c>
      <c r="B405" s="4" t="str">
        <f>TEXT(Data!B405,"MMM-YYYY")</f>
        <v>Jan-2025</v>
      </c>
      <c r="C405" s="4" t="str">
        <f t="shared" si="33"/>
        <v>Apr-2025</v>
      </c>
      <c r="D405" s="14">
        <f t="shared" si="34"/>
        <v>45765</v>
      </c>
      <c r="E405" s="4" t="str">
        <f t="shared" si="30"/>
        <v>Q2-2025</v>
      </c>
      <c r="F405" t="s">
        <v>78</v>
      </c>
      <c r="G405" t="s">
        <v>90</v>
      </c>
      <c r="H405" t="s">
        <v>91</v>
      </c>
      <c r="I405" t="s">
        <v>57</v>
      </c>
      <c r="J405" s="8" t="str">
        <f t="shared" si="31"/>
        <v>High</v>
      </c>
      <c r="K405" s="4">
        <v>1201.47</v>
      </c>
      <c r="L405" s="4">
        <v>1201.47</v>
      </c>
      <c r="M405" s="4">
        <v>0.126</v>
      </c>
      <c r="N405" s="4">
        <v>5</v>
      </c>
      <c r="O405" s="4">
        <f t="shared" si="32"/>
        <v>9079.5053000000007</v>
      </c>
    </row>
    <row r="406" spans="1:15" x14ac:dyDescent="0.3">
      <c r="A406" s="13">
        <v>45766</v>
      </c>
      <c r="B406" s="4" t="str">
        <f>TEXT(Data!B406,"MMM-YYYY")</f>
        <v>Mar-2023</v>
      </c>
      <c r="C406" s="4" t="str">
        <f t="shared" si="33"/>
        <v>Apr-2025</v>
      </c>
      <c r="D406" s="14">
        <f t="shared" si="34"/>
        <v>45766</v>
      </c>
      <c r="E406" s="4" t="str">
        <f t="shared" si="30"/>
        <v>Q2-2025</v>
      </c>
      <c r="F406" t="s">
        <v>52</v>
      </c>
      <c r="G406" t="s">
        <v>73</v>
      </c>
      <c r="H406" t="s">
        <v>87</v>
      </c>
      <c r="I406" t="s">
        <v>22</v>
      </c>
      <c r="J406" s="8" t="str">
        <f t="shared" si="31"/>
        <v>High</v>
      </c>
      <c r="K406" s="4">
        <v>880.99</v>
      </c>
      <c r="L406" s="4">
        <v>880.99</v>
      </c>
      <c r="M406" s="4">
        <v>0.111</v>
      </c>
      <c r="N406" s="4">
        <v>10</v>
      </c>
      <c r="O406" s="4">
        <f t="shared" si="32"/>
        <v>11831.2565</v>
      </c>
    </row>
    <row r="407" spans="1:15" x14ac:dyDescent="0.3">
      <c r="A407" s="13">
        <v>45767</v>
      </c>
      <c r="B407" s="4" t="str">
        <f>TEXT(Data!B407,"MMM-YYYY")</f>
        <v>Dec-2024</v>
      </c>
      <c r="C407" s="4" t="str">
        <f t="shared" si="33"/>
        <v>Apr-2025</v>
      </c>
      <c r="D407" s="14">
        <f t="shared" si="34"/>
        <v>45767</v>
      </c>
      <c r="E407" s="4" t="str">
        <f t="shared" si="30"/>
        <v>Q2-2025</v>
      </c>
      <c r="F407" t="s">
        <v>45</v>
      </c>
      <c r="G407" t="s">
        <v>116</v>
      </c>
      <c r="H407" t="s">
        <v>338</v>
      </c>
      <c r="I407" t="s">
        <v>64</v>
      </c>
      <c r="J407" s="8" t="str">
        <f t="shared" si="31"/>
        <v>High</v>
      </c>
      <c r="K407" s="4">
        <v>2050.87</v>
      </c>
      <c r="L407" s="4">
        <v>2050.87</v>
      </c>
      <c r="M407" s="4">
        <v>6.4000000000000001E-2</v>
      </c>
      <c r="N407" s="4">
        <v>7</v>
      </c>
      <c r="O407" s="4">
        <f t="shared" si="32"/>
        <v>18113.986799999999</v>
      </c>
    </row>
    <row r="408" spans="1:15" x14ac:dyDescent="0.3">
      <c r="A408" s="13">
        <v>45768</v>
      </c>
      <c r="B408" s="4" t="str">
        <f>TEXT(Data!B408,"MMM-YYYY")</f>
        <v>Feb-2025</v>
      </c>
      <c r="C408" s="4" t="str">
        <f t="shared" si="33"/>
        <v>Apr-2025</v>
      </c>
      <c r="D408" s="14">
        <f t="shared" si="34"/>
        <v>45768</v>
      </c>
      <c r="E408" s="4" t="str">
        <f t="shared" si="30"/>
        <v>Q2-2025</v>
      </c>
      <c r="F408" t="s">
        <v>45</v>
      </c>
      <c r="G408" t="s">
        <v>60</v>
      </c>
      <c r="H408" t="s">
        <v>141</v>
      </c>
      <c r="I408" t="s">
        <v>30</v>
      </c>
      <c r="J408" s="8" t="str">
        <f t="shared" si="31"/>
        <v>High</v>
      </c>
      <c r="K408" s="4">
        <v>1737.9</v>
      </c>
      <c r="L408" s="4">
        <v>1737.9</v>
      </c>
      <c r="M408" s="4">
        <v>7.6999999999999999E-2</v>
      </c>
      <c r="N408" s="4">
        <v>14</v>
      </c>
      <c r="O408" s="4">
        <f t="shared" si="32"/>
        <v>3596.8387000000007</v>
      </c>
    </row>
    <row r="409" spans="1:15" x14ac:dyDescent="0.3">
      <c r="A409" s="13">
        <v>45769</v>
      </c>
      <c r="B409" s="4" t="str">
        <f>TEXT(Data!B409,"MMM-YYYY")</f>
        <v>Mar-2025</v>
      </c>
      <c r="C409" s="4" t="str">
        <f t="shared" si="33"/>
        <v>Apr-2025</v>
      </c>
      <c r="D409" s="14">
        <f t="shared" si="34"/>
        <v>45769</v>
      </c>
      <c r="E409" s="4" t="str">
        <f t="shared" si="30"/>
        <v>Q2-2025</v>
      </c>
      <c r="F409" t="s">
        <v>16</v>
      </c>
      <c r="G409" t="s">
        <v>25</v>
      </c>
      <c r="H409" t="s">
        <v>67</v>
      </c>
      <c r="I409" t="s">
        <v>42</v>
      </c>
      <c r="J409" s="8" t="str">
        <f t="shared" si="31"/>
        <v>High</v>
      </c>
      <c r="K409" s="4">
        <v>1388.31</v>
      </c>
      <c r="L409" s="4">
        <v>1388.31</v>
      </c>
      <c r="M409" s="4">
        <v>0.13800000000000001</v>
      </c>
      <c r="N409" s="4">
        <v>18</v>
      </c>
      <c r="O409" s="4">
        <f t="shared" si="32"/>
        <v>15273.329759999999</v>
      </c>
    </row>
    <row r="410" spans="1:15" x14ac:dyDescent="0.3">
      <c r="A410" s="13">
        <v>45770</v>
      </c>
      <c r="B410" s="4" t="str">
        <f>TEXT(Data!B410,"MMM-YYYY")</f>
        <v>Dec-2023</v>
      </c>
      <c r="C410" s="4" t="str">
        <f t="shared" si="33"/>
        <v>Apr-2025</v>
      </c>
      <c r="D410" s="14">
        <f t="shared" si="34"/>
        <v>45770</v>
      </c>
      <c r="E410" s="4" t="str">
        <f t="shared" si="30"/>
        <v>Q2-2025</v>
      </c>
      <c r="F410" t="s">
        <v>45</v>
      </c>
      <c r="G410" t="s">
        <v>60</v>
      </c>
      <c r="H410" t="s">
        <v>61</v>
      </c>
      <c r="I410" t="s">
        <v>57</v>
      </c>
      <c r="J410" s="8" t="str">
        <f t="shared" si="31"/>
        <v>High</v>
      </c>
      <c r="K410" s="4">
        <v>529.14</v>
      </c>
      <c r="L410" s="4">
        <v>529.14</v>
      </c>
      <c r="M410" s="4">
        <v>0.19600000000000001</v>
      </c>
      <c r="N410" s="4">
        <v>11</v>
      </c>
      <c r="O410" s="4">
        <f t="shared" si="32"/>
        <v>1687.7889600000003</v>
      </c>
    </row>
    <row r="411" spans="1:15" x14ac:dyDescent="0.3">
      <c r="A411" s="13">
        <v>45771</v>
      </c>
      <c r="B411" s="4" t="str">
        <f>TEXT(Data!B411,"MMM-YYYY")</f>
        <v>Aug-2024</v>
      </c>
      <c r="C411" s="4" t="str">
        <f t="shared" si="33"/>
        <v>Apr-2025</v>
      </c>
      <c r="D411" s="14">
        <f t="shared" si="34"/>
        <v>45771</v>
      </c>
      <c r="E411" s="4" t="str">
        <f t="shared" si="30"/>
        <v>Q2-2025</v>
      </c>
      <c r="F411" t="s">
        <v>45</v>
      </c>
      <c r="G411" t="s">
        <v>116</v>
      </c>
      <c r="H411" t="s">
        <v>338</v>
      </c>
      <c r="I411" t="s">
        <v>81</v>
      </c>
      <c r="J411" s="8" t="str">
        <f t="shared" si="31"/>
        <v>High</v>
      </c>
      <c r="K411" s="4">
        <v>1972.38</v>
      </c>
      <c r="L411" s="4">
        <v>1972.38</v>
      </c>
      <c r="M411" s="4">
        <v>0</v>
      </c>
      <c r="N411" s="4">
        <v>12</v>
      </c>
      <c r="O411" s="4">
        <f t="shared" si="32"/>
        <v>10899.599999999999</v>
      </c>
    </row>
    <row r="412" spans="1:15" x14ac:dyDescent="0.3">
      <c r="A412" s="13">
        <v>45772</v>
      </c>
      <c r="B412" s="4" t="str">
        <f>TEXT(Data!B412,"MMM-YYYY")</f>
        <v>May-2024</v>
      </c>
      <c r="C412" s="4" t="str">
        <f t="shared" si="33"/>
        <v>Apr-2025</v>
      </c>
      <c r="D412" s="14">
        <f t="shared" si="34"/>
        <v>45772</v>
      </c>
      <c r="E412" s="4" t="str">
        <f t="shared" si="30"/>
        <v>Q2-2025</v>
      </c>
      <c r="F412" t="s">
        <v>45</v>
      </c>
      <c r="G412" t="s">
        <v>46</v>
      </c>
      <c r="H412" t="s">
        <v>231</v>
      </c>
      <c r="I412" t="s">
        <v>57</v>
      </c>
      <c r="J412" s="8" t="str">
        <f t="shared" si="31"/>
        <v>High</v>
      </c>
      <c r="K412" s="4">
        <v>876.81</v>
      </c>
      <c r="L412" s="4">
        <v>876.81</v>
      </c>
      <c r="M412" s="4">
        <v>0.24099999999999999</v>
      </c>
      <c r="N412" s="4">
        <v>8</v>
      </c>
      <c r="O412" s="4">
        <f t="shared" si="32"/>
        <v>1725.8445600000002</v>
      </c>
    </row>
    <row r="413" spans="1:15" x14ac:dyDescent="0.3">
      <c r="A413" s="13">
        <v>45773</v>
      </c>
      <c r="B413" s="4" t="str">
        <f>TEXT(Data!B413,"MMM-YYYY")</f>
        <v>Mar-2023</v>
      </c>
      <c r="C413" s="4" t="str">
        <f t="shared" si="33"/>
        <v>Apr-2025</v>
      </c>
      <c r="D413" s="14">
        <f t="shared" si="34"/>
        <v>45773</v>
      </c>
      <c r="E413" s="4" t="str">
        <f t="shared" si="30"/>
        <v>Q2-2025</v>
      </c>
      <c r="F413" t="s">
        <v>78</v>
      </c>
      <c r="G413" t="s">
        <v>90</v>
      </c>
      <c r="H413" t="s">
        <v>91</v>
      </c>
      <c r="I413" t="s">
        <v>30</v>
      </c>
      <c r="J413" s="8" t="str">
        <f t="shared" si="31"/>
        <v>High</v>
      </c>
      <c r="K413" s="4">
        <v>824.26</v>
      </c>
      <c r="L413" s="4">
        <v>824.26</v>
      </c>
      <c r="M413" s="4">
        <v>0.23899999999999999</v>
      </c>
      <c r="N413" s="4">
        <v>11</v>
      </c>
      <c r="O413" s="4">
        <f t="shared" si="32"/>
        <v>10290.80514</v>
      </c>
    </row>
    <row r="414" spans="1:15" x14ac:dyDescent="0.3">
      <c r="A414" s="13">
        <v>45774</v>
      </c>
      <c r="B414" s="4" t="str">
        <f>TEXT(Data!B414,"MMM-YYYY")</f>
        <v>Aug-2023</v>
      </c>
      <c r="C414" s="4" t="str">
        <f t="shared" si="33"/>
        <v>Apr-2025</v>
      </c>
      <c r="D414" s="14">
        <f t="shared" si="34"/>
        <v>45774</v>
      </c>
      <c r="E414" s="4" t="str">
        <f t="shared" si="30"/>
        <v>Q2-2025</v>
      </c>
      <c r="F414" t="s">
        <v>78</v>
      </c>
      <c r="G414" t="s">
        <v>79</v>
      </c>
      <c r="H414" t="s">
        <v>159</v>
      </c>
      <c r="I414" t="s">
        <v>42</v>
      </c>
      <c r="J414" s="8" t="str">
        <f t="shared" si="31"/>
        <v>High</v>
      </c>
      <c r="K414" s="4">
        <v>1159.3499999999999</v>
      </c>
      <c r="L414" s="4">
        <v>1159.3499999999999</v>
      </c>
      <c r="M414" s="4">
        <v>0.112</v>
      </c>
      <c r="N414" s="4">
        <v>2</v>
      </c>
      <c r="O414" s="4">
        <f t="shared" si="32"/>
        <v>2175.1027199999999</v>
      </c>
    </row>
    <row r="415" spans="1:15" x14ac:dyDescent="0.3">
      <c r="A415" s="13">
        <v>45775</v>
      </c>
      <c r="B415" s="4" t="str">
        <f>TEXT(Data!B415,"MMM-YYYY")</f>
        <v>Jun-2024</v>
      </c>
      <c r="C415" s="4" t="str">
        <f t="shared" si="33"/>
        <v>Apr-2025</v>
      </c>
      <c r="D415" s="14">
        <f t="shared" si="34"/>
        <v>45775</v>
      </c>
      <c r="E415" s="4" t="str">
        <f t="shared" si="30"/>
        <v>Q2-2025</v>
      </c>
      <c r="F415" t="s">
        <v>16</v>
      </c>
      <c r="G415" t="s">
        <v>25</v>
      </c>
      <c r="H415" t="s">
        <v>67</v>
      </c>
      <c r="I415" t="s">
        <v>42</v>
      </c>
      <c r="J415" s="8" t="str">
        <f t="shared" si="31"/>
        <v>High</v>
      </c>
      <c r="K415" s="4">
        <v>2513.5100000000002</v>
      </c>
      <c r="L415" s="4">
        <v>2513.5100000000002</v>
      </c>
      <c r="M415" s="4">
        <v>8.3000000000000004E-2</v>
      </c>
      <c r="N415" s="4">
        <v>7</v>
      </c>
      <c r="O415" s="4">
        <f t="shared" si="32"/>
        <v>3118.7353400000002</v>
      </c>
    </row>
    <row r="416" spans="1:15" x14ac:dyDescent="0.3">
      <c r="A416" s="13">
        <v>45776</v>
      </c>
      <c r="B416" s="4" t="str">
        <f>TEXT(Data!B416,"MMM-YYYY")</f>
        <v>Aug-2023</v>
      </c>
      <c r="C416" s="4" t="str">
        <f t="shared" si="33"/>
        <v>Apr-2025</v>
      </c>
      <c r="D416" s="14">
        <f t="shared" si="34"/>
        <v>45776</v>
      </c>
      <c r="E416" s="4" t="str">
        <f t="shared" si="30"/>
        <v>Q2-2025</v>
      </c>
      <c r="F416" t="s">
        <v>45</v>
      </c>
      <c r="G416" t="s">
        <v>60</v>
      </c>
      <c r="H416" t="s">
        <v>61</v>
      </c>
      <c r="I416" t="s">
        <v>35</v>
      </c>
      <c r="J416" s="8" t="str">
        <f t="shared" si="31"/>
        <v>High</v>
      </c>
      <c r="K416" s="4">
        <v>3087.13</v>
      </c>
      <c r="L416" s="4">
        <v>3087.13</v>
      </c>
      <c r="M416" s="4">
        <v>7.1999999999999995E-2</v>
      </c>
      <c r="N416" s="4">
        <v>11</v>
      </c>
      <c r="O416" s="4">
        <f t="shared" si="32"/>
        <v>22569.275520000003</v>
      </c>
    </row>
    <row r="417" spans="1:15" x14ac:dyDescent="0.3">
      <c r="A417" s="13">
        <v>45777</v>
      </c>
      <c r="B417" s="4" t="str">
        <f>TEXT(Data!B417,"MMM-YYYY")</f>
        <v>Nov-2024</v>
      </c>
      <c r="C417" s="4" t="str">
        <f t="shared" si="33"/>
        <v>Apr-2025</v>
      </c>
      <c r="D417" s="14">
        <f t="shared" si="34"/>
        <v>45777</v>
      </c>
      <c r="E417" s="4" t="str">
        <f t="shared" si="30"/>
        <v>Q2-2025</v>
      </c>
      <c r="F417" t="s">
        <v>52</v>
      </c>
      <c r="G417" t="s">
        <v>53</v>
      </c>
      <c r="H417" t="s">
        <v>179</v>
      </c>
      <c r="I417" t="s">
        <v>30</v>
      </c>
      <c r="J417" s="8" t="str">
        <f t="shared" si="31"/>
        <v>High</v>
      </c>
      <c r="K417" s="4">
        <v>2717.15</v>
      </c>
      <c r="L417" s="4">
        <v>2717.15</v>
      </c>
      <c r="M417" s="4">
        <v>3.2000000000000001E-2</v>
      </c>
      <c r="N417" s="4">
        <v>7</v>
      </c>
      <c r="O417" s="4">
        <f t="shared" si="32"/>
        <v>3875.12664</v>
      </c>
    </row>
    <row r="418" spans="1:15" x14ac:dyDescent="0.3">
      <c r="A418" s="13">
        <v>45778</v>
      </c>
      <c r="B418" s="4" t="str">
        <f>TEXT(Data!B418,"MMM-YYYY")</f>
        <v>Jun-2025</v>
      </c>
      <c r="C418" s="4" t="str">
        <f t="shared" si="33"/>
        <v>May-2025</v>
      </c>
      <c r="D418" s="14">
        <f t="shared" si="34"/>
        <v>45778</v>
      </c>
      <c r="E418" s="4" t="str">
        <f t="shared" si="30"/>
        <v>Q2-2025</v>
      </c>
      <c r="F418" t="s">
        <v>45</v>
      </c>
      <c r="G418" t="s">
        <v>60</v>
      </c>
      <c r="H418" t="s">
        <v>281</v>
      </c>
      <c r="I418" t="s">
        <v>81</v>
      </c>
      <c r="J418" s="8" t="str">
        <f t="shared" si="31"/>
        <v>High</v>
      </c>
      <c r="K418" s="4">
        <v>901.79</v>
      </c>
      <c r="L418" s="4">
        <v>901.79</v>
      </c>
      <c r="M418" s="4">
        <v>0.245</v>
      </c>
      <c r="N418" s="4">
        <v>16</v>
      </c>
      <c r="O418" s="4">
        <f t="shared" si="32"/>
        <v>41052.309600000001</v>
      </c>
    </row>
    <row r="419" spans="1:15" x14ac:dyDescent="0.3">
      <c r="A419" s="13">
        <v>45779</v>
      </c>
      <c r="B419" s="4" t="str">
        <f>TEXT(Data!B419,"MMM-YYYY")</f>
        <v>Mar-2025</v>
      </c>
      <c r="C419" s="4" t="str">
        <f t="shared" si="33"/>
        <v>May-2025</v>
      </c>
      <c r="D419" s="14">
        <f t="shared" si="34"/>
        <v>45779</v>
      </c>
      <c r="E419" s="4" t="str">
        <f t="shared" si="30"/>
        <v>Q2-2025</v>
      </c>
      <c r="F419" t="s">
        <v>45</v>
      </c>
      <c r="G419" t="s">
        <v>60</v>
      </c>
      <c r="H419" t="s">
        <v>141</v>
      </c>
      <c r="I419" t="s">
        <v>81</v>
      </c>
      <c r="J419" s="8" t="str">
        <f t="shared" si="31"/>
        <v>High</v>
      </c>
      <c r="K419" s="4">
        <v>796.15</v>
      </c>
      <c r="L419" s="4">
        <v>796.15</v>
      </c>
      <c r="M419" s="4">
        <v>0.09</v>
      </c>
      <c r="N419" s="4">
        <v>11</v>
      </c>
      <c r="O419" s="4">
        <f t="shared" si="32"/>
        <v>1948.1462000000001</v>
      </c>
    </row>
    <row r="420" spans="1:15" x14ac:dyDescent="0.3">
      <c r="A420" s="13">
        <v>45780</v>
      </c>
      <c r="B420" s="4" t="str">
        <f>TEXT(Data!B420,"MMM-YYYY")</f>
        <v>Jan-2024</v>
      </c>
      <c r="C420" s="4" t="str">
        <f t="shared" si="33"/>
        <v>May-2025</v>
      </c>
      <c r="D420" s="14">
        <f t="shared" si="34"/>
        <v>45780</v>
      </c>
      <c r="E420" s="4" t="str">
        <f t="shared" si="30"/>
        <v>Q2-2025</v>
      </c>
      <c r="F420" t="s">
        <v>45</v>
      </c>
      <c r="G420" t="s">
        <v>116</v>
      </c>
      <c r="H420" t="s">
        <v>1364</v>
      </c>
      <c r="I420" t="s">
        <v>30</v>
      </c>
      <c r="J420" s="8" t="str">
        <f t="shared" si="31"/>
        <v>Medium</v>
      </c>
      <c r="K420" s="4">
        <v>157.82</v>
      </c>
      <c r="L420" s="4">
        <v>157.82</v>
      </c>
      <c r="M420" s="4">
        <v>0.217</v>
      </c>
      <c r="N420" s="4">
        <v>6</v>
      </c>
      <c r="O420" s="4">
        <f t="shared" si="32"/>
        <v>4846.6447200000002</v>
      </c>
    </row>
    <row r="421" spans="1:15" x14ac:dyDescent="0.3">
      <c r="A421" s="13">
        <v>45781</v>
      </c>
      <c r="B421" s="4" t="str">
        <f>TEXT(Data!B421,"MMM-YYYY")</f>
        <v>Oct-2023</v>
      </c>
      <c r="C421" s="4" t="str">
        <f t="shared" si="33"/>
        <v>May-2025</v>
      </c>
      <c r="D421" s="14">
        <f t="shared" si="34"/>
        <v>45781</v>
      </c>
      <c r="E421" s="4" t="str">
        <f t="shared" si="30"/>
        <v>Q2-2025</v>
      </c>
      <c r="F421" t="s">
        <v>78</v>
      </c>
      <c r="G421" t="s">
        <v>79</v>
      </c>
      <c r="H421" t="s">
        <v>335</v>
      </c>
      <c r="I421" t="s">
        <v>64</v>
      </c>
      <c r="J421" s="8" t="str">
        <f t="shared" si="31"/>
        <v>High</v>
      </c>
      <c r="K421" s="4">
        <v>819.06</v>
      </c>
      <c r="L421" s="4">
        <v>819.06</v>
      </c>
      <c r="M421" s="4">
        <v>0.22600000000000001</v>
      </c>
      <c r="N421" s="4">
        <v>15</v>
      </c>
      <c r="O421" s="4">
        <f t="shared" si="32"/>
        <v>5749.1559000000007</v>
      </c>
    </row>
    <row r="422" spans="1:15" x14ac:dyDescent="0.3">
      <c r="A422" s="13">
        <v>45782</v>
      </c>
      <c r="B422" s="4" t="str">
        <f>TEXT(Data!B422,"MMM-YYYY")</f>
        <v>Feb-2025</v>
      </c>
      <c r="C422" s="4" t="str">
        <f t="shared" si="33"/>
        <v>May-2025</v>
      </c>
      <c r="D422" s="14">
        <f t="shared" si="34"/>
        <v>45782</v>
      </c>
      <c r="E422" s="4" t="str">
        <f t="shared" si="30"/>
        <v>Q2-2025</v>
      </c>
      <c r="F422" t="s">
        <v>45</v>
      </c>
      <c r="G422" t="s">
        <v>46</v>
      </c>
      <c r="H422" t="s">
        <v>231</v>
      </c>
      <c r="I422" t="s">
        <v>42</v>
      </c>
      <c r="J422" s="8" t="str">
        <f t="shared" si="31"/>
        <v>High</v>
      </c>
      <c r="K422" s="4">
        <v>1711.16</v>
      </c>
      <c r="L422" s="4">
        <v>1711.16</v>
      </c>
      <c r="M422" s="4">
        <v>0.151</v>
      </c>
      <c r="N422" s="4">
        <v>10</v>
      </c>
      <c r="O422" s="4">
        <f t="shared" si="32"/>
        <v>11198.649599999999</v>
      </c>
    </row>
    <row r="423" spans="1:15" x14ac:dyDescent="0.3">
      <c r="A423" s="13">
        <v>45783</v>
      </c>
      <c r="B423" s="4" t="str">
        <f>TEXT(Data!B423,"MMM-YYYY")</f>
        <v>Jul-2025</v>
      </c>
      <c r="C423" s="4" t="str">
        <f t="shared" si="33"/>
        <v>May-2025</v>
      </c>
      <c r="D423" s="14">
        <f t="shared" si="34"/>
        <v>45783</v>
      </c>
      <c r="E423" s="4" t="str">
        <f t="shared" si="30"/>
        <v>Q2-2025</v>
      </c>
      <c r="F423" t="s">
        <v>52</v>
      </c>
      <c r="G423" t="s">
        <v>122</v>
      </c>
      <c r="H423" t="s">
        <v>167</v>
      </c>
      <c r="I423" t="s">
        <v>42</v>
      </c>
      <c r="J423" s="8" t="str">
        <f t="shared" si="31"/>
        <v>High</v>
      </c>
      <c r="K423" s="4">
        <v>1696.35</v>
      </c>
      <c r="L423" s="4">
        <v>1696.35</v>
      </c>
      <c r="M423" s="4">
        <v>1.9E-2</v>
      </c>
      <c r="N423" s="4">
        <v>6</v>
      </c>
      <c r="O423" s="4">
        <f t="shared" si="32"/>
        <v>1853.32482</v>
      </c>
    </row>
    <row r="424" spans="1:15" x14ac:dyDescent="0.3">
      <c r="A424" s="13">
        <v>45784</v>
      </c>
      <c r="B424" s="4" t="str">
        <f>TEXT(Data!B424,"MMM-YYYY")</f>
        <v>Sept-2025</v>
      </c>
      <c r="C424" s="4" t="str">
        <f t="shared" si="33"/>
        <v>May-2025</v>
      </c>
      <c r="D424" s="14">
        <f t="shared" si="34"/>
        <v>45784</v>
      </c>
      <c r="E424" s="4" t="str">
        <f t="shared" si="30"/>
        <v>Q2-2025</v>
      </c>
      <c r="F424" t="s">
        <v>16</v>
      </c>
      <c r="G424" t="s">
        <v>25</v>
      </c>
      <c r="H424" t="s">
        <v>38</v>
      </c>
      <c r="I424" t="s">
        <v>57</v>
      </c>
      <c r="J424" s="8" t="str">
        <f t="shared" si="31"/>
        <v>High</v>
      </c>
      <c r="K424" s="4">
        <v>2884.34</v>
      </c>
      <c r="L424" s="4">
        <v>2884.34</v>
      </c>
      <c r="M424" s="4">
        <v>0.157</v>
      </c>
      <c r="N424" s="4">
        <v>42</v>
      </c>
      <c r="O424" s="4">
        <f t="shared" si="32"/>
        <v>78253.279020000002</v>
      </c>
    </row>
    <row r="425" spans="1:15" x14ac:dyDescent="0.3">
      <c r="A425" s="13">
        <v>45785</v>
      </c>
      <c r="B425" s="4" t="str">
        <f>TEXT(Data!B425,"MMM-YYYY")</f>
        <v>Feb-2024</v>
      </c>
      <c r="C425" s="4" t="str">
        <f t="shared" si="33"/>
        <v>May-2025</v>
      </c>
      <c r="D425" s="14">
        <f t="shared" si="34"/>
        <v>45785</v>
      </c>
      <c r="E425" s="4" t="str">
        <f t="shared" si="30"/>
        <v>Q2-2025</v>
      </c>
      <c r="F425" t="s">
        <v>45</v>
      </c>
      <c r="G425" t="s">
        <v>60</v>
      </c>
      <c r="H425" t="s">
        <v>141</v>
      </c>
      <c r="I425" t="s">
        <v>42</v>
      </c>
      <c r="J425" s="8" t="str">
        <f t="shared" si="31"/>
        <v>High</v>
      </c>
      <c r="K425" s="4">
        <v>1483.74</v>
      </c>
      <c r="L425" s="4">
        <v>1483.74</v>
      </c>
      <c r="M425" s="4">
        <v>0.16800000000000001</v>
      </c>
      <c r="N425" s="4">
        <v>24</v>
      </c>
      <c r="O425" s="4">
        <f t="shared" si="32"/>
        <v>20866.559999999998</v>
      </c>
    </row>
    <row r="426" spans="1:15" x14ac:dyDescent="0.3">
      <c r="A426" s="13">
        <v>45786</v>
      </c>
      <c r="B426" s="4" t="str">
        <f>TEXT(Data!B426,"MMM-YYYY")</f>
        <v>Feb-2024</v>
      </c>
      <c r="C426" s="4" t="str">
        <f t="shared" si="33"/>
        <v>May-2025</v>
      </c>
      <c r="D426" s="14">
        <f t="shared" si="34"/>
        <v>45786</v>
      </c>
      <c r="E426" s="4" t="str">
        <f t="shared" si="30"/>
        <v>Q2-2025</v>
      </c>
      <c r="F426" t="s">
        <v>45</v>
      </c>
      <c r="G426" t="s">
        <v>116</v>
      </c>
      <c r="H426" t="s">
        <v>338</v>
      </c>
      <c r="I426" t="s">
        <v>30</v>
      </c>
      <c r="J426" s="8" t="str">
        <f t="shared" si="31"/>
        <v>High</v>
      </c>
      <c r="K426" s="4">
        <v>3197.47</v>
      </c>
      <c r="L426" s="4">
        <v>3197.47</v>
      </c>
      <c r="M426" s="4">
        <v>0.24299999999999999</v>
      </c>
      <c r="N426" s="4">
        <v>24</v>
      </c>
      <c r="O426" s="4">
        <f t="shared" si="32"/>
        <v>38737.627919999999</v>
      </c>
    </row>
    <row r="427" spans="1:15" x14ac:dyDescent="0.3">
      <c r="A427" s="13">
        <v>45787</v>
      </c>
      <c r="B427" s="4" t="str">
        <f>TEXT(Data!B427,"MMM-YYYY")</f>
        <v>Aug-2025</v>
      </c>
      <c r="C427" s="4" t="str">
        <f t="shared" si="33"/>
        <v>May-2025</v>
      </c>
      <c r="D427" s="14">
        <f t="shared" si="34"/>
        <v>45787</v>
      </c>
      <c r="E427" s="4" t="str">
        <f t="shared" si="30"/>
        <v>Q2-2025</v>
      </c>
      <c r="F427" t="s">
        <v>45</v>
      </c>
      <c r="G427" t="s">
        <v>60</v>
      </c>
      <c r="H427" t="s">
        <v>220</v>
      </c>
      <c r="I427" t="s">
        <v>57</v>
      </c>
      <c r="J427" s="8" t="str">
        <f t="shared" si="31"/>
        <v>High</v>
      </c>
      <c r="K427" s="4">
        <v>2322.6999999999998</v>
      </c>
      <c r="L427" s="4">
        <v>2322.6999999999998</v>
      </c>
      <c r="M427" s="4">
        <v>0.17299999999999999</v>
      </c>
      <c r="N427" s="4">
        <v>8</v>
      </c>
      <c r="O427" s="4">
        <f t="shared" si="32"/>
        <v>13903.854800000001</v>
      </c>
    </row>
    <row r="428" spans="1:15" x14ac:dyDescent="0.3">
      <c r="A428" s="13">
        <v>45788</v>
      </c>
      <c r="B428" s="4" t="str">
        <f>TEXT(Data!B428,"MMM-YYYY")</f>
        <v>Aug-2024</v>
      </c>
      <c r="C428" s="4" t="str">
        <f t="shared" si="33"/>
        <v>May-2025</v>
      </c>
      <c r="D428" s="14">
        <f t="shared" si="34"/>
        <v>45788</v>
      </c>
      <c r="E428" s="4" t="str">
        <f t="shared" si="30"/>
        <v>Q2-2025</v>
      </c>
      <c r="F428" t="s">
        <v>16</v>
      </c>
      <c r="G428" t="s">
        <v>25</v>
      </c>
      <c r="H428" t="s">
        <v>26</v>
      </c>
      <c r="I428" t="s">
        <v>57</v>
      </c>
      <c r="J428" s="8" t="str">
        <f t="shared" si="31"/>
        <v>High</v>
      </c>
      <c r="K428" s="4">
        <v>1932.42</v>
      </c>
      <c r="L428" s="4">
        <v>1932.42</v>
      </c>
      <c r="M428" s="4">
        <v>0.25</v>
      </c>
      <c r="N428" s="4">
        <v>21</v>
      </c>
      <c r="O428" s="4">
        <f t="shared" si="32"/>
        <v>33475.68</v>
      </c>
    </row>
    <row r="429" spans="1:15" x14ac:dyDescent="0.3">
      <c r="A429" s="13">
        <v>45789</v>
      </c>
      <c r="B429" s="4" t="str">
        <f>TEXT(Data!B429,"MMM-YYYY")</f>
        <v>Feb-2024</v>
      </c>
      <c r="C429" s="4" t="str">
        <f t="shared" si="33"/>
        <v>May-2025</v>
      </c>
      <c r="D429" s="14">
        <f t="shared" si="34"/>
        <v>45789</v>
      </c>
      <c r="E429" s="4" t="str">
        <f t="shared" si="30"/>
        <v>Q2-2025</v>
      </c>
      <c r="F429" t="s">
        <v>45</v>
      </c>
      <c r="G429" t="s">
        <v>60</v>
      </c>
      <c r="H429" t="s">
        <v>220</v>
      </c>
      <c r="I429" t="s">
        <v>42</v>
      </c>
      <c r="J429" s="8" t="str">
        <f t="shared" si="31"/>
        <v>High</v>
      </c>
      <c r="K429" s="4">
        <v>1590.36</v>
      </c>
      <c r="L429" s="4">
        <v>1590.36</v>
      </c>
      <c r="M429" s="4">
        <v>0.314</v>
      </c>
      <c r="N429" s="4">
        <v>18</v>
      </c>
      <c r="O429" s="4">
        <f t="shared" si="32"/>
        <v>8801.0369999999984</v>
      </c>
    </row>
    <row r="430" spans="1:15" x14ac:dyDescent="0.3">
      <c r="A430" s="13">
        <v>45790</v>
      </c>
      <c r="B430" s="4" t="str">
        <f>TEXT(Data!B430,"MMM-YYYY")</f>
        <v>May-2025</v>
      </c>
      <c r="C430" s="4" t="str">
        <f t="shared" si="33"/>
        <v>May-2025</v>
      </c>
      <c r="D430" s="14">
        <f t="shared" si="34"/>
        <v>45790</v>
      </c>
      <c r="E430" s="4" t="str">
        <f t="shared" si="30"/>
        <v>Q2-2025</v>
      </c>
      <c r="F430" t="s">
        <v>78</v>
      </c>
      <c r="G430" t="s">
        <v>90</v>
      </c>
      <c r="H430" t="s">
        <v>91</v>
      </c>
      <c r="I430" t="s">
        <v>64</v>
      </c>
      <c r="J430" s="8" t="str">
        <f t="shared" si="31"/>
        <v>High</v>
      </c>
      <c r="K430" s="4">
        <v>395.61</v>
      </c>
      <c r="L430" s="4">
        <v>395.61</v>
      </c>
      <c r="M430" s="4">
        <v>0</v>
      </c>
      <c r="N430" s="4">
        <v>34</v>
      </c>
      <c r="O430" s="4">
        <f t="shared" si="32"/>
        <v>53340.22</v>
      </c>
    </row>
    <row r="431" spans="1:15" x14ac:dyDescent="0.3">
      <c r="A431" s="13">
        <v>45791</v>
      </c>
      <c r="B431" s="4" t="str">
        <f>TEXT(Data!B431,"MMM-YYYY")</f>
        <v>Nov-2024</v>
      </c>
      <c r="C431" s="4" t="str">
        <f t="shared" si="33"/>
        <v>May-2025</v>
      </c>
      <c r="D431" s="14">
        <f t="shared" si="34"/>
        <v>45791</v>
      </c>
      <c r="E431" s="4" t="str">
        <f t="shared" si="30"/>
        <v>Q2-2025</v>
      </c>
      <c r="F431" t="s">
        <v>45</v>
      </c>
      <c r="G431" t="s">
        <v>60</v>
      </c>
      <c r="H431" t="s">
        <v>61</v>
      </c>
      <c r="I431" t="s">
        <v>42</v>
      </c>
      <c r="J431" s="8" t="str">
        <f t="shared" si="31"/>
        <v>High</v>
      </c>
      <c r="K431" s="4">
        <v>2077.69</v>
      </c>
      <c r="L431" s="4">
        <v>2077.69</v>
      </c>
      <c r="M431" s="4">
        <v>0.17499999999999999</v>
      </c>
      <c r="N431" s="4">
        <v>24</v>
      </c>
      <c r="O431" s="4">
        <f t="shared" si="32"/>
        <v>41071.932000000001</v>
      </c>
    </row>
    <row r="432" spans="1:15" x14ac:dyDescent="0.3">
      <c r="A432" s="13">
        <v>45792</v>
      </c>
      <c r="B432" s="4" t="str">
        <f>TEXT(Data!B432,"MMM-YYYY")</f>
        <v>Dec-2024</v>
      </c>
      <c r="C432" s="4" t="str">
        <f t="shared" si="33"/>
        <v>May-2025</v>
      </c>
      <c r="D432" s="14">
        <f t="shared" si="34"/>
        <v>45792</v>
      </c>
      <c r="E432" s="4" t="str">
        <f t="shared" si="30"/>
        <v>Q2-2025</v>
      </c>
      <c r="F432" t="s">
        <v>78</v>
      </c>
      <c r="G432" t="s">
        <v>79</v>
      </c>
      <c r="H432" t="s">
        <v>335</v>
      </c>
      <c r="I432" t="s">
        <v>30</v>
      </c>
      <c r="J432" s="8" t="str">
        <f t="shared" si="31"/>
        <v>High</v>
      </c>
      <c r="K432" s="4">
        <v>1330.85</v>
      </c>
      <c r="L432" s="4">
        <v>1330.85</v>
      </c>
      <c r="M432" s="4">
        <v>0.115</v>
      </c>
      <c r="N432" s="4">
        <v>11</v>
      </c>
      <c r="O432" s="4">
        <f t="shared" si="32"/>
        <v>4820.6746499999999</v>
      </c>
    </row>
    <row r="433" spans="1:15" x14ac:dyDescent="0.3">
      <c r="A433" s="13">
        <v>45793</v>
      </c>
      <c r="B433" s="4" t="str">
        <f>TEXT(Data!B433,"MMM-YYYY")</f>
        <v>Oct-2023</v>
      </c>
      <c r="C433" s="4" t="str">
        <f t="shared" si="33"/>
        <v>May-2025</v>
      </c>
      <c r="D433" s="14">
        <f t="shared" si="34"/>
        <v>45793</v>
      </c>
      <c r="E433" s="4" t="str">
        <f t="shared" si="30"/>
        <v>Q2-2025</v>
      </c>
      <c r="F433" t="s">
        <v>45</v>
      </c>
      <c r="G433" t="s">
        <v>116</v>
      </c>
      <c r="H433" t="s">
        <v>117</v>
      </c>
      <c r="I433" t="s">
        <v>57</v>
      </c>
      <c r="J433" s="8" t="str">
        <f t="shared" si="31"/>
        <v>High</v>
      </c>
      <c r="K433" s="4">
        <v>2764.65</v>
      </c>
      <c r="L433" s="4">
        <v>2764.65</v>
      </c>
      <c r="M433" s="4">
        <v>0</v>
      </c>
      <c r="N433" s="4">
        <v>21</v>
      </c>
      <c r="O433" s="4">
        <f t="shared" si="32"/>
        <v>15909.390000000001</v>
      </c>
    </row>
    <row r="434" spans="1:15" x14ac:dyDescent="0.3">
      <c r="A434" s="13">
        <v>45794</v>
      </c>
      <c r="B434" s="4" t="str">
        <f>TEXT(Data!B434,"MMM-YYYY")</f>
        <v>Dec-2024</v>
      </c>
      <c r="C434" s="4" t="str">
        <f t="shared" si="33"/>
        <v>May-2025</v>
      </c>
      <c r="D434" s="14">
        <f t="shared" si="34"/>
        <v>45794</v>
      </c>
      <c r="E434" s="4" t="str">
        <f t="shared" si="30"/>
        <v>Q2-2025</v>
      </c>
      <c r="F434" t="s">
        <v>78</v>
      </c>
      <c r="G434" t="s">
        <v>108</v>
      </c>
      <c r="H434" t="s">
        <v>228</v>
      </c>
      <c r="I434" t="s">
        <v>64</v>
      </c>
      <c r="J434" s="8" t="str">
        <f t="shared" si="31"/>
        <v>High</v>
      </c>
      <c r="K434" s="4">
        <v>278.35000000000002</v>
      </c>
      <c r="L434" s="4">
        <v>278.35000000000002</v>
      </c>
      <c r="M434" s="4">
        <v>5.6000000000000001E-2</v>
      </c>
      <c r="N434" s="4">
        <v>10</v>
      </c>
      <c r="O434" s="4">
        <f t="shared" si="32"/>
        <v>3926.6623999999993</v>
      </c>
    </row>
    <row r="435" spans="1:15" x14ac:dyDescent="0.3">
      <c r="A435" s="13">
        <v>45795</v>
      </c>
      <c r="B435" s="4" t="str">
        <f>TEXT(Data!B435,"MMM-YYYY")</f>
        <v>Sept-2024</v>
      </c>
      <c r="C435" s="4" t="str">
        <f t="shared" si="33"/>
        <v>May-2025</v>
      </c>
      <c r="D435" s="14">
        <f t="shared" si="34"/>
        <v>45795</v>
      </c>
      <c r="E435" s="4" t="str">
        <f t="shared" si="30"/>
        <v>Q2-2025</v>
      </c>
      <c r="F435" t="s">
        <v>16</v>
      </c>
      <c r="G435" t="s">
        <v>25</v>
      </c>
      <c r="H435" t="s">
        <v>38</v>
      </c>
      <c r="I435" t="s">
        <v>64</v>
      </c>
      <c r="J435" s="8" t="str">
        <f t="shared" si="31"/>
        <v>High</v>
      </c>
      <c r="K435" s="4">
        <v>984.36</v>
      </c>
      <c r="L435" s="4">
        <v>984.36</v>
      </c>
      <c r="M435" s="4">
        <v>5.8999999999999997E-2</v>
      </c>
      <c r="N435" s="4">
        <v>14</v>
      </c>
      <c r="O435" s="4">
        <f t="shared" si="32"/>
        <v>24647.104860000003</v>
      </c>
    </row>
    <row r="436" spans="1:15" x14ac:dyDescent="0.3">
      <c r="A436" s="13">
        <v>45796</v>
      </c>
      <c r="B436" s="4" t="str">
        <f>TEXT(Data!B436,"MMM-YYYY")</f>
        <v>Oct-2023</v>
      </c>
      <c r="C436" s="4" t="str">
        <f t="shared" si="33"/>
        <v>May-2025</v>
      </c>
      <c r="D436" s="14">
        <f t="shared" si="34"/>
        <v>45796</v>
      </c>
      <c r="E436" s="4" t="str">
        <f t="shared" si="30"/>
        <v>Q2-2025</v>
      </c>
      <c r="F436" t="s">
        <v>45</v>
      </c>
      <c r="G436" t="s">
        <v>116</v>
      </c>
      <c r="H436" t="s">
        <v>338</v>
      </c>
      <c r="I436" t="s">
        <v>35</v>
      </c>
      <c r="J436" s="8" t="str">
        <f t="shared" si="31"/>
        <v>Medium</v>
      </c>
      <c r="K436" s="4">
        <v>190.84</v>
      </c>
      <c r="L436" s="4">
        <v>190.84</v>
      </c>
      <c r="M436" s="4">
        <v>0.214</v>
      </c>
      <c r="N436" s="4">
        <v>13</v>
      </c>
      <c r="O436" s="4">
        <f t="shared" si="32"/>
        <v>2113.89984</v>
      </c>
    </row>
    <row r="437" spans="1:15" x14ac:dyDescent="0.3">
      <c r="A437" s="13">
        <v>45797</v>
      </c>
      <c r="B437" s="4" t="str">
        <f>TEXT(Data!B437,"MMM-YYYY")</f>
        <v>Dec-2024</v>
      </c>
      <c r="C437" s="4" t="str">
        <f t="shared" si="33"/>
        <v>May-2025</v>
      </c>
      <c r="D437" s="14">
        <f t="shared" si="34"/>
        <v>45797</v>
      </c>
      <c r="E437" s="4" t="str">
        <f t="shared" si="30"/>
        <v>Q2-2025</v>
      </c>
      <c r="F437" t="s">
        <v>16</v>
      </c>
      <c r="G437" t="s">
        <v>17</v>
      </c>
      <c r="H437" t="s">
        <v>18</v>
      </c>
      <c r="I437" t="s">
        <v>42</v>
      </c>
      <c r="J437" s="8" t="str">
        <f t="shared" si="31"/>
        <v>High</v>
      </c>
      <c r="K437" s="4">
        <v>908.3</v>
      </c>
      <c r="L437" s="4">
        <v>908.3</v>
      </c>
      <c r="M437" s="4">
        <v>0</v>
      </c>
      <c r="N437" s="4">
        <v>30</v>
      </c>
      <c r="O437" s="4">
        <f t="shared" si="32"/>
        <v>1884.6</v>
      </c>
    </row>
    <row r="438" spans="1:15" x14ac:dyDescent="0.3">
      <c r="A438" s="13">
        <v>45798</v>
      </c>
      <c r="B438" s="4" t="str">
        <f>TEXT(Data!B438,"MMM-YYYY")</f>
        <v>Apr-2023</v>
      </c>
      <c r="C438" s="4" t="str">
        <f t="shared" si="33"/>
        <v>May-2025</v>
      </c>
      <c r="D438" s="14">
        <f t="shared" si="34"/>
        <v>45798</v>
      </c>
      <c r="E438" s="4" t="str">
        <f t="shared" si="30"/>
        <v>Q2-2025</v>
      </c>
      <c r="F438" t="s">
        <v>45</v>
      </c>
      <c r="G438" t="s">
        <v>60</v>
      </c>
      <c r="H438" t="s">
        <v>61</v>
      </c>
      <c r="I438" t="s">
        <v>35</v>
      </c>
      <c r="J438" s="8" t="str">
        <f t="shared" si="31"/>
        <v>High</v>
      </c>
      <c r="K438" s="4">
        <v>284.23</v>
      </c>
      <c r="L438" s="4">
        <v>284.23</v>
      </c>
      <c r="M438" s="4">
        <v>0.113</v>
      </c>
      <c r="N438" s="4">
        <v>22</v>
      </c>
      <c r="O438" s="4">
        <f t="shared" si="32"/>
        <v>18664.94586</v>
      </c>
    </row>
    <row r="439" spans="1:15" x14ac:dyDescent="0.3">
      <c r="A439" s="13">
        <v>45799</v>
      </c>
      <c r="B439" s="4" t="str">
        <f>TEXT(Data!B439,"MMM-YYYY")</f>
        <v>Dec-2023</v>
      </c>
      <c r="C439" s="4" t="str">
        <f t="shared" si="33"/>
        <v>May-2025</v>
      </c>
      <c r="D439" s="14">
        <f t="shared" si="34"/>
        <v>45799</v>
      </c>
      <c r="E439" s="4" t="str">
        <f t="shared" si="30"/>
        <v>Q2-2025</v>
      </c>
      <c r="F439" t="s">
        <v>45</v>
      </c>
      <c r="G439" t="s">
        <v>46</v>
      </c>
      <c r="H439" t="s">
        <v>231</v>
      </c>
      <c r="I439" t="s">
        <v>22</v>
      </c>
      <c r="J439" s="8" t="str">
        <f t="shared" si="31"/>
        <v>High</v>
      </c>
      <c r="K439" s="4">
        <v>1229.3399999999999</v>
      </c>
      <c r="L439" s="4">
        <v>1229.3399999999999</v>
      </c>
      <c r="M439" s="4">
        <v>0.14699999999999999</v>
      </c>
      <c r="N439" s="4">
        <v>7</v>
      </c>
      <c r="O439" s="4">
        <f t="shared" si="32"/>
        <v>989.39469999999983</v>
      </c>
    </row>
    <row r="440" spans="1:15" x14ac:dyDescent="0.3">
      <c r="A440" s="13">
        <v>45800</v>
      </c>
      <c r="B440" s="4" t="str">
        <f>TEXT(Data!B440,"MMM-YYYY")</f>
        <v>Feb-2023</v>
      </c>
      <c r="C440" s="4" t="str">
        <f t="shared" si="33"/>
        <v>May-2025</v>
      </c>
      <c r="D440" s="14">
        <f t="shared" si="34"/>
        <v>45800</v>
      </c>
      <c r="E440" s="4" t="str">
        <f t="shared" si="30"/>
        <v>Q2-2025</v>
      </c>
      <c r="F440" t="s">
        <v>78</v>
      </c>
      <c r="G440" t="s">
        <v>90</v>
      </c>
      <c r="H440" t="s">
        <v>91</v>
      </c>
      <c r="I440" t="s">
        <v>81</v>
      </c>
      <c r="J440" s="8" t="str">
        <f t="shared" si="31"/>
        <v>High</v>
      </c>
      <c r="K440" s="4">
        <v>1224.72</v>
      </c>
      <c r="L440" s="4">
        <v>1224.72</v>
      </c>
      <c r="M440" s="4">
        <v>0.17399999999999999</v>
      </c>
      <c r="N440" s="4">
        <v>24</v>
      </c>
      <c r="O440" s="4">
        <f t="shared" si="32"/>
        <v>12060.128640000001</v>
      </c>
    </row>
    <row r="441" spans="1:15" x14ac:dyDescent="0.3">
      <c r="A441" s="13">
        <v>45801</v>
      </c>
      <c r="B441" s="4" t="str">
        <f>TEXT(Data!B441,"MMM-YYYY")</f>
        <v>May-2023</v>
      </c>
      <c r="C441" s="4" t="str">
        <f t="shared" si="33"/>
        <v>May-2025</v>
      </c>
      <c r="D441" s="14">
        <f t="shared" si="34"/>
        <v>45801</v>
      </c>
      <c r="E441" s="4" t="str">
        <f t="shared" si="30"/>
        <v>Q2-2025</v>
      </c>
      <c r="F441" t="s">
        <v>16</v>
      </c>
      <c r="G441" t="s">
        <v>17</v>
      </c>
      <c r="H441" t="s">
        <v>135</v>
      </c>
      <c r="I441" t="s">
        <v>35</v>
      </c>
      <c r="J441" s="8" t="str">
        <f t="shared" si="31"/>
        <v>High</v>
      </c>
      <c r="K441" s="4">
        <v>485.86</v>
      </c>
      <c r="L441" s="4">
        <v>485.86</v>
      </c>
      <c r="M441" s="4">
        <v>4.1000000000000002E-2</v>
      </c>
      <c r="N441" s="4">
        <v>6</v>
      </c>
      <c r="O441" s="4">
        <f t="shared" si="32"/>
        <v>15339.646139999999</v>
      </c>
    </row>
    <row r="442" spans="1:15" x14ac:dyDescent="0.3">
      <c r="A442" s="13">
        <v>45802</v>
      </c>
      <c r="B442" s="4" t="str">
        <f>TEXT(Data!B442,"MMM-YYYY")</f>
        <v>Mar-2024</v>
      </c>
      <c r="C442" s="4" t="str">
        <f t="shared" si="33"/>
        <v>May-2025</v>
      </c>
      <c r="D442" s="14">
        <f t="shared" si="34"/>
        <v>45802</v>
      </c>
      <c r="E442" s="4" t="str">
        <f t="shared" si="30"/>
        <v>Q2-2025</v>
      </c>
      <c r="F442" t="s">
        <v>45</v>
      </c>
      <c r="G442" t="s">
        <v>116</v>
      </c>
      <c r="H442" t="s">
        <v>338</v>
      </c>
      <c r="I442" t="s">
        <v>30</v>
      </c>
      <c r="J442" s="8" t="str">
        <f t="shared" si="31"/>
        <v>High</v>
      </c>
      <c r="K442" s="4">
        <v>2210.94</v>
      </c>
      <c r="L442" s="4">
        <v>2210.94</v>
      </c>
      <c r="M442" s="4">
        <v>0.15</v>
      </c>
      <c r="N442" s="4">
        <v>11</v>
      </c>
      <c r="O442" s="4">
        <f t="shared" si="32"/>
        <v>5497.3325000000004</v>
      </c>
    </row>
    <row r="443" spans="1:15" x14ac:dyDescent="0.3">
      <c r="A443" s="13">
        <v>45803</v>
      </c>
      <c r="B443" s="4" t="str">
        <f>TEXT(Data!B443,"MMM-YYYY")</f>
        <v>Sept-2023</v>
      </c>
      <c r="C443" s="4" t="str">
        <f t="shared" si="33"/>
        <v>May-2025</v>
      </c>
      <c r="D443" s="14">
        <f t="shared" si="34"/>
        <v>45803</v>
      </c>
      <c r="E443" s="4" t="str">
        <f t="shared" si="30"/>
        <v>Q2-2025</v>
      </c>
      <c r="F443" t="s">
        <v>45</v>
      </c>
      <c r="G443" t="s">
        <v>60</v>
      </c>
      <c r="H443" t="s">
        <v>61</v>
      </c>
      <c r="I443" t="s">
        <v>42</v>
      </c>
      <c r="J443" s="8" t="str">
        <f t="shared" si="31"/>
        <v>High</v>
      </c>
      <c r="K443" s="4">
        <v>571.89</v>
      </c>
      <c r="L443" s="4">
        <v>571.89</v>
      </c>
      <c r="M443" s="4">
        <v>0.14799999999999999</v>
      </c>
      <c r="N443" s="4">
        <v>26</v>
      </c>
      <c r="O443" s="4">
        <f t="shared" si="32"/>
        <v>48582.215760000006</v>
      </c>
    </row>
    <row r="444" spans="1:15" x14ac:dyDescent="0.3">
      <c r="A444" s="13">
        <v>45804</v>
      </c>
      <c r="B444" s="4" t="str">
        <f>TEXT(Data!B444,"MMM-YYYY")</f>
        <v>Aug-2024</v>
      </c>
      <c r="C444" s="4" t="str">
        <f t="shared" si="33"/>
        <v>May-2025</v>
      </c>
      <c r="D444" s="14">
        <f t="shared" si="34"/>
        <v>45804</v>
      </c>
      <c r="E444" s="4" t="str">
        <f t="shared" si="30"/>
        <v>Q2-2025</v>
      </c>
      <c r="F444" t="s">
        <v>45</v>
      </c>
      <c r="G444" t="s">
        <v>60</v>
      </c>
      <c r="H444" t="s">
        <v>1364</v>
      </c>
      <c r="I444" t="s">
        <v>81</v>
      </c>
      <c r="J444" s="8" t="str">
        <f t="shared" si="31"/>
        <v>High</v>
      </c>
      <c r="K444" s="4">
        <v>3398.37</v>
      </c>
      <c r="L444" s="4">
        <v>3398.37</v>
      </c>
      <c r="M444" s="4">
        <v>0.157</v>
      </c>
      <c r="N444" s="4">
        <v>11</v>
      </c>
      <c r="O444" s="4">
        <f t="shared" si="32"/>
        <v>20287.469400000002</v>
      </c>
    </row>
    <row r="445" spans="1:15" x14ac:dyDescent="0.3">
      <c r="A445" s="13">
        <v>45805</v>
      </c>
      <c r="B445" s="4" t="str">
        <f>TEXT(Data!B445,"MMM-YYYY")</f>
        <v>Sept-2024</v>
      </c>
      <c r="C445" s="4" t="str">
        <f t="shared" si="33"/>
        <v>May-2025</v>
      </c>
      <c r="D445" s="14">
        <f t="shared" si="34"/>
        <v>45805</v>
      </c>
      <c r="E445" s="4" t="str">
        <f t="shared" si="30"/>
        <v>Q2-2025</v>
      </c>
      <c r="F445" t="s">
        <v>78</v>
      </c>
      <c r="G445" t="s">
        <v>79</v>
      </c>
      <c r="H445" t="s">
        <v>335</v>
      </c>
      <c r="I445" t="s">
        <v>30</v>
      </c>
      <c r="J445" s="8" t="str">
        <f t="shared" si="31"/>
        <v>Medium</v>
      </c>
      <c r="K445" s="4">
        <v>194.62</v>
      </c>
      <c r="L445" s="4">
        <v>194.62</v>
      </c>
      <c r="M445" s="4">
        <v>4.2999999999999997E-2</v>
      </c>
      <c r="N445" s="4">
        <v>32</v>
      </c>
      <c r="O445" s="4">
        <f t="shared" si="32"/>
        <v>30688.61664</v>
      </c>
    </row>
    <row r="446" spans="1:15" x14ac:dyDescent="0.3">
      <c r="A446" s="13">
        <v>45806</v>
      </c>
      <c r="B446" s="4" t="str">
        <f>TEXT(Data!B446,"MMM-YYYY")</f>
        <v>Jun-2023</v>
      </c>
      <c r="C446" s="4" t="str">
        <f t="shared" si="33"/>
        <v>May-2025</v>
      </c>
      <c r="D446" s="14">
        <f t="shared" si="34"/>
        <v>45806</v>
      </c>
      <c r="E446" s="4" t="str">
        <f t="shared" si="30"/>
        <v>Q2-2025</v>
      </c>
      <c r="F446" t="s">
        <v>52</v>
      </c>
      <c r="G446" t="s">
        <v>53</v>
      </c>
      <c r="H446" t="s">
        <v>54</v>
      </c>
      <c r="I446" t="s">
        <v>30</v>
      </c>
      <c r="J446" s="8" t="str">
        <f t="shared" si="31"/>
        <v>High</v>
      </c>
      <c r="K446" s="4">
        <v>1031.6400000000001</v>
      </c>
      <c r="L446" s="4">
        <v>1031.6400000000001</v>
      </c>
      <c r="M446" s="4">
        <v>0</v>
      </c>
      <c r="N446" s="4">
        <v>21</v>
      </c>
      <c r="O446" s="4">
        <f t="shared" si="32"/>
        <v>19189.38</v>
      </c>
    </row>
    <row r="447" spans="1:15" x14ac:dyDescent="0.3">
      <c r="A447" s="13">
        <v>45807</v>
      </c>
      <c r="B447" s="4" t="str">
        <f>TEXT(Data!B447,"MMM-YYYY")</f>
        <v>Dec-2023</v>
      </c>
      <c r="C447" s="4" t="str">
        <f t="shared" si="33"/>
        <v>May-2025</v>
      </c>
      <c r="D447" s="14">
        <f t="shared" si="34"/>
        <v>45807</v>
      </c>
      <c r="E447" s="4" t="str">
        <f t="shared" si="30"/>
        <v>Q2-2025</v>
      </c>
      <c r="F447" t="s">
        <v>52</v>
      </c>
      <c r="G447" t="s">
        <v>53</v>
      </c>
      <c r="H447" t="s">
        <v>54</v>
      </c>
      <c r="I447" t="s">
        <v>30</v>
      </c>
      <c r="J447" s="8" t="str">
        <f t="shared" si="31"/>
        <v>High</v>
      </c>
      <c r="K447" s="4">
        <v>495.19</v>
      </c>
      <c r="L447" s="4">
        <v>495.19</v>
      </c>
      <c r="M447" s="4">
        <v>2.8000000000000001E-2</v>
      </c>
      <c r="N447" s="4">
        <v>4</v>
      </c>
      <c r="O447" s="4">
        <f t="shared" si="32"/>
        <v>7167.5668799999994</v>
      </c>
    </row>
    <row r="448" spans="1:15" x14ac:dyDescent="0.3">
      <c r="A448" s="13">
        <v>45808</v>
      </c>
      <c r="B448" s="4" t="str">
        <f>TEXT(Data!B448,"MMM-YYYY")</f>
        <v>Mar-2025</v>
      </c>
      <c r="C448" s="4" t="str">
        <f t="shared" si="33"/>
        <v>May-2025</v>
      </c>
      <c r="D448" s="14">
        <f t="shared" si="34"/>
        <v>45808</v>
      </c>
      <c r="E448" s="4" t="str">
        <f t="shared" si="30"/>
        <v>Q2-2025</v>
      </c>
      <c r="F448" t="s">
        <v>45</v>
      </c>
      <c r="G448" t="s">
        <v>46</v>
      </c>
      <c r="H448" t="s">
        <v>231</v>
      </c>
      <c r="I448" t="s">
        <v>57</v>
      </c>
      <c r="J448" s="8" t="str">
        <f t="shared" si="31"/>
        <v>High</v>
      </c>
      <c r="K448" s="4">
        <v>1319.04</v>
      </c>
      <c r="L448" s="4">
        <v>1319.04</v>
      </c>
      <c r="M448" s="4">
        <v>7.3999999999999996E-2</v>
      </c>
      <c r="N448" s="4">
        <v>8</v>
      </c>
      <c r="O448" s="4">
        <f t="shared" si="32"/>
        <v>10249.7088</v>
      </c>
    </row>
    <row r="449" spans="1:15" x14ac:dyDescent="0.3">
      <c r="A449" s="13">
        <v>45809</v>
      </c>
      <c r="B449" s="4" t="str">
        <f>TEXT(Data!B449,"MMM-YYYY")</f>
        <v>Jun-2024</v>
      </c>
      <c r="C449" s="4" t="str">
        <f t="shared" si="33"/>
        <v>Jun-2025</v>
      </c>
      <c r="D449" s="14">
        <f t="shared" si="34"/>
        <v>45809</v>
      </c>
      <c r="E449" s="4" t="str">
        <f t="shared" si="30"/>
        <v>Q2-2025</v>
      </c>
      <c r="F449" t="s">
        <v>16</v>
      </c>
      <c r="G449" t="s">
        <v>148</v>
      </c>
      <c r="H449" t="s">
        <v>172</v>
      </c>
      <c r="I449" t="s">
        <v>64</v>
      </c>
      <c r="J449" s="8" t="str">
        <f t="shared" si="31"/>
        <v>High</v>
      </c>
      <c r="K449" s="4">
        <v>314.87</v>
      </c>
      <c r="L449" s="4">
        <v>314.87</v>
      </c>
      <c r="M449" s="4">
        <v>0.29299999999999998</v>
      </c>
      <c r="N449" s="4">
        <v>25</v>
      </c>
      <c r="O449" s="4">
        <f t="shared" si="32"/>
        <v>28077.267750000003</v>
      </c>
    </row>
    <row r="450" spans="1:15" x14ac:dyDescent="0.3">
      <c r="A450" s="13">
        <v>45810</v>
      </c>
      <c r="B450" s="4" t="str">
        <f>TEXT(Data!B450,"MMM-YYYY")</f>
        <v>Jun-2024</v>
      </c>
      <c r="C450" s="4" t="str">
        <f t="shared" si="33"/>
        <v>Jun-2025</v>
      </c>
      <c r="D450" s="14">
        <f t="shared" si="34"/>
        <v>45810</v>
      </c>
      <c r="E450" s="4" t="str">
        <f t="shared" ref="E450:E513" si="35">"Q"&amp;ROUNDUP(MONTH(A450)/3,0)&amp;"-"&amp;YEAR(A450)</f>
        <v>Q2-2025</v>
      </c>
      <c r="F450" t="s">
        <v>52</v>
      </c>
      <c r="G450" t="s">
        <v>53</v>
      </c>
      <c r="H450" t="s">
        <v>54</v>
      </c>
      <c r="I450" t="s">
        <v>64</v>
      </c>
      <c r="J450" s="8" t="str">
        <f t="shared" ref="J450:J513" si="36">IF(K450&lt;50, "Low", IF(K450&lt;200, "Medium", "High"))</f>
        <v>High</v>
      </c>
      <c r="K450" s="4">
        <v>2210.17</v>
      </c>
      <c r="L450" s="4">
        <v>2210.17</v>
      </c>
      <c r="M450" s="4">
        <v>0.104</v>
      </c>
      <c r="N450" s="4">
        <v>23</v>
      </c>
      <c r="O450" s="4">
        <f t="shared" ref="O450:O513" si="37">(L476*N450)*(1-M450)</f>
        <v>27698.182399999998</v>
      </c>
    </row>
    <row r="451" spans="1:15" x14ac:dyDescent="0.3">
      <c r="A451" s="13">
        <v>45811</v>
      </c>
      <c r="B451" s="4" t="str">
        <f>TEXT(Data!B451,"MMM-YYYY")</f>
        <v>Jul-2023</v>
      </c>
      <c r="C451" s="4" t="str">
        <f t="shared" ref="C451:C514" si="38">TEXT(D451, "MMM-YYYY")</f>
        <v>Jun-2025</v>
      </c>
      <c r="D451" s="14">
        <f t="shared" ref="D451:D514" si="39">_xlfn.MINIFS(A451:A451, G451:G451,G451)</f>
        <v>45811</v>
      </c>
      <c r="E451" s="4" t="str">
        <f t="shared" si="35"/>
        <v>Q2-2025</v>
      </c>
      <c r="F451" t="s">
        <v>16</v>
      </c>
      <c r="G451" t="s">
        <v>25</v>
      </c>
      <c r="H451" t="s">
        <v>26</v>
      </c>
      <c r="I451" t="s">
        <v>42</v>
      </c>
      <c r="J451" s="8" t="str">
        <f t="shared" si="36"/>
        <v>High</v>
      </c>
      <c r="K451" s="4">
        <v>1045</v>
      </c>
      <c r="L451" s="4">
        <v>1045</v>
      </c>
      <c r="M451" s="4">
        <v>0.216</v>
      </c>
      <c r="N451" s="4">
        <v>15</v>
      </c>
      <c r="O451" s="4">
        <f t="shared" si="37"/>
        <v>15173.8104</v>
      </c>
    </row>
    <row r="452" spans="1:15" x14ac:dyDescent="0.3">
      <c r="A452" s="13">
        <v>45812</v>
      </c>
      <c r="B452" s="4" t="str">
        <f>TEXT(Data!B452,"MMM-YYYY")</f>
        <v>Jan-2023</v>
      </c>
      <c r="C452" s="4" t="str">
        <f t="shared" si="38"/>
        <v>Jun-2025</v>
      </c>
      <c r="D452" s="14">
        <f t="shared" si="39"/>
        <v>45812</v>
      </c>
      <c r="E452" s="4" t="str">
        <f t="shared" si="35"/>
        <v>Q2-2025</v>
      </c>
      <c r="F452" t="s">
        <v>45</v>
      </c>
      <c r="G452" t="s">
        <v>60</v>
      </c>
      <c r="H452" t="s">
        <v>141</v>
      </c>
      <c r="I452" t="s">
        <v>30</v>
      </c>
      <c r="J452" s="8" t="str">
        <f t="shared" si="36"/>
        <v>High</v>
      </c>
      <c r="K452" s="4">
        <v>2132.19</v>
      </c>
      <c r="L452" s="4">
        <v>2132.19</v>
      </c>
      <c r="M452" s="4">
        <v>0.16500000000000001</v>
      </c>
      <c r="N452" s="4">
        <v>7</v>
      </c>
      <c r="O452" s="4">
        <f t="shared" si="37"/>
        <v>1295.1351000000002</v>
      </c>
    </row>
    <row r="453" spans="1:15" x14ac:dyDescent="0.3">
      <c r="A453" s="13">
        <v>45813</v>
      </c>
      <c r="B453" s="4" t="str">
        <f>TEXT(Data!B453,"MMM-YYYY")</f>
        <v>May-2024</v>
      </c>
      <c r="C453" s="4" t="str">
        <f t="shared" si="38"/>
        <v>Jun-2025</v>
      </c>
      <c r="D453" s="14">
        <f t="shared" si="39"/>
        <v>45813</v>
      </c>
      <c r="E453" s="4" t="str">
        <f t="shared" si="35"/>
        <v>Q2-2025</v>
      </c>
      <c r="F453" t="s">
        <v>78</v>
      </c>
      <c r="G453" t="s">
        <v>108</v>
      </c>
      <c r="H453" t="s">
        <v>152</v>
      </c>
      <c r="I453" t="s">
        <v>81</v>
      </c>
      <c r="J453" s="8" t="str">
        <f t="shared" si="36"/>
        <v>High</v>
      </c>
      <c r="K453" s="4">
        <v>2101.5500000000002</v>
      </c>
      <c r="L453" s="4">
        <v>2101.5500000000002</v>
      </c>
      <c r="M453" s="4">
        <v>6.6000000000000003E-2</v>
      </c>
      <c r="N453" s="4">
        <v>10</v>
      </c>
      <c r="O453" s="4">
        <f t="shared" si="37"/>
        <v>3365.5755999999997</v>
      </c>
    </row>
    <row r="454" spans="1:15" x14ac:dyDescent="0.3">
      <c r="A454" s="13">
        <v>45814</v>
      </c>
      <c r="B454" s="4" t="str">
        <f>TEXT(Data!B454,"MMM-YYYY")</f>
        <v>Jun-2025</v>
      </c>
      <c r="C454" s="4" t="str">
        <f t="shared" si="38"/>
        <v>Jun-2025</v>
      </c>
      <c r="D454" s="14">
        <f t="shared" si="39"/>
        <v>45814</v>
      </c>
      <c r="E454" s="4" t="str">
        <f t="shared" si="35"/>
        <v>Q2-2025</v>
      </c>
      <c r="F454" t="s">
        <v>45</v>
      </c>
      <c r="G454" t="s">
        <v>60</v>
      </c>
      <c r="H454" t="s">
        <v>61</v>
      </c>
      <c r="I454" t="s">
        <v>22</v>
      </c>
      <c r="J454" s="8" t="str">
        <f t="shared" si="36"/>
        <v>High</v>
      </c>
      <c r="K454" s="4">
        <v>2125.44</v>
      </c>
      <c r="L454" s="4">
        <v>2125.44</v>
      </c>
      <c r="M454" s="4">
        <v>7.0999999999999994E-2</v>
      </c>
      <c r="N454" s="4">
        <v>12</v>
      </c>
      <c r="O454" s="4">
        <f t="shared" si="37"/>
        <v>28380.689880000002</v>
      </c>
    </row>
    <row r="455" spans="1:15" x14ac:dyDescent="0.3">
      <c r="A455" s="13">
        <v>45815</v>
      </c>
      <c r="B455" s="4" t="str">
        <f>TEXT(Data!B455,"MMM-YYYY")</f>
        <v>May-2023</v>
      </c>
      <c r="C455" s="4" t="str">
        <f t="shared" si="38"/>
        <v>Jun-2025</v>
      </c>
      <c r="D455" s="14">
        <f t="shared" si="39"/>
        <v>45815</v>
      </c>
      <c r="E455" s="4" t="str">
        <f t="shared" si="35"/>
        <v>Q2-2025</v>
      </c>
      <c r="F455" t="s">
        <v>45</v>
      </c>
      <c r="G455" t="s">
        <v>46</v>
      </c>
      <c r="H455" t="s">
        <v>231</v>
      </c>
      <c r="I455" t="s">
        <v>42</v>
      </c>
      <c r="J455" s="8" t="str">
        <f t="shared" si="36"/>
        <v>High</v>
      </c>
      <c r="K455" s="4">
        <v>712.75</v>
      </c>
      <c r="L455" s="4">
        <v>712.75</v>
      </c>
      <c r="M455" s="4">
        <v>0.115</v>
      </c>
      <c r="N455" s="4">
        <v>19</v>
      </c>
      <c r="O455" s="4">
        <f t="shared" si="37"/>
        <v>11761.58805</v>
      </c>
    </row>
    <row r="456" spans="1:15" x14ac:dyDescent="0.3">
      <c r="A456" s="13">
        <v>45816</v>
      </c>
      <c r="B456" s="4" t="str">
        <f>TEXT(Data!B456,"MMM-YYYY")</f>
        <v>Dec-2024</v>
      </c>
      <c r="C456" s="4" t="str">
        <f t="shared" si="38"/>
        <v>Jun-2025</v>
      </c>
      <c r="D456" s="14">
        <f t="shared" si="39"/>
        <v>45816</v>
      </c>
      <c r="E456" s="4" t="str">
        <f t="shared" si="35"/>
        <v>Q2-2025</v>
      </c>
      <c r="F456" t="s">
        <v>52</v>
      </c>
      <c r="G456" t="s">
        <v>122</v>
      </c>
      <c r="H456" t="s">
        <v>326</v>
      </c>
      <c r="I456" t="s">
        <v>64</v>
      </c>
      <c r="J456" s="8" t="str">
        <f t="shared" si="36"/>
        <v>High</v>
      </c>
      <c r="K456" s="4">
        <v>1568.83</v>
      </c>
      <c r="L456" s="4">
        <v>1568.83</v>
      </c>
      <c r="M456" s="4">
        <v>1.7000000000000001E-2</v>
      </c>
      <c r="N456" s="4">
        <v>15</v>
      </c>
      <c r="O456" s="4">
        <f t="shared" si="37"/>
        <v>40381.984049999999</v>
      </c>
    </row>
    <row r="457" spans="1:15" x14ac:dyDescent="0.3">
      <c r="A457" s="13">
        <v>45817</v>
      </c>
      <c r="B457" s="4" t="str">
        <f>TEXT(Data!B457,"MMM-YYYY")</f>
        <v>Dec-2023</v>
      </c>
      <c r="C457" s="4" t="str">
        <f t="shared" si="38"/>
        <v>Jun-2025</v>
      </c>
      <c r="D457" s="14">
        <f t="shared" si="39"/>
        <v>45817</v>
      </c>
      <c r="E457" s="4" t="str">
        <f t="shared" si="35"/>
        <v>Q2-2025</v>
      </c>
      <c r="F457" t="s">
        <v>52</v>
      </c>
      <c r="G457" t="s">
        <v>53</v>
      </c>
      <c r="H457" t="s">
        <v>179</v>
      </c>
      <c r="I457" t="s">
        <v>81</v>
      </c>
      <c r="J457" s="8" t="str">
        <f t="shared" si="36"/>
        <v>High</v>
      </c>
      <c r="K457" s="4">
        <v>2074.34</v>
      </c>
      <c r="L457" s="4">
        <v>2074.34</v>
      </c>
      <c r="M457" s="4">
        <v>0.111</v>
      </c>
      <c r="N457" s="4">
        <v>8</v>
      </c>
      <c r="O457" s="4">
        <f t="shared" si="37"/>
        <v>674.07536000000005</v>
      </c>
    </row>
    <row r="458" spans="1:15" x14ac:dyDescent="0.3">
      <c r="A458" s="13">
        <v>45818</v>
      </c>
      <c r="B458" s="4" t="str">
        <f>TEXT(Data!B458,"MMM-YYYY")</f>
        <v>May-2023</v>
      </c>
      <c r="C458" s="4" t="str">
        <f t="shared" si="38"/>
        <v>Jun-2025</v>
      </c>
      <c r="D458" s="14">
        <f t="shared" si="39"/>
        <v>45818</v>
      </c>
      <c r="E458" s="4" t="str">
        <f t="shared" si="35"/>
        <v>Q2-2025</v>
      </c>
      <c r="F458" t="s">
        <v>52</v>
      </c>
      <c r="G458" t="s">
        <v>73</v>
      </c>
      <c r="H458" t="s">
        <v>87</v>
      </c>
      <c r="I458" t="s">
        <v>42</v>
      </c>
      <c r="J458" s="8" t="str">
        <f t="shared" si="36"/>
        <v>High</v>
      </c>
      <c r="K458" s="4">
        <v>495.19</v>
      </c>
      <c r="L458" s="4">
        <v>495.19</v>
      </c>
      <c r="M458" s="4">
        <v>0</v>
      </c>
      <c r="N458" s="4">
        <v>42</v>
      </c>
      <c r="O458" s="4">
        <f t="shared" si="37"/>
        <v>116648.7</v>
      </c>
    </row>
    <row r="459" spans="1:15" x14ac:dyDescent="0.3">
      <c r="A459" s="13">
        <v>45819</v>
      </c>
      <c r="B459" s="4" t="str">
        <f>TEXT(Data!B459,"MMM-YYYY")</f>
        <v>Nov-2023</v>
      </c>
      <c r="C459" s="4" t="str">
        <f t="shared" si="38"/>
        <v>Jun-2025</v>
      </c>
      <c r="D459" s="14">
        <f t="shared" si="39"/>
        <v>45819</v>
      </c>
      <c r="E459" s="4" t="str">
        <f t="shared" si="35"/>
        <v>Q2-2025</v>
      </c>
      <c r="F459" t="s">
        <v>45</v>
      </c>
      <c r="G459" t="s">
        <v>116</v>
      </c>
      <c r="H459" t="s">
        <v>162</v>
      </c>
      <c r="I459" t="s">
        <v>64</v>
      </c>
      <c r="J459" s="8" t="str">
        <f t="shared" si="36"/>
        <v>High</v>
      </c>
      <c r="K459" s="4">
        <v>757.59</v>
      </c>
      <c r="L459" s="4">
        <v>757.59</v>
      </c>
      <c r="M459" s="4">
        <v>0.13600000000000001</v>
      </c>
      <c r="N459" s="4">
        <v>12</v>
      </c>
      <c r="O459" s="4">
        <f t="shared" si="37"/>
        <v>5102.9222399999999</v>
      </c>
    </row>
    <row r="460" spans="1:15" x14ac:dyDescent="0.3">
      <c r="A460" s="13">
        <v>45820</v>
      </c>
      <c r="B460" s="4" t="str">
        <f>TEXT(Data!B460,"MMM-YYYY")</f>
        <v>May-2024</v>
      </c>
      <c r="C460" s="4" t="str">
        <f t="shared" si="38"/>
        <v>Jun-2025</v>
      </c>
      <c r="D460" s="14">
        <f t="shared" si="39"/>
        <v>45820</v>
      </c>
      <c r="E460" s="4" t="str">
        <f t="shared" si="35"/>
        <v>Q2-2025</v>
      </c>
      <c r="F460" t="s">
        <v>78</v>
      </c>
      <c r="G460" t="s">
        <v>79</v>
      </c>
      <c r="H460" t="s">
        <v>159</v>
      </c>
      <c r="I460" t="s">
        <v>57</v>
      </c>
      <c r="J460" s="8" t="str">
        <f t="shared" si="36"/>
        <v>High</v>
      </c>
      <c r="K460" s="4">
        <v>415.96</v>
      </c>
      <c r="L460" s="4">
        <v>415.96</v>
      </c>
      <c r="M460" s="4">
        <v>0.125</v>
      </c>
      <c r="N460" s="4">
        <v>21</v>
      </c>
      <c r="O460" s="4">
        <f t="shared" si="37"/>
        <v>35310.318749999999</v>
      </c>
    </row>
    <row r="461" spans="1:15" x14ac:dyDescent="0.3">
      <c r="A461" s="13">
        <v>45821</v>
      </c>
      <c r="B461" s="4" t="str">
        <f>TEXT(Data!B461,"MMM-YYYY")</f>
        <v>Jul-2023</v>
      </c>
      <c r="C461" s="4" t="str">
        <f t="shared" si="38"/>
        <v>Jun-2025</v>
      </c>
      <c r="D461" s="14">
        <f t="shared" si="39"/>
        <v>45821</v>
      </c>
      <c r="E461" s="4" t="str">
        <f t="shared" si="35"/>
        <v>Q2-2025</v>
      </c>
      <c r="F461" t="s">
        <v>78</v>
      </c>
      <c r="G461" t="s">
        <v>90</v>
      </c>
      <c r="H461" t="s">
        <v>91</v>
      </c>
      <c r="I461" t="s">
        <v>22</v>
      </c>
      <c r="J461" s="8" t="str">
        <f t="shared" si="36"/>
        <v>High</v>
      </c>
      <c r="K461" s="4">
        <v>1870.89</v>
      </c>
      <c r="L461" s="4">
        <v>1870.89</v>
      </c>
      <c r="M461" s="4">
        <v>0</v>
      </c>
      <c r="N461" s="4">
        <v>13</v>
      </c>
      <c r="O461" s="4">
        <f t="shared" si="37"/>
        <v>3774.29</v>
      </c>
    </row>
    <row r="462" spans="1:15" x14ac:dyDescent="0.3">
      <c r="A462" s="13">
        <v>45822</v>
      </c>
      <c r="B462" s="4" t="str">
        <f>TEXT(Data!B462,"MMM-YYYY")</f>
        <v>May-2023</v>
      </c>
      <c r="C462" s="4" t="str">
        <f t="shared" si="38"/>
        <v>Jun-2025</v>
      </c>
      <c r="D462" s="14">
        <f t="shared" si="39"/>
        <v>45822</v>
      </c>
      <c r="E462" s="4" t="str">
        <f t="shared" si="35"/>
        <v>Q2-2025</v>
      </c>
      <c r="F462" t="s">
        <v>45</v>
      </c>
      <c r="G462" t="s">
        <v>46</v>
      </c>
      <c r="H462" t="s">
        <v>214</v>
      </c>
      <c r="I462" t="s">
        <v>22</v>
      </c>
      <c r="J462" s="8" t="str">
        <f t="shared" si="36"/>
        <v>High</v>
      </c>
      <c r="K462" s="4">
        <v>206.88</v>
      </c>
      <c r="L462" s="4">
        <v>206.88</v>
      </c>
      <c r="M462" s="4">
        <v>0.107</v>
      </c>
      <c r="N462" s="4">
        <v>9</v>
      </c>
      <c r="O462" s="4">
        <f t="shared" si="37"/>
        <v>4845.6680399999996</v>
      </c>
    </row>
    <row r="463" spans="1:15" x14ac:dyDescent="0.3">
      <c r="A463" s="13">
        <v>45823</v>
      </c>
      <c r="B463" s="4" t="str">
        <f>TEXT(Data!B463,"MMM-YYYY")</f>
        <v>Mar-2024</v>
      </c>
      <c r="C463" s="4" t="str">
        <f t="shared" si="38"/>
        <v>Jun-2025</v>
      </c>
      <c r="D463" s="14">
        <f t="shared" si="39"/>
        <v>45823</v>
      </c>
      <c r="E463" s="4" t="str">
        <f t="shared" si="35"/>
        <v>Q2-2025</v>
      </c>
      <c r="F463" t="s">
        <v>16</v>
      </c>
      <c r="G463" t="s">
        <v>148</v>
      </c>
      <c r="H463" t="s">
        <v>172</v>
      </c>
      <c r="I463" t="s">
        <v>81</v>
      </c>
      <c r="J463" s="8" t="str">
        <f t="shared" si="36"/>
        <v>Medium</v>
      </c>
      <c r="K463" s="4">
        <v>62.82</v>
      </c>
      <c r="L463" s="4">
        <v>62.82</v>
      </c>
      <c r="M463" s="4">
        <v>0.129</v>
      </c>
      <c r="N463" s="4">
        <v>17</v>
      </c>
      <c r="O463" s="4">
        <f t="shared" si="37"/>
        <v>30761.5425</v>
      </c>
    </row>
    <row r="464" spans="1:15" x14ac:dyDescent="0.3">
      <c r="A464" s="13">
        <v>45824</v>
      </c>
      <c r="B464" s="4" t="str">
        <f>TEXT(Data!B464,"MMM-YYYY")</f>
        <v>Apr-2025</v>
      </c>
      <c r="C464" s="4" t="str">
        <f t="shared" si="38"/>
        <v>Jun-2025</v>
      </c>
      <c r="D464" s="14">
        <f t="shared" si="39"/>
        <v>45824</v>
      </c>
      <c r="E464" s="4" t="str">
        <f t="shared" si="35"/>
        <v>Q2-2025</v>
      </c>
      <c r="F464" t="s">
        <v>78</v>
      </c>
      <c r="G464" t="s">
        <v>79</v>
      </c>
      <c r="H464" t="s">
        <v>335</v>
      </c>
      <c r="I464" t="s">
        <v>30</v>
      </c>
      <c r="J464" s="8" t="str">
        <f t="shared" si="36"/>
        <v>High</v>
      </c>
      <c r="K464" s="4">
        <v>956.49</v>
      </c>
      <c r="L464" s="4">
        <v>956.49</v>
      </c>
      <c r="M464" s="4">
        <v>0.152</v>
      </c>
      <c r="N464" s="4">
        <v>5</v>
      </c>
      <c r="O464" s="4">
        <f t="shared" si="37"/>
        <v>733.01119999999992</v>
      </c>
    </row>
    <row r="465" spans="1:15" x14ac:dyDescent="0.3">
      <c r="A465" s="13">
        <v>45825</v>
      </c>
      <c r="B465" s="4" t="str">
        <f>TEXT(Data!B465,"MMM-YYYY")</f>
        <v>Jul-2025</v>
      </c>
      <c r="C465" s="4" t="str">
        <f t="shared" si="38"/>
        <v>Jun-2025</v>
      </c>
      <c r="D465" s="14">
        <f t="shared" si="39"/>
        <v>45825</v>
      </c>
      <c r="E465" s="4" t="str">
        <f t="shared" si="35"/>
        <v>Q2-2025</v>
      </c>
      <c r="F465" t="s">
        <v>16</v>
      </c>
      <c r="G465" t="s">
        <v>148</v>
      </c>
      <c r="H465" t="s">
        <v>172</v>
      </c>
      <c r="I465" t="s">
        <v>35</v>
      </c>
      <c r="J465" s="8" t="str">
        <f t="shared" si="36"/>
        <v>Medium</v>
      </c>
      <c r="K465" s="4">
        <v>165.7</v>
      </c>
      <c r="L465" s="4">
        <v>165.7</v>
      </c>
      <c r="M465" s="4">
        <v>0.124</v>
      </c>
      <c r="N465" s="4">
        <v>13</v>
      </c>
      <c r="O465" s="4">
        <f t="shared" si="37"/>
        <v>31644.291119999994</v>
      </c>
    </row>
    <row r="466" spans="1:15" x14ac:dyDescent="0.3">
      <c r="A466" s="13">
        <v>45826</v>
      </c>
      <c r="B466" s="4" t="str">
        <f>TEXT(Data!B466,"MMM-YYYY")</f>
        <v>Nov-2024</v>
      </c>
      <c r="C466" s="4" t="str">
        <f t="shared" si="38"/>
        <v>Jun-2025</v>
      </c>
      <c r="D466" s="14">
        <f t="shared" si="39"/>
        <v>45826</v>
      </c>
      <c r="E466" s="4" t="str">
        <f t="shared" si="35"/>
        <v>Q2-2025</v>
      </c>
      <c r="F466" t="s">
        <v>45</v>
      </c>
      <c r="G466" t="s">
        <v>46</v>
      </c>
      <c r="H466" t="s">
        <v>214</v>
      </c>
      <c r="I466" t="s">
        <v>22</v>
      </c>
      <c r="J466" s="8" t="str">
        <f t="shared" si="36"/>
        <v>High</v>
      </c>
      <c r="K466" s="4">
        <v>608.36</v>
      </c>
      <c r="L466" s="4">
        <v>608.36</v>
      </c>
      <c r="M466" s="4">
        <v>0.25700000000000001</v>
      </c>
      <c r="N466" s="4">
        <v>4</v>
      </c>
      <c r="O466" s="4">
        <f t="shared" si="37"/>
        <v>919.74484000000007</v>
      </c>
    </row>
    <row r="467" spans="1:15" x14ac:dyDescent="0.3">
      <c r="A467" s="13">
        <v>45827</v>
      </c>
      <c r="B467" s="4" t="str">
        <f>TEXT(Data!B467,"MMM-YYYY")</f>
        <v>Jun-2024</v>
      </c>
      <c r="C467" s="4" t="str">
        <f t="shared" si="38"/>
        <v>Jun-2025</v>
      </c>
      <c r="D467" s="14">
        <f t="shared" si="39"/>
        <v>45827</v>
      </c>
      <c r="E467" s="4" t="str">
        <f t="shared" si="35"/>
        <v>Q2-2025</v>
      </c>
      <c r="F467" t="s">
        <v>16</v>
      </c>
      <c r="G467" t="s">
        <v>17</v>
      </c>
      <c r="H467" t="s">
        <v>113</v>
      </c>
      <c r="I467" t="s">
        <v>22</v>
      </c>
      <c r="J467" s="8" t="str">
        <f t="shared" si="36"/>
        <v>High</v>
      </c>
      <c r="K467" s="4">
        <v>2665.91</v>
      </c>
      <c r="L467" s="4">
        <v>2665.91</v>
      </c>
      <c r="M467" s="4">
        <v>0.21099999999999999</v>
      </c>
      <c r="N467" s="4">
        <v>40</v>
      </c>
      <c r="O467" s="4">
        <f t="shared" si="37"/>
        <v>21031.899600000001</v>
      </c>
    </row>
    <row r="468" spans="1:15" x14ac:dyDescent="0.3">
      <c r="A468" s="13">
        <v>45828</v>
      </c>
      <c r="B468" s="4" t="str">
        <f>TEXT(Data!B468,"MMM-YYYY")</f>
        <v>Dec-2023</v>
      </c>
      <c r="C468" s="4" t="str">
        <f t="shared" si="38"/>
        <v>Jun-2025</v>
      </c>
      <c r="D468" s="14">
        <f t="shared" si="39"/>
        <v>45828</v>
      </c>
      <c r="E468" s="4" t="str">
        <f t="shared" si="35"/>
        <v>Q2-2025</v>
      </c>
      <c r="F468" t="s">
        <v>16</v>
      </c>
      <c r="G468" t="s">
        <v>25</v>
      </c>
      <c r="H468" t="s">
        <v>26</v>
      </c>
      <c r="I468" t="s">
        <v>81</v>
      </c>
      <c r="J468" s="8" t="str">
        <f t="shared" si="36"/>
        <v>High</v>
      </c>
      <c r="K468" s="4">
        <v>587.95000000000005</v>
      </c>
      <c r="L468" s="4">
        <v>587.95000000000005</v>
      </c>
      <c r="M468" s="4">
        <v>0.22900000000000001</v>
      </c>
      <c r="N468" s="4">
        <v>6</v>
      </c>
      <c r="O468" s="4">
        <f t="shared" si="37"/>
        <v>3442.9930199999999</v>
      </c>
    </row>
    <row r="469" spans="1:15" x14ac:dyDescent="0.3">
      <c r="A469" s="13">
        <v>45829</v>
      </c>
      <c r="B469" s="4" t="str">
        <f>TEXT(Data!B469,"MMM-YYYY")</f>
        <v>Jun-2025</v>
      </c>
      <c r="C469" s="4" t="str">
        <f t="shared" si="38"/>
        <v>Jun-2025</v>
      </c>
      <c r="D469" s="14">
        <f t="shared" si="39"/>
        <v>45829</v>
      </c>
      <c r="E469" s="4" t="str">
        <f t="shared" si="35"/>
        <v>Q2-2025</v>
      </c>
      <c r="F469" t="s">
        <v>45</v>
      </c>
      <c r="G469" t="s">
        <v>60</v>
      </c>
      <c r="H469" t="s">
        <v>220</v>
      </c>
      <c r="I469" t="s">
        <v>35</v>
      </c>
      <c r="J469" s="8" t="str">
        <f t="shared" si="36"/>
        <v>High</v>
      </c>
      <c r="K469" s="4">
        <v>2193.13</v>
      </c>
      <c r="L469" s="4">
        <v>2193.13</v>
      </c>
      <c r="M469" s="4">
        <v>7.0999999999999994E-2</v>
      </c>
      <c r="N469" s="4">
        <v>7</v>
      </c>
      <c r="O469" s="4">
        <f t="shared" si="37"/>
        <v>82.523070000000004</v>
      </c>
    </row>
    <row r="470" spans="1:15" x14ac:dyDescent="0.3">
      <c r="A470" s="13">
        <v>45830</v>
      </c>
      <c r="B470" s="4" t="str">
        <f>TEXT(Data!B470,"MMM-YYYY")</f>
        <v>Mar-2025</v>
      </c>
      <c r="C470" s="4" t="str">
        <f t="shared" si="38"/>
        <v>Jun-2025</v>
      </c>
      <c r="D470" s="14">
        <f t="shared" si="39"/>
        <v>45830</v>
      </c>
      <c r="E470" s="4" t="str">
        <f t="shared" si="35"/>
        <v>Q2-2025</v>
      </c>
      <c r="F470" t="s">
        <v>78</v>
      </c>
      <c r="G470" t="s">
        <v>79</v>
      </c>
      <c r="H470" t="s">
        <v>159</v>
      </c>
      <c r="I470" t="s">
        <v>22</v>
      </c>
      <c r="J470" s="8" t="str">
        <f t="shared" si="36"/>
        <v>High</v>
      </c>
      <c r="K470" s="4">
        <v>2187.8000000000002</v>
      </c>
      <c r="L470" s="4">
        <v>2187.8000000000002</v>
      </c>
      <c r="M470" s="4">
        <v>0.23</v>
      </c>
      <c r="N470" s="4">
        <v>15</v>
      </c>
      <c r="O470" s="4">
        <f t="shared" si="37"/>
        <v>7525.518</v>
      </c>
    </row>
    <row r="471" spans="1:15" x14ac:dyDescent="0.3">
      <c r="A471" s="13">
        <v>45831</v>
      </c>
      <c r="B471" s="4" t="str">
        <f>TEXT(Data!B471,"MMM-YYYY")</f>
        <v>May-2023</v>
      </c>
      <c r="C471" s="4" t="str">
        <f t="shared" si="38"/>
        <v>Jun-2025</v>
      </c>
      <c r="D471" s="14">
        <f t="shared" si="39"/>
        <v>45831</v>
      </c>
      <c r="E471" s="4" t="str">
        <f t="shared" si="35"/>
        <v>Q2-2025</v>
      </c>
      <c r="F471" t="s">
        <v>78</v>
      </c>
      <c r="G471" t="s">
        <v>79</v>
      </c>
      <c r="H471" t="s">
        <v>80</v>
      </c>
      <c r="I471" t="s">
        <v>30</v>
      </c>
      <c r="J471" s="8" t="str">
        <f t="shared" si="36"/>
        <v>High</v>
      </c>
      <c r="K471" s="4">
        <v>1002.11</v>
      </c>
      <c r="L471" s="4">
        <v>1002.11</v>
      </c>
      <c r="M471" s="4">
        <v>4.5999999999999999E-2</v>
      </c>
      <c r="N471" s="4">
        <v>17</v>
      </c>
      <c r="O471" s="4">
        <f t="shared" si="37"/>
        <v>12231.93996</v>
      </c>
    </row>
    <row r="472" spans="1:15" x14ac:dyDescent="0.3">
      <c r="A472" s="13">
        <v>45832</v>
      </c>
      <c r="B472" s="4" t="str">
        <f>TEXT(Data!B472,"MMM-YYYY")</f>
        <v>Aug-2023</v>
      </c>
      <c r="C472" s="4" t="str">
        <f t="shared" si="38"/>
        <v>Jun-2025</v>
      </c>
      <c r="D472" s="14">
        <f t="shared" si="39"/>
        <v>45832</v>
      </c>
      <c r="E472" s="4" t="str">
        <f t="shared" si="35"/>
        <v>Q2-2025</v>
      </c>
      <c r="F472" t="s">
        <v>16</v>
      </c>
      <c r="G472" t="s">
        <v>17</v>
      </c>
      <c r="H472" t="s">
        <v>113</v>
      </c>
      <c r="I472" t="s">
        <v>30</v>
      </c>
      <c r="J472" s="8" t="str">
        <f t="shared" si="36"/>
        <v>High</v>
      </c>
      <c r="K472" s="4">
        <v>913.78</v>
      </c>
      <c r="L472" s="4">
        <v>913.78</v>
      </c>
      <c r="M472" s="4">
        <v>4.9000000000000002E-2</v>
      </c>
      <c r="N472" s="4">
        <v>12</v>
      </c>
      <c r="O472" s="4">
        <f t="shared" si="37"/>
        <v>34019.286120000004</v>
      </c>
    </row>
    <row r="473" spans="1:15" x14ac:dyDescent="0.3">
      <c r="A473" s="13">
        <v>45833</v>
      </c>
      <c r="B473" s="4" t="str">
        <f>TEXT(Data!B473,"MMM-YYYY")</f>
        <v>Jul-2025</v>
      </c>
      <c r="C473" s="4" t="str">
        <f t="shared" si="38"/>
        <v>Jun-2025</v>
      </c>
      <c r="D473" s="14">
        <f t="shared" si="39"/>
        <v>45833</v>
      </c>
      <c r="E473" s="4" t="str">
        <f t="shared" si="35"/>
        <v>Q2-2025</v>
      </c>
      <c r="F473" t="s">
        <v>78</v>
      </c>
      <c r="G473" t="s">
        <v>90</v>
      </c>
      <c r="H473" t="s">
        <v>138</v>
      </c>
      <c r="I473" t="s">
        <v>30</v>
      </c>
      <c r="J473" s="8" t="str">
        <f t="shared" si="36"/>
        <v>High</v>
      </c>
      <c r="K473" s="4">
        <v>1843.51</v>
      </c>
      <c r="L473" s="4">
        <v>1843.51</v>
      </c>
      <c r="M473" s="4">
        <v>0.13800000000000001</v>
      </c>
      <c r="N473" s="4">
        <v>23</v>
      </c>
      <c r="O473" s="4">
        <f t="shared" si="37"/>
        <v>19353.546419999999</v>
      </c>
    </row>
    <row r="474" spans="1:15" x14ac:dyDescent="0.3">
      <c r="A474" s="13">
        <v>45834</v>
      </c>
      <c r="B474" s="4" t="str">
        <f>TEXT(Data!B474,"MMM-YYYY")</f>
        <v>Feb-2024</v>
      </c>
      <c r="C474" s="4" t="str">
        <f t="shared" si="38"/>
        <v>Jun-2025</v>
      </c>
      <c r="D474" s="14">
        <f t="shared" si="39"/>
        <v>45834</v>
      </c>
      <c r="E474" s="4" t="str">
        <f t="shared" si="35"/>
        <v>Q2-2025</v>
      </c>
      <c r="F474" t="s">
        <v>45</v>
      </c>
      <c r="G474" t="s">
        <v>116</v>
      </c>
      <c r="H474" t="s">
        <v>338</v>
      </c>
      <c r="I474" t="s">
        <v>22</v>
      </c>
      <c r="J474" s="8" t="str">
        <f t="shared" si="36"/>
        <v>High</v>
      </c>
      <c r="K474" s="4">
        <v>1383.6</v>
      </c>
      <c r="L474" s="4">
        <v>1383.6</v>
      </c>
      <c r="M474" s="4">
        <v>7.3999999999999996E-2</v>
      </c>
      <c r="N474" s="4">
        <v>12</v>
      </c>
      <c r="O474" s="4">
        <f t="shared" si="37"/>
        <v>12733.240800000001</v>
      </c>
    </row>
    <row r="475" spans="1:15" x14ac:dyDescent="0.3">
      <c r="A475" s="13">
        <v>45835</v>
      </c>
      <c r="B475" s="4" t="str">
        <f>TEXT(Data!B475,"MMM-YYYY")</f>
        <v>Aug-2025</v>
      </c>
      <c r="C475" s="4" t="str">
        <f t="shared" si="38"/>
        <v>Jun-2025</v>
      </c>
      <c r="D475" s="14">
        <f t="shared" si="39"/>
        <v>45835</v>
      </c>
      <c r="E475" s="4" t="str">
        <f t="shared" si="35"/>
        <v>Q2-2025</v>
      </c>
      <c r="F475" t="s">
        <v>16</v>
      </c>
      <c r="G475" t="s">
        <v>17</v>
      </c>
      <c r="H475" t="s">
        <v>18</v>
      </c>
      <c r="I475" t="s">
        <v>64</v>
      </c>
      <c r="J475" s="8" t="str">
        <f t="shared" si="36"/>
        <v>High</v>
      </c>
      <c r="K475" s="4">
        <v>1588.53</v>
      </c>
      <c r="L475" s="4">
        <v>1588.53</v>
      </c>
      <c r="M475" s="4">
        <v>0.126</v>
      </c>
      <c r="N475" s="4">
        <v>6</v>
      </c>
      <c r="O475" s="4">
        <f t="shared" si="37"/>
        <v>8549.7651600000008</v>
      </c>
    </row>
    <row r="476" spans="1:15" x14ac:dyDescent="0.3">
      <c r="A476" s="13">
        <v>45836</v>
      </c>
      <c r="B476" s="4" t="str">
        <f>TEXT(Data!B476,"MMM-YYYY")</f>
        <v>May-2023</v>
      </c>
      <c r="C476" s="4" t="str">
        <f t="shared" si="38"/>
        <v>Jun-2025</v>
      </c>
      <c r="D476" s="14">
        <f t="shared" si="39"/>
        <v>45836</v>
      </c>
      <c r="E476" s="4" t="str">
        <f t="shared" si="35"/>
        <v>Q2-2025</v>
      </c>
      <c r="F476" t="s">
        <v>78</v>
      </c>
      <c r="G476" t="s">
        <v>90</v>
      </c>
      <c r="H476" t="s">
        <v>217</v>
      </c>
      <c r="I476" t="s">
        <v>42</v>
      </c>
      <c r="J476" s="8" t="str">
        <f t="shared" si="36"/>
        <v>High</v>
      </c>
      <c r="K476" s="4">
        <v>1344.05</v>
      </c>
      <c r="L476" s="4">
        <v>1344.05</v>
      </c>
      <c r="M476" s="4">
        <v>0.20499999999999999</v>
      </c>
      <c r="N476" s="4">
        <v>18</v>
      </c>
      <c r="O476" s="4">
        <f t="shared" si="37"/>
        <v>13790.9763</v>
      </c>
    </row>
    <row r="477" spans="1:15" x14ac:dyDescent="0.3">
      <c r="A477" s="13">
        <v>45837</v>
      </c>
      <c r="B477" s="4" t="str">
        <f>TEXT(Data!B477,"MMM-YYYY")</f>
        <v>May-2024</v>
      </c>
      <c r="C477" s="4" t="str">
        <f t="shared" si="38"/>
        <v>Jun-2025</v>
      </c>
      <c r="D477" s="14">
        <f t="shared" si="39"/>
        <v>45837</v>
      </c>
      <c r="E477" s="4" t="str">
        <f t="shared" si="35"/>
        <v>Q2-2025</v>
      </c>
      <c r="F477" t="s">
        <v>52</v>
      </c>
      <c r="G477" t="s">
        <v>73</v>
      </c>
      <c r="H477" t="s">
        <v>225</v>
      </c>
      <c r="I477" t="s">
        <v>30</v>
      </c>
      <c r="J477" s="8" t="str">
        <f t="shared" si="36"/>
        <v>High</v>
      </c>
      <c r="K477" s="4">
        <v>1290.29</v>
      </c>
      <c r="L477" s="4">
        <v>1290.29</v>
      </c>
      <c r="M477" s="4">
        <v>4.2000000000000003E-2</v>
      </c>
      <c r="N477" s="4">
        <v>22</v>
      </c>
      <c r="O477" s="4">
        <f t="shared" si="37"/>
        <v>18794.101480000001</v>
      </c>
    </row>
    <row r="478" spans="1:15" x14ac:dyDescent="0.3">
      <c r="A478" s="13">
        <v>45838</v>
      </c>
      <c r="B478" s="4" t="str">
        <f>TEXT(Data!B478,"MMM-YYYY")</f>
        <v>Mar-2023</v>
      </c>
      <c r="C478" s="4" t="str">
        <f t="shared" si="38"/>
        <v>Jun-2025</v>
      </c>
      <c r="D478" s="14">
        <f t="shared" si="39"/>
        <v>45838</v>
      </c>
      <c r="E478" s="4" t="str">
        <f t="shared" si="35"/>
        <v>Q2-2025</v>
      </c>
      <c r="F478" t="s">
        <v>78</v>
      </c>
      <c r="G478" t="s">
        <v>108</v>
      </c>
      <c r="H478" t="s">
        <v>109</v>
      </c>
      <c r="I478" t="s">
        <v>57</v>
      </c>
      <c r="J478" s="8" t="str">
        <f t="shared" si="36"/>
        <v>High</v>
      </c>
      <c r="K478" s="4">
        <v>221.58</v>
      </c>
      <c r="L478" s="4">
        <v>221.58</v>
      </c>
      <c r="M478" s="4">
        <v>8.8999999999999996E-2</v>
      </c>
      <c r="N478" s="4">
        <v>5</v>
      </c>
      <c r="O478" s="4">
        <f t="shared" si="37"/>
        <v>7596.9201000000003</v>
      </c>
    </row>
    <row r="479" spans="1:15" x14ac:dyDescent="0.3">
      <c r="A479" s="13">
        <v>45839</v>
      </c>
      <c r="B479" s="4" t="str">
        <f>TEXT(Data!B479,"MMM-YYYY")</f>
        <v>Jul-2023</v>
      </c>
      <c r="C479" s="4" t="str">
        <f t="shared" si="38"/>
        <v>Jul-2025</v>
      </c>
      <c r="D479" s="14">
        <f t="shared" si="39"/>
        <v>45839</v>
      </c>
      <c r="E479" s="4" t="str">
        <f t="shared" si="35"/>
        <v>Q3-2025</v>
      </c>
      <c r="F479" t="s">
        <v>78</v>
      </c>
      <c r="G479" t="s">
        <v>79</v>
      </c>
      <c r="H479" t="s">
        <v>335</v>
      </c>
      <c r="I479" t="s">
        <v>22</v>
      </c>
      <c r="J479" s="8" t="str">
        <f t="shared" si="36"/>
        <v>High</v>
      </c>
      <c r="K479" s="4">
        <v>360.34</v>
      </c>
      <c r="L479" s="4">
        <v>360.34</v>
      </c>
      <c r="M479" s="4">
        <v>0.16500000000000001</v>
      </c>
      <c r="N479" s="4">
        <v>14</v>
      </c>
      <c r="O479" s="4">
        <f t="shared" si="37"/>
        <v>22462.4519</v>
      </c>
    </row>
    <row r="480" spans="1:15" x14ac:dyDescent="0.3">
      <c r="A480" s="13">
        <v>45840</v>
      </c>
      <c r="B480" s="4" t="str">
        <f>TEXT(Data!B480,"MMM-YYYY")</f>
        <v>Apr-2023</v>
      </c>
      <c r="C480" s="4" t="str">
        <f t="shared" si="38"/>
        <v>Jul-2025</v>
      </c>
      <c r="D480" s="14">
        <f t="shared" si="39"/>
        <v>45840</v>
      </c>
      <c r="E480" s="4" t="str">
        <f t="shared" si="35"/>
        <v>Q3-2025</v>
      </c>
      <c r="F480" t="s">
        <v>78</v>
      </c>
      <c r="G480" t="s">
        <v>108</v>
      </c>
      <c r="H480" t="s">
        <v>228</v>
      </c>
      <c r="I480" t="s">
        <v>57</v>
      </c>
      <c r="J480" s="8" t="str">
        <f t="shared" si="36"/>
        <v>High</v>
      </c>
      <c r="K480" s="4">
        <v>2545.81</v>
      </c>
      <c r="L480" s="4">
        <v>2545.81</v>
      </c>
      <c r="M480" s="4">
        <v>0.216</v>
      </c>
      <c r="N480" s="4">
        <v>21</v>
      </c>
      <c r="O480" s="4">
        <f t="shared" si="37"/>
        <v>20043.767520000001</v>
      </c>
    </row>
    <row r="481" spans="1:15" x14ac:dyDescent="0.3">
      <c r="A481" s="13">
        <v>45841</v>
      </c>
      <c r="B481" s="4" t="str">
        <f>TEXT(Data!B481,"MMM-YYYY")</f>
        <v>Jan-2024</v>
      </c>
      <c r="C481" s="4" t="str">
        <f t="shared" si="38"/>
        <v>Jul-2025</v>
      </c>
      <c r="D481" s="14">
        <f t="shared" si="39"/>
        <v>45841</v>
      </c>
      <c r="E481" s="4" t="str">
        <f t="shared" si="35"/>
        <v>Q3-2025</v>
      </c>
      <c r="F481" t="s">
        <v>78</v>
      </c>
      <c r="G481" t="s">
        <v>79</v>
      </c>
      <c r="H481" t="s">
        <v>159</v>
      </c>
      <c r="I481" t="s">
        <v>81</v>
      </c>
      <c r="J481" s="8" t="str">
        <f t="shared" si="36"/>
        <v>High</v>
      </c>
      <c r="K481" s="4">
        <v>699.47</v>
      </c>
      <c r="L481" s="4">
        <v>699.47</v>
      </c>
      <c r="M481" s="4">
        <v>0.02</v>
      </c>
      <c r="N481" s="4">
        <v>33</v>
      </c>
      <c r="O481" s="4">
        <f t="shared" si="37"/>
        <v>31378.531800000001</v>
      </c>
    </row>
    <row r="482" spans="1:15" x14ac:dyDescent="0.3">
      <c r="A482" s="13">
        <v>45842</v>
      </c>
      <c r="B482" s="4" t="str">
        <f>TEXT(Data!B482,"MMM-YYYY")</f>
        <v>Sept-2024</v>
      </c>
      <c r="C482" s="4" t="str">
        <f t="shared" si="38"/>
        <v>Jul-2025</v>
      </c>
      <c r="D482" s="14">
        <f t="shared" si="39"/>
        <v>45842</v>
      </c>
      <c r="E482" s="4" t="str">
        <f t="shared" si="35"/>
        <v>Q3-2025</v>
      </c>
      <c r="F482" t="s">
        <v>45</v>
      </c>
      <c r="G482" t="s">
        <v>46</v>
      </c>
      <c r="H482" t="s">
        <v>231</v>
      </c>
      <c r="I482" t="s">
        <v>35</v>
      </c>
      <c r="J482" s="8" t="str">
        <f t="shared" si="36"/>
        <v>High</v>
      </c>
      <c r="K482" s="4">
        <v>2738.69</v>
      </c>
      <c r="L482" s="4">
        <v>2738.69</v>
      </c>
      <c r="M482" s="4">
        <v>7.5999999999999998E-2</v>
      </c>
      <c r="N482" s="4">
        <v>16</v>
      </c>
      <c r="O482" s="4">
        <f t="shared" si="37"/>
        <v>24019.121280000003</v>
      </c>
    </row>
    <row r="483" spans="1:15" x14ac:dyDescent="0.3">
      <c r="A483" s="13">
        <v>45843</v>
      </c>
      <c r="B483" s="4" t="str">
        <f>TEXT(Data!B483,"MMM-YYYY")</f>
        <v>Aug-2025</v>
      </c>
      <c r="C483" s="4" t="str">
        <f t="shared" si="38"/>
        <v>Jul-2025</v>
      </c>
      <c r="D483" s="14">
        <f t="shared" si="39"/>
        <v>45843</v>
      </c>
      <c r="E483" s="4" t="str">
        <f t="shared" si="35"/>
        <v>Q3-2025</v>
      </c>
      <c r="F483" t="s">
        <v>45</v>
      </c>
      <c r="G483" t="s">
        <v>46</v>
      </c>
      <c r="H483" t="s">
        <v>214</v>
      </c>
      <c r="I483" t="s">
        <v>30</v>
      </c>
      <c r="J483" s="8" t="str">
        <f t="shared" si="36"/>
        <v>Medium</v>
      </c>
      <c r="K483" s="4">
        <v>94.78</v>
      </c>
      <c r="L483" s="4">
        <v>94.78</v>
      </c>
      <c r="M483" s="4">
        <v>9.0999999999999998E-2</v>
      </c>
      <c r="N483" s="4">
        <v>55</v>
      </c>
      <c r="O483" s="4">
        <f t="shared" si="37"/>
        <v>130292.46945000002</v>
      </c>
    </row>
    <row r="484" spans="1:15" x14ac:dyDescent="0.3">
      <c r="A484" s="13">
        <v>45844</v>
      </c>
      <c r="B484" s="4" t="str">
        <f>TEXT(Data!B484,"MMM-YYYY")</f>
        <v>Apr-2025</v>
      </c>
      <c r="C484" s="4" t="str">
        <f t="shared" si="38"/>
        <v>Jul-2025</v>
      </c>
      <c r="D484" s="14">
        <f t="shared" si="39"/>
        <v>45844</v>
      </c>
      <c r="E484" s="4" t="str">
        <f t="shared" si="35"/>
        <v>Q3-2025</v>
      </c>
      <c r="F484" t="s">
        <v>78</v>
      </c>
      <c r="G484" t="s">
        <v>90</v>
      </c>
      <c r="H484" t="s">
        <v>91</v>
      </c>
      <c r="I484" t="s">
        <v>57</v>
      </c>
      <c r="J484" s="8" t="str">
        <f t="shared" si="36"/>
        <v>High</v>
      </c>
      <c r="K484" s="4">
        <v>2777.35</v>
      </c>
      <c r="L484" s="4">
        <v>2777.35</v>
      </c>
      <c r="M484" s="4">
        <v>0.13200000000000001</v>
      </c>
      <c r="N484" s="4">
        <v>15</v>
      </c>
      <c r="O484" s="4">
        <f t="shared" si="37"/>
        <v>5660.0544</v>
      </c>
    </row>
    <row r="485" spans="1:15" x14ac:dyDescent="0.3">
      <c r="A485" s="13">
        <v>45845</v>
      </c>
      <c r="B485" s="4" t="str">
        <f>TEXT(Data!B485,"MMM-YYYY")</f>
        <v>Aug-2023</v>
      </c>
      <c r="C485" s="4" t="str">
        <f t="shared" si="38"/>
        <v>Jul-2025</v>
      </c>
      <c r="D485" s="14">
        <f t="shared" si="39"/>
        <v>45845</v>
      </c>
      <c r="E485" s="4" t="str">
        <f t="shared" si="35"/>
        <v>Q3-2025</v>
      </c>
      <c r="F485" t="s">
        <v>78</v>
      </c>
      <c r="G485" t="s">
        <v>79</v>
      </c>
      <c r="H485" t="s">
        <v>80</v>
      </c>
      <c r="I485" t="s">
        <v>42</v>
      </c>
      <c r="J485" s="8" t="str">
        <f t="shared" si="36"/>
        <v>High</v>
      </c>
      <c r="K485" s="4">
        <v>492.18</v>
      </c>
      <c r="L485" s="4">
        <v>492.18</v>
      </c>
      <c r="M485" s="4">
        <v>5.2999999999999999E-2</v>
      </c>
      <c r="N485" s="4">
        <v>11</v>
      </c>
      <c r="O485" s="4">
        <f t="shared" si="37"/>
        <v>19379.89097</v>
      </c>
    </row>
    <row r="486" spans="1:15" x14ac:dyDescent="0.3">
      <c r="A486" s="13">
        <v>45846</v>
      </c>
      <c r="B486" s="4" t="str">
        <f>TEXT(Data!B486,"MMM-YYYY")</f>
        <v>Dec-2024</v>
      </c>
      <c r="C486" s="4" t="str">
        <f t="shared" si="38"/>
        <v>Jul-2025</v>
      </c>
      <c r="D486" s="14">
        <f t="shared" si="39"/>
        <v>45846</v>
      </c>
      <c r="E486" s="4" t="str">
        <f t="shared" si="35"/>
        <v>Q3-2025</v>
      </c>
      <c r="F486" t="s">
        <v>52</v>
      </c>
      <c r="G486" t="s">
        <v>73</v>
      </c>
      <c r="H486" t="s">
        <v>74</v>
      </c>
      <c r="I486" t="s">
        <v>35</v>
      </c>
      <c r="J486" s="8" t="str">
        <f t="shared" si="36"/>
        <v>High</v>
      </c>
      <c r="K486" s="4">
        <v>1921.65</v>
      </c>
      <c r="L486" s="4">
        <v>1921.65</v>
      </c>
      <c r="M486" s="4">
        <v>0.123</v>
      </c>
      <c r="N486" s="4">
        <v>13</v>
      </c>
      <c r="O486" s="4">
        <f t="shared" si="37"/>
        <v>9504.8996900000002</v>
      </c>
    </row>
    <row r="487" spans="1:15" x14ac:dyDescent="0.3">
      <c r="A487" s="13">
        <v>45847</v>
      </c>
      <c r="B487" s="4" t="str">
        <f>TEXT(Data!B487,"MMM-YYYY")</f>
        <v>Oct-2023</v>
      </c>
      <c r="C487" s="4" t="str">
        <f t="shared" si="38"/>
        <v>Jul-2025</v>
      </c>
      <c r="D487" s="14">
        <f t="shared" si="39"/>
        <v>45847</v>
      </c>
      <c r="E487" s="4" t="str">
        <f t="shared" si="35"/>
        <v>Q3-2025</v>
      </c>
      <c r="F487" t="s">
        <v>78</v>
      </c>
      <c r="G487" t="s">
        <v>90</v>
      </c>
      <c r="H487" t="s">
        <v>138</v>
      </c>
      <c r="I487" t="s">
        <v>22</v>
      </c>
      <c r="J487" s="8" t="str">
        <f t="shared" si="36"/>
        <v>High</v>
      </c>
      <c r="K487" s="4">
        <v>290.33</v>
      </c>
      <c r="L487" s="4">
        <v>290.33</v>
      </c>
      <c r="M487" s="4">
        <v>9.1999999999999998E-2</v>
      </c>
      <c r="N487" s="4">
        <v>23</v>
      </c>
      <c r="O487" s="4">
        <f t="shared" si="37"/>
        <v>6964.3963200000007</v>
      </c>
    </row>
    <row r="488" spans="1:15" x14ac:dyDescent="0.3">
      <c r="A488" s="13">
        <v>45848</v>
      </c>
      <c r="B488" s="4" t="str">
        <f>TEXT(Data!B488,"MMM-YYYY")</f>
        <v>Nov-2024</v>
      </c>
      <c r="C488" s="4" t="str">
        <f t="shared" si="38"/>
        <v>Jul-2025</v>
      </c>
      <c r="D488" s="14">
        <f t="shared" si="39"/>
        <v>45848</v>
      </c>
      <c r="E488" s="4" t="str">
        <f t="shared" si="35"/>
        <v>Q3-2025</v>
      </c>
      <c r="F488" t="s">
        <v>78</v>
      </c>
      <c r="G488" t="s">
        <v>90</v>
      </c>
      <c r="H488" t="s">
        <v>217</v>
      </c>
      <c r="I488" t="s">
        <v>42</v>
      </c>
      <c r="J488" s="8" t="str">
        <f t="shared" si="36"/>
        <v>High</v>
      </c>
      <c r="K488" s="4">
        <v>602.91999999999996</v>
      </c>
      <c r="L488" s="4">
        <v>602.91999999999996</v>
      </c>
      <c r="M488" s="4">
        <v>0.222</v>
      </c>
      <c r="N488" s="4">
        <v>11</v>
      </c>
      <c r="O488" s="4">
        <f t="shared" si="37"/>
        <v>15273.462600000001</v>
      </c>
    </row>
    <row r="489" spans="1:15" x14ac:dyDescent="0.3">
      <c r="A489" s="13">
        <v>45849</v>
      </c>
      <c r="B489" s="4" t="str">
        <f>TEXT(Data!B489,"MMM-YYYY")</f>
        <v>May-2024</v>
      </c>
      <c r="C489" s="4" t="str">
        <f t="shared" si="38"/>
        <v>Jul-2025</v>
      </c>
      <c r="D489" s="14">
        <f t="shared" si="39"/>
        <v>45849</v>
      </c>
      <c r="E489" s="4" t="str">
        <f t="shared" si="35"/>
        <v>Q3-2025</v>
      </c>
      <c r="F489" t="s">
        <v>52</v>
      </c>
      <c r="G489" t="s">
        <v>53</v>
      </c>
      <c r="H489" t="s">
        <v>1364</v>
      </c>
      <c r="I489" t="s">
        <v>30</v>
      </c>
      <c r="J489" s="8" t="str">
        <f t="shared" si="36"/>
        <v>High</v>
      </c>
      <c r="K489" s="4">
        <v>2077.5</v>
      </c>
      <c r="L489" s="4">
        <v>2077.5</v>
      </c>
      <c r="M489" s="4">
        <v>7.3999999999999996E-2</v>
      </c>
      <c r="N489" s="4">
        <v>15</v>
      </c>
      <c r="O489" s="4">
        <f t="shared" si="37"/>
        <v>14894.108099999999</v>
      </c>
    </row>
    <row r="490" spans="1:15" x14ac:dyDescent="0.3">
      <c r="A490" s="13">
        <v>45850</v>
      </c>
      <c r="B490" s="4" t="str">
        <f>TEXT(Data!B490,"MMM-YYYY")</f>
        <v>May-2025</v>
      </c>
      <c r="C490" s="4" t="str">
        <f t="shared" si="38"/>
        <v>Jul-2025</v>
      </c>
      <c r="D490" s="14">
        <f t="shared" si="39"/>
        <v>45850</v>
      </c>
      <c r="E490" s="4" t="str">
        <f t="shared" si="35"/>
        <v>Q3-2025</v>
      </c>
      <c r="F490" t="s">
        <v>78</v>
      </c>
      <c r="G490" t="s">
        <v>108</v>
      </c>
      <c r="H490" t="s">
        <v>228</v>
      </c>
      <c r="I490" t="s">
        <v>30</v>
      </c>
      <c r="J490" s="8" t="str">
        <f t="shared" si="36"/>
        <v>Medium</v>
      </c>
      <c r="K490" s="4">
        <v>172.88</v>
      </c>
      <c r="L490" s="4">
        <v>172.88</v>
      </c>
      <c r="M490" s="4">
        <v>0.19700000000000001</v>
      </c>
      <c r="N490" s="4">
        <v>29</v>
      </c>
      <c r="O490" s="4">
        <f t="shared" si="37"/>
        <v>70514.200349999999</v>
      </c>
    </row>
    <row r="491" spans="1:15" x14ac:dyDescent="0.3">
      <c r="A491" s="13">
        <v>45851</v>
      </c>
      <c r="B491" s="4" t="str">
        <f>TEXT(Data!B491,"MMM-YYYY")</f>
        <v>Apr-2024</v>
      </c>
      <c r="C491" s="4" t="str">
        <f t="shared" si="38"/>
        <v>Jul-2025</v>
      </c>
      <c r="D491" s="14">
        <f t="shared" si="39"/>
        <v>45851</v>
      </c>
      <c r="E491" s="4" t="str">
        <f t="shared" si="35"/>
        <v>Q3-2025</v>
      </c>
      <c r="F491" t="s">
        <v>45</v>
      </c>
      <c r="G491" t="s">
        <v>46</v>
      </c>
      <c r="H491" t="s">
        <v>47</v>
      </c>
      <c r="I491" t="s">
        <v>42</v>
      </c>
      <c r="J491" s="8" t="str">
        <f t="shared" si="36"/>
        <v>High</v>
      </c>
      <c r="K491" s="4">
        <v>2778.74</v>
      </c>
      <c r="L491" s="4">
        <v>2778.74</v>
      </c>
      <c r="M491" s="4">
        <v>0.13500000000000001</v>
      </c>
      <c r="N491" s="4">
        <v>4</v>
      </c>
      <c r="O491" s="4">
        <f t="shared" si="37"/>
        <v>3415.8503999999998</v>
      </c>
    </row>
    <row r="492" spans="1:15" x14ac:dyDescent="0.3">
      <c r="A492" s="13">
        <v>45852</v>
      </c>
      <c r="B492" s="4" t="str">
        <f>TEXT(Data!B492,"MMM-YYYY")</f>
        <v>Aug-2024</v>
      </c>
      <c r="C492" s="4" t="str">
        <f t="shared" si="38"/>
        <v>Jul-2025</v>
      </c>
      <c r="D492" s="14">
        <f t="shared" si="39"/>
        <v>45852</v>
      </c>
      <c r="E492" s="4" t="str">
        <f t="shared" si="35"/>
        <v>Q3-2025</v>
      </c>
      <c r="F492" t="s">
        <v>16</v>
      </c>
      <c r="G492" t="s">
        <v>25</v>
      </c>
      <c r="H492" t="s">
        <v>38</v>
      </c>
      <c r="I492" t="s">
        <v>81</v>
      </c>
      <c r="J492" s="8" t="str">
        <f t="shared" si="36"/>
        <v>High</v>
      </c>
      <c r="K492" s="4">
        <v>309.47000000000003</v>
      </c>
      <c r="L492" s="4">
        <v>309.47000000000003</v>
      </c>
      <c r="M492" s="4">
        <v>0</v>
      </c>
      <c r="N492" s="4">
        <v>5</v>
      </c>
      <c r="O492" s="4">
        <f t="shared" si="37"/>
        <v>4877.1499999999996</v>
      </c>
    </row>
    <row r="493" spans="1:15" x14ac:dyDescent="0.3">
      <c r="A493" s="13">
        <v>45853</v>
      </c>
      <c r="B493" s="4" t="str">
        <f>TEXT(Data!B493,"MMM-YYYY")</f>
        <v>Jul-2025</v>
      </c>
      <c r="C493" s="4" t="str">
        <f t="shared" si="38"/>
        <v>Jul-2025</v>
      </c>
      <c r="D493" s="14">
        <f t="shared" si="39"/>
        <v>45853</v>
      </c>
      <c r="E493" s="4" t="str">
        <f t="shared" si="35"/>
        <v>Q3-2025</v>
      </c>
      <c r="F493" t="s">
        <v>78</v>
      </c>
      <c r="G493" t="s">
        <v>90</v>
      </c>
      <c r="H493" t="s">
        <v>138</v>
      </c>
      <c r="I493" t="s">
        <v>22</v>
      </c>
      <c r="J493" s="8" t="str">
        <f t="shared" si="36"/>
        <v>High</v>
      </c>
      <c r="K493" s="4">
        <v>666.41</v>
      </c>
      <c r="L493" s="4">
        <v>666.41</v>
      </c>
      <c r="M493" s="4">
        <v>0</v>
      </c>
      <c r="N493" s="4">
        <v>10</v>
      </c>
      <c r="O493" s="4">
        <f t="shared" si="37"/>
        <v>1414.3000000000002</v>
      </c>
    </row>
    <row r="494" spans="1:15" x14ac:dyDescent="0.3">
      <c r="A494" s="13">
        <v>45854</v>
      </c>
      <c r="B494" s="4" t="str">
        <f>TEXT(Data!B494,"MMM-YYYY")</f>
        <v>Mar-2024</v>
      </c>
      <c r="C494" s="4" t="str">
        <f t="shared" si="38"/>
        <v>Jul-2025</v>
      </c>
      <c r="D494" s="14">
        <f t="shared" si="39"/>
        <v>45854</v>
      </c>
      <c r="E494" s="4" t="str">
        <f t="shared" si="35"/>
        <v>Q3-2025</v>
      </c>
      <c r="F494" t="s">
        <v>45</v>
      </c>
      <c r="G494" t="s">
        <v>46</v>
      </c>
      <c r="H494" t="s">
        <v>231</v>
      </c>
      <c r="I494" t="s">
        <v>81</v>
      </c>
      <c r="J494" s="8" t="str">
        <f t="shared" si="36"/>
        <v>High</v>
      </c>
      <c r="K494" s="4">
        <v>744.27</v>
      </c>
      <c r="L494" s="4">
        <v>744.27</v>
      </c>
      <c r="M494" s="4">
        <v>8.3000000000000004E-2</v>
      </c>
      <c r="N494" s="4">
        <v>11</v>
      </c>
      <c r="O494" s="4">
        <f t="shared" si="37"/>
        <v>16395.611540000002</v>
      </c>
    </row>
    <row r="495" spans="1:15" x14ac:dyDescent="0.3">
      <c r="A495" s="13">
        <v>45855</v>
      </c>
      <c r="B495" s="4" t="str">
        <f>TEXT(Data!B495,"MMM-YYYY")</f>
        <v>May-2024</v>
      </c>
      <c r="C495" s="4" t="str">
        <f t="shared" si="38"/>
        <v>Jul-2025</v>
      </c>
      <c r="D495" s="14">
        <f t="shared" si="39"/>
        <v>45855</v>
      </c>
      <c r="E495" s="4" t="str">
        <f t="shared" si="35"/>
        <v>Q3-2025</v>
      </c>
      <c r="F495" t="s">
        <v>52</v>
      </c>
      <c r="G495" t="s">
        <v>73</v>
      </c>
      <c r="H495" t="s">
        <v>74</v>
      </c>
      <c r="I495" t="s">
        <v>42</v>
      </c>
      <c r="J495" s="8" t="str">
        <f t="shared" si="36"/>
        <v>Low</v>
      </c>
      <c r="K495" s="4">
        <v>12.69</v>
      </c>
      <c r="L495" s="4">
        <v>12.69</v>
      </c>
      <c r="M495" s="4">
        <v>0.13200000000000001</v>
      </c>
      <c r="N495" s="4">
        <v>10</v>
      </c>
      <c r="O495" s="4">
        <f t="shared" si="37"/>
        <v>2603.4792000000002</v>
      </c>
    </row>
    <row r="496" spans="1:15" x14ac:dyDescent="0.3">
      <c r="A496" s="13">
        <v>45856</v>
      </c>
      <c r="B496" s="4" t="str">
        <f>TEXT(Data!B496,"MMM-YYYY")</f>
        <v>Aug-2024</v>
      </c>
      <c r="C496" s="4" t="str">
        <f t="shared" si="38"/>
        <v>Jul-2025</v>
      </c>
      <c r="D496" s="14">
        <f t="shared" si="39"/>
        <v>45856</v>
      </c>
      <c r="E496" s="4" t="str">
        <f t="shared" si="35"/>
        <v>Q3-2025</v>
      </c>
      <c r="F496" t="s">
        <v>45</v>
      </c>
      <c r="G496" t="s">
        <v>60</v>
      </c>
      <c r="H496" t="s">
        <v>141</v>
      </c>
      <c r="I496" t="s">
        <v>81</v>
      </c>
      <c r="J496" s="8" t="str">
        <f t="shared" si="36"/>
        <v>High</v>
      </c>
      <c r="K496" s="4">
        <v>651.55999999999995</v>
      </c>
      <c r="L496" s="4">
        <v>651.55999999999995</v>
      </c>
      <c r="M496" s="4">
        <v>4.2000000000000003E-2</v>
      </c>
      <c r="N496" s="4">
        <v>19</v>
      </c>
      <c r="O496" s="4">
        <f t="shared" si="37"/>
        <v>27375.07992</v>
      </c>
    </row>
    <row r="497" spans="1:15" x14ac:dyDescent="0.3">
      <c r="A497" s="13">
        <v>45857</v>
      </c>
      <c r="B497" s="4" t="str">
        <f>TEXT(Data!B497,"MMM-YYYY")</f>
        <v>Jun-2023</v>
      </c>
      <c r="C497" s="4" t="str">
        <f t="shared" si="38"/>
        <v>Jul-2025</v>
      </c>
      <c r="D497" s="14">
        <f t="shared" si="39"/>
        <v>45857</v>
      </c>
      <c r="E497" s="4" t="str">
        <f t="shared" si="35"/>
        <v>Q3-2025</v>
      </c>
      <c r="F497" t="s">
        <v>52</v>
      </c>
      <c r="G497" t="s">
        <v>122</v>
      </c>
      <c r="H497" t="s">
        <v>326</v>
      </c>
      <c r="I497" t="s">
        <v>64</v>
      </c>
      <c r="J497" s="8" t="str">
        <f t="shared" si="36"/>
        <v>High</v>
      </c>
      <c r="K497" s="4">
        <v>754.22</v>
      </c>
      <c r="L497" s="4">
        <v>754.22</v>
      </c>
      <c r="M497" s="4">
        <v>0.113</v>
      </c>
      <c r="N497" s="4">
        <v>7</v>
      </c>
      <c r="O497" s="4">
        <f t="shared" si="37"/>
        <v>19254.791990000002</v>
      </c>
    </row>
    <row r="498" spans="1:15" x14ac:dyDescent="0.3">
      <c r="A498" s="13">
        <v>45858</v>
      </c>
      <c r="B498" s="4" t="str">
        <f>TEXT(Data!B498,"MMM-YYYY")</f>
        <v>Sept-2024</v>
      </c>
      <c r="C498" s="4" t="str">
        <f t="shared" si="38"/>
        <v>Jul-2025</v>
      </c>
      <c r="D498" s="14">
        <f t="shared" si="39"/>
        <v>45858</v>
      </c>
      <c r="E498" s="4" t="str">
        <f t="shared" si="35"/>
        <v>Q3-2025</v>
      </c>
      <c r="F498" t="s">
        <v>52</v>
      </c>
      <c r="G498" t="s">
        <v>73</v>
      </c>
      <c r="H498" t="s">
        <v>87</v>
      </c>
      <c r="I498" t="s">
        <v>35</v>
      </c>
      <c r="J498" s="8" t="str">
        <f t="shared" si="36"/>
        <v>High</v>
      </c>
      <c r="K498" s="4">
        <v>2981.01</v>
      </c>
      <c r="L498" s="4">
        <v>2981.01</v>
      </c>
      <c r="M498" s="4">
        <v>0.14199999999999999</v>
      </c>
      <c r="N498" s="4">
        <v>12</v>
      </c>
      <c r="O498" s="4">
        <f t="shared" si="37"/>
        <v>10084.108319999999</v>
      </c>
    </row>
    <row r="499" spans="1:15" x14ac:dyDescent="0.3">
      <c r="A499" s="13">
        <v>45859</v>
      </c>
      <c r="B499" s="4" t="str">
        <f>TEXT(Data!B499,"MMM-YYYY")</f>
        <v>Oct-2023</v>
      </c>
      <c r="C499" s="4" t="str">
        <f t="shared" si="38"/>
        <v>Jul-2025</v>
      </c>
      <c r="D499" s="14">
        <f t="shared" si="39"/>
        <v>45859</v>
      </c>
      <c r="E499" s="4" t="str">
        <f t="shared" si="35"/>
        <v>Q3-2025</v>
      </c>
      <c r="F499" t="s">
        <v>78</v>
      </c>
      <c r="G499" t="s">
        <v>108</v>
      </c>
      <c r="H499" t="s">
        <v>152</v>
      </c>
      <c r="I499" t="s">
        <v>35</v>
      </c>
      <c r="J499" s="8" t="str">
        <f t="shared" si="36"/>
        <v>High</v>
      </c>
      <c r="K499" s="4">
        <v>976.17</v>
      </c>
      <c r="L499" s="4">
        <v>976.17</v>
      </c>
      <c r="M499" s="4">
        <v>4.2000000000000003E-2</v>
      </c>
      <c r="N499" s="4">
        <v>27</v>
      </c>
      <c r="O499" s="4">
        <f t="shared" si="37"/>
        <v>30683.801159999999</v>
      </c>
    </row>
    <row r="500" spans="1:15" x14ac:dyDescent="0.3">
      <c r="A500" s="13">
        <v>45860</v>
      </c>
      <c r="B500" s="4" t="str">
        <f>TEXT(Data!B500,"MMM-YYYY")</f>
        <v>Sept-2025</v>
      </c>
      <c r="C500" s="4" t="str">
        <f t="shared" si="38"/>
        <v>Jul-2025</v>
      </c>
      <c r="D500" s="14">
        <f t="shared" si="39"/>
        <v>45860</v>
      </c>
      <c r="E500" s="4" t="str">
        <f t="shared" si="35"/>
        <v>Q3-2025</v>
      </c>
      <c r="F500" t="s">
        <v>52</v>
      </c>
      <c r="G500" t="s">
        <v>73</v>
      </c>
      <c r="H500" t="s">
        <v>87</v>
      </c>
      <c r="I500" t="s">
        <v>81</v>
      </c>
      <c r="J500" s="8" t="str">
        <f t="shared" si="36"/>
        <v>High</v>
      </c>
      <c r="K500" s="4">
        <v>1145.9000000000001</v>
      </c>
      <c r="L500" s="4">
        <v>1145.9000000000001</v>
      </c>
      <c r="M500" s="4">
        <v>5.7000000000000002E-2</v>
      </c>
      <c r="N500" s="4">
        <v>8</v>
      </c>
      <c r="O500" s="4">
        <f t="shared" si="37"/>
        <v>14622.761519999998</v>
      </c>
    </row>
    <row r="501" spans="1:15" x14ac:dyDescent="0.3">
      <c r="A501" s="13">
        <v>45861</v>
      </c>
      <c r="B501" s="4" t="str">
        <f>TEXT(Data!B501,"MMM-YYYY")</f>
        <v>May-2023</v>
      </c>
      <c r="C501" s="4" t="str">
        <f t="shared" si="38"/>
        <v>Jul-2025</v>
      </c>
      <c r="D501" s="14">
        <f t="shared" si="39"/>
        <v>45861</v>
      </c>
      <c r="E501" s="4" t="str">
        <f t="shared" si="35"/>
        <v>Q3-2025</v>
      </c>
      <c r="F501" t="s">
        <v>52</v>
      </c>
      <c r="G501" t="s">
        <v>73</v>
      </c>
      <c r="H501" t="s">
        <v>225</v>
      </c>
      <c r="I501" t="s">
        <v>64</v>
      </c>
      <c r="J501" s="8" t="str">
        <f t="shared" si="36"/>
        <v>High</v>
      </c>
      <c r="K501" s="4">
        <v>1630.39</v>
      </c>
      <c r="L501" s="4">
        <v>1630.39</v>
      </c>
      <c r="M501" s="4">
        <v>0.218</v>
      </c>
      <c r="N501" s="4">
        <v>13</v>
      </c>
      <c r="O501" s="4">
        <f t="shared" si="37"/>
        <v>8401.8940200000015</v>
      </c>
    </row>
    <row r="502" spans="1:15" x14ac:dyDescent="0.3">
      <c r="A502" s="13">
        <v>45862</v>
      </c>
      <c r="B502" s="4" t="str">
        <f>TEXT(Data!B502,"MMM-YYYY")</f>
        <v>Apr-2024</v>
      </c>
      <c r="C502" s="4" t="str">
        <f t="shared" si="38"/>
        <v>Jul-2025</v>
      </c>
      <c r="D502" s="14">
        <f t="shared" si="39"/>
        <v>45862</v>
      </c>
      <c r="E502" s="4" t="str">
        <f t="shared" si="35"/>
        <v>Q3-2025</v>
      </c>
      <c r="F502" t="s">
        <v>45</v>
      </c>
      <c r="G502" t="s">
        <v>60</v>
      </c>
      <c r="H502" t="s">
        <v>61</v>
      </c>
      <c r="I502" t="s">
        <v>64</v>
      </c>
      <c r="J502" s="8" t="str">
        <f t="shared" si="36"/>
        <v>High</v>
      </c>
      <c r="K502" s="4">
        <v>963.73</v>
      </c>
      <c r="L502" s="4">
        <v>963.73</v>
      </c>
      <c r="M502" s="4">
        <v>4.1000000000000002E-2</v>
      </c>
      <c r="N502" s="4">
        <v>22</v>
      </c>
      <c r="O502" s="4">
        <f t="shared" si="37"/>
        <v>2493.1506600000002</v>
      </c>
    </row>
    <row r="503" spans="1:15" x14ac:dyDescent="0.3">
      <c r="A503" s="13">
        <v>45863</v>
      </c>
      <c r="B503" s="4" t="str">
        <f>TEXT(Data!B503,"MMM-YYYY")</f>
        <v>Feb-2023</v>
      </c>
      <c r="C503" s="4" t="str">
        <f t="shared" si="38"/>
        <v>Jul-2025</v>
      </c>
      <c r="D503" s="14">
        <f t="shared" si="39"/>
        <v>45863</v>
      </c>
      <c r="E503" s="4" t="str">
        <f t="shared" si="35"/>
        <v>Q3-2025</v>
      </c>
      <c r="F503" t="s">
        <v>78</v>
      </c>
      <c r="G503" t="s">
        <v>108</v>
      </c>
      <c r="H503" t="s">
        <v>152</v>
      </c>
      <c r="I503" t="s">
        <v>42</v>
      </c>
      <c r="J503" s="8" t="str">
        <f t="shared" si="36"/>
        <v>High</v>
      </c>
      <c r="K503" s="4">
        <v>891.73</v>
      </c>
      <c r="L503" s="4">
        <v>891.73</v>
      </c>
      <c r="M503" s="4">
        <v>0.16700000000000001</v>
      </c>
      <c r="N503" s="4">
        <v>10</v>
      </c>
      <c r="O503" s="4">
        <f t="shared" si="37"/>
        <v>11877.497099999999</v>
      </c>
    </row>
    <row r="504" spans="1:15" x14ac:dyDescent="0.3">
      <c r="A504" s="13">
        <v>45864</v>
      </c>
      <c r="B504" s="4" t="str">
        <f>TEXT(Data!B504,"MMM-YYYY")</f>
        <v>Mar-2025</v>
      </c>
      <c r="C504" s="4" t="str">
        <f t="shared" si="38"/>
        <v>Jul-2025</v>
      </c>
      <c r="D504" s="14">
        <f t="shared" si="39"/>
        <v>45864</v>
      </c>
      <c r="E504" s="4" t="str">
        <f t="shared" si="35"/>
        <v>Q3-2025</v>
      </c>
      <c r="F504" t="s">
        <v>45</v>
      </c>
      <c r="G504" t="s">
        <v>116</v>
      </c>
      <c r="H504" t="s">
        <v>338</v>
      </c>
      <c r="I504" t="s">
        <v>30</v>
      </c>
      <c r="J504" s="8" t="str">
        <f t="shared" si="36"/>
        <v>High</v>
      </c>
      <c r="K504" s="4">
        <v>1667.82</v>
      </c>
      <c r="L504" s="4">
        <v>1667.82</v>
      </c>
      <c r="M504" s="4">
        <v>6.9000000000000006E-2</v>
      </c>
      <c r="N504" s="4">
        <v>7</v>
      </c>
      <c r="O504" s="4">
        <f t="shared" si="37"/>
        <v>10393.181259999999</v>
      </c>
    </row>
    <row r="505" spans="1:15" x14ac:dyDescent="0.3">
      <c r="A505" s="13">
        <v>45865</v>
      </c>
      <c r="B505" s="4" t="str">
        <f>TEXT(Data!B505,"MMM-YYYY")</f>
        <v>Mar-2025</v>
      </c>
      <c r="C505" s="4" t="str">
        <f t="shared" si="38"/>
        <v>Jul-2025</v>
      </c>
      <c r="D505" s="14">
        <f t="shared" si="39"/>
        <v>45865</v>
      </c>
      <c r="E505" s="4" t="str">
        <f t="shared" si="35"/>
        <v>Q3-2025</v>
      </c>
      <c r="F505" t="s">
        <v>45</v>
      </c>
      <c r="G505" t="s">
        <v>116</v>
      </c>
      <c r="H505" t="s">
        <v>338</v>
      </c>
      <c r="I505" t="s">
        <v>35</v>
      </c>
      <c r="J505" s="8" t="str">
        <f t="shared" si="36"/>
        <v>High</v>
      </c>
      <c r="K505" s="4">
        <v>1921.51</v>
      </c>
      <c r="L505" s="4">
        <v>1921.51</v>
      </c>
      <c r="M505" s="4">
        <v>0.10100000000000001</v>
      </c>
      <c r="N505" s="4">
        <v>5</v>
      </c>
      <c r="O505" s="4">
        <f t="shared" si="37"/>
        <v>15022.784449999999</v>
      </c>
    </row>
    <row r="506" spans="1:15" x14ac:dyDescent="0.3">
      <c r="A506" s="13">
        <v>45866</v>
      </c>
      <c r="B506" s="4" t="str">
        <f>TEXT(Data!B506,"MMM-YYYY")</f>
        <v>Apr-2024</v>
      </c>
      <c r="C506" s="4" t="str">
        <f t="shared" si="38"/>
        <v>Jul-2025</v>
      </c>
      <c r="D506" s="14">
        <f t="shared" si="39"/>
        <v>45866</v>
      </c>
      <c r="E506" s="4" t="str">
        <f t="shared" si="35"/>
        <v>Q3-2025</v>
      </c>
      <c r="F506" t="s">
        <v>52</v>
      </c>
      <c r="G506" t="s">
        <v>73</v>
      </c>
      <c r="H506" t="s">
        <v>225</v>
      </c>
      <c r="I506" t="s">
        <v>35</v>
      </c>
      <c r="J506" s="8" t="str">
        <f t="shared" si="36"/>
        <v>High</v>
      </c>
      <c r="K506" s="4">
        <v>1217.43</v>
      </c>
      <c r="L506" s="4">
        <v>1217.43</v>
      </c>
      <c r="M506" s="4">
        <v>7.0000000000000007E-2</v>
      </c>
      <c r="N506" s="4">
        <v>9</v>
      </c>
      <c r="O506" s="4">
        <f t="shared" si="37"/>
        <v>8953.9748999999993</v>
      </c>
    </row>
    <row r="507" spans="1:15" x14ac:dyDescent="0.3">
      <c r="A507" s="13">
        <v>45867</v>
      </c>
      <c r="B507" s="4" t="str">
        <f>TEXT(Data!B507,"MMM-YYYY")</f>
        <v>Apr-2025</v>
      </c>
      <c r="C507" s="4" t="str">
        <f t="shared" si="38"/>
        <v>Jul-2025</v>
      </c>
      <c r="D507" s="14">
        <f t="shared" si="39"/>
        <v>45867</v>
      </c>
      <c r="E507" s="4" t="str">
        <f t="shared" si="35"/>
        <v>Q3-2025</v>
      </c>
      <c r="F507" t="s">
        <v>16</v>
      </c>
      <c r="G507" t="s">
        <v>25</v>
      </c>
      <c r="H507" t="s">
        <v>38</v>
      </c>
      <c r="I507" t="s">
        <v>22</v>
      </c>
      <c r="J507" s="8" t="str">
        <f t="shared" si="36"/>
        <v>High</v>
      </c>
      <c r="K507" s="4">
        <v>970.27</v>
      </c>
      <c r="L507" s="4">
        <v>970.27</v>
      </c>
      <c r="M507" s="4">
        <v>0.123</v>
      </c>
      <c r="N507" s="4">
        <v>38</v>
      </c>
      <c r="O507" s="4">
        <f t="shared" si="37"/>
        <v>4692.9673199999997</v>
      </c>
    </row>
    <row r="508" spans="1:15" x14ac:dyDescent="0.3">
      <c r="A508" s="13">
        <v>45868</v>
      </c>
      <c r="B508" s="4" t="str">
        <f>TEXT(Data!B508,"MMM-YYYY")</f>
        <v>Oct-2024</v>
      </c>
      <c r="C508" s="4" t="str">
        <f t="shared" si="38"/>
        <v>Jul-2025</v>
      </c>
      <c r="D508" s="14">
        <f t="shared" si="39"/>
        <v>45868</v>
      </c>
      <c r="E508" s="4" t="str">
        <f t="shared" si="35"/>
        <v>Q3-2025</v>
      </c>
      <c r="F508" t="s">
        <v>52</v>
      </c>
      <c r="G508" t="s">
        <v>122</v>
      </c>
      <c r="H508" t="s">
        <v>326</v>
      </c>
      <c r="I508" t="s">
        <v>42</v>
      </c>
      <c r="J508" s="8" t="str">
        <f t="shared" si="36"/>
        <v>High</v>
      </c>
      <c r="K508" s="4">
        <v>1624.67</v>
      </c>
      <c r="L508" s="4">
        <v>1624.67</v>
      </c>
      <c r="M508" s="4">
        <v>0.23499999999999999</v>
      </c>
      <c r="N508" s="4">
        <v>28</v>
      </c>
      <c r="O508" s="4">
        <f t="shared" si="37"/>
        <v>1435.9968000000001</v>
      </c>
    </row>
    <row r="509" spans="1:15" x14ac:dyDescent="0.3">
      <c r="A509" s="13">
        <v>45869</v>
      </c>
      <c r="B509" s="4" t="str">
        <f>TEXT(Data!B509,"MMM-YYYY")</f>
        <v>Apr-2023</v>
      </c>
      <c r="C509" s="4" t="str">
        <f t="shared" si="38"/>
        <v>Jul-2025</v>
      </c>
      <c r="D509" s="14">
        <f t="shared" si="39"/>
        <v>45869</v>
      </c>
      <c r="E509" s="4" t="str">
        <f t="shared" si="35"/>
        <v>Q3-2025</v>
      </c>
      <c r="F509" t="s">
        <v>45</v>
      </c>
      <c r="G509" t="s">
        <v>116</v>
      </c>
      <c r="H509" t="s">
        <v>162</v>
      </c>
      <c r="I509" t="s">
        <v>35</v>
      </c>
      <c r="J509" s="8" t="str">
        <f t="shared" si="36"/>
        <v>High</v>
      </c>
      <c r="K509" s="4">
        <v>2606.11</v>
      </c>
      <c r="L509" s="4">
        <v>2606.11</v>
      </c>
      <c r="M509" s="4">
        <v>0.02</v>
      </c>
      <c r="N509" s="4">
        <v>6</v>
      </c>
      <c r="O509" s="4">
        <f t="shared" si="37"/>
        <v>7506.8196000000007</v>
      </c>
    </row>
    <row r="510" spans="1:15" x14ac:dyDescent="0.3">
      <c r="A510" s="13">
        <v>45870</v>
      </c>
      <c r="B510" s="4" t="str">
        <f>TEXT(Data!B510,"MMM-YYYY")</f>
        <v>Nov-2024</v>
      </c>
      <c r="C510" s="4" t="str">
        <f t="shared" si="38"/>
        <v>Aug-2025</v>
      </c>
      <c r="D510" s="14">
        <f t="shared" si="39"/>
        <v>45870</v>
      </c>
      <c r="E510" s="4" t="str">
        <f t="shared" si="35"/>
        <v>Q3-2025</v>
      </c>
      <c r="F510" t="s">
        <v>78</v>
      </c>
      <c r="G510" t="s">
        <v>90</v>
      </c>
      <c r="H510" t="s">
        <v>138</v>
      </c>
      <c r="I510" t="s">
        <v>57</v>
      </c>
      <c r="J510" s="8" t="str">
        <f t="shared" si="36"/>
        <v>High</v>
      </c>
      <c r="K510" s="4">
        <v>434.72</v>
      </c>
      <c r="L510" s="4">
        <v>434.72</v>
      </c>
      <c r="M510" s="4">
        <v>9.8000000000000004E-2</v>
      </c>
      <c r="N510" s="4">
        <v>10</v>
      </c>
      <c r="O510" s="4">
        <f t="shared" si="37"/>
        <v>25448.667200000004</v>
      </c>
    </row>
    <row r="511" spans="1:15" x14ac:dyDescent="0.3">
      <c r="A511" s="13">
        <v>45871</v>
      </c>
      <c r="B511" s="4" t="str">
        <f>TEXT(Data!B511,"MMM-YYYY")</f>
        <v>May-2023</v>
      </c>
      <c r="C511" s="4" t="str">
        <f t="shared" si="38"/>
        <v>Aug-2025</v>
      </c>
      <c r="D511" s="14">
        <f t="shared" si="39"/>
        <v>45871</v>
      </c>
      <c r="E511" s="4" t="str">
        <f t="shared" si="35"/>
        <v>Q3-2025</v>
      </c>
      <c r="F511" t="s">
        <v>45</v>
      </c>
      <c r="G511" t="s">
        <v>60</v>
      </c>
      <c r="H511" t="s">
        <v>220</v>
      </c>
      <c r="I511" t="s">
        <v>57</v>
      </c>
      <c r="J511" s="8" t="str">
        <f t="shared" si="36"/>
        <v>High</v>
      </c>
      <c r="K511" s="4">
        <v>1860.41</v>
      </c>
      <c r="L511" s="4">
        <v>1860.41</v>
      </c>
      <c r="M511" s="4">
        <v>0.108</v>
      </c>
      <c r="N511" s="4">
        <v>5</v>
      </c>
      <c r="O511" s="4">
        <f t="shared" si="37"/>
        <v>6953.9874000000009</v>
      </c>
    </row>
    <row r="512" spans="1:15" x14ac:dyDescent="0.3">
      <c r="A512" s="13">
        <v>45872</v>
      </c>
      <c r="B512" s="4" t="str">
        <f>TEXT(Data!B512,"MMM-YYYY")</f>
        <v>Mar-2024</v>
      </c>
      <c r="C512" s="4" t="str">
        <f t="shared" si="38"/>
        <v>Aug-2025</v>
      </c>
      <c r="D512" s="14">
        <f t="shared" si="39"/>
        <v>45872</v>
      </c>
      <c r="E512" s="4" t="str">
        <f t="shared" si="35"/>
        <v>Q3-2025</v>
      </c>
      <c r="F512" t="s">
        <v>45</v>
      </c>
      <c r="G512" t="s">
        <v>60</v>
      </c>
      <c r="H512" t="s">
        <v>141</v>
      </c>
      <c r="I512" t="s">
        <v>64</v>
      </c>
      <c r="J512" s="8" t="str">
        <f t="shared" si="36"/>
        <v>High</v>
      </c>
      <c r="K512" s="4">
        <v>833.69</v>
      </c>
      <c r="L512" s="4">
        <v>833.69</v>
      </c>
      <c r="M512" s="4">
        <v>0.20899999999999999</v>
      </c>
      <c r="N512" s="4">
        <v>14</v>
      </c>
      <c r="O512" s="4">
        <f t="shared" si="37"/>
        <v>7271.8528400000005</v>
      </c>
    </row>
    <row r="513" spans="1:15" x14ac:dyDescent="0.3">
      <c r="A513" s="13">
        <v>45873</v>
      </c>
      <c r="B513" s="4" t="str">
        <f>TEXT(Data!B513,"MMM-YYYY")</f>
        <v>Oct-2024</v>
      </c>
      <c r="C513" s="4" t="str">
        <f t="shared" si="38"/>
        <v>Aug-2025</v>
      </c>
      <c r="D513" s="14">
        <f t="shared" si="39"/>
        <v>45873</v>
      </c>
      <c r="E513" s="4" t="str">
        <f t="shared" si="35"/>
        <v>Q3-2025</v>
      </c>
      <c r="F513" t="s">
        <v>52</v>
      </c>
      <c r="G513" t="s">
        <v>122</v>
      </c>
      <c r="H513" t="s">
        <v>123</v>
      </c>
      <c r="I513" t="s">
        <v>22</v>
      </c>
      <c r="J513" s="8" t="str">
        <f t="shared" si="36"/>
        <v>High</v>
      </c>
      <c r="K513" s="4">
        <v>333.48</v>
      </c>
      <c r="L513" s="4">
        <v>333.48</v>
      </c>
      <c r="M513" s="4">
        <v>0.11899999999999999</v>
      </c>
      <c r="N513" s="4">
        <v>12</v>
      </c>
      <c r="O513" s="4">
        <f t="shared" si="37"/>
        <v>28098.68448</v>
      </c>
    </row>
    <row r="514" spans="1:15" x14ac:dyDescent="0.3">
      <c r="A514" s="13">
        <v>45874</v>
      </c>
      <c r="B514" s="4" t="str">
        <f>TEXT(Data!B514,"MMM-YYYY")</f>
        <v>Jun-2023</v>
      </c>
      <c r="C514" s="4" t="str">
        <f t="shared" si="38"/>
        <v>Aug-2025</v>
      </c>
      <c r="D514" s="14">
        <f t="shared" si="39"/>
        <v>45874</v>
      </c>
      <c r="E514" s="4" t="str">
        <f t="shared" ref="E514:E577" si="40">"Q"&amp;ROUNDUP(MONTH(A514)/3,0)&amp;"-"&amp;YEAR(A514)</f>
        <v>Q3-2025</v>
      </c>
      <c r="F514" t="s">
        <v>78</v>
      </c>
      <c r="G514" t="s">
        <v>108</v>
      </c>
      <c r="H514" t="s">
        <v>228</v>
      </c>
      <c r="I514" t="s">
        <v>22</v>
      </c>
      <c r="J514" s="8" t="str">
        <f t="shared" ref="J514:J577" si="41">IF(K514&lt;50, "Low", IF(K514&lt;200, "Medium", "High"))</f>
        <v>High</v>
      </c>
      <c r="K514" s="4">
        <v>1784.7</v>
      </c>
      <c r="L514" s="4">
        <v>1784.7</v>
      </c>
      <c r="M514" s="4">
        <v>0.14599999999999999</v>
      </c>
      <c r="N514" s="4">
        <v>33</v>
      </c>
      <c r="O514" s="4">
        <f t="shared" ref="O514:O577" si="42">(L540*N514)*(1-M514)</f>
        <v>40152.022679999995</v>
      </c>
    </row>
    <row r="515" spans="1:15" x14ac:dyDescent="0.3">
      <c r="A515" s="13">
        <v>45875</v>
      </c>
      <c r="B515" s="4" t="str">
        <f>TEXT(Data!B515,"MMM-YYYY")</f>
        <v>Jan-2025</v>
      </c>
      <c r="C515" s="4" t="str">
        <f t="shared" ref="C515:C578" si="43">TEXT(D515, "MMM-YYYY")</f>
        <v>Aug-2025</v>
      </c>
      <c r="D515" s="14">
        <f t="shared" ref="D515:D578" si="44">_xlfn.MINIFS(A515:A515, G515:G515,G515)</f>
        <v>45875</v>
      </c>
      <c r="E515" s="4" t="str">
        <f t="shared" si="40"/>
        <v>Q3-2025</v>
      </c>
      <c r="F515" t="s">
        <v>78</v>
      </c>
      <c r="G515" t="s">
        <v>79</v>
      </c>
      <c r="H515" t="s">
        <v>335</v>
      </c>
      <c r="I515" t="s">
        <v>42</v>
      </c>
      <c r="J515" s="8" t="str">
        <f t="shared" si="41"/>
        <v>High</v>
      </c>
      <c r="K515" s="4">
        <v>1072.29</v>
      </c>
      <c r="L515" s="4">
        <v>1072.29</v>
      </c>
      <c r="M515" s="4">
        <v>3.2000000000000001E-2</v>
      </c>
      <c r="N515" s="4">
        <v>5</v>
      </c>
      <c r="O515" s="4">
        <f t="shared" si="42"/>
        <v>11222.701599999999</v>
      </c>
    </row>
    <row r="516" spans="1:15" x14ac:dyDescent="0.3">
      <c r="A516" s="13">
        <v>45876</v>
      </c>
      <c r="B516" s="4" t="str">
        <f>TEXT(Data!B516,"MMM-YYYY")</f>
        <v>Aug-2025</v>
      </c>
      <c r="C516" s="4" t="str">
        <f t="shared" si="43"/>
        <v>Aug-2025</v>
      </c>
      <c r="D516" s="14">
        <f t="shared" si="44"/>
        <v>45876</v>
      </c>
      <c r="E516" s="4" t="str">
        <f t="shared" si="40"/>
        <v>Q3-2025</v>
      </c>
      <c r="F516" t="s">
        <v>45</v>
      </c>
      <c r="G516" t="s">
        <v>60</v>
      </c>
      <c r="H516" t="s">
        <v>141</v>
      </c>
      <c r="I516" t="s">
        <v>22</v>
      </c>
      <c r="J516" s="8" t="str">
        <f t="shared" si="41"/>
        <v>High</v>
      </c>
      <c r="K516" s="4">
        <v>3028.05</v>
      </c>
      <c r="L516" s="4">
        <v>3028.05</v>
      </c>
      <c r="M516" s="4">
        <v>0</v>
      </c>
      <c r="N516" s="4">
        <v>11</v>
      </c>
      <c r="O516" s="4">
        <f t="shared" si="42"/>
        <v>4033.7</v>
      </c>
    </row>
    <row r="517" spans="1:15" x14ac:dyDescent="0.3">
      <c r="A517" s="13">
        <v>45877</v>
      </c>
      <c r="B517" s="4" t="str">
        <f>TEXT(Data!B517,"MMM-YYYY")</f>
        <v>Sept-2023</v>
      </c>
      <c r="C517" s="4" t="str">
        <f t="shared" si="43"/>
        <v>Aug-2025</v>
      </c>
      <c r="D517" s="14">
        <f t="shared" si="44"/>
        <v>45877</v>
      </c>
      <c r="E517" s="4" t="str">
        <f t="shared" si="40"/>
        <v>Q3-2025</v>
      </c>
      <c r="F517" t="s">
        <v>45</v>
      </c>
      <c r="G517" t="s">
        <v>60</v>
      </c>
      <c r="H517" t="s">
        <v>220</v>
      </c>
      <c r="I517" t="s">
        <v>57</v>
      </c>
      <c r="J517" s="8" t="str">
        <f t="shared" si="41"/>
        <v>High</v>
      </c>
      <c r="K517" s="4">
        <v>987.24</v>
      </c>
      <c r="L517" s="4">
        <v>987.24</v>
      </c>
      <c r="M517" s="4">
        <v>0</v>
      </c>
      <c r="N517" s="4">
        <v>11</v>
      </c>
      <c r="O517" s="4">
        <f t="shared" si="42"/>
        <v>30771.51</v>
      </c>
    </row>
    <row r="518" spans="1:15" x14ac:dyDescent="0.3">
      <c r="A518" s="13">
        <v>45878</v>
      </c>
      <c r="B518" s="4" t="str">
        <f>TEXT(Data!B518,"MMM-YYYY")</f>
        <v>May-2025</v>
      </c>
      <c r="C518" s="4" t="str">
        <f t="shared" si="43"/>
        <v>Aug-2025</v>
      </c>
      <c r="D518" s="14">
        <f t="shared" si="44"/>
        <v>45878</v>
      </c>
      <c r="E518" s="4" t="str">
        <f t="shared" si="40"/>
        <v>Q3-2025</v>
      </c>
      <c r="F518" t="s">
        <v>45</v>
      </c>
      <c r="G518" t="s">
        <v>46</v>
      </c>
      <c r="H518" t="s">
        <v>214</v>
      </c>
      <c r="I518" t="s">
        <v>30</v>
      </c>
      <c r="J518" s="8" t="str">
        <f t="shared" si="41"/>
        <v>High</v>
      </c>
      <c r="K518" s="4">
        <v>975.43</v>
      </c>
      <c r="L518" s="4">
        <v>975.43</v>
      </c>
      <c r="M518" s="4">
        <v>0.157</v>
      </c>
      <c r="N518" s="4">
        <v>27</v>
      </c>
      <c r="O518" s="4">
        <f t="shared" si="42"/>
        <v>50294.07125999999</v>
      </c>
    </row>
    <row r="519" spans="1:15" x14ac:dyDescent="0.3">
      <c r="A519" s="13">
        <v>45879</v>
      </c>
      <c r="B519" s="4" t="str">
        <f>TEXT(Data!B519,"MMM-YYYY")</f>
        <v>May-2024</v>
      </c>
      <c r="C519" s="4" t="str">
        <f t="shared" si="43"/>
        <v>Aug-2025</v>
      </c>
      <c r="D519" s="14">
        <f t="shared" si="44"/>
        <v>45879</v>
      </c>
      <c r="E519" s="4" t="str">
        <f t="shared" si="40"/>
        <v>Q3-2025</v>
      </c>
      <c r="F519" t="s">
        <v>16</v>
      </c>
      <c r="G519" t="s">
        <v>25</v>
      </c>
      <c r="H519" t="s">
        <v>38</v>
      </c>
      <c r="I519" t="s">
        <v>81</v>
      </c>
      <c r="J519" s="8" t="str">
        <f t="shared" si="41"/>
        <v>Medium</v>
      </c>
      <c r="K519" s="4">
        <v>141.43</v>
      </c>
      <c r="L519" s="4">
        <v>141.43</v>
      </c>
      <c r="M519" s="4">
        <v>0.107</v>
      </c>
      <c r="N519" s="4">
        <v>8</v>
      </c>
      <c r="O519" s="4">
        <f t="shared" si="42"/>
        <v>5994.1017599999996</v>
      </c>
    </row>
    <row r="520" spans="1:15" x14ac:dyDescent="0.3">
      <c r="A520" s="13">
        <v>45880</v>
      </c>
      <c r="B520" s="4" t="str">
        <f>TEXT(Data!B520,"MMM-YYYY")</f>
        <v>May-2023</v>
      </c>
      <c r="C520" s="4" t="str">
        <f t="shared" si="43"/>
        <v>Aug-2025</v>
      </c>
      <c r="D520" s="14">
        <f t="shared" si="44"/>
        <v>45880</v>
      </c>
      <c r="E520" s="4" t="str">
        <f t="shared" si="40"/>
        <v>Q3-2025</v>
      </c>
      <c r="F520" t="s">
        <v>78</v>
      </c>
      <c r="G520" t="s">
        <v>79</v>
      </c>
      <c r="H520" t="s">
        <v>80</v>
      </c>
      <c r="I520" t="s">
        <v>35</v>
      </c>
      <c r="J520" s="8" t="str">
        <f t="shared" si="41"/>
        <v>High</v>
      </c>
      <c r="K520" s="4">
        <v>1625.42</v>
      </c>
      <c r="L520" s="4">
        <v>1625.42</v>
      </c>
      <c r="M520" s="4">
        <v>0.13800000000000001</v>
      </c>
      <c r="N520" s="4">
        <v>7</v>
      </c>
      <c r="O520" s="4">
        <f t="shared" si="42"/>
        <v>6873.6311000000005</v>
      </c>
    </row>
    <row r="521" spans="1:15" x14ac:dyDescent="0.3">
      <c r="A521" s="13">
        <v>45881</v>
      </c>
      <c r="B521" s="4" t="str">
        <f>TEXT(Data!B521,"MMM-YYYY")</f>
        <v>Jul-2024</v>
      </c>
      <c r="C521" s="4" t="str">
        <f t="shared" si="43"/>
        <v>Aug-2025</v>
      </c>
      <c r="D521" s="14">
        <f t="shared" si="44"/>
        <v>45881</v>
      </c>
      <c r="E521" s="4" t="str">
        <f t="shared" si="40"/>
        <v>Q3-2025</v>
      </c>
      <c r="F521" t="s">
        <v>16</v>
      </c>
      <c r="G521" t="s">
        <v>25</v>
      </c>
      <c r="H521" t="s">
        <v>26</v>
      </c>
      <c r="I521" t="s">
        <v>22</v>
      </c>
      <c r="J521" s="8" t="str">
        <f t="shared" si="41"/>
        <v>High</v>
      </c>
      <c r="K521" s="4">
        <v>299.94</v>
      </c>
      <c r="L521" s="4">
        <v>299.94</v>
      </c>
      <c r="M521" s="4">
        <v>4.9000000000000002E-2</v>
      </c>
      <c r="N521" s="4">
        <v>3</v>
      </c>
      <c r="O521" s="4">
        <f t="shared" si="42"/>
        <v>4884.4215899999999</v>
      </c>
    </row>
    <row r="522" spans="1:15" x14ac:dyDescent="0.3">
      <c r="A522" s="13">
        <v>45882</v>
      </c>
      <c r="B522" s="4" t="str">
        <f>TEXT(Data!B522,"MMM-YYYY")</f>
        <v>May-2023</v>
      </c>
      <c r="C522" s="4" t="str">
        <f t="shared" si="43"/>
        <v>Aug-2025</v>
      </c>
      <c r="D522" s="14">
        <f t="shared" si="44"/>
        <v>45882</v>
      </c>
      <c r="E522" s="4" t="str">
        <f t="shared" si="40"/>
        <v>Q3-2025</v>
      </c>
      <c r="F522" t="s">
        <v>78</v>
      </c>
      <c r="G522" t="s">
        <v>90</v>
      </c>
      <c r="H522" t="s">
        <v>91</v>
      </c>
      <c r="I522" t="s">
        <v>22</v>
      </c>
      <c r="J522" s="8" t="str">
        <f t="shared" si="41"/>
        <v>High</v>
      </c>
      <c r="K522" s="4">
        <v>1503.96</v>
      </c>
      <c r="L522" s="4">
        <v>1503.96</v>
      </c>
      <c r="M522" s="4">
        <v>0.18</v>
      </c>
      <c r="N522" s="4">
        <v>6</v>
      </c>
      <c r="O522" s="4">
        <f t="shared" si="42"/>
        <v>5187.1068000000005</v>
      </c>
    </row>
    <row r="523" spans="1:15" x14ac:dyDescent="0.3">
      <c r="A523" s="13">
        <v>45883</v>
      </c>
      <c r="B523" s="4" t="str">
        <f>TEXT(Data!B523,"MMM-YYYY")</f>
        <v>Jul-2024</v>
      </c>
      <c r="C523" s="4" t="str">
        <f t="shared" si="43"/>
        <v>Aug-2025</v>
      </c>
      <c r="D523" s="14">
        <f t="shared" si="44"/>
        <v>45883</v>
      </c>
      <c r="E523" s="4" t="str">
        <f t="shared" si="40"/>
        <v>Q3-2025</v>
      </c>
      <c r="F523" t="s">
        <v>45</v>
      </c>
      <c r="G523" t="s">
        <v>60</v>
      </c>
      <c r="H523" t="s">
        <v>220</v>
      </c>
      <c r="I523" t="s">
        <v>57</v>
      </c>
      <c r="J523" s="8" t="str">
        <f t="shared" si="41"/>
        <v>High</v>
      </c>
      <c r="K523" s="4">
        <v>3101.11</v>
      </c>
      <c r="L523" s="4">
        <v>3101.11</v>
      </c>
      <c r="M523" s="4">
        <v>0.1</v>
      </c>
      <c r="N523" s="4">
        <v>23</v>
      </c>
      <c r="O523" s="4">
        <f t="shared" si="42"/>
        <v>50740.254000000001</v>
      </c>
    </row>
    <row r="524" spans="1:15" x14ac:dyDescent="0.3">
      <c r="A524" s="13">
        <v>45884</v>
      </c>
      <c r="B524" s="4" t="str">
        <f>TEXT(Data!B524,"MMM-YYYY")</f>
        <v>Apr-2024</v>
      </c>
      <c r="C524" s="4" t="str">
        <f t="shared" si="43"/>
        <v>Aug-2025</v>
      </c>
      <c r="D524" s="14">
        <f t="shared" si="44"/>
        <v>45884</v>
      </c>
      <c r="E524" s="4" t="str">
        <f t="shared" si="40"/>
        <v>Q3-2025</v>
      </c>
      <c r="F524" t="s">
        <v>45</v>
      </c>
      <c r="G524" t="s">
        <v>116</v>
      </c>
      <c r="H524" t="s">
        <v>162</v>
      </c>
      <c r="I524" t="s">
        <v>81</v>
      </c>
      <c r="J524" s="8" t="str">
        <f t="shared" si="41"/>
        <v>High</v>
      </c>
      <c r="K524" s="4">
        <v>979.42</v>
      </c>
      <c r="L524" s="4">
        <v>979.42</v>
      </c>
      <c r="M524" s="4">
        <v>0</v>
      </c>
      <c r="N524" s="4">
        <v>23</v>
      </c>
      <c r="O524" s="4">
        <f t="shared" si="42"/>
        <v>28777.83</v>
      </c>
    </row>
    <row r="525" spans="1:15" x14ac:dyDescent="0.3">
      <c r="A525" s="13">
        <v>45885</v>
      </c>
      <c r="B525" s="4" t="str">
        <f>TEXT(Data!B525,"MMM-YYYY")</f>
        <v>Jan-2024</v>
      </c>
      <c r="C525" s="4" t="str">
        <f t="shared" si="43"/>
        <v>Aug-2025</v>
      </c>
      <c r="D525" s="14">
        <f t="shared" si="44"/>
        <v>45885</v>
      </c>
      <c r="E525" s="4" t="str">
        <f t="shared" si="40"/>
        <v>Q3-2025</v>
      </c>
      <c r="F525" t="s">
        <v>16</v>
      </c>
      <c r="G525" t="s">
        <v>17</v>
      </c>
      <c r="H525" t="s">
        <v>18</v>
      </c>
      <c r="I525" t="s">
        <v>64</v>
      </c>
      <c r="J525" s="8" t="str">
        <f t="shared" si="41"/>
        <v>High</v>
      </c>
      <c r="K525" s="4">
        <v>1186.26</v>
      </c>
      <c r="L525" s="4">
        <v>1186.26</v>
      </c>
      <c r="M525" s="4">
        <v>9.4E-2</v>
      </c>
      <c r="N525" s="4">
        <v>15</v>
      </c>
      <c r="O525" s="4">
        <f t="shared" si="42"/>
        <v>15014.232</v>
      </c>
    </row>
    <row r="526" spans="1:15" x14ac:dyDescent="0.3">
      <c r="A526" s="13">
        <v>45886</v>
      </c>
      <c r="B526" s="4" t="str">
        <f>TEXT(Data!B526,"MMM-YYYY")</f>
        <v>Apr-2024</v>
      </c>
      <c r="C526" s="4" t="str">
        <f t="shared" si="43"/>
        <v>Aug-2025</v>
      </c>
      <c r="D526" s="14">
        <f t="shared" si="44"/>
        <v>45886</v>
      </c>
      <c r="E526" s="4" t="str">
        <f t="shared" si="40"/>
        <v>Q3-2025</v>
      </c>
      <c r="F526" t="s">
        <v>52</v>
      </c>
      <c r="G526" t="s">
        <v>122</v>
      </c>
      <c r="H526" t="s">
        <v>167</v>
      </c>
      <c r="I526" t="s">
        <v>22</v>
      </c>
      <c r="J526" s="8" t="str">
        <f t="shared" si="41"/>
        <v>High</v>
      </c>
      <c r="K526" s="4">
        <v>1938.33</v>
      </c>
      <c r="L526" s="4">
        <v>1938.33</v>
      </c>
      <c r="M526" s="4">
        <v>0.17</v>
      </c>
      <c r="N526" s="4">
        <v>4</v>
      </c>
      <c r="O526" s="4">
        <f t="shared" si="42"/>
        <v>7912.9211999999989</v>
      </c>
    </row>
    <row r="527" spans="1:15" x14ac:dyDescent="0.3">
      <c r="A527" s="13">
        <v>45887</v>
      </c>
      <c r="B527" s="4" t="str">
        <f>TEXT(Data!B527,"MMM-YYYY")</f>
        <v>Feb-2025</v>
      </c>
      <c r="C527" s="4" t="str">
        <f t="shared" si="43"/>
        <v>Aug-2025</v>
      </c>
      <c r="D527" s="14">
        <f t="shared" si="44"/>
        <v>45887</v>
      </c>
      <c r="E527" s="4" t="str">
        <f t="shared" si="40"/>
        <v>Q3-2025</v>
      </c>
      <c r="F527" t="s">
        <v>16</v>
      </c>
      <c r="G527" t="s">
        <v>17</v>
      </c>
      <c r="H527" t="s">
        <v>135</v>
      </c>
      <c r="I527" t="s">
        <v>30</v>
      </c>
      <c r="J527" s="8" t="str">
        <f t="shared" si="41"/>
        <v>High</v>
      </c>
      <c r="K527" s="4">
        <v>826.47</v>
      </c>
      <c r="L527" s="4">
        <v>826.47</v>
      </c>
      <c r="M527" s="4">
        <v>0.22500000000000001</v>
      </c>
      <c r="N527" s="4">
        <v>13</v>
      </c>
      <c r="O527" s="4">
        <f t="shared" si="42"/>
        <v>2146.5795000000003</v>
      </c>
    </row>
    <row r="528" spans="1:15" x14ac:dyDescent="0.3">
      <c r="A528" s="13">
        <v>45888</v>
      </c>
      <c r="B528" s="4" t="str">
        <f>TEXT(Data!B528,"MMM-YYYY")</f>
        <v>Jan-2023</v>
      </c>
      <c r="C528" s="4" t="str">
        <f t="shared" si="43"/>
        <v>Aug-2025</v>
      </c>
      <c r="D528" s="14">
        <f t="shared" si="44"/>
        <v>45888</v>
      </c>
      <c r="E528" s="4" t="str">
        <f t="shared" si="40"/>
        <v>Q3-2025</v>
      </c>
      <c r="F528" t="s">
        <v>16</v>
      </c>
      <c r="G528" t="s">
        <v>25</v>
      </c>
      <c r="H528" t="s">
        <v>38</v>
      </c>
      <c r="I528" t="s">
        <v>30</v>
      </c>
      <c r="J528" s="8" t="str">
        <f t="shared" si="41"/>
        <v>Medium</v>
      </c>
      <c r="K528" s="4">
        <v>118.17</v>
      </c>
      <c r="L528" s="4">
        <v>118.17</v>
      </c>
      <c r="M528" s="4">
        <v>0.13500000000000001</v>
      </c>
      <c r="N528" s="4">
        <v>21</v>
      </c>
      <c r="O528" s="4">
        <f t="shared" si="42"/>
        <v>36886.575600000004</v>
      </c>
    </row>
    <row r="529" spans="1:15" x14ac:dyDescent="0.3">
      <c r="A529" s="13">
        <v>45889</v>
      </c>
      <c r="B529" s="4" t="str">
        <f>TEXT(Data!B529,"MMM-YYYY")</f>
        <v>Jun-2024</v>
      </c>
      <c r="C529" s="4" t="str">
        <f t="shared" si="43"/>
        <v>Aug-2025</v>
      </c>
      <c r="D529" s="14">
        <f t="shared" si="44"/>
        <v>45889</v>
      </c>
      <c r="E529" s="4" t="str">
        <f t="shared" si="40"/>
        <v>Q3-2025</v>
      </c>
      <c r="F529" t="s">
        <v>45</v>
      </c>
      <c r="G529" t="s">
        <v>116</v>
      </c>
      <c r="H529" t="s">
        <v>117</v>
      </c>
      <c r="I529" t="s">
        <v>30</v>
      </c>
      <c r="J529" s="8" t="str">
        <f t="shared" si="41"/>
        <v>High</v>
      </c>
      <c r="K529" s="4">
        <v>1425.87</v>
      </c>
      <c r="L529" s="4">
        <v>1425.87</v>
      </c>
      <c r="M529" s="4">
        <v>0</v>
      </c>
      <c r="N529" s="4">
        <v>8</v>
      </c>
      <c r="O529" s="4">
        <f t="shared" si="42"/>
        <v>7653.6</v>
      </c>
    </row>
    <row r="530" spans="1:15" x14ac:dyDescent="0.3">
      <c r="A530" s="13">
        <v>45890</v>
      </c>
      <c r="B530" s="4" t="str">
        <f>TEXT(Data!B530,"MMM-YYYY")</f>
        <v>Aug-2023</v>
      </c>
      <c r="C530" s="4" t="str">
        <f t="shared" si="43"/>
        <v>Aug-2025</v>
      </c>
      <c r="D530" s="14">
        <f t="shared" si="44"/>
        <v>45890</v>
      </c>
      <c r="E530" s="4" t="str">
        <f t="shared" si="40"/>
        <v>Q3-2025</v>
      </c>
      <c r="F530" t="s">
        <v>16</v>
      </c>
      <c r="G530" t="s">
        <v>17</v>
      </c>
      <c r="H530" t="s">
        <v>33</v>
      </c>
      <c r="I530" t="s">
        <v>57</v>
      </c>
      <c r="J530" s="8" t="str">
        <f t="shared" si="41"/>
        <v>High</v>
      </c>
      <c r="K530" s="4">
        <v>1594.78</v>
      </c>
      <c r="L530" s="4">
        <v>1594.78</v>
      </c>
      <c r="M530" s="4">
        <v>5.8999999999999997E-2</v>
      </c>
      <c r="N530" s="4">
        <v>39</v>
      </c>
      <c r="O530" s="4">
        <f t="shared" si="42"/>
        <v>53128.40832000001</v>
      </c>
    </row>
    <row r="531" spans="1:15" x14ac:dyDescent="0.3">
      <c r="A531" s="13">
        <v>45891</v>
      </c>
      <c r="B531" s="4" t="str">
        <f>TEXT(Data!B531,"MMM-YYYY")</f>
        <v>Jan-2024</v>
      </c>
      <c r="C531" s="4" t="str">
        <f t="shared" si="43"/>
        <v>Aug-2025</v>
      </c>
      <c r="D531" s="14">
        <f t="shared" si="44"/>
        <v>45891</v>
      </c>
      <c r="E531" s="4" t="str">
        <f t="shared" si="40"/>
        <v>Q3-2025</v>
      </c>
      <c r="F531" t="s">
        <v>16</v>
      </c>
      <c r="G531" t="s">
        <v>148</v>
      </c>
      <c r="H531" t="s">
        <v>172</v>
      </c>
      <c r="I531" t="s">
        <v>30</v>
      </c>
      <c r="J531" s="8" t="str">
        <f t="shared" si="41"/>
        <v>High</v>
      </c>
      <c r="K531" s="4">
        <v>3342.11</v>
      </c>
      <c r="L531" s="4">
        <v>3342.11</v>
      </c>
      <c r="M531" s="4">
        <v>0</v>
      </c>
      <c r="N531" s="4">
        <v>10</v>
      </c>
      <c r="O531" s="4">
        <f t="shared" si="42"/>
        <v>29496.199999999997</v>
      </c>
    </row>
    <row r="532" spans="1:15" x14ac:dyDescent="0.3">
      <c r="A532" s="13">
        <v>45892</v>
      </c>
      <c r="B532" s="4" t="str">
        <f>TEXT(Data!B532,"MMM-YYYY")</f>
        <v>Mar-2025</v>
      </c>
      <c r="C532" s="4" t="str">
        <f t="shared" si="43"/>
        <v>Aug-2025</v>
      </c>
      <c r="D532" s="14">
        <f t="shared" si="44"/>
        <v>45892</v>
      </c>
      <c r="E532" s="4" t="str">
        <f t="shared" si="40"/>
        <v>Q3-2025</v>
      </c>
      <c r="F532" t="s">
        <v>45</v>
      </c>
      <c r="G532" t="s">
        <v>46</v>
      </c>
      <c r="H532" t="s">
        <v>47</v>
      </c>
      <c r="I532" t="s">
        <v>35</v>
      </c>
      <c r="J532" s="8" t="str">
        <f t="shared" si="41"/>
        <v>High</v>
      </c>
      <c r="K532" s="4">
        <v>1069.77</v>
      </c>
      <c r="L532" s="4">
        <v>1069.77</v>
      </c>
      <c r="M532" s="4">
        <v>3.7999999999999999E-2</v>
      </c>
      <c r="N532" s="4">
        <v>9</v>
      </c>
      <c r="O532" s="4">
        <f t="shared" si="42"/>
        <v>22342.575059999999</v>
      </c>
    </row>
    <row r="533" spans="1:15" x14ac:dyDescent="0.3">
      <c r="A533" s="13">
        <v>45893</v>
      </c>
      <c r="B533" s="4" t="str">
        <f>TEXT(Data!B533,"MMM-YYYY")</f>
        <v>Apr-2025</v>
      </c>
      <c r="C533" s="4" t="str">
        <f t="shared" si="43"/>
        <v>Aug-2025</v>
      </c>
      <c r="D533" s="14">
        <f t="shared" si="44"/>
        <v>45893</v>
      </c>
      <c r="E533" s="4" t="str">
        <f t="shared" si="40"/>
        <v>Q3-2025</v>
      </c>
      <c r="F533" t="s">
        <v>78</v>
      </c>
      <c r="G533" t="s">
        <v>79</v>
      </c>
      <c r="H533" t="s">
        <v>80</v>
      </c>
      <c r="I533" t="s">
        <v>42</v>
      </c>
      <c r="J533" s="8" t="str">
        <f t="shared" si="41"/>
        <v>Medium</v>
      </c>
      <c r="K533" s="4">
        <v>140.82</v>
      </c>
      <c r="L533" s="4">
        <v>140.82</v>
      </c>
      <c r="M533" s="4">
        <v>0.122</v>
      </c>
      <c r="N533" s="4">
        <v>5</v>
      </c>
      <c r="O533" s="4">
        <f t="shared" si="42"/>
        <v>8687.4149000000016</v>
      </c>
    </row>
    <row r="534" spans="1:15" x14ac:dyDescent="0.3">
      <c r="A534" s="13">
        <v>45894</v>
      </c>
      <c r="B534" s="4" t="str">
        <f>TEXT(Data!B534,"MMM-YYYY")</f>
        <v>Aug-2023</v>
      </c>
      <c r="C534" s="4" t="str">
        <f t="shared" si="43"/>
        <v>Aug-2025</v>
      </c>
      <c r="D534" s="14">
        <f t="shared" si="44"/>
        <v>45894</v>
      </c>
      <c r="E534" s="4" t="str">
        <f t="shared" si="40"/>
        <v>Q3-2025</v>
      </c>
      <c r="F534" t="s">
        <v>78</v>
      </c>
      <c r="G534" t="s">
        <v>90</v>
      </c>
      <c r="H534" t="s">
        <v>138</v>
      </c>
      <c r="I534" t="s">
        <v>64</v>
      </c>
      <c r="J534" s="8" t="str">
        <f t="shared" si="41"/>
        <v>Medium</v>
      </c>
      <c r="K534" s="4">
        <v>67.040000000000006</v>
      </c>
      <c r="L534" s="4">
        <v>67.040000000000006</v>
      </c>
      <c r="M534" s="4">
        <v>0.114</v>
      </c>
      <c r="N534" s="4">
        <v>9</v>
      </c>
      <c r="O534" s="4">
        <f t="shared" si="42"/>
        <v>11813.082300000002</v>
      </c>
    </row>
    <row r="535" spans="1:15" x14ac:dyDescent="0.3">
      <c r="A535" s="13">
        <v>45895</v>
      </c>
      <c r="B535" s="4" t="str">
        <f>TEXT(Data!B535,"MMM-YYYY")</f>
        <v>Jun-2025</v>
      </c>
      <c r="C535" s="4" t="str">
        <f t="shared" si="43"/>
        <v>Aug-2025</v>
      </c>
      <c r="D535" s="14">
        <f t="shared" si="44"/>
        <v>45895</v>
      </c>
      <c r="E535" s="4" t="str">
        <f t="shared" si="40"/>
        <v>Q3-2025</v>
      </c>
      <c r="F535" t="s">
        <v>16</v>
      </c>
      <c r="G535" t="s">
        <v>148</v>
      </c>
      <c r="H535" t="s">
        <v>172</v>
      </c>
      <c r="I535" t="s">
        <v>42</v>
      </c>
      <c r="J535" s="8" t="str">
        <f t="shared" si="41"/>
        <v>High</v>
      </c>
      <c r="K535" s="4">
        <v>1276.67</v>
      </c>
      <c r="L535" s="4">
        <v>1276.67</v>
      </c>
      <c r="M535" s="4">
        <v>6.6000000000000003E-2</v>
      </c>
      <c r="N535" s="4">
        <v>10</v>
      </c>
      <c r="O535" s="4">
        <f t="shared" si="42"/>
        <v>15494.3128</v>
      </c>
    </row>
    <row r="536" spans="1:15" x14ac:dyDescent="0.3">
      <c r="A536" s="13">
        <v>45896</v>
      </c>
      <c r="B536" s="4" t="str">
        <f>TEXT(Data!B536,"MMM-YYYY")</f>
        <v>Jan-2025</v>
      </c>
      <c r="C536" s="4" t="str">
        <f t="shared" si="43"/>
        <v>Aug-2025</v>
      </c>
      <c r="D536" s="14">
        <f t="shared" si="44"/>
        <v>45896</v>
      </c>
      <c r="E536" s="4" t="str">
        <f t="shared" si="40"/>
        <v>Q3-2025</v>
      </c>
      <c r="F536" t="s">
        <v>16</v>
      </c>
      <c r="G536" t="s">
        <v>148</v>
      </c>
      <c r="H536" t="s">
        <v>149</v>
      </c>
      <c r="I536" t="s">
        <v>57</v>
      </c>
      <c r="J536" s="8" t="str">
        <f t="shared" si="41"/>
        <v>High</v>
      </c>
      <c r="K536" s="4">
        <v>2821.36</v>
      </c>
      <c r="L536" s="4">
        <v>2821.36</v>
      </c>
      <c r="M536" s="4">
        <v>0.248</v>
      </c>
      <c r="N536" s="4">
        <v>20</v>
      </c>
      <c r="O536" s="4">
        <f t="shared" si="42"/>
        <v>9059.1936000000005</v>
      </c>
    </row>
    <row r="537" spans="1:15" x14ac:dyDescent="0.3">
      <c r="A537" s="13">
        <v>45897</v>
      </c>
      <c r="B537" s="4" t="str">
        <f>TEXT(Data!B537,"MMM-YYYY")</f>
        <v>Jul-2023</v>
      </c>
      <c r="C537" s="4" t="str">
        <f t="shared" si="43"/>
        <v>Aug-2025</v>
      </c>
      <c r="D537" s="14">
        <f t="shared" si="44"/>
        <v>45897</v>
      </c>
      <c r="E537" s="4" t="str">
        <f t="shared" si="40"/>
        <v>Q3-2025</v>
      </c>
      <c r="F537" t="s">
        <v>52</v>
      </c>
      <c r="G537" t="s">
        <v>73</v>
      </c>
      <c r="H537" t="s">
        <v>87</v>
      </c>
      <c r="I537" t="s">
        <v>57</v>
      </c>
      <c r="J537" s="8" t="str">
        <f t="shared" si="41"/>
        <v>High</v>
      </c>
      <c r="K537" s="4">
        <v>1559.19</v>
      </c>
      <c r="L537" s="4">
        <v>1559.19</v>
      </c>
      <c r="M537" s="4">
        <v>0.19</v>
      </c>
      <c r="N537" s="4">
        <v>12</v>
      </c>
      <c r="O537" s="4">
        <f t="shared" si="42"/>
        <v>5128.6608000000006</v>
      </c>
    </row>
    <row r="538" spans="1:15" x14ac:dyDescent="0.3">
      <c r="A538" s="13">
        <v>45898</v>
      </c>
      <c r="B538" s="4" t="str">
        <f>TEXT(Data!B538,"MMM-YYYY")</f>
        <v>Aug-2024</v>
      </c>
      <c r="C538" s="4" t="str">
        <f t="shared" si="43"/>
        <v>Aug-2025</v>
      </c>
      <c r="D538" s="14">
        <f t="shared" si="44"/>
        <v>45898</v>
      </c>
      <c r="E538" s="4" t="str">
        <f t="shared" si="40"/>
        <v>Q3-2025</v>
      </c>
      <c r="F538" t="s">
        <v>78</v>
      </c>
      <c r="G538" t="s">
        <v>90</v>
      </c>
      <c r="H538" t="s">
        <v>217</v>
      </c>
      <c r="I538" t="s">
        <v>35</v>
      </c>
      <c r="J538" s="8" t="str">
        <f t="shared" si="41"/>
        <v>High</v>
      </c>
      <c r="K538" s="4">
        <v>656.66</v>
      </c>
      <c r="L538" s="4">
        <v>656.66</v>
      </c>
      <c r="M538" s="4">
        <v>0.14899999999999999</v>
      </c>
      <c r="N538" s="4">
        <v>14</v>
      </c>
      <c r="O538" s="4">
        <f t="shared" si="42"/>
        <v>21944.3966</v>
      </c>
    </row>
    <row r="539" spans="1:15" x14ac:dyDescent="0.3">
      <c r="A539" s="13">
        <v>45899</v>
      </c>
      <c r="B539" s="4" t="str">
        <f>TEXT(Data!B539,"MMM-YYYY")</f>
        <v>Jul-2023</v>
      </c>
      <c r="C539" s="4" t="str">
        <f t="shared" si="43"/>
        <v>Aug-2025</v>
      </c>
      <c r="D539" s="14">
        <f t="shared" si="44"/>
        <v>45899</v>
      </c>
      <c r="E539" s="4" t="str">
        <f t="shared" si="40"/>
        <v>Q3-2025</v>
      </c>
      <c r="F539" t="s">
        <v>52</v>
      </c>
      <c r="G539" t="s">
        <v>122</v>
      </c>
      <c r="H539" t="s">
        <v>123</v>
      </c>
      <c r="I539" t="s">
        <v>57</v>
      </c>
      <c r="J539" s="8" t="str">
        <f t="shared" si="41"/>
        <v>High</v>
      </c>
      <c r="K539" s="4">
        <v>2657.84</v>
      </c>
      <c r="L539" s="4">
        <v>2657.84</v>
      </c>
      <c r="M539" s="4">
        <v>8.6999999999999994E-2</v>
      </c>
      <c r="N539" s="4">
        <v>21</v>
      </c>
      <c r="O539" s="4">
        <f t="shared" si="42"/>
        <v>31548.788040000003</v>
      </c>
    </row>
    <row r="540" spans="1:15" x14ac:dyDescent="0.3">
      <c r="A540" s="13">
        <v>45900</v>
      </c>
      <c r="B540" s="4" t="str">
        <f>TEXT(Data!B540,"MMM-YYYY")</f>
        <v>Dec-2023</v>
      </c>
      <c r="C540" s="4" t="str">
        <f t="shared" si="43"/>
        <v>Aug-2025</v>
      </c>
      <c r="D540" s="14">
        <f t="shared" si="44"/>
        <v>45900</v>
      </c>
      <c r="E540" s="4" t="str">
        <f t="shared" si="40"/>
        <v>Q3-2025</v>
      </c>
      <c r="F540" t="s">
        <v>16</v>
      </c>
      <c r="G540" t="s">
        <v>148</v>
      </c>
      <c r="H540" t="s">
        <v>258</v>
      </c>
      <c r="I540" t="s">
        <v>81</v>
      </c>
      <c r="J540" s="8" t="str">
        <f t="shared" si="41"/>
        <v>High</v>
      </c>
      <c r="K540" s="4">
        <v>1424.74</v>
      </c>
      <c r="L540" s="4">
        <v>1424.74</v>
      </c>
      <c r="M540" s="4">
        <v>4.3999999999999997E-2</v>
      </c>
      <c r="N540" s="4">
        <v>15</v>
      </c>
      <c r="O540" s="4">
        <f t="shared" si="42"/>
        <v>10428.334800000001</v>
      </c>
    </row>
    <row r="541" spans="1:15" x14ac:dyDescent="0.3">
      <c r="A541" s="13">
        <v>45901</v>
      </c>
      <c r="B541" s="4" t="str">
        <f>TEXT(Data!B541,"MMM-YYYY")</f>
        <v>Jan-2023</v>
      </c>
      <c r="C541" s="4" t="str">
        <f t="shared" si="43"/>
        <v>Sept-2025</v>
      </c>
      <c r="D541" s="14">
        <f t="shared" si="44"/>
        <v>45901</v>
      </c>
      <c r="E541" s="4" t="str">
        <f t="shared" si="40"/>
        <v>Q3-2025</v>
      </c>
      <c r="F541" t="s">
        <v>16</v>
      </c>
      <c r="G541" t="s">
        <v>148</v>
      </c>
      <c r="H541" t="s">
        <v>258</v>
      </c>
      <c r="I541" t="s">
        <v>30</v>
      </c>
      <c r="J541" s="8" t="str">
        <f t="shared" si="41"/>
        <v>High</v>
      </c>
      <c r="K541" s="4">
        <v>2318.7399999999998</v>
      </c>
      <c r="L541" s="4">
        <v>2318.7399999999998</v>
      </c>
      <c r="M541" s="4">
        <v>0.107</v>
      </c>
      <c r="N541" s="4">
        <v>32</v>
      </c>
      <c r="O541" s="4">
        <f t="shared" si="42"/>
        <v>35256.783040000002</v>
      </c>
    </row>
    <row r="542" spans="1:15" x14ac:dyDescent="0.3">
      <c r="A542" s="13">
        <v>45902</v>
      </c>
      <c r="B542" s="4" t="str">
        <f>TEXT(Data!B542,"MMM-YYYY")</f>
        <v>Jul-2023</v>
      </c>
      <c r="C542" s="4" t="str">
        <f t="shared" si="43"/>
        <v>Sept-2025</v>
      </c>
      <c r="D542" s="14">
        <f t="shared" si="44"/>
        <v>45902</v>
      </c>
      <c r="E542" s="4" t="str">
        <f t="shared" si="40"/>
        <v>Q3-2025</v>
      </c>
      <c r="F542" t="s">
        <v>78</v>
      </c>
      <c r="G542" t="s">
        <v>79</v>
      </c>
      <c r="H542" t="s">
        <v>80</v>
      </c>
      <c r="I542" t="s">
        <v>35</v>
      </c>
      <c r="J542" s="8" t="str">
        <f t="shared" si="41"/>
        <v>High</v>
      </c>
      <c r="K542" s="4">
        <v>366.7</v>
      </c>
      <c r="L542" s="4">
        <v>366.7</v>
      </c>
      <c r="M542" s="4">
        <v>8.8999999999999996E-2</v>
      </c>
      <c r="N542" s="4">
        <v>10</v>
      </c>
      <c r="O542" s="4">
        <f t="shared" si="42"/>
        <v>14063.653600000001</v>
      </c>
    </row>
    <row r="543" spans="1:15" x14ac:dyDescent="0.3">
      <c r="A543" s="13">
        <v>45903</v>
      </c>
      <c r="B543" s="4" t="str">
        <f>TEXT(Data!B543,"MMM-YYYY")</f>
        <v>Jun-2024</v>
      </c>
      <c r="C543" s="4" t="str">
        <f t="shared" si="43"/>
        <v>Sept-2025</v>
      </c>
      <c r="D543" s="14">
        <f t="shared" si="44"/>
        <v>45903</v>
      </c>
      <c r="E543" s="4" t="str">
        <f t="shared" si="40"/>
        <v>Q3-2025</v>
      </c>
      <c r="F543" t="s">
        <v>16</v>
      </c>
      <c r="G543" t="s">
        <v>17</v>
      </c>
      <c r="H543" t="s">
        <v>33</v>
      </c>
      <c r="I543" t="s">
        <v>57</v>
      </c>
      <c r="J543" s="8" t="str">
        <f t="shared" si="41"/>
        <v>High</v>
      </c>
      <c r="K543" s="4">
        <v>2797.41</v>
      </c>
      <c r="L543" s="4">
        <v>2797.41</v>
      </c>
      <c r="M543" s="4">
        <v>0</v>
      </c>
      <c r="N543" s="4">
        <v>7</v>
      </c>
      <c r="O543" s="4">
        <f t="shared" si="42"/>
        <v>14806.33</v>
      </c>
    </row>
    <row r="544" spans="1:15" x14ac:dyDescent="0.3">
      <c r="A544" s="13">
        <v>45904</v>
      </c>
      <c r="B544" s="4" t="str">
        <f>TEXT(Data!B544,"MMM-YYYY")</f>
        <v>Feb-2023</v>
      </c>
      <c r="C544" s="4" t="str">
        <f t="shared" si="43"/>
        <v>Sept-2025</v>
      </c>
      <c r="D544" s="14">
        <f t="shared" si="44"/>
        <v>45904</v>
      </c>
      <c r="E544" s="4" t="str">
        <f t="shared" si="40"/>
        <v>Q3-2025</v>
      </c>
      <c r="F544" t="s">
        <v>45</v>
      </c>
      <c r="G544" t="s">
        <v>116</v>
      </c>
      <c r="H544" t="s">
        <v>162</v>
      </c>
      <c r="I544" t="s">
        <v>64</v>
      </c>
      <c r="J544" s="8" t="str">
        <f t="shared" si="41"/>
        <v>High</v>
      </c>
      <c r="K544" s="4">
        <v>2209.66</v>
      </c>
      <c r="L544" s="4">
        <v>2209.66</v>
      </c>
      <c r="M544" s="4">
        <v>0.13300000000000001</v>
      </c>
      <c r="N544" s="4">
        <v>16</v>
      </c>
      <c r="O544" s="4">
        <f t="shared" si="42"/>
        <v>25485.499680000001</v>
      </c>
    </row>
    <row r="545" spans="1:15" x14ac:dyDescent="0.3">
      <c r="A545" s="13">
        <v>45905</v>
      </c>
      <c r="B545" s="4" t="str">
        <f>TEXT(Data!B545,"MMM-YYYY")</f>
        <v>Jul-2023</v>
      </c>
      <c r="C545" s="4" t="str">
        <f t="shared" si="43"/>
        <v>Sept-2025</v>
      </c>
      <c r="D545" s="14">
        <f t="shared" si="44"/>
        <v>45905</v>
      </c>
      <c r="E545" s="4" t="str">
        <f t="shared" si="40"/>
        <v>Q3-2025</v>
      </c>
      <c r="F545" t="s">
        <v>16</v>
      </c>
      <c r="G545" t="s">
        <v>25</v>
      </c>
      <c r="H545" t="s">
        <v>26</v>
      </c>
      <c r="I545" t="s">
        <v>81</v>
      </c>
      <c r="J545" s="8" t="str">
        <f t="shared" si="41"/>
        <v>High</v>
      </c>
      <c r="K545" s="4">
        <v>839.04</v>
      </c>
      <c r="L545" s="4">
        <v>839.04</v>
      </c>
      <c r="M545" s="4">
        <v>5.8999999999999997E-2</v>
      </c>
      <c r="N545" s="4">
        <v>6</v>
      </c>
      <c r="O545" s="4">
        <f t="shared" si="42"/>
        <v>16141.518779999999</v>
      </c>
    </row>
    <row r="546" spans="1:15" x14ac:dyDescent="0.3">
      <c r="A546" s="13">
        <v>45906</v>
      </c>
      <c r="B546" s="4" t="str">
        <f>TEXT(Data!B546,"MMM-YYYY")</f>
        <v>Aug-2025</v>
      </c>
      <c r="C546" s="4" t="str">
        <f t="shared" si="43"/>
        <v>Sept-2025</v>
      </c>
      <c r="D546" s="14">
        <f t="shared" si="44"/>
        <v>45906</v>
      </c>
      <c r="E546" s="4" t="str">
        <f t="shared" si="40"/>
        <v>Q3-2025</v>
      </c>
      <c r="F546" t="s">
        <v>78</v>
      </c>
      <c r="G546" t="s">
        <v>79</v>
      </c>
      <c r="H546" t="s">
        <v>335</v>
      </c>
      <c r="I546" t="s">
        <v>57</v>
      </c>
      <c r="J546" s="8" t="str">
        <f t="shared" si="41"/>
        <v>High</v>
      </c>
      <c r="K546" s="4">
        <v>1139.1500000000001</v>
      </c>
      <c r="L546" s="4">
        <v>1139.1500000000001</v>
      </c>
      <c r="M546" s="4">
        <v>0.115</v>
      </c>
      <c r="N546" s="4">
        <v>14</v>
      </c>
      <c r="O546" s="4">
        <f t="shared" si="42"/>
        <v>3592.1088</v>
      </c>
    </row>
    <row r="547" spans="1:15" x14ac:dyDescent="0.3">
      <c r="A547" s="13">
        <v>45907</v>
      </c>
      <c r="B547" s="4" t="str">
        <f>TEXT(Data!B547,"MMM-YYYY")</f>
        <v>Mar-2024</v>
      </c>
      <c r="C547" s="4" t="str">
        <f t="shared" si="43"/>
        <v>Sept-2025</v>
      </c>
      <c r="D547" s="14">
        <f t="shared" si="44"/>
        <v>45907</v>
      </c>
      <c r="E547" s="4" t="str">
        <f t="shared" si="40"/>
        <v>Q3-2025</v>
      </c>
      <c r="F547" t="s">
        <v>52</v>
      </c>
      <c r="G547" t="s">
        <v>122</v>
      </c>
      <c r="H547" t="s">
        <v>387</v>
      </c>
      <c r="I547" t="s">
        <v>35</v>
      </c>
      <c r="J547" s="8" t="str">
        <f t="shared" si="41"/>
        <v>High</v>
      </c>
      <c r="K547" s="4">
        <v>1712.03</v>
      </c>
      <c r="L547" s="4">
        <v>1712.03</v>
      </c>
      <c r="M547" s="4">
        <v>0.21199999999999999</v>
      </c>
      <c r="N547" s="4">
        <v>8</v>
      </c>
      <c r="O547" s="4">
        <f t="shared" si="42"/>
        <v>6286.3488000000007</v>
      </c>
    </row>
    <row r="548" spans="1:15" x14ac:dyDescent="0.3">
      <c r="A548" s="13">
        <v>45908</v>
      </c>
      <c r="B548" s="4" t="str">
        <f>TEXT(Data!B548,"MMM-YYYY")</f>
        <v>Sept-2023</v>
      </c>
      <c r="C548" s="4" t="str">
        <f t="shared" si="43"/>
        <v>Sept-2025</v>
      </c>
      <c r="D548" s="14">
        <f t="shared" si="44"/>
        <v>45908</v>
      </c>
      <c r="E548" s="4" t="str">
        <f t="shared" si="40"/>
        <v>Q3-2025</v>
      </c>
      <c r="F548" t="s">
        <v>16</v>
      </c>
      <c r="G548" t="s">
        <v>148</v>
      </c>
      <c r="H548" t="s">
        <v>149</v>
      </c>
      <c r="I548" t="s">
        <v>64</v>
      </c>
      <c r="J548" s="8" t="str">
        <f t="shared" si="41"/>
        <v>High</v>
      </c>
      <c r="K548" s="4">
        <v>1054.29</v>
      </c>
      <c r="L548" s="4">
        <v>1054.29</v>
      </c>
      <c r="M548" s="4">
        <v>0.23699999999999999</v>
      </c>
      <c r="N548" s="4">
        <v>6</v>
      </c>
      <c r="O548" s="4">
        <f t="shared" si="42"/>
        <v>216.49362000000002</v>
      </c>
    </row>
    <row r="549" spans="1:15" x14ac:dyDescent="0.3">
      <c r="A549" s="13">
        <v>45909</v>
      </c>
      <c r="B549" s="4" t="str">
        <f>TEXT(Data!B549,"MMM-YYYY")</f>
        <v>Feb-2023</v>
      </c>
      <c r="C549" s="4" t="str">
        <f t="shared" si="43"/>
        <v>Sept-2025</v>
      </c>
      <c r="D549" s="14">
        <f t="shared" si="44"/>
        <v>45909</v>
      </c>
      <c r="E549" s="4" t="str">
        <f t="shared" si="40"/>
        <v>Q3-2025</v>
      </c>
      <c r="F549" t="s">
        <v>52</v>
      </c>
      <c r="G549" t="s">
        <v>53</v>
      </c>
      <c r="H549" t="s">
        <v>54</v>
      </c>
      <c r="I549" t="s">
        <v>81</v>
      </c>
      <c r="J549" s="8" t="str">
        <f t="shared" si="41"/>
        <v>High</v>
      </c>
      <c r="K549" s="4">
        <v>2451.2199999999998</v>
      </c>
      <c r="L549" s="4">
        <v>2451.2199999999998</v>
      </c>
      <c r="M549" s="4">
        <v>0.20799999999999999</v>
      </c>
      <c r="N549" s="4">
        <v>8</v>
      </c>
      <c r="O549" s="4">
        <f t="shared" si="42"/>
        <v>4778.8646400000007</v>
      </c>
    </row>
    <row r="550" spans="1:15" x14ac:dyDescent="0.3">
      <c r="A550" s="13">
        <v>45910</v>
      </c>
      <c r="B550" s="4" t="str">
        <f>TEXT(Data!B550,"MMM-YYYY")</f>
        <v>Jul-2024</v>
      </c>
      <c r="C550" s="4" t="str">
        <f t="shared" si="43"/>
        <v>Sept-2025</v>
      </c>
      <c r="D550" s="14">
        <f t="shared" si="44"/>
        <v>45910</v>
      </c>
      <c r="E550" s="4" t="str">
        <f t="shared" si="40"/>
        <v>Q3-2025</v>
      </c>
      <c r="F550" t="s">
        <v>78</v>
      </c>
      <c r="G550" t="s">
        <v>79</v>
      </c>
      <c r="H550" t="s">
        <v>335</v>
      </c>
      <c r="I550" t="s">
        <v>30</v>
      </c>
      <c r="J550" s="8" t="str">
        <f t="shared" si="41"/>
        <v>High</v>
      </c>
      <c r="K550" s="4">
        <v>1251.21</v>
      </c>
      <c r="L550" s="4">
        <v>1251.21</v>
      </c>
      <c r="M550" s="4">
        <v>0.123</v>
      </c>
      <c r="N550" s="4">
        <v>29</v>
      </c>
      <c r="O550" s="4">
        <f t="shared" si="42"/>
        <v>22927.340840000001</v>
      </c>
    </row>
    <row r="551" spans="1:15" x14ac:dyDescent="0.3">
      <c r="A551" s="13">
        <v>45911</v>
      </c>
      <c r="B551" s="4" t="str">
        <f>TEXT(Data!B551,"MMM-YYYY")</f>
        <v>Dec-2024</v>
      </c>
      <c r="C551" s="4" t="str">
        <f t="shared" si="43"/>
        <v>Sept-2025</v>
      </c>
      <c r="D551" s="14">
        <f t="shared" si="44"/>
        <v>45911</v>
      </c>
      <c r="E551" s="4" t="str">
        <f t="shared" si="40"/>
        <v>Q3-2025</v>
      </c>
      <c r="F551" t="s">
        <v>52</v>
      </c>
      <c r="G551" t="s">
        <v>73</v>
      </c>
      <c r="H551" t="s">
        <v>225</v>
      </c>
      <c r="I551" t="s">
        <v>64</v>
      </c>
      <c r="J551" s="8" t="str">
        <f t="shared" si="41"/>
        <v>High</v>
      </c>
      <c r="K551" s="4">
        <v>1104.8</v>
      </c>
      <c r="L551" s="4">
        <v>1104.8</v>
      </c>
      <c r="M551" s="4">
        <v>0.17499999999999999</v>
      </c>
      <c r="N551" s="4">
        <v>12</v>
      </c>
      <c r="O551" s="4">
        <f t="shared" si="42"/>
        <v>1119.492</v>
      </c>
    </row>
    <row r="552" spans="1:15" x14ac:dyDescent="0.3">
      <c r="A552" s="13">
        <v>45912</v>
      </c>
      <c r="B552" s="4" t="str">
        <f>TEXT(Data!B552,"MMM-YYYY")</f>
        <v>Aug-2025</v>
      </c>
      <c r="C552" s="4" t="str">
        <f t="shared" si="43"/>
        <v>Sept-2025</v>
      </c>
      <c r="D552" s="14">
        <f t="shared" si="44"/>
        <v>45912</v>
      </c>
      <c r="E552" s="4" t="str">
        <f t="shared" si="40"/>
        <v>Q3-2025</v>
      </c>
      <c r="F552" t="s">
        <v>78</v>
      </c>
      <c r="G552" t="s">
        <v>108</v>
      </c>
      <c r="H552" t="s">
        <v>152</v>
      </c>
      <c r="I552" t="s">
        <v>35</v>
      </c>
      <c r="J552" s="8" t="str">
        <f t="shared" si="41"/>
        <v>High</v>
      </c>
      <c r="K552" s="4">
        <v>2383.41</v>
      </c>
      <c r="L552" s="4">
        <v>2383.41</v>
      </c>
      <c r="M552" s="4">
        <v>0.17</v>
      </c>
      <c r="N552" s="4">
        <v>15</v>
      </c>
      <c r="O552" s="4">
        <f t="shared" si="42"/>
        <v>10814.319</v>
      </c>
    </row>
    <row r="553" spans="1:15" x14ac:dyDescent="0.3">
      <c r="A553" s="13">
        <v>45913</v>
      </c>
      <c r="B553" s="4" t="str">
        <f>TEXT(Data!B553,"MMM-YYYY")</f>
        <v>Mar-2023</v>
      </c>
      <c r="C553" s="4" t="str">
        <f t="shared" si="43"/>
        <v>Sept-2025</v>
      </c>
      <c r="D553" s="14">
        <f t="shared" si="44"/>
        <v>45913</v>
      </c>
      <c r="E553" s="4" t="str">
        <f t="shared" si="40"/>
        <v>Q3-2025</v>
      </c>
      <c r="F553" t="s">
        <v>52</v>
      </c>
      <c r="G553" t="s">
        <v>73</v>
      </c>
      <c r="H553" t="s">
        <v>87</v>
      </c>
      <c r="I553" t="s">
        <v>64</v>
      </c>
      <c r="J553" s="8" t="str">
        <f t="shared" si="41"/>
        <v>High</v>
      </c>
      <c r="K553" s="4">
        <v>213.06</v>
      </c>
      <c r="L553" s="4">
        <v>213.06</v>
      </c>
      <c r="M553" s="4">
        <v>0.21199999999999999</v>
      </c>
      <c r="N553" s="4">
        <v>11</v>
      </c>
      <c r="O553" s="4">
        <f t="shared" si="42"/>
        <v>3015.5971999999997</v>
      </c>
    </row>
    <row r="554" spans="1:15" x14ac:dyDescent="0.3">
      <c r="A554" s="13">
        <v>45914</v>
      </c>
      <c r="B554" s="4" t="str">
        <f>TEXT(Data!B554,"MMM-YYYY")</f>
        <v>Feb-2025</v>
      </c>
      <c r="C554" s="4" t="str">
        <f t="shared" si="43"/>
        <v>Sept-2025</v>
      </c>
      <c r="D554" s="14">
        <f t="shared" si="44"/>
        <v>45914</v>
      </c>
      <c r="E554" s="4" t="str">
        <f t="shared" si="40"/>
        <v>Q3-2025</v>
      </c>
      <c r="F554" t="s">
        <v>45</v>
      </c>
      <c r="G554" t="s">
        <v>46</v>
      </c>
      <c r="H554" t="s">
        <v>231</v>
      </c>
      <c r="I554" t="s">
        <v>35</v>
      </c>
      <c r="J554" s="8" t="str">
        <f t="shared" si="41"/>
        <v>High</v>
      </c>
      <c r="K554" s="4">
        <v>2030.64</v>
      </c>
      <c r="L554" s="4">
        <v>2030.64</v>
      </c>
      <c r="M554" s="4">
        <v>0.157</v>
      </c>
      <c r="N554" s="4">
        <v>11</v>
      </c>
      <c r="O554" s="4">
        <f t="shared" si="42"/>
        <v>10310.463239999999</v>
      </c>
    </row>
    <row r="555" spans="1:15" x14ac:dyDescent="0.3">
      <c r="A555" s="13">
        <v>45915</v>
      </c>
      <c r="B555" s="4" t="str">
        <f>TEXT(Data!B555,"MMM-YYYY")</f>
        <v>Feb-2025</v>
      </c>
      <c r="C555" s="4" t="str">
        <f t="shared" si="43"/>
        <v>Sept-2025</v>
      </c>
      <c r="D555" s="14">
        <f t="shared" si="44"/>
        <v>45915</v>
      </c>
      <c r="E555" s="4" t="str">
        <f t="shared" si="40"/>
        <v>Q3-2025</v>
      </c>
      <c r="F555" t="s">
        <v>78</v>
      </c>
      <c r="G555" t="s">
        <v>79</v>
      </c>
      <c r="H555" t="s">
        <v>159</v>
      </c>
      <c r="I555" t="s">
        <v>81</v>
      </c>
      <c r="J555" s="8" t="str">
        <f t="shared" si="41"/>
        <v>High</v>
      </c>
      <c r="K555" s="4">
        <v>956.7</v>
      </c>
      <c r="L555" s="4">
        <v>956.7</v>
      </c>
      <c r="M555" s="4">
        <v>4.2000000000000003E-2</v>
      </c>
      <c r="N555" s="4">
        <v>22</v>
      </c>
      <c r="O555" s="4">
        <f t="shared" si="42"/>
        <v>6907.0267199999998</v>
      </c>
    </row>
    <row r="556" spans="1:15" x14ac:dyDescent="0.3">
      <c r="A556" s="13">
        <v>45916</v>
      </c>
      <c r="B556" s="4" t="str">
        <f>TEXT(Data!B556,"MMM-YYYY")</f>
        <v>Aug-2024</v>
      </c>
      <c r="C556" s="4" t="str">
        <f t="shared" si="43"/>
        <v>Sept-2025</v>
      </c>
      <c r="D556" s="14">
        <f t="shared" si="44"/>
        <v>45916</v>
      </c>
      <c r="E556" s="4" t="str">
        <f t="shared" si="40"/>
        <v>Q3-2025</v>
      </c>
      <c r="F556" t="s">
        <v>16</v>
      </c>
      <c r="G556" t="s">
        <v>17</v>
      </c>
      <c r="H556" t="s">
        <v>113</v>
      </c>
      <c r="I556" t="s">
        <v>81</v>
      </c>
      <c r="J556" s="8" t="str">
        <f t="shared" si="41"/>
        <v>High</v>
      </c>
      <c r="K556" s="4">
        <v>1447.68</v>
      </c>
      <c r="L556" s="4">
        <v>1447.68</v>
      </c>
      <c r="M556" s="4">
        <v>8.6999999999999994E-2</v>
      </c>
      <c r="N556" s="4">
        <v>12</v>
      </c>
      <c r="O556" s="4">
        <f t="shared" si="42"/>
        <v>5326.0402800000002</v>
      </c>
    </row>
    <row r="557" spans="1:15" x14ac:dyDescent="0.3">
      <c r="A557" s="13">
        <v>45917</v>
      </c>
      <c r="B557" s="4" t="str">
        <f>TEXT(Data!B557,"MMM-YYYY")</f>
        <v>May-2023</v>
      </c>
      <c r="C557" s="4" t="str">
        <f t="shared" si="43"/>
        <v>Sept-2025</v>
      </c>
      <c r="D557" s="14">
        <f t="shared" si="44"/>
        <v>45917</v>
      </c>
      <c r="E557" s="4" t="str">
        <f t="shared" si="40"/>
        <v>Q3-2025</v>
      </c>
      <c r="F557" t="s">
        <v>45</v>
      </c>
      <c r="G557" t="s">
        <v>46</v>
      </c>
      <c r="H557" t="s">
        <v>214</v>
      </c>
      <c r="I557" t="s">
        <v>42</v>
      </c>
      <c r="J557" s="8" t="str">
        <f t="shared" si="41"/>
        <v>High</v>
      </c>
      <c r="K557" s="4">
        <v>2949.62</v>
      </c>
      <c r="L557" s="4">
        <v>2949.62</v>
      </c>
      <c r="M557" s="4">
        <v>0.125</v>
      </c>
      <c r="N557" s="4">
        <v>13</v>
      </c>
      <c r="O557" s="4">
        <f t="shared" si="42"/>
        <v>23507.575000000001</v>
      </c>
    </row>
    <row r="558" spans="1:15" x14ac:dyDescent="0.3">
      <c r="A558" s="13">
        <v>45918</v>
      </c>
      <c r="B558" s="4" t="str">
        <f>TEXT(Data!B558,"MMM-YYYY")</f>
        <v>May-2025</v>
      </c>
      <c r="C558" s="4" t="str">
        <f t="shared" si="43"/>
        <v>Sept-2025</v>
      </c>
      <c r="D558" s="14">
        <f t="shared" si="44"/>
        <v>45918</v>
      </c>
      <c r="E558" s="4" t="str">
        <f t="shared" si="40"/>
        <v>Q3-2025</v>
      </c>
      <c r="F558" t="s">
        <v>45</v>
      </c>
      <c r="G558" t="s">
        <v>60</v>
      </c>
      <c r="H558" t="s">
        <v>220</v>
      </c>
      <c r="I558" t="s">
        <v>81</v>
      </c>
      <c r="J558" s="8" t="str">
        <f t="shared" si="41"/>
        <v>High</v>
      </c>
      <c r="K558" s="4">
        <v>2580.5700000000002</v>
      </c>
      <c r="L558" s="4">
        <v>2580.5700000000002</v>
      </c>
      <c r="M558" s="4">
        <v>0</v>
      </c>
      <c r="N558" s="4">
        <v>18</v>
      </c>
      <c r="O558" s="4">
        <f t="shared" si="42"/>
        <v>1551.6000000000001</v>
      </c>
    </row>
    <row r="559" spans="1:15" x14ac:dyDescent="0.3">
      <c r="A559" s="13">
        <v>45919</v>
      </c>
      <c r="B559" s="4" t="str">
        <f>TEXT(Data!B559,"MMM-YYYY")</f>
        <v>Mar-2024</v>
      </c>
      <c r="C559" s="4" t="str">
        <f t="shared" si="43"/>
        <v>Sept-2025</v>
      </c>
      <c r="D559" s="14">
        <f t="shared" si="44"/>
        <v>45919</v>
      </c>
      <c r="E559" s="4" t="str">
        <f t="shared" si="40"/>
        <v>Q3-2025</v>
      </c>
      <c r="F559" t="s">
        <v>52</v>
      </c>
      <c r="G559" t="s">
        <v>53</v>
      </c>
      <c r="H559" t="s">
        <v>179</v>
      </c>
      <c r="I559" t="s">
        <v>30</v>
      </c>
      <c r="J559" s="8" t="str">
        <f t="shared" si="41"/>
        <v>High</v>
      </c>
      <c r="K559" s="4">
        <v>1978.91</v>
      </c>
      <c r="L559" s="4">
        <v>1978.91</v>
      </c>
      <c r="M559" s="4">
        <v>5.3999999999999999E-2</v>
      </c>
      <c r="N559" s="4">
        <v>27</v>
      </c>
      <c r="O559" s="4">
        <f t="shared" si="42"/>
        <v>58944.550499999998</v>
      </c>
    </row>
    <row r="560" spans="1:15" x14ac:dyDescent="0.3">
      <c r="A560" s="13">
        <v>45920</v>
      </c>
      <c r="B560" s="4" t="str">
        <f>TEXT(Data!B560,"MMM-YYYY")</f>
        <v>May-2024</v>
      </c>
      <c r="C560" s="4" t="str">
        <f t="shared" si="43"/>
        <v>Sept-2025</v>
      </c>
      <c r="D560" s="14">
        <f t="shared" si="44"/>
        <v>45920</v>
      </c>
      <c r="E560" s="4" t="str">
        <f t="shared" si="40"/>
        <v>Q3-2025</v>
      </c>
      <c r="F560" t="s">
        <v>52</v>
      </c>
      <c r="G560" t="s">
        <v>122</v>
      </c>
      <c r="H560" t="s">
        <v>387</v>
      </c>
      <c r="I560" t="s">
        <v>64</v>
      </c>
      <c r="J560" s="8" t="str">
        <f t="shared" si="41"/>
        <v>High</v>
      </c>
      <c r="K560" s="4">
        <v>1481.45</v>
      </c>
      <c r="L560" s="4">
        <v>1481.45</v>
      </c>
      <c r="M560" s="4">
        <v>0.21099999999999999</v>
      </c>
      <c r="N560" s="4">
        <v>9</v>
      </c>
      <c r="O560" s="4">
        <f t="shared" si="42"/>
        <v>7902.0638099999996</v>
      </c>
    </row>
    <row r="561" spans="1:15" x14ac:dyDescent="0.3">
      <c r="A561" s="13">
        <v>45921</v>
      </c>
      <c r="B561" s="4" t="str">
        <f>TEXT(Data!B561,"MMM-YYYY")</f>
        <v>Jan-2024</v>
      </c>
      <c r="C561" s="4" t="str">
        <f t="shared" si="43"/>
        <v>Sept-2025</v>
      </c>
      <c r="D561" s="14">
        <f t="shared" si="44"/>
        <v>45921</v>
      </c>
      <c r="E561" s="4" t="str">
        <f t="shared" si="40"/>
        <v>Q3-2025</v>
      </c>
      <c r="F561" t="s">
        <v>16</v>
      </c>
      <c r="G561" t="s">
        <v>17</v>
      </c>
      <c r="H561" t="s">
        <v>33</v>
      </c>
      <c r="I561" t="s">
        <v>81</v>
      </c>
      <c r="J561" s="8" t="str">
        <f t="shared" si="41"/>
        <v>High</v>
      </c>
      <c r="K561" s="4">
        <v>1658.92</v>
      </c>
      <c r="L561" s="4">
        <v>1658.92</v>
      </c>
      <c r="M561" s="4">
        <v>0.122</v>
      </c>
      <c r="N561" s="4">
        <v>9</v>
      </c>
      <c r="O561" s="4">
        <f t="shared" si="42"/>
        <v>8897.572979999999</v>
      </c>
    </row>
    <row r="562" spans="1:15" x14ac:dyDescent="0.3">
      <c r="A562" s="13">
        <v>45922</v>
      </c>
      <c r="B562" s="4" t="str">
        <f>TEXT(Data!B562,"MMM-YYYY")</f>
        <v>Oct-2024</v>
      </c>
      <c r="C562" s="4" t="str">
        <f t="shared" si="43"/>
        <v>Sept-2025</v>
      </c>
      <c r="D562" s="14">
        <f t="shared" si="44"/>
        <v>45922</v>
      </c>
      <c r="E562" s="4" t="str">
        <f t="shared" si="40"/>
        <v>Q3-2025</v>
      </c>
      <c r="F562" t="s">
        <v>45</v>
      </c>
      <c r="G562" t="s">
        <v>60</v>
      </c>
      <c r="H562" t="s">
        <v>61</v>
      </c>
      <c r="I562" t="s">
        <v>30</v>
      </c>
      <c r="J562" s="8" t="str">
        <f t="shared" si="41"/>
        <v>High</v>
      </c>
      <c r="K562" s="4">
        <v>602.34</v>
      </c>
      <c r="L562" s="4">
        <v>602.34</v>
      </c>
      <c r="M562" s="4">
        <v>0.12</v>
      </c>
      <c r="N562" s="4">
        <v>25</v>
      </c>
      <c r="O562" s="4">
        <f t="shared" si="42"/>
        <v>2719.64</v>
      </c>
    </row>
    <row r="563" spans="1:15" x14ac:dyDescent="0.3">
      <c r="A563" s="13">
        <v>45923</v>
      </c>
      <c r="B563" s="4" t="str">
        <f>TEXT(Data!B563,"MMM-YYYY")</f>
        <v>Nov-2024</v>
      </c>
      <c r="C563" s="4" t="str">
        <f t="shared" si="43"/>
        <v>Sept-2025</v>
      </c>
      <c r="D563" s="14">
        <f t="shared" si="44"/>
        <v>45923</v>
      </c>
      <c r="E563" s="4" t="str">
        <f t="shared" si="40"/>
        <v>Q3-2025</v>
      </c>
      <c r="F563" t="s">
        <v>52</v>
      </c>
      <c r="G563" t="s">
        <v>122</v>
      </c>
      <c r="H563" t="s">
        <v>387</v>
      </c>
      <c r="I563" t="s">
        <v>22</v>
      </c>
      <c r="J563" s="8" t="str">
        <f t="shared" si="41"/>
        <v>High</v>
      </c>
      <c r="K563" s="4">
        <v>527.64</v>
      </c>
      <c r="L563" s="4">
        <v>527.64</v>
      </c>
      <c r="M563" s="4">
        <v>0.14499999999999999</v>
      </c>
      <c r="N563" s="4">
        <v>15</v>
      </c>
      <c r="O563" s="4">
        <f t="shared" si="42"/>
        <v>22209.693749999999</v>
      </c>
    </row>
    <row r="564" spans="1:15" x14ac:dyDescent="0.3">
      <c r="A564" s="13">
        <v>45924</v>
      </c>
      <c r="B564" s="4" t="str">
        <f>TEXT(Data!B564,"MMM-YYYY")</f>
        <v>Apr-2023</v>
      </c>
      <c r="C564" s="4" t="str">
        <f t="shared" si="43"/>
        <v>Sept-2025</v>
      </c>
      <c r="D564" s="14">
        <f t="shared" si="44"/>
        <v>45924</v>
      </c>
      <c r="E564" s="4" t="str">
        <f t="shared" si="40"/>
        <v>Q3-2025</v>
      </c>
      <c r="F564" t="s">
        <v>16</v>
      </c>
      <c r="G564" t="s">
        <v>17</v>
      </c>
      <c r="H564" t="s">
        <v>18</v>
      </c>
      <c r="I564" t="s">
        <v>42</v>
      </c>
      <c r="J564" s="8" t="str">
        <f t="shared" si="41"/>
        <v>High</v>
      </c>
      <c r="K564" s="4">
        <v>1841.9</v>
      </c>
      <c r="L564" s="4">
        <v>1841.9</v>
      </c>
      <c r="M564" s="4">
        <v>5.5E-2</v>
      </c>
      <c r="N564" s="4">
        <v>19</v>
      </c>
      <c r="O564" s="4">
        <f t="shared" si="42"/>
        <v>54978.38955</v>
      </c>
    </row>
    <row r="565" spans="1:15" x14ac:dyDescent="0.3">
      <c r="A565" s="13">
        <v>45925</v>
      </c>
      <c r="B565" s="4" t="str">
        <f>TEXT(Data!B565,"MMM-YYYY")</f>
        <v>Feb-2025</v>
      </c>
      <c r="C565" s="4" t="str">
        <f t="shared" si="43"/>
        <v>Sept-2025</v>
      </c>
      <c r="D565" s="14">
        <f t="shared" si="44"/>
        <v>45925</v>
      </c>
      <c r="E565" s="4" t="str">
        <f t="shared" si="40"/>
        <v>Q3-2025</v>
      </c>
      <c r="F565" t="s">
        <v>52</v>
      </c>
      <c r="G565" t="s">
        <v>53</v>
      </c>
      <c r="H565" t="s">
        <v>144</v>
      </c>
      <c r="I565" t="s">
        <v>64</v>
      </c>
      <c r="J565" s="8" t="str">
        <f t="shared" si="41"/>
        <v>High</v>
      </c>
      <c r="K565" s="4">
        <v>1645.48</v>
      </c>
      <c r="L565" s="4">
        <v>1645.48</v>
      </c>
      <c r="M565" s="4">
        <v>0.13700000000000001</v>
      </c>
      <c r="N565" s="4">
        <v>6</v>
      </c>
      <c r="O565" s="4">
        <f t="shared" si="42"/>
        <v>11393.722979999999</v>
      </c>
    </row>
    <row r="566" spans="1:15" x14ac:dyDescent="0.3">
      <c r="A566" s="13">
        <v>45926</v>
      </c>
      <c r="B566" s="4" t="str">
        <f>TEXT(Data!B566,"MMM-YYYY")</f>
        <v>Jan-2024</v>
      </c>
      <c r="C566" s="4" t="str">
        <f t="shared" si="43"/>
        <v>Sept-2025</v>
      </c>
      <c r="D566" s="14">
        <f t="shared" si="44"/>
        <v>45926</v>
      </c>
      <c r="E566" s="4" t="str">
        <f t="shared" si="40"/>
        <v>Q3-2025</v>
      </c>
      <c r="F566" t="s">
        <v>78</v>
      </c>
      <c r="G566" t="s">
        <v>108</v>
      </c>
      <c r="H566" t="s">
        <v>228</v>
      </c>
      <c r="I566" t="s">
        <v>35</v>
      </c>
      <c r="J566" s="8" t="str">
        <f t="shared" si="41"/>
        <v>High</v>
      </c>
      <c r="K566" s="4">
        <v>727.22</v>
      </c>
      <c r="L566" s="4">
        <v>727.22</v>
      </c>
      <c r="M566" s="4">
        <v>6.8000000000000005E-2</v>
      </c>
      <c r="N566" s="4">
        <v>15</v>
      </c>
      <c r="O566" s="4">
        <f t="shared" si="42"/>
        <v>8408.8302000000003</v>
      </c>
    </row>
    <row r="567" spans="1:15" x14ac:dyDescent="0.3">
      <c r="A567" s="13">
        <v>45927</v>
      </c>
      <c r="B567" s="4" t="str">
        <f>TEXT(Data!B567,"MMM-YYYY")</f>
        <v>Feb-2024</v>
      </c>
      <c r="C567" s="4" t="str">
        <f t="shared" si="43"/>
        <v>Sept-2025</v>
      </c>
      <c r="D567" s="14">
        <f t="shared" si="44"/>
        <v>45927</v>
      </c>
      <c r="E567" s="4" t="str">
        <f t="shared" si="40"/>
        <v>Q3-2025</v>
      </c>
      <c r="F567" t="s">
        <v>78</v>
      </c>
      <c r="G567" t="s">
        <v>108</v>
      </c>
      <c r="H567" t="s">
        <v>228</v>
      </c>
      <c r="I567" t="s">
        <v>57</v>
      </c>
      <c r="J567" s="8" t="str">
        <f t="shared" si="41"/>
        <v>High</v>
      </c>
      <c r="K567" s="4">
        <v>1233.79</v>
      </c>
      <c r="L567" s="4">
        <v>1233.79</v>
      </c>
      <c r="M567" s="4">
        <v>0.14299999999999999</v>
      </c>
      <c r="N567" s="4">
        <v>4</v>
      </c>
      <c r="O567" s="4">
        <f t="shared" si="42"/>
        <v>3248.9555599999999</v>
      </c>
    </row>
    <row r="568" spans="1:15" x14ac:dyDescent="0.3">
      <c r="A568" s="13">
        <v>45928</v>
      </c>
      <c r="B568" s="4" t="str">
        <f>TEXT(Data!B568,"MMM-YYYY")</f>
        <v>Jun-2025</v>
      </c>
      <c r="C568" s="4" t="str">
        <f t="shared" si="43"/>
        <v>Sept-2025</v>
      </c>
      <c r="D568" s="14">
        <f t="shared" si="44"/>
        <v>45928</v>
      </c>
      <c r="E568" s="4" t="str">
        <f t="shared" si="40"/>
        <v>Q3-2025</v>
      </c>
      <c r="F568" t="s">
        <v>16</v>
      </c>
      <c r="G568" t="s">
        <v>17</v>
      </c>
      <c r="H568" t="s">
        <v>113</v>
      </c>
      <c r="I568" t="s">
        <v>22</v>
      </c>
      <c r="J568" s="8" t="str">
        <f t="shared" si="41"/>
        <v>High</v>
      </c>
      <c r="K568" s="4">
        <v>1543.76</v>
      </c>
      <c r="L568" s="4">
        <v>1543.76</v>
      </c>
      <c r="M568" s="4">
        <v>0.126</v>
      </c>
      <c r="N568" s="4">
        <v>13</v>
      </c>
      <c r="O568" s="4">
        <f t="shared" si="42"/>
        <v>26490.27576</v>
      </c>
    </row>
    <row r="569" spans="1:15" x14ac:dyDescent="0.3">
      <c r="A569" s="13">
        <v>45929</v>
      </c>
      <c r="B569" s="4" t="str">
        <f>TEXT(Data!B569,"MMM-YYYY")</f>
        <v>Nov-2024</v>
      </c>
      <c r="C569" s="4" t="str">
        <f t="shared" si="43"/>
        <v>Sept-2025</v>
      </c>
      <c r="D569" s="14">
        <f t="shared" si="44"/>
        <v>45929</v>
      </c>
      <c r="E569" s="4" t="str">
        <f t="shared" si="40"/>
        <v>Q3-2025</v>
      </c>
      <c r="F569" t="s">
        <v>16</v>
      </c>
      <c r="G569" t="s">
        <v>25</v>
      </c>
      <c r="H569" t="s">
        <v>26</v>
      </c>
      <c r="I569" t="s">
        <v>57</v>
      </c>
      <c r="J569" s="8" t="str">
        <f t="shared" si="41"/>
        <v>High</v>
      </c>
      <c r="K569" s="4">
        <v>2115.19</v>
      </c>
      <c r="L569" s="4">
        <v>2115.19</v>
      </c>
      <c r="M569" s="4">
        <v>9.1999999999999998E-2</v>
      </c>
      <c r="N569" s="4">
        <v>23</v>
      </c>
      <c r="O569" s="4">
        <f t="shared" si="42"/>
        <v>29597.640160000003</v>
      </c>
    </row>
    <row r="570" spans="1:15" x14ac:dyDescent="0.3">
      <c r="A570" s="13">
        <v>45930</v>
      </c>
      <c r="B570" s="4" t="str">
        <f>TEXT(Data!B570,"MMM-YYYY")</f>
        <v>Feb-2024</v>
      </c>
      <c r="C570" s="4" t="str">
        <f t="shared" si="43"/>
        <v>Sept-2025</v>
      </c>
      <c r="D570" s="14">
        <f t="shared" si="44"/>
        <v>45930</v>
      </c>
      <c r="E570" s="4" t="str">
        <f t="shared" si="40"/>
        <v>Q3-2025</v>
      </c>
      <c r="F570" t="s">
        <v>78</v>
      </c>
      <c r="G570" t="s">
        <v>90</v>
      </c>
      <c r="H570" t="s">
        <v>138</v>
      </c>
      <c r="I570" t="s">
        <v>64</v>
      </c>
      <c r="J570" s="8" t="str">
        <f t="shared" si="41"/>
        <v>High</v>
      </c>
      <c r="K570" s="4">
        <v>1837.19</v>
      </c>
      <c r="L570" s="4">
        <v>1837.19</v>
      </c>
      <c r="M570" s="4">
        <v>0.19700000000000001</v>
      </c>
      <c r="N570" s="4">
        <v>17</v>
      </c>
      <c r="O570" s="4">
        <f t="shared" si="42"/>
        <v>9548.8744999999999</v>
      </c>
    </row>
    <row r="571" spans="1:15" x14ac:dyDescent="0.3">
      <c r="A571" s="13">
        <v>45931</v>
      </c>
      <c r="B571" s="4" t="str">
        <f>TEXT(Data!B571,"MMM-YYYY")</f>
        <v>Apr-2025</v>
      </c>
      <c r="C571" s="4" t="str">
        <f t="shared" si="43"/>
        <v>Oct-2025</v>
      </c>
      <c r="D571" s="14">
        <f t="shared" si="44"/>
        <v>45931</v>
      </c>
      <c r="E571" s="4" t="str">
        <f t="shared" si="40"/>
        <v>Q4-2025</v>
      </c>
      <c r="F571" t="s">
        <v>52</v>
      </c>
      <c r="G571" t="s">
        <v>122</v>
      </c>
      <c r="H571" t="s">
        <v>387</v>
      </c>
      <c r="I571" t="s">
        <v>35</v>
      </c>
      <c r="J571" s="8" t="str">
        <f t="shared" si="41"/>
        <v>High</v>
      </c>
      <c r="K571" s="4">
        <v>2858.93</v>
      </c>
      <c r="L571" s="4">
        <v>2858.93</v>
      </c>
      <c r="M571" s="4">
        <v>0</v>
      </c>
      <c r="N571" s="4">
        <v>12</v>
      </c>
      <c r="O571" s="4">
        <f t="shared" si="42"/>
        <v>21446.400000000001</v>
      </c>
    </row>
    <row r="572" spans="1:15" x14ac:dyDescent="0.3">
      <c r="A572" s="13">
        <v>45932</v>
      </c>
      <c r="B572" s="4" t="str">
        <f>TEXT(Data!B572,"MMM-YYYY")</f>
        <v>Jun-2023</v>
      </c>
      <c r="C572" s="4" t="str">
        <f t="shared" si="43"/>
        <v>Oct-2025</v>
      </c>
      <c r="D572" s="14">
        <f t="shared" si="44"/>
        <v>45932</v>
      </c>
      <c r="E572" s="4" t="str">
        <f t="shared" si="40"/>
        <v>Q4-2025</v>
      </c>
      <c r="F572" t="s">
        <v>45</v>
      </c>
      <c r="G572" t="s">
        <v>46</v>
      </c>
      <c r="H572" t="s">
        <v>47</v>
      </c>
      <c r="I572" t="s">
        <v>22</v>
      </c>
      <c r="J572" s="8" t="str">
        <f t="shared" si="41"/>
        <v>High</v>
      </c>
      <c r="K572" s="4">
        <v>289.92</v>
      </c>
      <c r="L572" s="4">
        <v>289.92</v>
      </c>
      <c r="M572" s="4">
        <v>2.9000000000000001E-2</v>
      </c>
      <c r="N572" s="4">
        <v>12</v>
      </c>
      <c r="O572" s="4">
        <f t="shared" si="42"/>
        <v>19793.834999999999</v>
      </c>
    </row>
    <row r="573" spans="1:15" x14ac:dyDescent="0.3">
      <c r="A573" s="13">
        <v>45933</v>
      </c>
      <c r="B573" s="4" t="str">
        <f>TEXT(Data!B573,"MMM-YYYY")</f>
        <v>Mar-2025</v>
      </c>
      <c r="C573" s="4" t="str">
        <f t="shared" si="43"/>
        <v>Oct-2025</v>
      </c>
      <c r="D573" s="14">
        <f t="shared" si="44"/>
        <v>45933</v>
      </c>
      <c r="E573" s="4" t="str">
        <f t="shared" si="40"/>
        <v>Q4-2025</v>
      </c>
      <c r="F573" t="s">
        <v>45</v>
      </c>
      <c r="G573" t="s">
        <v>60</v>
      </c>
      <c r="H573" t="s">
        <v>61</v>
      </c>
      <c r="I573" t="s">
        <v>81</v>
      </c>
      <c r="J573" s="8" t="str">
        <f t="shared" si="41"/>
        <v>High</v>
      </c>
      <c r="K573" s="4">
        <v>997.2</v>
      </c>
      <c r="L573" s="4">
        <v>997.2</v>
      </c>
      <c r="M573" s="4">
        <v>8.2000000000000003E-2</v>
      </c>
      <c r="N573" s="4">
        <v>5</v>
      </c>
      <c r="O573" s="4">
        <f t="shared" si="42"/>
        <v>3326.373</v>
      </c>
    </row>
    <row r="574" spans="1:15" x14ac:dyDescent="0.3">
      <c r="A574" s="13">
        <v>45934</v>
      </c>
      <c r="B574" s="4" t="str">
        <f>TEXT(Data!B574,"MMM-YYYY")</f>
        <v>Jan-2024</v>
      </c>
      <c r="C574" s="4" t="str">
        <f t="shared" si="43"/>
        <v>Oct-2025</v>
      </c>
      <c r="D574" s="14">
        <f t="shared" si="44"/>
        <v>45934</v>
      </c>
      <c r="E574" s="4" t="str">
        <f t="shared" si="40"/>
        <v>Q4-2025</v>
      </c>
      <c r="F574" t="s">
        <v>45</v>
      </c>
      <c r="G574" t="s">
        <v>60</v>
      </c>
      <c r="H574" t="s">
        <v>220</v>
      </c>
      <c r="I574" t="s">
        <v>42</v>
      </c>
      <c r="J574" s="8" t="str">
        <f t="shared" si="41"/>
        <v>Low</v>
      </c>
      <c r="K574" s="4">
        <v>47.29</v>
      </c>
      <c r="L574" s="4">
        <v>47.29</v>
      </c>
      <c r="M574" s="4">
        <v>6.4000000000000001E-2</v>
      </c>
      <c r="N574" s="4">
        <v>19</v>
      </c>
      <c r="O574" s="4">
        <f t="shared" si="42"/>
        <v>24114.036959999998</v>
      </c>
    </row>
    <row r="575" spans="1:15" x14ac:dyDescent="0.3">
      <c r="A575" s="13">
        <v>45935</v>
      </c>
      <c r="B575" s="4" t="str">
        <f>TEXT(Data!B575,"MMM-YYYY")</f>
        <v>Dec-2023</v>
      </c>
      <c r="C575" s="4" t="str">
        <f t="shared" si="43"/>
        <v>Oct-2025</v>
      </c>
      <c r="D575" s="14">
        <f t="shared" si="44"/>
        <v>45935</v>
      </c>
      <c r="E575" s="4" t="str">
        <f t="shared" si="40"/>
        <v>Q4-2025</v>
      </c>
      <c r="F575" t="s">
        <v>52</v>
      </c>
      <c r="G575" t="s">
        <v>53</v>
      </c>
      <c r="H575" t="s">
        <v>179</v>
      </c>
      <c r="I575" t="s">
        <v>57</v>
      </c>
      <c r="J575" s="8" t="str">
        <f t="shared" si="41"/>
        <v>High</v>
      </c>
      <c r="K575" s="4">
        <v>754.24</v>
      </c>
      <c r="L575" s="4">
        <v>754.24</v>
      </c>
      <c r="M575" s="4">
        <v>0.20699999999999999</v>
      </c>
      <c r="N575" s="4">
        <v>32</v>
      </c>
      <c r="O575" s="4">
        <f t="shared" si="42"/>
        <v>6980.1763200000005</v>
      </c>
    </row>
    <row r="576" spans="1:15" x14ac:dyDescent="0.3">
      <c r="A576" s="13">
        <v>45936</v>
      </c>
      <c r="B576" s="4" t="str">
        <f>TEXT(Data!B576,"MMM-YYYY")</f>
        <v>Apr-2023</v>
      </c>
      <c r="C576" s="4" t="str">
        <f t="shared" si="43"/>
        <v>Oct-2025</v>
      </c>
      <c r="D576" s="14">
        <f t="shared" si="44"/>
        <v>45936</v>
      </c>
      <c r="E576" s="4" t="str">
        <f t="shared" si="40"/>
        <v>Q4-2025</v>
      </c>
      <c r="F576" t="s">
        <v>52</v>
      </c>
      <c r="G576" t="s">
        <v>53</v>
      </c>
      <c r="H576" t="s">
        <v>54</v>
      </c>
      <c r="I576" t="s">
        <v>64</v>
      </c>
      <c r="J576" s="8" t="str">
        <f t="shared" si="41"/>
        <v>High</v>
      </c>
      <c r="K576" s="4">
        <v>901.48</v>
      </c>
      <c r="L576" s="4">
        <v>901.48</v>
      </c>
      <c r="M576" s="4">
        <v>5.6000000000000001E-2</v>
      </c>
      <c r="N576" s="4">
        <v>17</v>
      </c>
      <c r="O576" s="4">
        <f t="shared" si="42"/>
        <v>28925.557119999998</v>
      </c>
    </row>
    <row r="577" spans="1:15" x14ac:dyDescent="0.3">
      <c r="A577" s="13">
        <v>45937</v>
      </c>
      <c r="B577" s="4" t="str">
        <f>TEXT(Data!B577,"MMM-YYYY")</f>
        <v>Aug-2025</v>
      </c>
      <c r="C577" s="4" t="str">
        <f t="shared" si="43"/>
        <v>Oct-2025</v>
      </c>
      <c r="D577" s="14">
        <f t="shared" si="44"/>
        <v>45937</v>
      </c>
      <c r="E577" s="4" t="str">
        <f t="shared" si="40"/>
        <v>Q4-2025</v>
      </c>
      <c r="F577" t="s">
        <v>78</v>
      </c>
      <c r="G577" t="s">
        <v>90</v>
      </c>
      <c r="H577" t="s">
        <v>91</v>
      </c>
      <c r="I577" t="s">
        <v>22</v>
      </c>
      <c r="J577" s="8" t="str">
        <f t="shared" si="41"/>
        <v>Medium</v>
      </c>
      <c r="K577" s="4">
        <v>113.08</v>
      </c>
      <c r="L577" s="4">
        <v>113.08</v>
      </c>
      <c r="M577" s="4">
        <v>0.121</v>
      </c>
      <c r="N577" s="4">
        <v>5</v>
      </c>
      <c r="O577" s="4">
        <f t="shared" si="42"/>
        <v>5580.6830999999993</v>
      </c>
    </row>
    <row r="578" spans="1:15" x14ac:dyDescent="0.3">
      <c r="A578" s="13">
        <v>45938</v>
      </c>
      <c r="B578" s="4" t="str">
        <f>TEXT(Data!B578,"MMM-YYYY")</f>
        <v>Aug-2023</v>
      </c>
      <c r="C578" s="4" t="str">
        <f t="shared" si="43"/>
        <v>Oct-2025</v>
      </c>
      <c r="D578" s="14">
        <f t="shared" si="44"/>
        <v>45938</v>
      </c>
      <c r="E578" s="4" t="str">
        <f t="shared" ref="E578:E633" si="45">"Q"&amp;ROUNDUP(MONTH(A578)/3,0)&amp;"-"&amp;YEAR(A578)</f>
        <v>Q4-2025</v>
      </c>
      <c r="F578" t="s">
        <v>52</v>
      </c>
      <c r="G578" t="s">
        <v>53</v>
      </c>
      <c r="H578" t="s">
        <v>144</v>
      </c>
      <c r="I578" t="s">
        <v>35</v>
      </c>
      <c r="J578" s="8" t="str">
        <f t="shared" ref="J578:J633" si="46">IF(K578&lt;50, "Low", IF(K578&lt;200, "Medium", "High"))</f>
        <v>High</v>
      </c>
      <c r="K578" s="4">
        <v>868.62</v>
      </c>
      <c r="L578" s="4">
        <v>868.62</v>
      </c>
      <c r="M578" s="4">
        <v>7.1999999999999995E-2</v>
      </c>
      <c r="N578" s="4">
        <v>15</v>
      </c>
      <c r="O578" s="4">
        <f t="shared" ref="O578:O633" si="47">(L604*N578)*(1-M578)</f>
        <v>7960.848</v>
      </c>
    </row>
    <row r="579" spans="1:15" x14ac:dyDescent="0.3">
      <c r="A579" s="13">
        <v>45939</v>
      </c>
      <c r="B579" s="4" t="str">
        <f>TEXT(Data!B579,"MMM-YYYY")</f>
        <v>Jun-2023</v>
      </c>
      <c r="C579" s="4" t="str">
        <f t="shared" ref="C579:C633" si="48">TEXT(D579, "MMM-YYYY")</f>
        <v>Oct-2025</v>
      </c>
      <c r="D579" s="14">
        <f t="shared" ref="D579:D633" si="49">_xlfn.MINIFS(A579:A579, G579:G579,G579)</f>
        <v>45939</v>
      </c>
      <c r="E579" s="4" t="str">
        <f t="shared" si="45"/>
        <v>Q4-2025</v>
      </c>
      <c r="F579" t="s">
        <v>52</v>
      </c>
      <c r="G579" t="s">
        <v>53</v>
      </c>
      <c r="H579" t="s">
        <v>179</v>
      </c>
      <c r="I579" t="s">
        <v>35</v>
      </c>
      <c r="J579" s="8" t="str">
        <f t="shared" si="46"/>
        <v>High</v>
      </c>
      <c r="K579" s="4">
        <v>347.9</v>
      </c>
      <c r="L579" s="4">
        <v>347.9</v>
      </c>
      <c r="M579" s="4">
        <v>7.1999999999999995E-2</v>
      </c>
      <c r="N579" s="4">
        <v>43</v>
      </c>
      <c r="O579" s="4">
        <f t="shared" si="47"/>
        <v>109937.11616000001</v>
      </c>
    </row>
    <row r="580" spans="1:15" x14ac:dyDescent="0.3">
      <c r="A580" s="13">
        <v>45940</v>
      </c>
      <c r="B580" s="4" t="str">
        <f>TEXT(Data!B580,"MMM-YYYY")</f>
        <v>Nov-2024</v>
      </c>
      <c r="C580" s="4" t="str">
        <f t="shared" si="48"/>
        <v>Oct-2025</v>
      </c>
      <c r="D580" s="14">
        <f t="shared" si="49"/>
        <v>45940</v>
      </c>
      <c r="E580" s="4" t="str">
        <f t="shared" si="45"/>
        <v>Q4-2025</v>
      </c>
      <c r="F580" t="s">
        <v>78</v>
      </c>
      <c r="G580" t="s">
        <v>108</v>
      </c>
      <c r="H580" t="s">
        <v>228</v>
      </c>
      <c r="I580" t="s">
        <v>81</v>
      </c>
      <c r="J580" s="8" t="str">
        <f t="shared" si="46"/>
        <v>High</v>
      </c>
      <c r="K580" s="4">
        <v>1111.8800000000001</v>
      </c>
      <c r="L580" s="4">
        <v>1111.8800000000001</v>
      </c>
      <c r="M580" s="4">
        <v>0.13500000000000001</v>
      </c>
      <c r="N580" s="4">
        <v>7</v>
      </c>
      <c r="O580" s="4">
        <f t="shared" si="47"/>
        <v>5827.9980499999992</v>
      </c>
    </row>
    <row r="581" spans="1:15" x14ac:dyDescent="0.3">
      <c r="A581" s="13">
        <v>45941</v>
      </c>
      <c r="B581" s="4" t="str">
        <f>TEXT(Data!B581,"MMM-YYYY")</f>
        <v>Jul-2025</v>
      </c>
      <c r="C581" s="4" t="str">
        <f t="shared" si="48"/>
        <v>Oct-2025</v>
      </c>
      <c r="D581" s="14">
        <f t="shared" si="49"/>
        <v>45941</v>
      </c>
      <c r="E581" s="4" t="str">
        <f t="shared" si="45"/>
        <v>Q4-2025</v>
      </c>
      <c r="F581" t="s">
        <v>78</v>
      </c>
      <c r="G581" t="s">
        <v>108</v>
      </c>
      <c r="H581" t="s">
        <v>152</v>
      </c>
      <c r="I581" t="s">
        <v>35</v>
      </c>
      <c r="J581" s="8" t="str">
        <f t="shared" si="46"/>
        <v>High</v>
      </c>
      <c r="K581" s="4">
        <v>327.72</v>
      </c>
      <c r="L581" s="4">
        <v>327.72</v>
      </c>
      <c r="M581" s="4">
        <v>6.7000000000000004E-2</v>
      </c>
      <c r="N581" s="4">
        <v>14</v>
      </c>
      <c r="O581" s="4">
        <f t="shared" si="47"/>
        <v>8728.9427399999986</v>
      </c>
    </row>
    <row r="582" spans="1:15" x14ac:dyDescent="0.3">
      <c r="A582" s="13">
        <v>45942</v>
      </c>
      <c r="B582" s="4" t="str">
        <f>TEXT(Data!B582,"MMM-YYYY")</f>
        <v>Jun-2023</v>
      </c>
      <c r="C582" s="4" t="str">
        <f t="shared" si="48"/>
        <v>Oct-2025</v>
      </c>
      <c r="D582" s="14">
        <f t="shared" si="49"/>
        <v>45942</v>
      </c>
      <c r="E582" s="4" t="str">
        <f t="shared" si="45"/>
        <v>Q4-2025</v>
      </c>
      <c r="F582" t="s">
        <v>16</v>
      </c>
      <c r="G582" t="s">
        <v>17</v>
      </c>
      <c r="H582" t="s">
        <v>135</v>
      </c>
      <c r="I582" t="s">
        <v>42</v>
      </c>
      <c r="J582" s="8" t="str">
        <f t="shared" si="46"/>
        <v>High</v>
      </c>
      <c r="K582" s="4">
        <v>486.13</v>
      </c>
      <c r="L582" s="4">
        <v>486.13</v>
      </c>
      <c r="M582" s="4">
        <v>0.13200000000000001</v>
      </c>
      <c r="N582" s="4">
        <v>17</v>
      </c>
      <c r="O582" s="4">
        <f t="shared" si="47"/>
        <v>20722.29348</v>
      </c>
    </row>
    <row r="583" spans="1:15" x14ac:dyDescent="0.3">
      <c r="A583" s="13">
        <v>45943</v>
      </c>
      <c r="B583" s="4" t="str">
        <f>TEXT(Data!B583,"MMM-YYYY")</f>
        <v>Jan-2023</v>
      </c>
      <c r="C583" s="4" t="str">
        <f t="shared" si="48"/>
        <v>Oct-2025</v>
      </c>
      <c r="D583" s="14">
        <f t="shared" si="49"/>
        <v>45943</v>
      </c>
      <c r="E583" s="4" t="str">
        <f t="shared" si="45"/>
        <v>Q4-2025</v>
      </c>
      <c r="F583" t="s">
        <v>52</v>
      </c>
      <c r="G583" t="s">
        <v>73</v>
      </c>
      <c r="H583" t="s">
        <v>87</v>
      </c>
      <c r="I583" t="s">
        <v>22</v>
      </c>
      <c r="J583" s="8" t="str">
        <f t="shared" si="46"/>
        <v>High</v>
      </c>
      <c r="K583" s="4">
        <v>2066.6</v>
      </c>
      <c r="L583" s="4">
        <v>2066.6</v>
      </c>
      <c r="M583" s="4">
        <v>0.01</v>
      </c>
      <c r="N583" s="4">
        <v>3</v>
      </c>
      <c r="O583" s="4">
        <f t="shared" si="47"/>
        <v>10661.9733</v>
      </c>
    </row>
    <row r="584" spans="1:15" x14ac:dyDescent="0.3">
      <c r="A584" s="13">
        <v>45944</v>
      </c>
      <c r="B584" s="4" t="str">
        <f>TEXT(Data!B584,"MMM-YYYY")</f>
        <v>Sept-2024</v>
      </c>
      <c r="C584" s="4" t="str">
        <f t="shared" si="48"/>
        <v>Oct-2025</v>
      </c>
      <c r="D584" s="14">
        <f t="shared" si="49"/>
        <v>45944</v>
      </c>
      <c r="E584" s="4" t="str">
        <f t="shared" si="45"/>
        <v>Q4-2025</v>
      </c>
      <c r="F584" t="s">
        <v>52</v>
      </c>
      <c r="G584" t="s">
        <v>73</v>
      </c>
      <c r="H584" t="s">
        <v>87</v>
      </c>
      <c r="I584" t="s">
        <v>64</v>
      </c>
      <c r="J584" s="8" t="str">
        <f t="shared" si="46"/>
        <v>Medium</v>
      </c>
      <c r="K584" s="4">
        <v>86.2</v>
      </c>
      <c r="L584" s="4">
        <v>86.2</v>
      </c>
      <c r="M584" s="4">
        <v>0.22600000000000001</v>
      </c>
      <c r="N584" s="4">
        <v>27</v>
      </c>
      <c r="O584" s="4">
        <f t="shared" si="47"/>
        <v>4879.8919799999994</v>
      </c>
    </row>
    <row r="585" spans="1:15" x14ac:dyDescent="0.3">
      <c r="A585" s="13">
        <v>45945</v>
      </c>
      <c r="B585" s="4" t="str">
        <f>TEXT(Data!B585,"MMM-YYYY")</f>
        <v>Aug-2024</v>
      </c>
      <c r="C585" s="4" t="str">
        <f t="shared" si="48"/>
        <v>Oct-2025</v>
      </c>
      <c r="D585" s="14">
        <f t="shared" si="49"/>
        <v>45945</v>
      </c>
      <c r="E585" s="4" t="str">
        <f t="shared" si="45"/>
        <v>Q4-2025</v>
      </c>
      <c r="F585" t="s">
        <v>45</v>
      </c>
      <c r="G585" t="s">
        <v>46</v>
      </c>
      <c r="H585" t="s">
        <v>47</v>
      </c>
      <c r="I585" t="s">
        <v>57</v>
      </c>
      <c r="J585" s="8" t="str">
        <f t="shared" si="46"/>
        <v>High</v>
      </c>
      <c r="K585" s="4">
        <v>2307.75</v>
      </c>
      <c r="L585" s="4">
        <v>2307.75</v>
      </c>
      <c r="M585" s="4">
        <v>0.16300000000000001</v>
      </c>
      <c r="N585" s="4">
        <v>21</v>
      </c>
      <c r="O585" s="4">
        <f t="shared" si="47"/>
        <v>2183.9422500000001</v>
      </c>
    </row>
    <row r="586" spans="1:15" x14ac:dyDescent="0.3">
      <c r="A586" s="13">
        <v>45946</v>
      </c>
      <c r="B586" s="4" t="str">
        <f>TEXT(Data!B586,"MMM-YYYY")</f>
        <v>Apr-2025</v>
      </c>
      <c r="C586" s="4" t="str">
        <f t="shared" si="48"/>
        <v>Oct-2025</v>
      </c>
      <c r="D586" s="14">
        <f t="shared" si="49"/>
        <v>45946</v>
      </c>
      <c r="E586" s="4" t="str">
        <f t="shared" si="45"/>
        <v>Q4-2025</v>
      </c>
      <c r="F586" t="s">
        <v>16</v>
      </c>
      <c r="G586" t="s">
        <v>17</v>
      </c>
      <c r="H586" t="s">
        <v>113</v>
      </c>
      <c r="I586" t="s">
        <v>57</v>
      </c>
      <c r="J586" s="8" t="str">
        <f t="shared" si="46"/>
        <v>High</v>
      </c>
      <c r="K586" s="4">
        <v>1112.81</v>
      </c>
      <c r="L586" s="4">
        <v>1112.81</v>
      </c>
      <c r="M586" s="4">
        <v>0.14099999999999999</v>
      </c>
      <c r="N586" s="4">
        <v>4</v>
      </c>
      <c r="O586" s="4">
        <f t="shared" si="47"/>
        <v>4918.1873199999991</v>
      </c>
    </row>
    <row r="587" spans="1:15" x14ac:dyDescent="0.3">
      <c r="A587" s="13">
        <v>45947</v>
      </c>
      <c r="B587" s="4" t="str">
        <f>TEXT(Data!B587,"MMM-YYYY")</f>
        <v>May-2023</v>
      </c>
      <c r="C587" s="4" t="str">
        <f t="shared" si="48"/>
        <v>Oct-2025</v>
      </c>
      <c r="D587" s="14">
        <f t="shared" si="49"/>
        <v>45947</v>
      </c>
      <c r="E587" s="4" t="str">
        <f t="shared" si="45"/>
        <v>Q4-2025</v>
      </c>
      <c r="F587" t="s">
        <v>52</v>
      </c>
      <c r="G587" t="s">
        <v>73</v>
      </c>
      <c r="H587" t="s">
        <v>74</v>
      </c>
      <c r="I587" t="s">
        <v>42</v>
      </c>
      <c r="J587" s="8" t="str">
        <f t="shared" si="46"/>
        <v>High</v>
      </c>
      <c r="K587" s="4">
        <v>1125.99</v>
      </c>
      <c r="L587" s="4">
        <v>1125.99</v>
      </c>
      <c r="M587" s="4">
        <v>4.1000000000000002E-2</v>
      </c>
      <c r="N587" s="4">
        <v>21</v>
      </c>
      <c r="O587" s="4">
        <f t="shared" si="47"/>
        <v>32132.177279999996</v>
      </c>
    </row>
    <row r="588" spans="1:15" x14ac:dyDescent="0.3">
      <c r="A588" s="13">
        <v>45948</v>
      </c>
      <c r="B588" s="4" t="str">
        <f>TEXT(Data!B588,"MMM-YYYY")</f>
        <v>Mar-2024</v>
      </c>
      <c r="C588" s="4" t="str">
        <f t="shared" si="48"/>
        <v>Oct-2025</v>
      </c>
      <c r="D588" s="14">
        <f t="shared" si="49"/>
        <v>45948</v>
      </c>
      <c r="E588" s="4" t="str">
        <f t="shared" si="45"/>
        <v>Q4-2025</v>
      </c>
      <c r="F588" t="s">
        <v>52</v>
      </c>
      <c r="G588" t="s">
        <v>122</v>
      </c>
      <c r="H588" t="s">
        <v>387</v>
      </c>
      <c r="I588" t="s">
        <v>42</v>
      </c>
      <c r="J588" s="8" t="str">
        <f t="shared" si="46"/>
        <v>Medium</v>
      </c>
      <c r="K588" s="4">
        <v>123.62</v>
      </c>
      <c r="L588" s="4">
        <v>123.62</v>
      </c>
      <c r="M588" s="4">
        <v>0</v>
      </c>
      <c r="N588" s="4">
        <v>3</v>
      </c>
      <c r="O588" s="4">
        <f t="shared" si="47"/>
        <v>3085.38</v>
      </c>
    </row>
    <row r="589" spans="1:15" x14ac:dyDescent="0.3">
      <c r="A589" s="13">
        <v>45949</v>
      </c>
      <c r="B589" s="4" t="str">
        <f>TEXT(Data!B589,"MMM-YYYY")</f>
        <v>Jun-2024</v>
      </c>
      <c r="C589" s="4" t="str">
        <f t="shared" si="48"/>
        <v>Oct-2025</v>
      </c>
      <c r="D589" s="14">
        <f t="shared" si="49"/>
        <v>45949</v>
      </c>
      <c r="E589" s="4" t="str">
        <f t="shared" si="45"/>
        <v>Q4-2025</v>
      </c>
      <c r="F589" t="s">
        <v>16</v>
      </c>
      <c r="G589" t="s">
        <v>25</v>
      </c>
      <c r="H589" t="s">
        <v>67</v>
      </c>
      <c r="I589" t="s">
        <v>22</v>
      </c>
      <c r="J589" s="8" t="str">
        <f t="shared" si="46"/>
        <v>High</v>
      </c>
      <c r="K589" s="4">
        <v>1731.75</v>
      </c>
      <c r="L589" s="4">
        <v>1731.75</v>
      </c>
      <c r="M589" s="4">
        <v>9.2999999999999999E-2</v>
      </c>
      <c r="N589" s="4">
        <v>16</v>
      </c>
      <c r="O589" s="4">
        <f t="shared" si="47"/>
        <v>46878.839200000002</v>
      </c>
    </row>
    <row r="590" spans="1:15" x14ac:dyDescent="0.3">
      <c r="A590" s="13">
        <v>45950</v>
      </c>
      <c r="B590" s="4" t="str">
        <f>TEXT(Data!B590,"MMM-YYYY")</f>
        <v>Feb-2025</v>
      </c>
      <c r="C590" s="4" t="str">
        <f t="shared" si="48"/>
        <v>Oct-2025</v>
      </c>
      <c r="D590" s="14">
        <f t="shared" si="49"/>
        <v>45950</v>
      </c>
      <c r="E590" s="4" t="str">
        <f t="shared" si="45"/>
        <v>Q4-2025</v>
      </c>
      <c r="F590" t="s">
        <v>45</v>
      </c>
      <c r="G590" t="s">
        <v>46</v>
      </c>
      <c r="H590" t="s">
        <v>214</v>
      </c>
      <c r="I590" t="s">
        <v>42</v>
      </c>
      <c r="J590" s="8" t="str">
        <f t="shared" si="46"/>
        <v>High</v>
      </c>
      <c r="K590" s="4">
        <v>3062.01</v>
      </c>
      <c r="L590" s="4">
        <v>3062.01</v>
      </c>
      <c r="M590" s="4">
        <v>0.10299999999999999</v>
      </c>
      <c r="N590" s="4">
        <v>25</v>
      </c>
      <c r="O590" s="4">
        <f t="shared" si="47"/>
        <v>62557.004249999998</v>
      </c>
    </row>
    <row r="591" spans="1:15" x14ac:dyDescent="0.3">
      <c r="A591" s="13">
        <v>45951</v>
      </c>
      <c r="B591" s="4" t="str">
        <f>TEXT(Data!B591,"MMM-YYYY")</f>
        <v>Apr-2023</v>
      </c>
      <c r="C591" s="4" t="str">
        <f t="shared" si="48"/>
        <v>Oct-2025</v>
      </c>
      <c r="D591" s="14">
        <f t="shared" si="49"/>
        <v>45951</v>
      </c>
      <c r="E591" s="4" t="str">
        <f t="shared" si="45"/>
        <v>Q4-2025</v>
      </c>
      <c r="F591" t="s">
        <v>78</v>
      </c>
      <c r="G591" t="s">
        <v>90</v>
      </c>
      <c r="H591" t="s">
        <v>138</v>
      </c>
      <c r="I591" t="s">
        <v>81</v>
      </c>
      <c r="J591" s="8" t="str">
        <f t="shared" si="46"/>
        <v>High</v>
      </c>
      <c r="K591" s="4">
        <v>2200.41</v>
      </c>
      <c r="L591" s="4">
        <v>2200.41</v>
      </c>
      <c r="M591" s="4">
        <v>8.7999999999999995E-2</v>
      </c>
      <c r="N591" s="4">
        <v>6</v>
      </c>
      <c r="O591" s="4">
        <f t="shared" si="47"/>
        <v>10384.433280000001</v>
      </c>
    </row>
    <row r="592" spans="1:15" x14ac:dyDescent="0.3">
      <c r="A592" s="13">
        <v>45952</v>
      </c>
      <c r="B592" s="4" t="str">
        <f>TEXT(Data!B592,"MMM-YYYY")</f>
        <v>Aug-2025</v>
      </c>
      <c r="C592" s="4" t="str">
        <f t="shared" si="48"/>
        <v>Oct-2025</v>
      </c>
      <c r="D592" s="14">
        <f t="shared" si="49"/>
        <v>45952</v>
      </c>
      <c r="E592" s="4" t="str">
        <f t="shared" si="45"/>
        <v>Q4-2025</v>
      </c>
      <c r="F592" t="s">
        <v>78</v>
      </c>
      <c r="G592" t="s">
        <v>90</v>
      </c>
      <c r="H592" t="s">
        <v>91</v>
      </c>
      <c r="I592" t="s">
        <v>81</v>
      </c>
      <c r="J592" s="8" t="str">
        <f t="shared" si="46"/>
        <v>High</v>
      </c>
      <c r="K592" s="4">
        <v>601.49</v>
      </c>
      <c r="L592" s="4">
        <v>601.49</v>
      </c>
      <c r="M592" s="4">
        <v>0</v>
      </c>
      <c r="N592" s="4">
        <v>15</v>
      </c>
      <c r="O592" s="4">
        <f t="shared" si="47"/>
        <v>13537.050000000001</v>
      </c>
    </row>
    <row r="593" spans="1:15" x14ac:dyDescent="0.3">
      <c r="A593" s="13">
        <v>45953</v>
      </c>
      <c r="B593" s="4" t="str">
        <f>TEXT(Data!B593,"MMM-YYYY")</f>
        <v>Feb-2023</v>
      </c>
      <c r="C593" s="4" t="str">
        <f t="shared" si="48"/>
        <v>Oct-2025</v>
      </c>
      <c r="D593" s="14">
        <f t="shared" si="49"/>
        <v>45953</v>
      </c>
      <c r="E593" s="4" t="str">
        <f t="shared" si="45"/>
        <v>Q4-2025</v>
      </c>
      <c r="F593" t="s">
        <v>78</v>
      </c>
      <c r="G593" t="s">
        <v>90</v>
      </c>
      <c r="H593" t="s">
        <v>91</v>
      </c>
      <c r="I593" t="s">
        <v>22</v>
      </c>
      <c r="J593" s="8" t="str">
        <f t="shared" si="46"/>
        <v>High</v>
      </c>
      <c r="K593" s="4">
        <v>947.77</v>
      </c>
      <c r="L593" s="4">
        <v>947.77</v>
      </c>
      <c r="M593" s="4">
        <v>0.17399999999999999</v>
      </c>
      <c r="N593" s="4">
        <v>15</v>
      </c>
      <c r="O593" s="4">
        <f t="shared" si="47"/>
        <v>-417.04740000000004</v>
      </c>
    </row>
    <row r="594" spans="1:15" x14ac:dyDescent="0.3">
      <c r="A594" s="13">
        <v>45954</v>
      </c>
      <c r="B594" s="4" t="str">
        <f>TEXT(Data!B594,"MMM-YYYY")</f>
        <v>Jul-2024</v>
      </c>
      <c r="C594" s="4" t="str">
        <f t="shared" si="48"/>
        <v>Oct-2025</v>
      </c>
      <c r="D594" s="14">
        <f t="shared" si="49"/>
        <v>45954</v>
      </c>
      <c r="E594" s="4" t="str">
        <f t="shared" si="45"/>
        <v>Q4-2025</v>
      </c>
      <c r="F594" t="s">
        <v>52</v>
      </c>
      <c r="G594" t="s">
        <v>122</v>
      </c>
      <c r="H594" t="s">
        <v>167</v>
      </c>
      <c r="I594" t="s">
        <v>35</v>
      </c>
      <c r="J594" s="8" t="str">
        <f t="shared" si="46"/>
        <v>High</v>
      </c>
      <c r="K594" s="4">
        <v>2331.48</v>
      </c>
      <c r="L594" s="4">
        <v>2331.48</v>
      </c>
      <c r="M594" s="4">
        <v>0.14599999999999999</v>
      </c>
      <c r="N594" s="4">
        <v>26</v>
      </c>
      <c r="O594" s="4">
        <f t="shared" si="47"/>
        <v>24128.64272</v>
      </c>
    </row>
    <row r="595" spans="1:15" x14ac:dyDescent="0.3">
      <c r="A595" s="13">
        <v>45955</v>
      </c>
      <c r="B595" s="4" t="str">
        <f>TEXT(Data!B595,"MMM-YYYY")</f>
        <v>Jun-2025</v>
      </c>
      <c r="C595" s="4" t="str">
        <f t="shared" si="48"/>
        <v>Oct-2025</v>
      </c>
      <c r="D595" s="14">
        <f t="shared" si="49"/>
        <v>45955</v>
      </c>
      <c r="E595" s="4" t="str">
        <f t="shared" si="45"/>
        <v>Q4-2025</v>
      </c>
      <c r="F595" t="s">
        <v>45</v>
      </c>
      <c r="G595" t="s">
        <v>46</v>
      </c>
      <c r="H595" t="s">
        <v>214</v>
      </c>
      <c r="I595" t="s">
        <v>64</v>
      </c>
      <c r="J595" s="8" t="str">
        <f t="shared" si="46"/>
        <v>High</v>
      </c>
      <c r="K595" s="4">
        <v>1417.24</v>
      </c>
      <c r="L595" s="4">
        <v>1417.24</v>
      </c>
      <c r="M595" s="4">
        <v>0.192</v>
      </c>
      <c r="N595" s="4">
        <v>5</v>
      </c>
      <c r="O595" s="4">
        <f t="shared" si="47"/>
        <v>4083.4300000000003</v>
      </c>
    </row>
    <row r="596" spans="1:15" x14ac:dyDescent="0.3">
      <c r="A596" s="13">
        <v>45956</v>
      </c>
      <c r="B596" s="4" t="str">
        <f>TEXT(Data!B596,"MMM-YYYY")</f>
        <v>Jun-2024</v>
      </c>
      <c r="C596" s="4" t="str">
        <f t="shared" si="48"/>
        <v>Oct-2025</v>
      </c>
      <c r="D596" s="14">
        <f t="shared" si="49"/>
        <v>45956</v>
      </c>
      <c r="E596" s="4" t="str">
        <f t="shared" si="45"/>
        <v>Q4-2025</v>
      </c>
      <c r="F596" t="s">
        <v>78</v>
      </c>
      <c r="G596" t="s">
        <v>90</v>
      </c>
      <c r="H596" t="s">
        <v>91</v>
      </c>
      <c r="I596" t="s">
        <v>81</v>
      </c>
      <c r="J596" s="8" t="str">
        <f t="shared" si="46"/>
        <v>High</v>
      </c>
      <c r="K596" s="4">
        <v>699.5</v>
      </c>
      <c r="L596" s="4">
        <v>699.5</v>
      </c>
      <c r="M596" s="4">
        <v>0.08</v>
      </c>
      <c r="N596" s="4">
        <v>13</v>
      </c>
      <c r="O596" s="4">
        <f t="shared" si="47"/>
        <v>4921.3008</v>
      </c>
    </row>
    <row r="597" spans="1:15" x14ac:dyDescent="0.3">
      <c r="A597" s="13">
        <v>45957</v>
      </c>
      <c r="B597" s="4" t="str">
        <f>TEXT(Data!B597,"MMM-YYYY")</f>
        <v>Feb-2025</v>
      </c>
      <c r="C597" s="4" t="str">
        <f t="shared" si="48"/>
        <v>Oct-2025</v>
      </c>
      <c r="D597" s="14">
        <f t="shared" si="49"/>
        <v>45957</v>
      </c>
      <c r="E597" s="4" t="str">
        <f t="shared" si="45"/>
        <v>Q4-2025</v>
      </c>
      <c r="F597" t="s">
        <v>16</v>
      </c>
      <c r="G597" t="s">
        <v>17</v>
      </c>
      <c r="H597" t="s">
        <v>18</v>
      </c>
      <c r="I597" t="s">
        <v>57</v>
      </c>
      <c r="J597" s="8" t="str">
        <f t="shared" si="46"/>
        <v>High</v>
      </c>
      <c r="K597" s="4">
        <v>1787.2</v>
      </c>
      <c r="L597" s="4">
        <v>1787.2</v>
      </c>
      <c r="M597" s="4">
        <v>7.2999999999999995E-2</v>
      </c>
      <c r="N597" s="4">
        <v>9</v>
      </c>
      <c r="O597" s="4">
        <f t="shared" si="47"/>
        <v>3448.4956200000001</v>
      </c>
    </row>
    <row r="598" spans="1:15" x14ac:dyDescent="0.3">
      <c r="A598" s="13">
        <v>45958</v>
      </c>
      <c r="B598" s="4" t="str">
        <f>TEXT(Data!B598,"MMM-YYYY")</f>
        <v>Jan-2023</v>
      </c>
      <c r="C598" s="4" t="str">
        <f t="shared" si="48"/>
        <v>Oct-2025</v>
      </c>
      <c r="D598" s="14">
        <f t="shared" si="49"/>
        <v>45958</v>
      </c>
      <c r="E598" s="4" t="str">
        <f t="shared" si="45"/>
        <v>Q4-2025</v>
      </c>
      <c r="F598" t="s">
        <v>52</v>
      </c>
      <c r="G598" t="s">
        <v>53</v>
      </c>
      <c r="H598" t="s">
        <v>54</v>
      </c>
      <c r="I598" t="s">
        <v>22</v>
      </c>
      <c r="J598" s="8" t="str">
        <f t="shared" si="46"/>
        <v>High</v>
      </c>
      <c r="K598" s="4">
        <v>1698.75</v>
      </c>
      <c r="L598" s="4">
        <v>1698.75</v>
      </c>
      <c r="M598" s="4">
        <v>4.2999999999999997E-2</v>
      </c>
      <c r="N598" s="4">
        <v>5</v>
      </c>
      <c r="O598" s="4">
        <f t="shared" si="47"/>
        <v>7459.2886500000004</v>
      </c>
    </row>
    <row r="599" spans="1:15" x14ac:dyDescent="0.3">
      <c r="A599" s="13">
        <v>45959</v>
      </c>
      <c r="B599" s="4" t="str">
        <f>TEXT(Data!B599,"MMM-YYYY")</f>
        <v>Mar-2025</v>
      </c>
      <c r="C599" s="4" t="str">
        <f t="shared" si="48"/>
        <v>Oct-2025</v>
      </c>
      <c r="D599" s="14">
        <f t="shared" si="49"/>
        <v>45959</v>
      </c>
      <c r="E599" s="4" t="str">
        <f t="shared" si="45"/>
        <v>Q4-2025</v>
      </c>
      <c r="F599" t="s">
        <v>16</v>
      </c>
      <c r="G599" t="s">
        <v>148</v>
      </c>
      <c r="H599" t="s">
        <v>258</v>
      </c>
      <c r="I599" t="s">
        <v>30</v>
      </c>
      <c r="J599" s="8" t="str">
        <f t="shared" si="46"/>
        <v>High</v>
      </c>
      <c r="K599" s="4">
        <v>724.7</v>
      </c>
      <c r="L599" s="4">
        <v>724.7</v>
      </c>
      <c r="M599" s="4">
        <v>0.14000000000000001</v>
      </c>
      <c r="N599" s="4">
        <v>5</v>
      </c>
      <c r="O599" s="4">
        <f t="shared" si="47"/>
        <v>3702.9880000000003</v>
      </c>
    </row>
    <row r="600" spans="1:15" x14ac:dyDescent="0.3">
      <c r="A600" s="13">
        <v>45960</v>
      </c>
      <c r="B600" s="4" t="str">
        <f>TEXT(Data!B600,"MMM-YYYY")</f>
        <v>Aug-2024</v>
      </c>
      <c r="C600" s="4" t="str">
        <f t="shared" si="48"/>
        <v>Oct-2025</v>
      </c>
      <c r="D600" s="14">
        <f t="shared" si="49"/>
        <v>45960</v>
      </c>
      <c r="E600" s="4" t="str">
        <f t="shared" si="45"/>
        <v>Q4-2025</v>
      </c>
      <c r="F600" t="s">
        <v>45</v>
      </c>
      <c r="G600" t="s">
        <v>46</v>
      </c>
      <c r="H600" t="s">
        <v>47</v>
      </c>
      <c r="I600" t="s">
        <v>30</v>
      </c>
      <c r="J600" s="8" t="str">
        <f t="shared" si="46"/>
        <v>High</v>
      </c>
      <c r="K600" s="4">
        <v>1355.94</v>
      </c>
      <c r="L600" s="4">
        <v>1355.94</v>
      </c>
      <c r="M600" s="4">
        <v>0.187</v>
      </c>
      <c r="N600" s="4">
        <v>4</v>
      </c>
      <c r="O600" s="4">
        <f t="shared" si="47"/>
        <v>7467.4049999999997</v>
      </c>
    </row>
    <row r="601" spans="1:15" x14ac:dyDescent="0.3">
      <c r="A601" s="13">
        <v>45961</v>
      </c>
      <c r="B601" s="4" t="str">
        <f>TEXT(Data!B601,"MMM-YYYY")</f>
        <v>Mar-2024</v>
      </c>
      <c r="C601" s="4" t="str">
        <f t="shared" si="48"/>
        <v>Oct-2025</v>
      </c>
      <c r="D601" s="14">
        <f t="shared" si="49"/>
        <v>45961</v>
      </c>
      <c r="E601" s="4" t="str">
        <f t="shared" si="45"/>
        <v>Q4-2025</v>
      </c>
      <c r="F601" t="s">
        <v>52</v>
      </c>
      <c r="G601" t="s">
        <v>73</v>
      </c>
      <c r="H601" t="s">
        <v>225</v>
      </c>
      <c r="I601" t="s">
        <v>64</v>
      </c>
      <c r="J601" s="8" t="str">
        <f t="shared" si="46"/>
        <v>High</v>
      </c>
      <c r="K601" s="4">
        <v>275.07</v>
      </c>
      <c r="L601" s="4">
        <v>275.07</v>
      </c>
      <c r="M601" s="4">
        <v>0.13300000000000001</v>
      </c>
      <c r="N601" s="4">
        <v>25</v>
      </c>
      <c r="O601" s="4">
        <f t="shared" si="47"/>
        <v>57148.305</v>
      </c>
    </row>
    <row r="602" spans="1:15" x14ac:dyDescent="0.3">
      <c r="A602" s="13">
        <v>45962</v>
      </c>
      <c r="B602" s="4" t="str">
        <f>TEXT(Data!B602,"MMM-YYYY")</f>
        <v>Aug-2024</v>
      </c>
      <c r="C602" s="4" t="str">
        <f t="shared" si="48"/>
        <v>Nov-2025</v>
      </c>
      <c r="D602" s="14">
        <f t="shared" si="49"/>
        <v>45962</v>
      </c>
      <c r="E602" s="4" t="str">
        <f t="shared" si="45"/>
        <v>Q4-2025</v>
      </c>
      <c r="F602" t="s">
        <v>78</v>
      </c>
      <c r="G602" t="s">
        <v>108</v>
      </c>
      <c r="H602" t="s">
        <v>228</v>
      </c>
      <c r="I602" t="s">
        <v>57</v>
      </c>
      <c r="J602" s="8" t="str">
        <f t="shared" si="46"/>
        <v>High</v>
      </c>
      <c r="K602" s="4">
        <v>1802.44</v>
      </c>
      <c r="L602" s="4">
        <v>1802.44</v>
      </c>
      <c r="M602" s="4">
        <v>8.9999999999999993E-3</v>
      </c>
      <c r="N602" s="4">
        <v>19</v>
      </c>
      <c r="O602" s="4">
        <f t="shared" si="47"/>
        <v>18416.456609999997</v>
      </c>
    </row>
    <row r="603" spans="1:15" x14ac:dyDescent="0.3">
      <c r="A603" s="13">
        <v>45963</v>
      </c>
      <c r="B603" s="4" t="str">
        <f>TEXT(Data!B603,"MMM-YYYY")</f>
        <v>Aug-2025</v>
      </c>
      <c r="C603" s="4" t="str">
        <f t="shared" si="48"/>
        <v>Nov-2025</v>
      </c>
      <c r="D603" s="14">
        <f t="shared" si="49"/>
        <v>45963</v>
      </c>
      <c r="E603" s="4" t="str">
        <f t="shared" si="45"/>
        <v>Q4-2025</v>
      </c>
      <c r="F603" t="s">
        <v>52</v>
      </c>
      <c r="G603" t="s">
        <v>53</v>
      </c>
      <c r="H603" t="s">
        <v>54</v>
      </c>
      <c r="I603" t="s">
        <v>30</v>
      </c>
      <c r="J603" s="8" t="str">
        <f t="shared" si="46"/>
        <v>High</v>
      </c>
      <c r="K603" s="4">
        <v>1269.78</v>
      </c>
      <c r="L603" s="4">
        <v>1269.78</v>
      </c>
      <c r="M603" s="4">
        <v>0.16</v>
      </c>
      <c r="N603" s="4">
        <v>7</v>
      </c>
      <c r="O603" s="4">
        <f t="shared" si="47"/>
        <v>3208.8335999999999</v>
      </c>
    </row>
    <row r="604" spans="1:15" x14ac:dyDescent="0.3">
      <c r="A604" s="13">
        <v>45964</v>
      </c>
      <c r="B604" s="4" t="str">
        <f>TEXT(Data!B604,"MMM-YYYY")</f>
        <v>May-2025</v>
      </c>
      <c r="C604" s="4" t="str">
        <f t="shared" si="48"/>
        <v>Nov-2025</v>
      </c>
      <c r="D604" s="14">
        <f t="shared" si="49"/>
        <v>45964</v>
      </c>
      <c r="E604" s="4" t="str">
        <f t="shared" si="45"/>
        <v>Q4-2025</v>
      </c>
      <c r="F604" t="s">
        <v>78</v>
      </c>
      <c r="G604" t="s">
        <v>90</v>
      </c>
      <c r="H604" t="s">
        <v>217</v>
      </c>
      <c r="I604" t="s">
        <v>35</v>
      </c>
      <c r="J604" s="8" t="str">
        <f t="shared" si="46"/>
        <v>High</v>
      </c>
      <c r="K604" s="4">
        <v>571.9</v>
      </c>
      <c r="L604" s="4">
        <v>571.9</v>
      </c>
      <c r="M604" s="4">
        <v>7.0999999999999994E-2</v>
      </c>
      <c r="N604" s="4">
        <v>2</v>
      </c>
      <c r="O604" s="4">
        <f t="shared" si="47"/>
        <v>2667.2333200000003</v>
      </c>
    </row>
    <row r="605" spans="1:15" x14ac:dyDescent="0.3">
      <c r="A605" s="13">
        <v>45965</v>
      </c>
      <c r="B605" s="4" t="str">
        <f>TEXT(Data!B605,"MMM-YYYY")</f>
        <v>Apr-2023</v>
      </c>
      <c r="C605" s="4" t="str">
        <f t="shared" si="48"/>
        <v>Nov-2025</v>
      </c>
      <c r="D605" s="14">
        <f t="shared" si="49"/>
        <v>45965</v>
      </c>
      <c r="E605" s="4" t="str">
        <f t="shared" si="45"/>
        <v>Q4-2025</v>
      </c>
      <c r="F605" t="s">
        <v>45</v>
      </c>
      <c r="G605" t="s">
        <v>46</v>
      </c>
      <c r="H605" t="s">
        <v>214</v>
      </c>
      <c r="I605" t="s">
        <v>30</v>
      </c>
      <c r="J605" s="8" t="str">
        <f t="shared" si="46"/>
        <v>High</v>
      </c>
      <c r="K605" s="4">
        <v>2755.04</v>
      </c>
      <c r="L605" s="4">
        <v>2755.04</v>
      </c>
      <c r="M605" s="4">
        <v>0.15</v>
      </c>
      <c r="N605" s="4">
        <v>17</v>
      </c>
      <c r="O605" s="4">
        <f t="shared" si="47"/>
        <v>34640.985000000001</v>
      </c>
    </row>
    <row r="606" spans="1:15" x14ac:dyDescent="0.3">
      <c r="A606" s="13">
        <v>45966</v>
      </c>
      <c r="B606" s="4" t="str">
        <f>TEXT(Data!B606,"MMM-YYYY")</f>
        <v>Sept-2023</v>
      </c>
      <c r="C606" s="4" t="str">
        <f t="shared" si="48"/>
        <v>Nov-2025</v>
      </c>
      <c r="D606" s="14">
        <f t="shared" si="49"/>
        <v>45966</v>
      </c>
      <c r="E606" s="4" t="str">
        <f t="shared" si="45"/>
        <v>Q4-2025</v>
      </c>
      <c r="F606" t="s">
        <v>78</v>
      </c>
      <c r="G606" t="s">
        <v>108</v>
      </c>
      <c r="H606" t="s">
        <v>152</v>
      </c>
      <c r="I606" t="s">
        <v>30</v>
      </c>
      <c r="J606" s="8" t="str">
        <f t="shared" si="46"/>
        <v>High</v>
      </c>
      <c r="K606" s="4">
        <v>962.51</v>
      </c>
      <c r="L606" s="4">
        <v>962.51</v>
      </c>
      <c r="M606" s="4">
        <v>0.19</v>
      </c>
      <c r="N606" s="4">
        <v>7</v>
      </c>
      <c r="O606" s="4">
        <f t="shared" si="47"/>
        <v>10511.386199999999</v>
      </c>
    </row>
    <row r="607" spans="1:15" x14ac:dyDescent="0.3">
      <c r="A607" s="13">
        <v>45967</v>
      </c>
      <c r="B607" s="4" t="str">
        <f>TEXT(Data!B607,"MMM-YYYY")</f>
        <v>Apr-2023</v>
      </c>
      <c r="C607" s="4" t="str">
        <f t="shared" si="48"/>
        <v>Nov-2025</v>
      </c>
      <c r="D607" s="14">
        <f t="shared" si="49"/>
        <v>45967</v>
      </c>
      <c r="E607" s="4" t="str">
        <f t="shared" si="45"/>
        <v>Q4-2025</v>
      </c>
      <c r="F607" t="s">
        <v>52</v>
      </c>
      <c r="G607" t="s">
        <v>73</v>
      </c>
      <c r="H607" t="s">
        <v>225</v>
      </c>
      <c r="I607" t="s">
        <v>57</v>
      </c>
      <c r="J607" s="8" t="str">
        <f t="shared" si="46"/>
        <v>High</v>
      </c>
      <c r="K607" s="4">
        <v>668.27</v>
      </c>
      <c r="L607" s="4">
        <v>668.27</v>
      </c>
      <c r="M607" s="4">
        <v>0.186</v>
      </c>
      <c r="N607" s="4">
        <v>13</v>
      </c>
      <c r="O607" s="4">
        <f t="shared" si="47"/>
        <v>486.56036000000006</v>
      </c>
    </row>
    <row r="608" spans="1:15" x14ac:dyDescent="0.3">
      <c r="A608" s="13">
        <v>45968</v>
      </c>
      <c r="B608" s="4" t="str">
        <f>TEXT(Data!B608,"MMM-YYYY")</f>
        <v>Jun-2025</v>
      </c>
      <c r="C608" s="4" t="str">
        <f t="shared" si="48"/>
        <v>Nov-2025</v>
      </c>
      <c r="D608" s="14">
        <f t="shared" si="49"/>
        <v>45968</v>
      </c>
      <c r="E608" s="4" t="str">
        <f t="shared" si="45"/>
        <v>Q4-2025</v>
      </c>
      <c r="F608" t="s">
        <v>45</v>
      </c>
      <c r="G608" t="s">
        <v>46</v>
      </c>
      <c r="H608" t="s">
        <v>231</v>
      </c>
      <c r="I608" t="s">
        <v>81</v>
      </c>
      <c r="J608" s="8" t="str">
        <f t="shared" si="46"/>
        <v>High</v>
      </c>
      <c r="K608" s="4">
        <v>1404.33</v>
      </c>
      <c r="L608" s="4">
        <v>1404.33</v>
      </c>
      <c r="M608" s="4">
        <v>0.10299999999999999</v>
      </c>
      <c r="N608" s="4">
        <v>11</v>
      </c>
      <c r="O608" s="4">
        <f t="shared" si="47"/>
        <v>0</v>
      </c>
    </row>
    <row r="609" spans="1:15" x14ac:dyDescent="0.3">
      <c r="A609" s="13">
        <v>45969</v>
      </c>
      <c r="B609" s="4" t="str">
        <f>TEXT(Data!B609,"MMM-YYYY")</f>
        <v>Nov-2024</v>
      </c>
      <c r="C609" s="4" t="str">
        <f t="shared" si="48"/>
        <v>Nov-2025</v>
      </c>
      <c r="D609" s="14">
        <f t="shared" si="49"/>
        <v>45969</v>
      </c>
      <c r="E609" s="4" t="str">
        <f t="shared" si="45"/>
        <v>Q4-2025</v>
      </c>
      <c r="F609" t="s">
        <v>16</v>
      </c>
      <c r="G609" t="s">
        <v>148</v>
      </c>
      <c r="H609" t="s">
        <v>149</v>
      </c>
      <c r="I609" t="s">
        <v>42</v>
      </c>
      <c r="J609" s="8" t="str">
        <f t="shared" si="46"/>
        <v>High</v>
      </c>
      <c r="K609" s="4">
        <v>3589.89</v>
      </c>
      <c r="L609" s="4">
        <v>3589.89</v>
      </c>
      <c r="M609" s="4">
        <v>9.7000000000000003E-2</v>
      </c>
      <c r="N609" s="4">
        <v>9</v>
      </c>
      <c r="O609" s="4">
        <f t="shared" si="47"/>
        <v>0</v>
      </c>
    </row>
    <row r="610" spans="1:15" x14ac:dyDescent="0.3">
      <c r="A610" s="13">
        <v>45970</v>
      </c>
      <c r="B610" s="4" t="str">
        <f>TEXT(Data!B610,"MMM-YYYY")</f>
        <v>Jan-2024</v>
      </c>
      <c r="C610" s="4" t="str">
        <f t="shared" si="48"/>
        <v>Nov-2025</v>
      </c>
      <c r="D610" s="14">
        <f t="shared" si="49"/>
        <v>45970</v>
      </c>
      <c r="E610" s="4" t="str">
        <f t="shared" si="45"/>
        <v>Q4-2025</v>
      </c>
      <c r="F610" t="s">
        <v>16</v>
      </c>
      <c r="G610" t="s">
        <v>17</v>
      </c>
      <c r="H610" t="s">
        <v>113</v>
      </c>
      <c r="I610" t="s">
        <v>30</v>
      </c>
      <c r="J610" s="8" t="str">
        <f t="shared" si="46"/>
        <v>High</v>
      </c>
      <c r="K610" s="4">
        <v>233.51</v>
      </c>
      <c r="L610" s="4">
        <v>233.51</v>
      </c>
      <c r="M610" s="4">
        <v>0.16300000000000001</v>
      </c>
      <c r="N610" s="4">
        <v>14</v>
      </c>
      <c r="O610" s="4">
        <f t="shared" si="47"/>
        <v>0</v>
      </c>
    </row>
    <row r="611" spans="1:15" x14ac:dyDescent="0.3">
      <c r="A611" s="13">
        <v>45971</v>
      </c>
      <c r="B611" s="4" t="str">
        <f>TEXT(Data!B611,"MMM-YYYY")</f>
        <v>Apr-2023</v>
      </c>
      <c r="C611" s="4" t="str">
        <f t="shared" si="48"/>
        <v>Nov-2025</v>
      </c>
      <c r="D611" s="14">
        <f t="shared" si="49"/>
        <v>45971</v>
      </c>
      <c r="E611" s="4" t="str">
        <f t="shared" si="45"/>
        <v>Q4-2025</v>
      </c>
      <c r="F611" t="s">
        <v>16</v>
      </c>
      <c r="G611" t="s">
        <v>148</v>
      </c>
      <c r="H611" t="s">
        <v>258</v>
      </c>
      <c r="I611" t="s">
        <v>22</v>
      </c>
      <c r="J611" s="8" t="str">
        <f t="shared" si="46"/>
        <v>Medium</v>
      </c>
      <c r="K611" s="4">
        <v>124.25</v>
      </c>
      <c r="L611" s="4">
        <v>124.25</v>
      </c>
      <c r="M611" s="4">
        <v>0.12</v>
      </c>
      <c r="N611" s="4">
        <v>19</v>
      </c>
      <c r="O611" s="4">
        <f t="shared" si="47"/>
        <v>0</v>
      </c>
    </row>
    <row r="612" spans="1:15" x14ac:dyDescent="0.3">
      <c r="A612" s="13">
        <v>45972</v>
      </c>
      <c r="B612" s="4" t="str">
        <f>TEXT(Data!B612,"MMM-YYYY")</f>
        <v>Feb-2024</v>
      </c>
      <c r="C612" s="4" t="str">
        <f t="shared" si="48"/>
        <v>Nov-2025</v>
      </c>
      <c r="D612" s="14">
        <f t="shared" si="49"/>
        <v>45972</v>
      </c>
      <c r="E612" s="4" t="str">
        <f t="shared" si="45"/>
        <v>Q4-2025</v>
      </c>
      <c r="F612" t="s">
        <v>52</v>
      </c>
      <c r="G612" t="s">
        <v>122</v>
      </c>
      <c r="H612" t="s">
        <v>326</v>
      </c>
      <c r="I612" t="s">
        <v>30</v>
      </c>
      <c r="J612" s="8" t="str">
        <f t="shared" si="46"/>
        <v>High</v>
      </c>
      <c r="K612" s="4">
        <v>1431.37</v>
      </c>
      <c r="L612" s="4">
        <v>1431.37</v>
      </c>
      <c r="M612" s="4">
        <v>0.104</v>
      </c>
      <c r="N612" s="4">
        <v>8</v>
      </c>
      <c r="O612" s="4">
        <f t="shared" si="47"/>
        <v>0</v>
      </c>
    </row>
    <row r="613" spans="1:15" x14ac:dyDescent="0.3">
      <c r="A613" s="13">
        <v>45973</v>
      </c>
      <c r="B613" s="4" t="str">
        <f>TEXT(Data!B613,"MMM-YYYY")</f>
        <v>Oct-2024</v>
      </c>
      <c r="C613" s="4" t="str">
        <f t="shared" si="48"/>
        <v>Nov-2025</v>
      </c>
      <c r="D613" s="14">
        <f t="shared" si="49"/>
        <v>45973</v>
      </c>
      <c r="E613" s="4" t="str">
        <f t="shared" si="45"/>
        <v>Q4-2025</v>
      </c>
      <c r="F613" t="s">
        <v>52</v>
      </c>
      <c r="G613" t="s">
        <v>122</v>
      </c>
      <c r="H613" t="s">
        <v>326</v>
      </c>
      <c r="I613" t="s">
        <v>30</v>
      </c>
      <c r="J613" s="8" t="str">
        <f t="shared" si="46"/>
        <v>High</v>
      </c>
      <c r="K613" s="4">
        <v>1595.52</v>
      </c>
      <c r="L613" s="4">
        <v>1595.52</v>
      </c>
      <c r="M613" s="4">
        <v>0.19400000000000001</v>
      </c>
      <c r="N613" s="4">
        <v>14</v>
      </c>
      <c r="O613" s="4">
        <f t="shared" si="47"/>
        <v>0</v>
      </c>
    </row>
    <row r="614" spans="1:15" x14ac:dyDescent="0.3">
      <c r="A614" s="13">
        <v>45974</v>
      </c>
      <c r="B614" s="4" t="str">
        <f>TEXT(Data!B614,"MMM-YYYY")</f>
        <v>Jun-2024</v>
      </c>
      <c r="C614" s="4" t="str">
        <f t="shared" si="48"/>
        <v>Nov-2025</v>
      </c>
      <c r="D614" s="14">
        <f t="shared" si="49"/>
        <v>45974</v>
      </c>
      <c r="E614" s="4" t="str">
        <f t="shared" si="45"/>
        <v>Q4-2025</v>
      </c>
      <c r="F614" t="s">
        <v>52</v>
      </c>
      <c r="G614" t="s">
        <v>122</v>
      </c>
      <c r="H614" t="s">
        <v>123</v>
      </c>
      <c r="I614" t="s">
        <v>64</v>
      </c>
      <c r="J614" s="8" t="str">
        <f t="shared" si="46"/>
        <v>High</v>
      </c>
      <c r="K614" s="4">
        <v>1028.46</v>
      </c>
      <c r="L614" s="4">
        <v>1028.46</v>
      </c>
      <c r="M614" s="4">
        <v>0</v>
      </c>
      <c r="N614" s="4">
        <v>9</v>
      </c>
      <c r="O614" s="4">
        <f t="shared" si="47"/>
        <v>0</v>
      </c>
    </row>
    <row r="615" spans="1:15" x14ac:dyDescent="0.3">
      <c r="A615" s="13">
        <v>45975</v>
      </c>
      <c r="B615" s="4" t="str">
        <f>TEXT(Data!B615,"MMM-YYYY")</f>
        <v>Jul-2023</v>
      </c>
      <c r="C615" s="4" t="str">
        <f t="shared" si="48"/>
        <v>Nov-2025</v>
      </c>
      <c r="D615" s="14">
        <f t="shared" si="49"/>
        <v>45975</v>
      </c>
      <c r="E615" s="4" t="str">
        <f t="shared" si="45"/>
        <v>Q4-2025</v>
      </c>
      <c r="F615" t="s">
        <v>16</v>
      </c>
      <c r="G615" t="s">
        <v>17</v>
      </c>
      <c r="H615" t="s">
        <v>18</v>
      </c>
      <c r="I615" t="s">
        <v>35</v>
      </c>
      <c r="J615" s="8" t="str">
        <f t="shared" si="46"/>
        <v>High</v>
      </c>
      <c r="K615" s="4">
        <v>3230.35</v>
      </c>
      <c r="L615" s="4">
        <v>3230.35</v>
      </c>
      <c r="M615" s="4">
        <v>2.1999999999999999E-2</v>
      </c>
      <c r="N615" s="4">
        <v>26</v>
      </c>
      <c r="O615" s="4">
        <f t="shared" si="47"/>
        <v>0</v>
      </c>
    </row>
    <row r="616" spans="1:15" x14ac:dyDescent="0.3">
      <c r="A616" s="13">
        <v>45976</v>
      </c>
      <c r="B616" s="4" t="str">
        <f>TEXT(Data!B616,"MMM-YYYY")</f>
        <v>Mar-2025</v>
      </c>
      <c r="C616" s="4" t="str">
        <f t="shared" si="48"/>
        <v>Nov-2025</v>
      </c>
      <c r="D616" s="14">
        <f t="shared" si="49"/>
        <v>45976</v>
      </c>
      <c r="E616" s="4" t="str">
        <f t="shared" si="45"/>
        <v>Q4-2025</v>
      </c>
      <c r="F616" t="s">
        <v>78</v>
      </c>
      <c r="G616" t="s">
        <v>90</v>
      </c>
      <c r="H616" t="s">
        <v>217</v>
      </c>
      <c r="I616" t="s">
        <v>35</v>
      </c>
      <c r="J616" s="8" t="str">
        <f t="shared" si="46"/>
        <v>High</v>
      </c>
      <c r="K616" s="4">
        <v>2789.61</v>
      </c>
      <c r="L616" s="4">
        <v>2789.61</v>
      </c>
      <c r="M616" s="4">
        <v>0.17100000000000001</v>
      </c>
      <c r="N616" s="4">
        <v>8</v>
      </c>
      <c r="O616" s="4">
        <f t="shared" si="47"/>
        <v>0</v>
      </c>
    </row>
    <row r="617" spans="1:15" x14ac:dyDescent="0.3">
      <c r="A617" s="13">
        <v>45977</v>
      </c>
      <c r="B617" s="4" t="str">
        <f>TEXT(Data!B617,"MMM-YYYY")</f>
        <v>Oct-2023</v>
      </c>
      <c r="C617" s="4" t="str">
        <f t="shared" si="48"/>
        <v>Nov-2025</v>
      </c>
      <c r="D617" s="14">
        <f t="shared" si="49"/>
        <v>45977</v>
      </c>
      <c r="E617" s="4" t="str">
        <f t="shared" si="45"/>
        <v>Q4-2025</v>
      </c>
      <c r="F617" t="s">
        <v>45</v>
      </c>
      <c r="G617" t="s">
        <v>46</v>
      </c>
      <c r="H617" t="s">
        <v>214</v>
      </c>
      <c r="I617" t="s">
        <v>30</v>
      </c>
      <c r="J617" s="8" t="str">
        <f t="shared" si="46"/>
        <v>High</v>
      </c>
      <c r="K617" s="4">
        <v>1897.74</v>
      </c>
      <c r="L617" s="4">
        <v>1897.74</v>
      </c>
      <c r="M617" s="4">
        <v>8.1000000000000003E-2</v>
      </c>
      <c r="N617" s="4">
        <v>6</v>
      </c>
      <c r="O617" s="4">
        <f t="shared" si="47"/>
        <v>0</v>
      </c>
    </row>
    <row r="618" spans="1:15" x14ac:dyDescent="0.3">
      <c r="A618" s="13">
        <v>45978</v>
      </c>
      <c r="B618" s="4" t="str">
        <f>TEXT(Data!B618,"MMM-YYYY")</f>
        <v>Dec-2024</v>
      </c>
      <c r="C618" s="4" t="str">
        <f t="shared" si="48"/>
        <v>Nov-2025</v>
      </c>
      <c r="D618" s="14">
        <f t="shared" si="49"/>
        <v>45978</v>
      </c>
      <c r="E618" s="4" t="str">
        <f t="shared" si="45"/>
        <v>Q4-2025</v>
      </c>
      <c r="F618" t="s">
        <v>16</v>
      </c>
      <c r="G618" t="s">
        <v>25</v>
      </c>
      <c r="H618" t="s">
        <v>26</v>
      </c>
      <c r="I618" t="s">
        <v>35</v>
      </c>
      <c r="J618" s="8" t="str">
        <f t="shared" si="46"/>
        <v>High</v>
      </c>
      <c r="K618" s="4">
        <v>902.47</v>
      </c>
      <c r="L618" s="4">
        <v>902.47</v>
      </c>
      <c r="M618" s="4">
        <v>4.0000000000000001E-3</v>
      </c>
      <c r="N618" s="4">
        <v>12</v>
      </c>
      <c r="O618" s="4">
        <f t="shared" si="47"/>
        <v>0</v>
      </c>
    </row>
    <row r="619" spans="1:15" x14ac:dyDescent="0.3">
      <c r="A619" s="13">
        <v>45979</v>
      </c>
      <c r="B619" s="4" t="str">
        <f>TEXT(Data!B619,"MMM-YYYY")</f>
        <v>Jul-2025</v>
      </c>
      <c r="C619" s="4" t="str">
        <f t="shared" si="48"/>
        <v>Nov-2025</v>
      </c>
      <c r="D619" s="14">
        <f t="shared" si="49"/>
        <v>45979</v>
      </c>
      <c r="E619" s="4" t="str">
        <f t="shared" si="45"/>
        <v>Q4-2025</v>
      </c>
      <c r="F619" t="s">
        <v>78</v>
      </c>
      <c r="G619" t="s">
        <v>108</v>
      </c>
      <c r="H619" t="s">
        <v>228</v>
      </c>
      <c r="I619" t="s">
        <v>64</v>
      </c>
      <c r="J619" s="8" t="str">
        <f t="shared" si="46"/>
        <v>Low</v>
      </c>
      <c r="K619" s="4">
        <v>-33.659999999999997</v>
      </c>
      <c r="L619" s="4">
        <v>-33.659999999999997</v>
      </c>
      <c r="M619" s="4">
        <v>0.10199999999999999</v>
      </c>
      <c r="N619" s="4">
        <v>28</v>
      </c>
      <c r="O619" s="4">
        <f t="shared" si="47"/>
        <v>0</v>
      </c>
    </row>
    <row r="620" spans="1:15" x14ac:dyDescent="0.3">
      <c r="A620" s="13">
        <v>45980</v>
      </c>
      <c r="B620" s="4" t="str">
        <f>TEXT(Data!B620,"MMM-YYYY")</f>
        <v>Oct-2024</v>
      </c>
      <c r="C620" s="4" t="str">
        <f t="shared" si="48"/>
        <v>Nov-2025</v>
      </c>
      <c r="D620" s="14">
        <f t="shared" si="49"/>
        <v>45980</v>
      </c>
      <c r="E620" s="4" t="str">
        <f t="shared" si="45"/>
        <v>Q4-2025</v>
      </c>
      <c r="F620" t="s">
        <v>78</v>
      </c>
      <c r="G620" t="s">
        <v>108</v>
      </c>
      <c r="H620" t="s">
        <v>152</v>
      </c>
      <c r="I620" t="s">
        <v>30</v>
      </c>
      <c r="J620" s="8" t="str">
        <f t="shared" si="46"/>
        <v>High</v>
      </c>
      <c r="K620" s="4">
        <v>1086.68</v>
      </c>
      <c r="L620" s="4">
        <v>1086.68</v>
      </c>
      <c r="M620" s="4">
        <v>0.109</v>
      </c>
      <c r="N620" s="4">
        <v>26</v>
      </c>
      <c r="O620" s="4">
        <f t="shared" si="47"/>
        <v>0</v>
      </c>
    </row>
    <row r="621" spans="1:15" x14ac:dyDescent="0.3">
      <c r="A621" s="13">
        <v>45981</v>
      </c>
      <c r="B621" s="4" t="str">
        <f>TEXT(Data!B621,"MMM-YYYY")</f>
        <v>Sept-2023</v>
      </c>
      <c r="C621" s="4" t="str">
        <f t="shared" si="48"/>
        <v>Nov-2025</v>
      </c>
      <c r="D621" s="14">
        <f t="shared" si="49"/>
        <v>45981</v>
      </c>
      <c r="E621" s="4" t="str">
        <f t="shared" si="45"/>
        <v>Q4-2025</v>
      </c>
      <c r="F621" t="s">
        <v>78</v>
      </c>
      <c r="G621" t="s">
        <v>90</v>
      </c>
      <c r="H621" t="s">
        <v>217</v>
      </c>
      <c r="I621" t="s">
        <v>22</v>
      </c>
      <c r="J621" s="8" t="str">
        <f t="shared" si="46"/>
        <v>High</v>
      </c>
      <c r="K621" s="4">
        <v>1010.75</v>
      </c>
      <c r="L621" s="4">
        <v>1010.75</v>
      </c>
      <c r="M621" s="4">
        <v>4.7E-2</v>
      </c>
      <c r="N621" s="4">
        <v>43</v>
      </c>
      <c r="O621" s="4">
        <f t="shared" si="47"/>
        <v>0</v>
      </c>
    </row>
    <row r="622" spans="1:15" x14ac:dyDescent="0.3">
      <c r="A622" s="13">
        <v>45982</v>
      </c>
      <c r="B622" s="4" t="str">
        <f>TEXT(Data!B622,"MMM-YYYY")</f>
        <v>Apr-2025</v>
      </c>
      <c r="C622" s="4" t="str">
        <f t="shared" si="48"/>
        <v>Nov-2025</v>
      </c>
      <c r="D622" s="14">
        <f t="shared" si="49"/>
        <v>45982</v>
      </c>
      <c r="E622" s="4" t="str">
        <f t="shared" si="45"/>
        <v>Q4-2025</v>
      </c>
      <c r="F622" t="s">
        <v>16</v>
      </c>
      <c r="G622" t="s">
        <v>17</v>
      </c>
      <c r="H622" t="s">
        <v>135</v>
      </c>
      <c r="I622" t="s">
        <v>81</v>
      </c>
      <c r="J622" s="8" t="str">
        <f t="shared" si="46"/>
        <v>High</v>
      </c>
      <c r="K622" s="4">
        <v>411.48</v>
      </c>
      <c r="L622" s="4">
        <v>411.48</v>
      </c>
      <c r="M622" s="4">
        <v>0.16500000000000001</v>
      </c>
      <c r="N622" s="4">
        <v>3</v>
      </c>
      <c r="O622" s="4">
        <f t="shared" si="47"/>
        <v>0</v>
      </c>
    </row>
    <row r="623" spans="1:15" x14ac:dyDescent="0.3">
      <c r="A623" s="13">
        <v>45983</v>
      </c>
      <c r="B623" s="4" t="str">
        <f>TEXT(Data!B623,"MMM-YYYY")</f>
        <v>Jul-2024</v>
      </c>
      <c r="C623" s="4" t="str">
        <f t="shared" si="48"/>
        <v>Nov-2025</v>
      </c>
      <c r="D623" s="14">
        <f t="shared" si="49"/>
        <v>45983</v>
      </c>
      <c r="E623" s="4" t="str">
        <f t="shared" si="45"/>
        <v>Q4-2025</v>
      </c>
      <c r="F623" t="s">
        <v>52</v>
      </c>
      <c r="G623" t="s">
        <v>73</v>
      </c>
      <c r="H623" t="s">
        <v>225</v>
      </c>
      <c r="I623" t="s">
        <v>35</v>
      </c>
      <c r="J623" s="8" t="str">
        <f t="shared" si="46"/>
        <v>High</v>
      </c>
      <c r="K623" s="4">
        <v>413.34</v>
      </c>
      <c r="L623" s="4">
        <v>413.34</v>
      </c>
      <c r="M623" s="4">
        <v>0.186</v>
      </c>
      <c r="N623" s="4">
        <v>7</v>
      </c>
      <c r="O623" s="4">
        <f t="shared" si="47"/>
        <v>0</v>
      </c>
    </row>
    <row r="624" spans="1:15" x14ac:dyDescent="0.3">
      <c r="A624" s="13">
        <v>45984</v>
      </c>
      <c r="B624" s="4" t="str">
        <f>TEXT(Data!B624,"MMM-YYYY")</f>
        <v>Jul-2025</v>
      </c>
      <c r="C624" s="4" t="str">
        <f t="shared" si="48"/>
        <v>Nov-2025</v>
      </c>
      <c r="D624" s="14">
        <f t="shared" si="49"/>
        <v>45984</v>
      </c>
      <c r="E624" s="4" t="str">
        <f t="shared" si="45"/>
        <v>Q4-2025</v>
      </c>
      <c r="F624" t="s">
        <v>45</v>
      </c>
      <c r="G624" t="s">
        <v>60</v>
      </c>
      <c r="H624" t="s">
        <v>281</v>
      </c>
      <c r="I624" t="s">
        <v>35</v>
      </c>
      <c r="J624" s="8" t="str">
        <f t="shared" si="46"/>
        <v>High</v>
      </c>
      <c r="K624" s="4">
        <v>1558.89</v>
      </c>
      <c r="L624" s="4">
        <v>1558.89</v>
      </c>
      <c r="M624" s="4">
        <v>0.192</v>
      </c>
      <c r="N624" s="4">
        <v>24</v>
      </c>
      <c r="O624" s="4">
        <f t="shared" si="47"/>
        <v>0</v>
      </c>
    </row>
    <row r="625" spans="1:15" x14ac:dyDescent="0.3">
      <c r="A625" s="13">
        <v>45985</v>
      </c>
      <c r="B625" s="4" t="str">
        <f>TEXT(Data!B625,"MMM-YYYY")</f>
        <v>Aug-2023</v>
      </c>
      <c r="C625" s="4" t="str">
        <f t="shared" si="48"/>
        <v>Nov-2025</v>
      </c>
      <c r="D625" s="14">
        <f t="shared" si="49"/>
        <v>45985</v>
      </c>
      <c r="E625" s="4" t="str">
        <f t="shared" si="45"/>
        <v>Q4-2025</v>
      </c>
      <c r="F625" t="s">
        <v>16</v>
      </c>
      <c r="G625" t="s">
        <v>17</v>
      </c>
      <c r="H625" t="s">
        <v>33</v>
      </c>
      <c r="I625" t="s">
        <v>81</v>
      </c>
      <c r="J625" s="8" t="str">
        <f t="shared" si="46"/>
        <v>High</v>
      </c>
      <c r="K625" s="4">
        <v>861.16</v>
      </c>
      <c r="L625" s="4">
        <v>861.16</v>
      </c>
      <c r="M625" s="4">
        <v>0.113</v>
      </c>
      <c r="N625" s="4">
        <v>14</v>
      </c>
      <c r="O625" s="4">
        <f t="shared" si="47"/>
        <v>0</v>
      </c>
    </row>
    <row r="626" spans="1:15" x14ac:dyDescent="0.3">
      <c r="A626" s="13">
        <v>45986</v>
      </c>
      <c r="B626" s="4" t="str">
        <f>TEXT(Data!B626,"MMM-YYYY")</f>
        <v>Nov-2023</v>
      </c>
      <c r="C626" s="4" t="str">
        <f t="shared" si="48"/>
        <v>Nov-2025</v>
      </c>
      <c r="D626" s="14">
        <f t="shared" si="49"/>
        <v>45986</v>
      </c>
      <c r="E626" s="4" t="str">
        <f t="shared" si="45"/>
        <v>Q4-2025</v>
      </c>
      <c r="F626" t="s">
        <v>45</v>
      </c>
      <c r="G626" t="s">
        <v>116</v>
      </c>
      <c r="H626" t="s">
        <v>162</v>
      </c>
      <c r="I626" t="s">
        <v>35</v>
      </c>
      <c r="J626" s="8" t="str">
        <f t="shared" si="46"/>
        <v>High</v>
      </c>
      <c r="K626" s="4">
        <v>2296.25</v>
      </c>
      <c r="L626" s="4">
        <v>2296.25</v>
      </c>
      <c r="M626" s="4">
        <v>0.161</v>
      </c>
      <c r="N626" s="4">
        <v>26</v>
      </c>
      <c r="O626" s="4">
        <f t="shared" si="47"/>
        <v>0</v>
      </c>
    </row>
    <row r="627" spans="1:15" x14ac:dyDescent="0.3">
      <c r="A627" s="13">
        <v>45987</v>
      </c>
      <c r="B627" s="4" t="str">
        <f>TEXT(Data!B627,"MMM-YYYY")</f>
        <v>Dec-2023</v>
      </c>
      <c r="C627" s="4" t="str">
        <f t="shared" si="48"/>
        <v>Nov-2025</v>
      </c>
      <c r="D627" s="14">
        <f t="shared" si="49"/>
        <v>45987</v>
      </c>
      <c r="E627" s="4" t="str">
        <f t="shared" si="45"/>
        <v>Q4-2025</v>
      </c>
      <c r="F627" t="s">
        <v>45</v>
      </c>
      <c r="G627" t="s">
        <v>60</v>
      </c>
      <c r="H627" t="s">
        <v>141</v>
      </c>
      <c r="I627" t="s">
        <v>35</v>
      </c>
      <c r="J627" s="8" t="str">
        <f t="shared" si="46"/>
        <v>High</v>
      </c>
      <c r="K627" s="4">
        <v>2636.6</v>
      </c>
      <c r="L627" s="4">
        <v>2636.6</v>
      </c>
      <c r="M627" s="4">
        <v>0.114</v>
      </c>
      <c r="N627" s="4">
        <v>14</v>
      </c>
      <c r="O627" s="4">
        <f t="shared" si="47"/>
        <v>0</v>
      </c>
    </row>
    <row r="628" spans="1:15" x14ac:dyDescent="0.3">
      <c r="A628" s="13">
        <v>45988</v>
      </c>
      <c r="B628" s="4" t="str">
        <f>TEXT(Data!B628,"MMM-YYYY")</f>
        <v>Aug-2023</v>
      </c>
      <c r="C628" s="4" t="str">
        <f t="shared" si="48"/>
        <v>Nov-2025</v>
      </c>
      <c r="D628" s="14">
        <f t="shared" si="49"/>
        <v>45988</v>
      </c>
      <c r="E628" s="4" t="str">
        <f t="shared" si="45"/>
        <v>Q4-2025</v>
      </c>
      <c r="F628" t="s">
        <v>45</v>
      </c>
      <c r="G628" t="s">
        <v>60</v>
      </c>
      <c r="H628" t="s">
        <v>281</v>
      </c>
      <c r="I628" t="s">
        <v>22</v>
      </c>
      <c r="J628" s="8" t="str">
        <f t="shared" si="46"/>
        <v>High</v>
      </c>
      <c r="K628" s="4">
        <v>978.09</v>
      </c>
      <c r="L628" s="4">
        <v>978.09</v>
      </c>
      <c r="M628" s="4">
        <v>0.159</v>
      </c>
      <c r="N628" s="4">
        <v>17</v>
      </c>
      <c r="O628" s="4">
        <f t="shared" si="47"/>
        <v>0</v>
      </c>
    </row>
    <row r="629" spans="1:15" x14ac:dyDescent="0.3">
      <c r="A629" s="13">
        <v>45989</v>
      </c>
      <c r="B629" s="4" t="str">
        <f>TEXT(Data!B629,"MMM-YYYY")</f>
        <v>Jun-2023</v>
      </c>
      <c r="C629" s="4" t="str">
        <f t="shared" si="48"/>
        <v>Nov-2025</v>
      </c>
      <c r="D629" s="14">
        <f t="shared" si="49"/>
        <v>45989</v>
      </c>
      <c r="E629" s="4" t="str">
        <f t="shared" si="45"/>
        <v>Q4-2025</v>
      </c>
      <c r="F629" t="s">
        <v>45</v>
      </c>
      <c r="G629" t="s">
        <v>116</v>
      </c>
      <c r="H629" t="s">
        <v>162</v>
      </c>
      <c r="I629" t="s">
        <v>64</v>
      </c>
      <c r="J629" s="8" t="str">
        <f t="shared" si="46"/>
        <v>High</v>
      </c>
      <c r="K629" s="4">
        <v>545.72</v>
      </c>
      <c r="L629" s="4">
        <v>545.72</v>
      </c>
      <c r="M629" s="4">
        <v>0.151</v>
      </c>
      <c r="N629" s="4">
        <v>11</v>
      </c>
      <c r="O629" s="4">
        <f t="shared" si="47"/>
        <v>0</v>
      </c>
    </row>
    <row r="630" spans="1:15" x14ac:dyDescent="0.3">
      <c r="A630" s="13">
        <v>45990</v>
      </c>
      <c r="B630" s="4" t="str">
        <f>TEXT(Data!B630,"MMM-YYYY")</f>
        <v>Dec-2023</v>
      </c>
      <c r="C630" s="4" t="str">
        <f t="shared" si="48"/>
        <v>Nov-2025</v>
      </c>
      <c r="D630" s="14">
        <f t="shared" si="49"/>
        <v>45990</v>
      </c>
      <c r="E630" s="4" t="str">
        <f t="shared" si="45"/>
        <v>Q4-2025</v>
      </c>
      <c r="F630" t="s">
        <v>52</v>
      </c>
      <c r="G630" t="s">
        <v>53</v>
      </c>
      <c r="H630" t="s">
        <v>179</v>
      </c>
      <c r="I630" t="s">
        <v>42</v>
      </c>
      <c r="J630" s="8" t="str">
        <f t="shared" si="46"/>
        <v>High</v>
      </c>
      <c r="K630" s="4">
        <v>1435.54</v>
      </c>
      <c r="L630" s="4">
        <v>1435.54</v>
      </c>
      <c r="M630" s="4">
        <v>0</v>
      </c>
      <c r="N630" s="4">
        <v>23</v>
      </c>
      <c r="O630" s="4">
        <f t="shared" si="47"/>
        <v>0</v>
      </c>
    </row>
    <row r="631" spans="1:15" x14ac:dyDescent="0.3">
      <c r="A631" s="13">
        <v>45991</v>
      </c>
      <c r="B631" s="4" t="str">
        <f>TEXT(Data!B631,"MMM-YYYY")</f>
        <v>Nov-2023</v>
      </c>
      <c r="C631" s="4" t="str">
        <f t="shared" si="48"/>
        <v>Nov-2025</v>
      </c>
      <c r="D631" s="14">
        <f t="shared" si="49"/>
        <v>45991</v>
      </c>
      <c r="E631" s="4" t="str">
        <f t="shared" si="45"/>
        <v>Q4-2025</v>
      </c>
      <c r="F631" t="s">
        <v>78</v>
      </c>
      <c r="G631" t="s">
        <v>79</v>
      </c>
      <c r="H631" t="s">
        <v>335</v>
      </c>
      <c r="I631" t="s">
        <v>22</v>
      </c>
      <c r="J631" s="8" t="str">
        <f t="shared" si="46"/>
        <v>High</v>
      </c>
      <c r="K631" s="4">
        <v>2397.3000000000002</v>
      </c>
      <c r="L631" s="4">
        <v>2397.3000000000002</v>
      </c>
      <c r="M631" s="4">
        <v>6.2E-2</v>
      </c>
      <c r="N631" s="4">
        <v>18</v>
      </c>
      <c r="O631" s="4">
        <f t="shared" si="47"/>
        <v>0</v>
      </c>
    </row>
    <row r="632" spans="1:15" x14ac:dyDescent="0.3">
      <c r="A632" s="13">
        <v>45992</v>
      </c>
      <c r="B632" s="4" t="str">
        <f>TEXT(Data!B632,"MMM-YYYY")</f>
        <v>Feb-2025</v>
      </c>
      <c r="C632" s="4" t="str">
        <f t="shared" si="48"/>
        <v>Dec-2025</v>
      </c>
      <c r="D632" s="14">
        <f t="shared" si="49"/>
        <v>45992</v>
      </c>
      <c r="E632" s="4" t="str">
        <f t="shared" si="45"/>
        <v>Q4-2025</v>
      </c>
      <c r="F632" t="s">
        <v>45</v>
      </c>
      <c r="G632" t="s">
        <v>46</v>
      </c>
      <c r="H632" t="s">
        <v>231</v>
      </c>
      <c r="I632" t="s">
        <v>42</v>
      </c>
      <c r="J632" s="8" t="str">
        <f t="shared" si="46"/>
        <v>High</v>
      </c>
      <c r="K632" s="4">
        <v>1853.86</v>
      </c>
      <c r="L632" s="4">
        <v>1853.86</v>
      </c>
      <c r="M632" s="4">
        <v>0.13900000000000001</v>
      </c>
      <c r="N632" s="4">
        <v>8</v>
      </c>
      <c r="O632" s="4">
        <f t="shared" si="47"/>
        <v>0</v>
      </c>
    </row>
    <row r="633" spans="1:15" x14ac:dyDescent="0.3">
      <c r="A633" s="13">
        <v>45993</v>
      </c>
      <c r="B633" s="4" t="str">
        <f>TEXT(Data!B633,"MMM-YYYY")</f>
        <v>Feb-2025</v>
      </c>
      <c r="C633" s="4" t="str">
        <f t="shared" si="48"/>
        <v>Dec-2025</v>
      </c>
      <c r="D633" s="14">
        <f t="shared" si="49"/>
        <v>45993</v>
      </c>
      <c r="E633" s="4" t="str">
        <f t="shared" si="45"/>
        <v>Q4-2025</v>
      </c>
      <c r="F633" t="s">
        <v>45</v>
      </c>
      <c r="G633" t="s">
        <v>46</v>
      </c>
      <c r="H633" t="s">
        <v>47</v>
      </c>
      <c r="I633" t="s">
        <v>57</v>
      </c>
      <c r="J633" s="8" t="str">
        <f t="shared" si="46"/>
        <v>Low</v>
      </c>
      <c r="K633" s="4">
        <v>45.98</v>
      </c>
      <c r="L633" s="4">
        <v>45.98</v>
      </c>
      <c r="M633" s="4">
        <v>0.17299999999999999</v>
      </c>
      <c r="N633" s="4">
        <v>7</v>
      </c>
      <c r="O633" s="4">
        <f t="shared" si="47"/>
        <v>0</v>
      </c>
    </row>
  </sheetData>
  <conditionalFormatting sqref="K1:K1048576">
    <cfRule type="cellIs" dxfId="13" priority="2" operator="lessThan">
      <formula>0</formula>
    </cfRule>
  </conditionalFormatting>
  <conditionalFormatting sqref="L1:L633">
    <cfRule type="cellIs" dxfId="12" priority="1" operator="lessThan">
      <formula>0</formula>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36F7A-7914-4DFC-82E7-908652B639E7}">
  <dimension ref="A1:AI27"/>
  <sheetViews>
    <sheetView topLeftCell="A3" workbookViewId="0">
      <selection activeCell="A3" sqref="A3"/>
    </sheetView>
  </sheetViews>
  <sheetFormatPr defaultRowHeight="14.4" x14ac:dyDescent="0.3"/>
  <cols>
    <col min="1" max="1" width="20" bestFit="1" customWidth="1"/>
    <col min="2" max="2" width="15.5546875" bestFit="1" customWidth="1"/>
    <col min="3" max="36" width="12" bestFit="1" customWidth="1"/>
    <col min="37" max="37" width="11" bestFit="1" customWidth="1"/>
    <col min="38" max="38" width="12" bestFit="1" customWidth="1"/>
    <col min="39" max="39" width="11" bestFit="1" customWidth="1"/>
    <col min="40" max="40" width="10" bestFit="1" customWidth="1"/>
    <col min="41" max="41" width="7" bestFit="1" customWidth="1"/>
    <col min="42" max="43" width="12" bestFit="1" customWidth="1"/>
    <col min="44" max="44" width="14.77734375" bestFit="1" customWidth="1"/>
    <col min="45" max="45" width="9" bestFit="1" customWidth="1"/>
    <col min="46" max="46" width="13.77734375" bestFit="1" customWidth="1"/>
    <col min="47" max="47" width="12" bestFit="1" customWidth="1"/>
    <col min="48" max="48" width="10" bestFit="1" customWidth="1"/>
    <col min="49" max="49" width="11" bestFit="1" customWidth="1"/>
    <col min="50" max="52" width="12" bestFit="1" customWidth="1"/>
    <col min="53" max="53" width="11" bestFit="1" customWidth="1"/>
    <col min="54" max="54" width="11.33203125" bestFit="1" customWidth="1"/>
    <col min="55" max="55" width="14.77734375" bestFit="1" customWidth="1"/>
    <col min="56" max="56" width="12" bestFit="1" customWidth="1"/>
    <col min="57" max="57" width="13.77734375" bestFit="1" customWidth="1"/>
    <col min="58" max="58" width="11" bestFit="1" customWidth="1"/>
    <col min="59" max="61" width="12" bestFit="1" customWidth="1"/>
    <col min="62" max="62" width="11" bestFit="1" customWidth="1"/>
    <col min="63" max="63" width="12" bestFit="1" customWidth="1"/>
    <col min="64" max="65" width="10" bestFit="1" customWidth="1"/>
    <col min="66" max="66" width="12" bestFit="1" customWidth="1"/>
    <col min="67" max="67" width="14.77734375" bestFit="1" customWidth="1"/>
    <col min="68" max="68" width="12" bestFit="1" customWidth="1"/>
    <col min="69" max="69" width="13.77734375" bestFit="1" customWidth="1"/>
    <col min="70" max="71" width="12" bestFit="1" customWidth="1"/>
    <col min="72" max="72" width="8" bestFit="1" customWidth="1"/>
    <col min="73" max="73" width="12" bestFit="1" customWidth="1"/>
    <col min="74" max="74" width="11" bestFit="1" customWidth="1"/>
    <col min="75" max="76" width="12" bestFit="1" customWidth="1"/>
    <col min="77" max="77" width="11" bestFit="1" customWidth="1"/>
    <col min="78" max="79" width="12" bestFit="1" customWidth="1"/>
    <col min="80" max="80" width="13.5546875" bestFit="1" customWidth="1"/>
    <col min="81" max="87" width="12" bestFit="1" customWidth="1"/>
    <col min="88" max="88" width="14.77734375" bestFit="1" customWidth="1"/>
    <col min="89" max="89" width="12" bestFit="1" customWidth="1"/>
    <col min="90" max="90" width="13.5546875" bestFit="1" customWidth="1"/>
    <col min="91" max="91" width="10.6640625" bestFit="1" customWidth="1"/>
    <col min="92" max="92" width="11" bestFit="1" customWidth="1"/>
    <col min="93" max="95" width="12" bestFit="1" customWidth="1"/>
    <col min="96" max="96" width="11" bestFit="1" customWidth="1"/>
    <col min="97" max="99" width="12" bestFit="1" customWidth="1"/>
    <col min="100" max="100" width="14.77734375" bestFit="1" customWidth="1"/>
    <col min="101" max="101" width="12" bestFit="1" customWidth="1"/>
    <col min="102" max="102" width="13.44140625" bestFit="1" customWidth="1"/>
    <col min="103" max="104" width="11" bestFit="1" customWidth="1"/>
    <col min="105" max="105" width="12" bestFit="1" customWidth="1"/>
    <col min="106" max="106" width="10" bestFit="1" customWidth="1"/>
    <col min="107" max="108" width="12" bestFit="1" customWidth="1"/>
    <col min="109" max="109" width="11" bestFit="1" customWidth="1"/>
    <col min="110" max="110" width="12" bestFit="1" customWidth="1"/>
    <col min="111" max="111" width="8" bestFit="1" customWidth="1"/>
    <col min="112" max="112" width="13.44140625" bestFit="1" customWidth="1"/>
    <col min="113" max="113" width="12" bestFit="1" customWidth="1"/>
    <col min="114" max="114" width="11" bestFit="1" customWidth="1"/>
    <col min="115" max="115" width="12" bestFit="1" customWidth="1"/>
    <col min="116" max="117" width="11" bestFit="1" customWidth="1"/>
    <col min="118" max="118" width="10" bestFit="1" customWidth="1"/>
    <col min="119" max="119" width="11" bestFit="1" customWidth="1"/>
    <col min="120" max="120" width="12" bestFit="1" customWidth="1"/>
    <col min="121" max="121" width="14.77734375" bestFit="1" customWidth="1"/>
    <col min="122" max="122" width="11" bestFit="1" customWidth="1"/>
    <col min="123" max="123" width="13.44140625" bestFit="1" customWidth="1"/>
    <col min="124" max="124" width="11" bestFit="1" customWidth="1"/>
    <col min="125" max="125" width="9" bestFit="1" customWidth="1"/>
    <col min="126" max="126" width="7" bestFit="1" customWidth="1"/>
    <col min="127" max="130" width="12" bestFit="1" customWidth="1"/>
    <col min="131" max="131" width="11" bestFit="1" customWidth="1"/>
    <col min="132" max="132" width="11.33203125" bestFit="1" customWidth="1"/>
    <col min="133" max="133" width="14.77734375" bestFit="1" customWidth="1"/>
    <col min="134" max="134" width="12" bestFit="1" customWidth="1"/>
    <col min="135" max="135" width="13.21875" bestFit="1" customWidth="1"/>
    <col min="136" max="136" width="10.44140625" bestFit="1" customWidth="1"/>
    <col min="137" max="138" width="11" bestFit="1" customWidth="1"/>
    <col min="139" max="142" width="12" bestFit="1" customWidth="1"/>
    <col min="143" max="143" width="14.77734375" bestFit="1" customWidth="1"/>
    <col min="144" max="144" width="11" bestFit="1" customWidth="1"/>
    <col min="145" max="145" width="13.21875" bestFit="1" customWidth="1"/>
    <col min="146" max="146" width="11" bestFit="1" customWidth="1"/>
    <col min="147" max="148" width="12" bestFit="1" customWidth="1"/>
    <col min="149" max="149" width="7" bestFit="1" customWidth="1"/>
    <col min="150" max="150" width="12" bestFit="1" customWidth="1"/>
    <col min="151" max="151" width="11" bestFit="1" customWidth="1"/>
    <col min="152" max="152" width="11.33203125" bestFit="1" customWidth="1"/>
    <col min="153" max="153" width="14.77734375" bestFit="1" customWidth="1"/>
    <col min="154" max="154" width="11" bestFit="1" customWidth="1"/>
    <col min="155" max="155" width="13.21875" bestFit="1" customWidth="1"/>
    <col min="156" max="156" width="12" bestFit="1" customWidth="1"/>
    <col min="157" max="157" width="10" bestFit="1" customWidth="1"/>
    <col min="158" max="158" width="12" bestFit="1" customWidth="1"/>
    <col min="159" max="160" width="10" bestFit="1" customWidth="1"/>
    <col min="161" max="161" width="12" bestFit="1" customWidth="1"/>
    <col min="162" max="162" width="11" bestFit="1" customWidth="1"/>
    <col min="163" max="164" width="12" bestFit="1" customWidth="1"/>
    <col min="165" max="165" width="14.77734375" bestFit="1" customWidth="1"/>
    <col min="166" max="166" width="12" bestFit="1" customWidth="1"/>
    <col min="167" max="167" width="12.5546875" bestFit="1" customWidth="1"/>
    <col min="168" max="168" width="9.88671875" bestFit="1" customWidth="1"/>
    <col min="169" max="171" width="12" bestFit="1" customWidth="1"/>
    <col min="172" max="172" width="5.21875" bestFit="1" customWidth="1"/>
    <col min="173" max="173" width="12" bestFit="1" customWidth="1"/>
    <col min="174" max="174" width="11" bestFit="1" customWidth="1"/>
    <col min="175" max="175" width="10" bestFit="1" customWidth="1"/>
    <col min="176" max="176" width="12.5546875" bestFit="1" customWidth="1"/>
    <col min="177" max="177" width="12" bestFit="1" customWidth="1"/>
    <col min="178" max="178" width="11" bestFit="1" customWidth="1"/>
    <col min="179" max="183" width="12" bestFit="1" customWidth="1"/>
    <col min="184" max="184" width="14.77734375" bestFit="1" customWidth="1"/>
    <col min="185" max="185" width="12.5546875" bestFit="1" customWidth="1"/>
    <col min="186" max="187" width="12" bestFit="1" customWidth="1"/>
    <col min="188" max="188" width="10" bestFit="1" customWidth="1"/>
    <col min="189" max="189" width="9" bestFit="1" customWidth="1"/>
    <col min="190" max="190" width="11" bestFit="1" customWidth="1"/>
    <col min="191" max="191" width="9" bestFit="1" customWidth="1"/>
    <col min="192" max="192" width="12" bestFit="1" customWidth="1"/>
    <col min="193" max="193" width="10" bestFit="1" customWidth="1"/>
    <col min="194" max="194" width="9" bestFit="1" customWidth="1"/>
    <col min="195" max="195" width="14.77734375" bestFit="1" customWidth="1"/>
    <col min="196" max="196" width="12" bestFit="1" customWidth="1"/>
    <col min="197" max="197" width="13.33203125" bestFit="1" customWidth="1"/>
    <col min="198" max="199" width="11" bestFit="1" customWidth="1"/>
    <col min="200" max="200" width="12" bestFit="1" customWidth="1"/>
    <col min="201" max="201" width="11" bestFit="1" customWidth="1"/>
    <col min="202" max="206" width="12" bestFit="1" customWidth="1"/>
    <col min="207" max="207" width="14.77734375" bestFit="1" customWidth="1"/>
    <col min="208" max="208" width="13.33203125" bestFit="1" customWidth="1"/>
    <col min="209" max="210" width="12" bestFit="1" customWidth="1"/>
    <col min="211" max="212" width="11" bestFit="1" customWidth="1"/>
    <col min="213" max="216" width="12" bestFit="1" customWidth="1"/>
    <col min="217" max="217" width="14.77734375" bestFit="1" customWidth="1"/>
    <col min="218" max="218" width="13.33203125" bestFit="1" customWidth="1"/>
    <col min="219" max="219" width="11.109375" bestFit="1" customWidth="1"/>
    <col min="220" max="220" width="12" bestFit="1" customWidth="1"/>
    <col min="221" max="221" width="11" bestFit="1" customWidth="1"/>
    <col min="222" max="226" width="12" bestFit="1" customWidth="1"/>
    <col min="227" max="227" width="14.77734375" bestFit="1" customWidth="1"/>
    <col min="228" max="228" width="13.88671875" bestFit="1" customWidth="1"/>
    <col min="229" max="229" width="11.109375" bestFit="1" customWidth="1"/>
    <col min="230" max="230" width="12" bestFit="1" customWidth="1"/>
    <col min="231" max="231" width="11" bestFit="1" customWidth="1"/>
    <col min="232" max="234" width="12" bestFit="1" customWidth="1"/>
    <col min="235" max="235" width="11" bestFit="1" customWidth="1"/>
    <col min="236" max="236" width="12" bestFit="1" customWidth="1"/>
    <col min="237" max="237" width="11.33203125" bestFit="1" customWidth="1"/>
    <col min="238" max="238" width="14.77734375" bestFit="1" customWidth="1"/>
    <col min="239" max="239" width="12" bestFit="1" customWidth="1"/>
    <col min="240" max="240" width="13.88671875" bestFit="1" customWidth="1"/>
    <col min="241" max="241" width="11.109375" bestFit="1" customWidth="1"/>
    <col min="242" max="245" width="12" bestFit="1" customWidth="1"/>
    <col min="246" max="246" width="7" bestFit="1" customWidth="1"/>
    <col min="247" max="248" width="12" bestFit="1" customWidth="1"/>
    <col min="249" max="249" width="14.77734375" bestFit="1" customWidth="1"/>
    <col min="250" max="250" width="13.88671875" bestFit="1" customWidth="1"/>
    <col min="251" max="258" width="12" bestFit="1" customWidth="1"/>
    <col min="259" max="259" width="14.77734375" bestFit="1" customWidth="1"/>
    <col min="260" max="260" width="12" bestFit="1" customWidth="1"/>
    <col min="261" max="261" width="14.21875" bestFit="1" customWidth="1"/>
    <col min="262" max="262" width="12" bestFit="1" customWidth="1"/>
    <col min="263" max="263" width="11" bestFit="1" customWidth="1"/>
    <col min="264" max="264" width="12" bestFit="1" customWidth="1"/>
    <col min="265" max="265" width="11" bestFit="1" customWidth="1"/>
    <col min="266" max="266" width="12" bestFit="1" customWidth="1"/>
    <col min="267" max="268" width="11" bestFit="1" customWidth="1"/>
    <col min="269" max="270" width="12" bestFit="1" customWidth="1"/>
    <col min="271" max="271" width="14.77734375" bestFit="1" customWidth="1"/>
    <col min="272" max="272" width="12" bestFit="1" customWidth="1"/>
    <col min="273" max="273" width="14.21875" bestFit="1" customWidth="1"/>
    <col min="274" max="274" width="11.44140625" bestFit="1" customWidth="1"/>
    <col min="275" max="275" width="12" bestFit="1" customWidth="1"/>
    <col min="276" max="276" width="11" bestFit="1" customWidth="1"/>
    <col min="277" max="277" width="10" bestFit="1" customWidth="1"/>
    <col min="278" max="278" width="11" bestFit="1" customWidth="1"/>
    <col min="279" max="279" width="12" bestFit="1" customWidth="1"/>
    <col min="280" max="280" width="11" bestFit="1" customWidth="1"/>
    <col min="281" max="281" width="10" bestFit="1" customWidth="1"/>
    <col min="282" max="282" width="11" bestFit="1" customWidth="1"/>
    <col min="283" max="283" width="11.33203125" bestFit="1" customWidth="1"/>
    <col min="284" max="284" width="14.77734375" bestFit="1" customWidth="1"/>
    <col min="285" max="285" width="11" bestFit="1" customWidth="1"/>
    <col min="286" max="286" width="14.21875" bestFit="1" customWidth="1"/>
    <col min="287" max="287" width="12" bestFit="1" customWidth="1"/>
    <col min="288" max="288" width="11" bestFit="1" customWidth="1"/>
    <col min="289" max="289" width="12" bestFit="1" customWidth="1"/>
    <col min="290" max="290" width="11" bestFit="1" customWidth="1"/>
    <col min="291" max="291" width="9" bestFit="1" customWidth="1"/>
    <col min="292" max="292" width="12" bestFit="1" customWidth="1"/>
    <col min="293" max="293" width="14.77734375" bestFit="1" customWidth="1"/>
    <col min="294" max="294" width="13.88671875" bestFit="1" customWidth="1"/>
    <col min="295" max="296" width="12" bestFit="1" customWidth="1"/>
    <col min="297" max="297" width="8" bestFit="1" customWidth="1"/>
    <col min="298" max="298" width="12" bestFit="1" customWidth="1"/>
    <col min="299" max="299" width="11" bestFit="1" customWidth="1"/>
    <col min="300" max="301" width="12" bestFit="1" customWidth="1"/>
    <col min="302" max="302" width="14.77734375" bestFit="1" customWidth="1"/>
    <col min="303" max="303" width="13.88671875" bestFit="1" customWidth="1"/>
    <col min="304" max="304" width="12" bestFit="1" customWidth="1"/>
    <col min="305" max="305" width="10" bestFit="1" customWidth="1"/>
    <col min="306" max="306" width="12" bestFit="1" customWidth="1"/>
    <col min="307" max="309" width="11" bestFit="1" customWidth="1"/>
    <col min="310" max="310" width="10" bestFit="1" customWidth="1"/>
    <col min="311" max="311" width="6.88671875" bestFit="1" customWidth="1"/>
    <col min="312" max="312" width="11.33203125" bestFit="1" customWidth="1"/>
    <col min="313" max="313" width="14.77734375" bestFit="1" customWidth="1"/>
    <col min="314" max="314" width="11" bestFit="1" customWidth="1"/>
    <col min="315" max="315" width="13.33203125" bestFit="1" customWidth="1"/>
    <col min="316" max="316" width="12" bestFit="1" customWidth="1"/>
    <col min="317" max="317" width="6.5546875" bestFit="1" customWidth="1"/>
    <col min="318" max="318" width="11" bestFit="1" customWidth="1"/>
    <col min="319" max="322" width="12" bestFit="1" customWidth="1"/>
    <col min="323" max="323" width="14.77734375" bestFit="1" customWidth="1"/>
    <col min="324" max="324" width="12" bestFit="1" customWidth="1"/>
    <col min="325" max="325" width="13.33203125" bestFit="1" customWidth="1"/>
    <col min="326" max="326" width="11.44140625" bestFit="1" customWidth="1"/>
    <col min="327" max="327" width="11" bestFit="1" customWidth="1"/>
    <col min="328" max="328" width="12" bestFit="1" customWidth="1"/>
    <col min="329" max="329" width="9" bestFit="1" customWidth="1"/>
    <col min="330" max="331" width="12" bestFit="1" customWidth="1"/>
    <col min="332" max="332" width="6.21875" bestFit="1" customWidth="1"/>
    <col min="333" max="333" width="11" bestFit="1" customWidth="1"/>
    <col min="334" max="334" width="14.21875" bestFit="1" customWidth="1"/>
    <col min="335" max="335" width="12" bestFit="1" customWidth="1"/>
    <col min="336" max="336" width="9" bestFit="1" customWidth="1"/>
    <col min="337" max="340" width="12" bestFit="1" customWidth="1"/>
    <col min="341" max="341" width="9" bestFit="1" customWidth="1"/>
    <col min="342" max="342" width="11.33203125" bestFit="1" customWidth="1"/>
    <col min="343" max="343" width="14.77734375" bestFit="1" customWidth="1"/>
    <col min="344" max="344" width="12" bestFit="1" customWidth="1"/>
    <col min="345" max="345" width="14.21875" bestFit="1" customWidth="1"/>
    <col min="346" max="346" width="12" bestFit="1" customWidth="1"/>
    <col min="347" max="347" width="11" bestFit="1" customWidth="1"/>
    <col min="348" max="348" width="9" bestFit="1" customWidth="1"/>
    <col min="349" max="349" width="12" bestFit="1" customWidth="1"/>
    <col min="350" max="350" width="10" bestFit="1" customWidth="1"/>
    <col min="351" max="351" width="12" bestFit="1" customWidth="1"/>
    <col min="352" max="352" width="14.77734375" bestFit="1" customWidth="1"/>
    <col min="353" max="353" width="14.21875" bestFit="1" customWidth="1"/>
    <col min="354" max="354" width="12" bestFit="1" customWidth="1"/>
  </cols>
  <sheetData>
    <row r="1" spans="1:35" x14ac:dyDescent="0.3">
      <c r="A1" s="9" t="s">
        <v>4</v>
      </c>
      <c r="B1" t="s">
        <v>1412</v>
      </c>
    </row>
    <row r="3" spans="1:35" x14ac:dyDescent="0.3">
      <c r="A3" s="9" t="s">
        <v>1419</v>
      </c>
      <c r="B3" s="9" t="s">
        <v>1411</v>
      </c>
    </row>
    <row r="4" spans="1:35" x14ac:dyDescent="0.3">
      <c r="A4" s="9" t="s">
        <v>1376</v>
      </c>
      <c r="B4" t="s">
        <v>1381</v>
      </c>
      <c r="C4" t="s">
        <v>1393</v>
      </c>
      <c r="D4" t="s">
        <v>1405</v>
      </c>
      <c r="E4" t="s">
        <v>1385</v>
      </c>
      <c r="F4" t="s">
        <v>1397</v>
      </c>
      <c r="G4" t="s">
        <v>1409</v>
      </c>
      <c r="H4" t="s">
        <v>1389</v>
      </c>
      <c r="I4" t="s">
        <v>1401</v>
      </c>
      <c r="J4" t="s">
        <v>1379</v>
      </c>
      <c r="K4" t="s">
        <v>1391</v>
      </c>
      <c r="L4" t="s">
        <v>1403</v>
      </c>
      <c r="M4" t="s">
        <v>1378</v>
      </c>
      <c r="N4" t="s">
        <v>1390</v>
      </c>
      <c r="O4" t="s">
        <v>1402</v>
      </c>
      <c r="P4" t="s">
        <v>1384</v>
      </c>
      <c r="Q4" t="s">
        <v>1396</v>
      </c>
      <c r="R4" t="s">
        <v>1408</v>
      </c>
      <c r="S4" t="s">
        <v>1383</v>
      </c>
      <c r="T4" t="s">
        <v>1395</v>
      </c>
      <c r="U4" t="s">
        <v>1407</v>
      </c>
      <c r="V4" t="s">
        <v>1380</v>
      </c>
      <c r="W4" t="s">
        <v>1392</v>
      </c>
      <c r="X4" t="s">
        <v>1404</v>
      </c>
      <c r="Y4" t="s">
        <v>1382</v>
      </c>
      <c r="Z4" t="s">
        <v>1394</v>
      </c>
      <c r="AA4" t="s">
        <v>1406</v>
      </c>
      <c r="AB4" t="s">
        <v>1388</v>
      </c>
      <c r="AC4" t="s">
        <v>1400</v>
      </c>
      <c r="AD4" t="s">
        <v>1387</v>
      </c>
      <c r="AE4" t="s">
        <v>1399</v>
      </c>
      <c r="AF4" t="s">
        <v>1386</v>
      </c>
      <c r="AG4" t="s">
        <v>1398</v>
      </c>
      <c r="AH4" t="s">
        <v>1410</v>
      </c>
      <c r="AI4" t="s">
        <v>1377</v>
      </c>
    </row>
    <row r="5" spans="1:35" x14ac:dyDescent="0.3">
      <c r="A5" s="10" t="s">
        <v>1393</v>
      </c>
      <c r="B5" s="12">
        <v>14824.899239999997</v>
      </c>
      <c r="C5" s="12">
        <v>22477.30575</v>
      </c>
      <c r="D5" s="12">
        <v>11781.338519999999</v>
      </c>
      <c r="E5" s="12"/>
      <c r="F5" s="12">
        <v>49294.844100000002</v>
      </c>
      <c r="G5" s="12"/>
      <c r="H5" s="12"/>
      <c r="I5" s="12">
        <v>43367.691729999999</v>
      </c>
      <c r="J5" s="12">
        <v>41567.724199999997</v>
      </c>
      <c r="K5" s="12"/>
      <c r="L5" s="12"/>
      <c r="M5" s="12"/>
      <c r="N5" s="12">
        <v>7368.0599999999995</v>
      </c>
      <c r="O5" s="12"/>
      <c r="P5" s="12">
        <v>21312.892040000002</v>
      </c>
      <c r="Q5" s="12">
        <v>1243.5675000000001</v>
      </c>
      <c r="R5" s="12">
        <v>-19.309279999999998</v>
      </c>
      <c r="S5" s="12">
        <v>27907.737130000001</v>
      </c>
      <c r="T5" s="12">
        <v>353.76639999999998</v>
      </c>
      <c r="U5" s="12">
        <v>29284.637119999999</v>
      </c>
      <c r="V5" s="12">
        <v>86276.904139999999</v>
      </c>
      <c r="W5" s="12">
        <v>25427.751119999997</v>
      </c>
      <c r="X5" s="12"/>
      <c r="Y5" s="12">
        <v>24160.543999999998</v>
      </c>
      <c r="Z5" s="12">
        <v>53971.102800000008</v>
      </c>
      <c r="AA5" s="12">
        <v>17662.129100000002</v>
      </c>
      <c r="AB5" s="12"/>
      <c r="AC5" s="12">
        <v>21665.382399999999</v>
      </c>
      <c r="AD5" s="12"/>
      <c r="AE5" s="12">
        <v>32079.35108</v>
      </c>
      <c r="AF5" s="12"/>
      <c r="AG5" s="12"/>
      <c r="AH5" s="12"/>
      <c r="AI5" s="12">
        <v>532008.31909</v>
      </c>
    </row>
    <row r="6" spans="1:35" x14ac:dyDescent="0.3">
      <c r="A6" s="10" t="s">
        <v>1405</v>
      </c>
      <c r="B6" s="12"/>
      <c r="C6" s="12"/>
      <c r="D6" s="12">
        <v>26377.532999999999</v>
      </c>
      <c r="E6" s="12">
        <v>6993.8619799999997</v>
      </c>
      <c r="F6" s="12">
        <v>30066.424610000002</v>
      </c>
      <c r="G6" s="12">
        <v>51745.059600000001</v>
      </c>
      <c r="H6" s="12">
        <v>10899.599999999999</v>
      </c>
      <c r="I6" s="12">
        <v>22741.535920000002</v>
      </c>
      <c r="J6" s="12"/>
      <c r="K6" s="12"/>
      <c r="L6" s="12">
        <v>15273.329759999999</v>
      </c>
      <c r="M6" s="12"/>
      <c r="N6" s="12"/>
      <c r="O6" s="12">
        <v>11831.2565</v>
      </c>
      <c r="P6" s="12"/>
      <c r="Q6" s="12">
        <v>9079.5053000000007</v>
      </c>
      <c r="R6" s="12"/>
      <c r="S6" s="12"/>
      <c r="T6" s="12">
        <v>22569.275520000003</v>
      </c>
      <c r="U6" s="12">
        <v>9830.4127899999985</v>
      </c>
      <c r="V6" s="12">
        <v>20289.089519999998</v>
      </c>
      <c r="W6" s="12">
        <v>5499.1688399999994</v>
      </c>
      <c r="X6" s="12">
        <v>1687.7889600000003</v>
      </c>
      <c r="Y6" s="12">
        <v>11663.26656</v>
      </c>
      <c r="Z6" s="12">
        <v>41010.924360000005</v>
      </c>
      <c r="AA6" s="12">
        <v>47770.043099999995</v>
      </c>
      <c r="AB6" s="12"/>
      <c r="AC6" s="12">
        <v>5658.8054400000001</v>
      </c>
      <c r="AD6" s="12">
        <v>31288.406300000002</v>
      </c>
      <c r="AE6" s="12"/>
      <c r="AF6" s="12">
        <v>44766.472129999995</v>
      </c>
      <c r="AG6" s="12">
        <v>18353.975399999999</v>
      </c>
      <c r="AH6" s="12">
        <v>14660.399949999999</v>
      </c>
      <c r="AI6" s="12">
        <v>460056.13554000005</v>
      </c>
    </row>
    <row r="7" spans="1:35" x14ac:dyDescent="0.3">
      <c r="A7" s="10" t="s">
        <v>1397</v>
      </c>
      <c r="B7" s="12">
        <v>32735.194359999998</v>
      </c>
      <c r="C7" s="12">
        <v>45741.465980000001</v>
      </c>
      <c r="D7" s="12">
        <v>26608.919040000001</v>
      </c>
      <c r="E7" s="12"/>
      <c r="F7" s="12">
        <v>57488.471080000003</v>
      </c>
      <c r="G7" s="12">
        <v>10180.661399999999</v>
      </c>
      <c r="H7" s="12">
        <v>2454.4137600000004</v>
      </c>
      <c r="I7" s="12"/>
      <c r="J7" s="12">
        <v>97289.670199999993</v>
      </c>
      <c r="K7" s="12">
        <v>15076.000319999999</v>
      </c>
      <c r="L7" s="12">
        <v>7100.6851799999995</v>
      </c>
      <c r="M7" s="12"/>
      <c r="N7" s="12"/>
      <c r="O7" s="12"/>
      <c r="P7" s="12">
        <v>31848.366780000004</v>
      </c>
      <c r="Q7" s="12">
        <v>18676.97536</v>
      </c>
      <c r="R7" s="12"/>
      <c r="S7" s="12"/>
      <c r="T7" s="12">
        <v>13928.6554</v>
      </c>
      <c r="U7" s="12"/>
      <c r="V7" s="12">
        <v>50207.703000000001</v>
      </c>
      <c r="W7" s="12"/>
      <c r="X7" s="12"/>
      <c r="Y7" s="12"/>
      <c r="Z7" s="12">
        <v>5308.1555399999997</v>
      </c>
      <c r="AA7" s="12">
        <v>36583.530899999998</v>
      </c>
      <c r="AB7" s="12">
        <v>42353.882679999995</v>
      </c>
      <c r="AC7" s="12"/>
      <c r="AD7" s="12">
        <v>1815.2108999999998</v>
      </c>
      <c r="AE7" s="12">
        <v>14878.7914</v>
      </c>
      <c r="AF7" s="12">
        <v>8757.7692000000006</v>
      </c>
      <c r="AG7" s="12">
        <v>57712.049999999996</v>
      </c>
      <c r="AH7" s="12">
        <v>49.780199999999994</v>
      </c>
      <c r="AI7" s="12">
        <v>576796.35267999989</v>
      </c>
    </row>
    <row r="8" spans="1:35" x14ac:dyDescent="0.3">
      <c r="A8" s="10" t="s">
        <v>1409</v>
      </c>
      <c r="B8" s="12">
        <v>25448.667200000004</v>
      </c>
      <c r="C8" s="12">
        <v>17160.8115</v>
      </c>
      <c r="D8" s="12">
        <v>11813.082300000002</v>
      </c>
      <c r="E8" s="12">
        <v>44990.512799999997</v>
      </c>
      <c r="F8" s="12">
        <v>31548.788040000003</v>
      </c>
      <c r="G8" s="12">
        <v>30771.51</v>
      </c>
      <c r="H8" s="12"/>
      <c r="I8" s="12"/>
      <c r="J8" s="12"/>
      <c r="K8" s="12"/>
      <c r="L8" s="12">
        <v>36886.575600000004</v>
      </c>
      <c r="M8" s="12">
        <v>7653.6</v>
      </c>
      <c r="N8" s="12">
        <v>30255.49626</v>
      </c>
      <c r="O8" s="12">
        <v>9162.3608000000004</v>
      </c>
      <c r="P8" s="12">
        <v>32372.731400000001</v>
      </c>
      <c r="Q8" s="12">
        <v>33964.936800000003</v>
      </c>
      <c r="R8" s="12"/>
      <c r="S8" s="12">
        <v>11222.701599999999</v>
      </c>
      <c r="T8" s="12">
        <v>53128.40832000001</v>
      </c>
      <c r="U8" s="12">
        <v>9059.1936000000005</v>
      </c>
      <c r="V8" s="12"/>
      <c r="W8" s="12">
        <v>28098.68448</v>
      </c>
      <c r="X8" s="12">
        <v>8687.4149000000016</v>
      </c>
      <c r="Y8" s="12">
        <v>62896.528430000006</v>
      </c>
      <c r="Z8" s="12">
        <v>6873.6311000000005</v>
      </c>
      <c r="AA8" s="12">
        <v>5994.1017599999996</v>
      </c>
      <c r="AB8" s="12"/>
      <c r="AC8" s="12">
        <v>6953.9874000000009</v>
      </c>
      <c r="AD8" s="12"/>
      <c r="AE8" s="12">
        <v>40152.022679999995</v>
      </c>
      <c r="AF8" s="12">
        <v>50294.07125999999</v>
      </c>
      <c r="AG8" s="12"/>
      <c r="AH8" s="12"/>
      <c r="AI8" s="12">
        <v>595389.81822999998</v>
      </c>
    </row>
    <row r="9" spans="1:35" x14ac:dyDescent="0.3">
      <c r="A9" s="10" t="s">
        <v>1401</v>
      </c>
      <c r="B9" s="12"/>
      <c r="C9" s="12"/>
      <c r="D9" s="12">
        <v>30054.98444</v>
      </c>
      <c r="E9" s="12">
        <v>28032.603800000001</v>
      </c>
      <c r="F9" s="12"/>
      <c r="G9" s="12">
        <v>7371.4888800000008</v>
      </c>
      <c r="H9" s="12">
        <v>15054.199999999999</v>
      </c>
      <c r="I9" s="12"/>
      <c r="J9" s="12"/>
      <c r="K9" s="12"/>
      <c r="L9" s="12">
        <v>6753.7724800000005</v>
      </c>
      <c r="M9" s="12"/>
      <c r="N9" s="12">
        <v>79337.233440000011</v>
      </c>
      <c r="O9" s="12"/>
      <c r="P9" s="12">
        <v>17447.836719999999</v>
      </c>
      <c r="Q9" s="12"/>
      <c r="R9" s="12"/>
      <c r="S9" s="12">
        <v>16255.516439999998</v>
      </c>
      <c r="T9" s="12">
        <v>8039.3543999999993</v>
      </c>
      <c r="U9" s="12">
        <v>9349.0342000000001</v>
      </c>
      <c r="V9" s="12"/>
      <c r="W9" s="12">
        <v>99322.510710000002</v>
      </c>
      <c r="X9" s="12">
        <v>13554.149039999998</v>
      </c>
      <c r="Y9" s="12">
        <v>3736.3119999999999</v>
      </c>
      <c r="Z9" s="12"/>
      <c r="AA9" s="12">
        <v>8208.8608800000002</v>
      </c>
      <c r="AB9" s="12"/>
      <c r="AC9" s="12"/>
      <c r="AD9" s="12">
        <v>3444.5590999999999</v>
      </c>
      <c r="AE9" s="12">
        <v>32644.137120000007</v>
      </c>
      <c r="AF9" s="12"/>
      <c r="AG9" s="12">
        <v>11640.572819999999</v>
      </c>
      <c r="AH9" s="12">
        <v>1617.8811600000001</v>
      </c>
      <c r="AI9" s="12">
        <v>391865.00763000001</v>
      </c>
    </row>
    <row r="10" spans="1:35" x14ac:dyDescent="0.3">
      <c r="A10" s="10" t="s">
        <v>1416</v>
      </c>
      <c r="B10" s="12"/>
      <c r="C10" s="12"/>
      <c r="D10" s="12"/>
      <c r="E10" s="12"/>
      <c r="F10" s="12"/>
      <c r="G10" s="12"/>
      <c r="H10" s="12"/>
      <c r="I10" s="12"/>
      <c r="J10" s="12"/>
      <c r="K10" s="12"/>
      <c r="L10" s="12">
        <v>0</v>
      </c>
      <c r="M10" s="12"/>
      <c r="N10" s="12"/>
      <c r="O10" s="12"/>
      <c r="P10" s="12"/>
      <c r="Q10" s="12"/>
      <c r="R10" s="12"/>
      <c r="S10" s="12"/>
      <c r="T10" s="12"/>
      <c r="U10" s="12"/>
      <c r="V10" s="12"/>
      <c r="W10" s="12"/>
      <c r="X10" s="12"/>
      <c r="Y10" s="12"/>
      <c r="Z10" s="12"/>
      <c r="AA10" s="12"/>
      <c r="AB10" s="12">
        <v>0</v>
      </c>
      <c r="AC10" s="12"/>
      <c r="AD10" s="12"/>
      <c r="AE10" s="12"/>
      <c r="AF10" s="12"/>
      <c r="AG10" s="12"/>
      <c r="AH10" s="12"/>
      <c r="AI10" s="12">
        <v>0</v>
      </c>
    </row>
    <row r="11" spans="1:35" x14ac:dyDescent="0.3">
      <c r="A11" s="10" t="s">
        <v>1403</v>
      </c>
      <c r="B11" s="12">
        <v>36385.454160000001</v>
      </c>
      <c r="C11" s="12">
        <v>2362.5509599999996</v>
      </c>
      <c r="D11" s="12">
        <v>7038.4882499999994</v>
      </c>
      <c r="E11" s="12">
        <v>2377.9312</v>
      </c>
      <c r="F11" s="12">
        <v>31286.9964</v>
      </c>
      <c r="G11" s="12"/>
      <c r="H11" s="12">
        <v>79516.988160000008</v>
      </c>
      <c r="I11" s="12"/>
      <c r="J11" s="12">
        <v>19625.658360000001</v>
      </c>
      <c r="K11" s="12">
        <v>34122.605040000002</v>
      </c>
      <c r="L11" s="12"/>
      <c r="M11" s="12"/>
      <c r="N11" s="12"/>
      <c r="O11" s="12">
        <v>27369.282600000002</v>
      </c>
      <c r="P11" s="12">
        <v>79487.856060000006</v>
      </c>
      <c r="Q11" s="12">
        <v>106718.60248</v>
      </c>
      <c r="R11" s="12"/>
      <c r="S11" s="12">
        <v>5667.829200000001</v>
      </c>
      <c r="T11" s="12"/>
      <c r="U11" s="12">
        <v>6418.5448799999995</v>
      </c>
      <c r="V11" s="12"/>
      <c r="W11" s="12"/>
      <c r="X11" s="12"/>
      <c r="Y11" s="12">
        <v>3760.95</v>
      </c>
      <c r="Z11" s="12"/>
      <c r="AA11" s="12">
        <v>841.56720000000018</v>
      </c>
      <c r="AB11" s="12">
        <v>6720.9426000000003</v>
      </c>
      <c r="AC11" s="12">
        <v>4722.4031999999997</v>
      </c>
      <c r="AD11" s="12">
        <v>11668.448000000002</v>
      </c>
      <c r="AE11" s="12">
        <v>33921.800000000003</v>
      </c>
      <c r="AF11" s="12"/>
      <c r="AG11" s="12"/>
      <c r="AH11" s="12">
        <v>21779.835220000001</v>
      </c>
      <c r="AI11" s="12">
        <v>521794.73397</v>
      </c>
    </row>
    <row r="12" spans="1:35" x14ac:dyDescent="0.3">
      <c r="A12" s="10" t="s">
        <v>1402</v>
      </c>
      <c r="B12" s="12"/>
      <c r="C12" s="12"/>
      <c r="D12" s="12">
        <v>9947.2986599999986</v>
      </c>
      <c r="E12" s="12"/>
      <c r="F12" s="12"/>
      <c r="G12" s="12"/>
      <c r="H12" s="12"/>
      <c r="I12" s="12">
        <v>13444.761599999998</v>
      </c>
      <c r="J12" s="12">
        <v>24902.262840000003</v>
      </c>
      <c r="K12" s="12">
        <v>24630.101600000002</v>
      </c>
      <c r="L12" s="12"/>
      <c r="M12" s="12">
        <v>35096.967360000002</v>
      </c>
      <c r="N12" s="12">
        <v>8113.3334400000003</v>
      </c>
      <c r="O12" s="12">
        <v>47441.618839999996</v>
      </c>
      <c r="P12" s="12">
        <v>18252.954719999998</v>
      </c>
      <c r="Q12" s="12"/>
      <c r="R12" s="12"/>
      <c r="S12" s="12">
        <v>6452.9218000000001</v>
      </c>
      <c r="T12" s="12">
        <v>13585.840979999999</v>
      </c>
      <c r="U12" s="12">
        <v>26888.394400000001</v>
      </c>
      <c r="V12" s="12">
        <v>125232.05063999999</v>
      </c>
      <c r="W12" s="12">
        <v>68306.553449999992</v>
      </c>
      <c r="X12" s="12">
        <v>52560.144000000008</v>
      </c>
      <c r="Y12" s="12">
        <v>45984.887640000001</v>
      </c>
      <c r="Z12" s="12">
        <v>39089.557999999997</v>
      </c>
      <c r="AA12" s="12">
        <v>18720.940640000001</v>
      </c>
      <c r="AB12" s="12">
        <v>27971.861250000002</v>
      </c>
      <c r="AC12" s="12">
        <v>35911.89</v>
      </c>
      <c r="AD12" s="12">
        <v>10311.923699999999</v>
      </c>
      <c r="AE12" s="12"/>
      <c r="AF12" s="12"/>
      <c r="AG12" s="12">
        <v>4829.1857899999995</v>
      </c>
      <c r="AH12" s="12"/>
      <c r="AI12" s="12">
        <v>657675.4513500001</v>
      </c>
    </row>
    <row r="13" spans="1:35" x14ac:dyDescent="0.3">
      <c r="A13" s="10" t="s">
        <v>1396</v>
      </c>
      <c r="B13" s="12">
        <v>14342.18838</v>
      </c>
      <c r="C13" s="12"/>
      <c r="D13" s="12"/>
      <c r="E13" s="12">
        <v>20235.176319999999</v>
      </c>
      <c r="F13" s="12"/>
      <c r="G13" s="12">
        <v>40507.245110000003</v>
      </c>
      <c r="H13" s="12">
        <v>7009.2643199999993</v>
      </c>
      <c r="I13" s="12">
        <v>62986.846780000007</v>
      </c>
      <c r="J13" s="12"/>
      <c r="K13" s="12">
        <v>35027.455319999994</v>
      </c>
      <c r="L13" s="12">
        <v>10997.906320000002</v>
      </c>
      <c r="M13" s="12">
        <v>33178.341359999999</v>
      </c>
      <c r="N13" s="12"/>
      <c r="O13" s="12">
        <v>17422.404779999997</v>
      </c>
      <c r="P13" s="12">
        <v>27251.100119999996</v>
      </c>
      <c r="Q13" s="12"/>
      <c r="R13" s="12">
        <v>4225.1932799999995</v>
      </c>
      <c r="S13" s="12">
        <v>9278.4804000000004</v>
      </c>
      <c r="T13" s="12">
        <v>44519.542379999999</v>
      </c>
      <c r="U13" s="12">
        <v>38245.204890000001</v>
      </c>
      <c r="V13" s="12">
        <v>9902.9228199999998</v>
      </c>
      <c r="W13" s="12"/>
      <c r="X13" s="12">
        <v>15583.45932</v>
      </c>
      <c r="Y13" s="12">
        <v>15179.749199999998</v>
      </c>
      <c r="Z13" s="12">
        <v>9877.5109800000009</v>
      </c>
      <c r="AA13" s="12"/>
      <c r="AB13" s="12">
        <v>21486.14229</v>
      </c>
      <c r="AC13" s="12">
        <v>47159.893899999995</v>
      </c>
      <c r="AD13" s="12"/>
      <c r="AE13" s="12"/>
      <c r="AF13" s="12"/>
      <c r="AG13" s="12"/>
      <c r="AH13" s="12"/>
      <c r="AI13" s="12">
        <v>484416.02827000001</v>
      </c>
    </row>
    <row r="14" spans="1:35" x14ac:dyDescent="0.3">
      <c r="A14" s="10" t="s">
        <v>1408</v>
      </c>
      <c r="B14" s="12">
        <v>31378.531800000001</v>
      </c>
      <c r="C14" s="12">
        <v>21447.614419999998</v>
      </c>
      <c r="D14" s="12">
        <v>20815.887770000001</v>
      </c>
      <c r="E14" s="12">
        <v>9504.8996900000002</v>
      </c>
      <c r="F14" s="12">
        <v>20669.091990000001</v>
      </c>
      <c r="G14" s="12">
        <v>5660.0544</v>
      </c>
      <c r="H14" s="12"/>
      <c r="I14" s="12">
        <v>6964.3963200000007</v>
      </c>
      <c r="J14" s="12">
        <v>10393.181259999999</v>
      </c>
      <c r="K14" s="12"/>
      <c r="L14" s="12"/>
      <c r="M14" s="12"/>
      <c r="N14" s="12">
        <v>24019.121280000003</v>
      </c>
      <c r="O14" s="12"/>
      <c r="P14" s="12">
        <v>20043.767520000001</v>
      </c>
      <c r="Q14" s="12"/>
      <c r="R14" s="12">
        <v>16395.611540000002</v>
      </c>
      <c r="S14" s="12">
        <v>10084.108319999999</v>
      </c>
      <c r="T14" s="12"/>
      <c r="U14" s="12"/>
      <c r="V14" s="12">
        <v>22462.4519</v>
      </c>
      <c r="W14" s="12">
        <v>2603.4792000000002</v>
      </c>
      <c r="X14" s="12">
        <v>23976.75935</v>
      </c>
      <c r="Y14" s="12">
        <v>2493.1506600000002</v>
      </c>
      <c r="Z14" s="12">
        <v>97889.280270000003</v>
      </c>
      <c r="AA14" s="12">
        <v>3415.8503999999998</v>
      </c>
      <c r="AB14" s="12"/>
      <c r="AC14" s="12">
        <v>14894.108099999999</v>
      </c>
      <c r="AD14" s="12">
        <v>29896.224119999999</v>
      </c>
      <c r="AE14" s="12">
        <v>7506.8196000000007</v>
      </c>
      <c r="AF14" s="12"/>
      <c r="AG14" s="12">
        <v>160976.27061000001</v>
      </c>
      <c r="AH14" s="12">
        <v>8401.8940200000015</v>
      </c>
      <c r="AI14" s="12">
        <v>571892.55454000016</v>
      </c>
    </row>
    <row r="15" spans="1:35" x14ac:dyDescent="0.3">
      <c r="A15" s="10" t="s">
        <v>1395</v>
      </c>
      <c r="B15" s="12">
        <v>47694.762360000001</v>
      </c>
      <c r="C15" s="12">
        <v>36.970199999999998</v>
      </c>
      <c r="D15" s="12">
        <v>4544.8391500000007</v>
      </c>
      <c r="E15" s="12"/>
      <c r="F15" s="12">
        <v>5654.22948</v>
      </c>
      <c r="G15" s="12">
        <v>9137.6140799999994</v>
      </c>
      <c r="H15" s="12">
        <v>18364.589100000001</v>
      </c>
      <c r="I15" s="12">
        <v>24706.764000000003</v>
      </c>
      <c r="J15" s="12">
        <v>8854.276319999999</v>
      </c>
      <c r="K15" s="12"/>
      <c r="L15" s="12"/>
      <c r="M15" s="12"/>
      <c r="N15" s="12">
        <v>3521.1077</v>
      </c>
      <c r="O15" s="12">
        <v>31422.63</v>
      </c>
      <c r="P15" s="12"/>
      <c r="Q15" s="12"/>
      <c r="R15" s="12">
        <v>3615.67416</v>
      </c>
      <c r="S15" s="12">
        <v>30168.894079999998</v>
      </c>
      <c r="T15" s="12">
        <v>54227.522300000004</v>
      </c>
      <c r="U15" s="12">
        <v>74251.58</v>
      </c>
      <c r="V15" s="12"/>
      <c r="W15" s="12"/>
      <c r="X15" s="12">
        <v>14467.482400000001</v>
      </c>
      <c r="Y15" s="12">
        <v>22483.549139999999</v>
      </c>
      <c r="Z15" s="12">
        <v>29865.731760000002</v>
      </c>
      <c r="AA15" s="12">
        <v>2281.3896</v>
      </c>
      <c r="AB15" s="12"/>
      <c r="AC15" s="12"/>
      <c r="AD15" s="12"/>
      <c r="AE15" s="12">
        <v>7561.2927300000001</v>
      </c>
      <c r="AF15" s="12"/>
      <c r="AG15" s="12">
        <v>4270.2181499999997</v>
      </c>
      <c r="AH15" s="12">
        <v>9873.8135999999995</v>
      </c>
      <c r="AI15" s="12">
        <v>407004.93030999997</v>
      </c>
    </row>
    <row r="16" spans="1:35" x14ac:dyDescent="0.3">
      <c r="A16" s="10" t="s">
        <v>1407</v>
      </c>
      <c r="B16" s="12"/>
      <c r="C16" s="12"/>
      <c r="D16" s="12">
        <v>31644.291119999994</v>
      </c>
      <c r="E16" s="12">
        <v>19353.546419999999</v>
      </c>
      <c r="F16" s="12"/>
      <c r="G16" s="12">
        <v>13790.9763</v>
      </c>
      <c r="H16" s="12">
        <v>116731.22306999999</v>
      </c>
      <c r="I16" s="12">
        <v>674.07536000000005</v>
      </c>
      <c r="J16" s="12"/>
      <c r="K16" s="12">
        <v>8549.7651600000008</v>
      </c>
      <c r="L16" s="12"/>
      <c r="M16" s="12">
        <v>3365.5755999999997</v>
      </c>
      <c r="N16" s="12"/>
      <c r="O16" s="12"/>
      <c r="P16" s="12">
        <v>6140.80314</v>
      </c>
      <c r="Q16" s="12"/>
      <c r="R16" s="12">
        <v>13652.985640000001</v>
      </c>
      <c r="S16" s="12"/>
      <c r="T16" s="12">
        <v>46314.985820000002</v>
      </c>
      <c r="U16" s="12">
        <v>19287.106050000002</v>
      </c>
      <c r="V16" s="12"/>
      <c r="W16" s="12">
        <v>733.01119999999992</v>
      </c>
      <c r="X16" s="12">
        <v>40309.207710000002</v>
      </c>
      <c r="Y16" s="12">
        <v>129059.83639</v>
      </c>
      <c r="Z16" s="12">
        <v>39751.899980000002</v>
      </c>
      <c r="AA16" s="12"/>
      <c r="AB16" s="12">
        <v>35310.318749999999</v>
      </c>
      <c r="AC16" s="12">
        <v>21031.899600000001</v>
      </c>
      <c r="AD16" s="12"/>
      <c r="AE16" s="12"/>
      <c r="AF16" s="12"/>
      <c r="AG16" s="12"/>
      <c r="AH16" s="12"/>
      <c r="AI16" s="12">
        <v>545701.50731000002</v>
      </c>
    </row>
    <row r="17" spans="1:35" x14ac:dyDescent="0.3">
      <c r="A17" s="10" t="s">
        <v>1392</v>
      </c>
      <c r="B17" s="12">
        <v>14666.089860000002</v>
      </c>
      <c r="C17" s="12"/>
      <c r="D17" s="12"/>
      <c r="E17" s="12"/>
      <c r="F17" s="12"/>
      <c r="G17" s="12"/>
      <c r="H17" s="12">
        <v>8510.0765999999985</v>
      </c>
      <c r="I17" s="12">
        <v>88929.73023999999</v>
      </c>
      <c r="J17" s="12">
        <v>4534.0944</v>
      </c>
      <c r="K17" s="12"/>
      <c r="L17" s="12"/>
      <c r="M17" s="12">
        <v>31735.889799999997</v>
      </c>
      <c r="N17" s="12">
        <v>28021.033619999998</v>
      </c>
      <c r="O17" s="12">
        <v>26031.15</v>
      </c>
      <c r="P17" s="12"/>
      <c r="Q17" s="12">
        <v>3565.5894400000002</v>
      </c>
      <c r="R17" s="12">
        <v>15979.62168</v>
      </c>
      <c r="S17" s="12"/>
      <c r="T17" s="12"/>
      <c r="U17" s="12"/>
      <c r="V17" s="12"/>
      <c r="W17" s="12">
        <v>1403.9546399999999</v>
      </c>
      <c r="X17" s="12">
        <v>46661.229280000007</v>
      </c>
      <c r="Y17" s="12"/>
      <c r="Z17" s="12">
        <v>17656.36218</v>
      </c>
      <c r="AA17" s="12">
        <v>30794.85987</v>
      </c>
      <c r="AB17" s="12"/>
      <c r="AC17" s="12"/>
      <c r="AD17" s="12"/>
      <c r="AE17" s="12">
        <v>17934.41419</v>
      </c>
      <c r="AF17" s="12"/>
      <c r="AG17" s="12"/>
      <c r="AH17" s="12">
        <v>33813.980960000001</v>
      </c>
      <c r="AI17" s="12">
        <v>370238.07676000003</v>
      </c>
    </row>
    <row r="18" spans="1:35" x14ac:dyDescent="0.3">
      <c r="A18" s="10" t="s">
        <v>1404</v>
      </c>
      <c r="B18" s="12">
        <v>59066.056200000006</v>
      </c>
      <c r="C18" s="12">
        <v>28646.702999999998</v>
      </c>
      <c r="D18" s="12">
        <v>26958.519419999997</v>
      </c>
      <c r="E18" s="12"/>
      <c r="F18" s="12"/>
      <c r="G18" s="12">
        <v>42205.544160000005</v>
      </c>
      <c r="H18" s="12">
        <v>17698.503240000002</v>
      </c>
      <c r="I18" s="12"/>
      <c r="J18" s="12">
        <v>15891.92</v>
      </c>
      <c r="K18" s="12"/>
      <c r="L18" s="12">
        <v>35734.358879999992</v>
      </c>
      <c r="M18" s="12"/>
      <c r="N18" s="12">
        <v>28945.63956</v>
      </c>
      <c r="O18" s="12">
        <v>41965.129939999999</v>
      </c>
      <c r="P18" s="12">
        <v>45086.595219999996</v>
      </c>
      <c r="Q18" s="12">
        <v>14867.190359999997</v>
      </c>
      <c r="R18" s="12">
        <v>13660.278240000001</v>
      </c>
      <c r="S18" s="12">
        <v>98011.346159999986</v>
      </c>
      <c r="T18" s="12">
        <v>26511.736639999999</v>
      </c>
      <c r="U18" s="12">
        <v>54798.866120000006</v>
      </c>
      <c r="V18" s="12">
        <v>11379.122369999999</v>
      </c>
      <c r="W18" s="12">
        <v>35913.937600000005</v>
      </c>
      <c r="X18" s="12">
        <v>23605.161030000003</v>
      </c>
      <c r="Y18" s="12">
        <v>20697.168600000001</v>
      </c>
      <c r="Z18" s="12">
        <v>11597.65056</v>
      </c>
      <c r="AA18" s="12"/>
      <c r="AB18" s="12"/>
      <c r="AC18" s="12">
        <v>4499.1500000000005</v>
      </c>
      <c r="AD18" s="12"/>
      <c r="AE18" s="12"/>
      <c r="AF18" s="12">
        <v>12985.618199999999</v>
      </c>
      <c r="AG18" s="12"/>
      <c r="AH18" s="12"/>
      <c r="AI18" s="12">
        <v>670726.19550000003</v>
      </c>
    </row>
    <row r="19" spans="1:35" x14ac:dyDescent="0.3">
      <c r="A19" s="10" t="s">
        <v>1394</v>
      </c>
      <c r="B19" s="12">
        <v>11803.702499999998</v>
      </c>
      <c r="C19" s="12">
        <v>5807.6003499999997</v>
      </c>
      <c r="D19" s="12">
        <v>78030.316940000004</v>
      </c>
      <c r="E19" s="12">
        <v>57129.953519999995</v>
      </c>
      <c r="F19" s="12">
        <v>21984.960139999999</v>
      </c>
      <c r="G19" s="12"/>
      <c r="H19" s="12">
        <v>9671.5257600000004</v>
      </c>
      <c r="I19" s="12">
        <v>34632.215859999997</v>
      </c>
      <c r="J19" s="12">
        <v>45029.793740000001</v>
      </c>
      <c r="K19" s="12"/>
      <c r="L19" s="12">
        <v>4119.0446000000002</v>
      </c>
      <c r="M19" s="12"/>
      <c r="N19" s="12"/>
      <c r="O19" s="12">
        <v>21238.118460000002</v>
      </c>
      <c r="P19" s="12"/>
      <c r="Q19" s="12"/>
      <c r="R19" s="12"/>
      <c r="S19" s="12">
        <v>44117.408199999998</v>
      </c>
      <c r="T19" s="12">
        <v>3822.3670400000005</v>
      </c>
      <c r="U19" s="12">
        <v>93667.868000000002</v>
      </c>
      <c r="V19" s="12">
        <v>28786.488319999997</v>
      </c>
      <c r="W19" s="12">
        <v>29809.478520000004</v>
      </c>
      <c r="X19" s="12"/>
      <c r="Y19" s="12">
        <v>10198.97235</v>
      </c>
      <c r="Z19" s="12">
        <v>11273.616900000001</v>
      </c>
      <c r="AA19" s="12">
        <v>4086.5861999999997</v>
      </c>
      <c r="AB19" s="12"/>
      <c r="AC19" s="12">
        <v>6580.1227499999995</v>
      </c>
      <c r="AD19" s="12"/>
      <c r="AE19" s="12">
        <v>11819.917200000002</v>
      </c>
      <c r="AF19" s="12">
        <v>2073.2045600000001</v>
      </c>
      <c r="AG19" s="12"/>
      <c r="AH19" s="12">
        <v>7255.4580000000005</v>
      </c>
      <c r="AI19" s="12">
        <v>542938.7199100001</v>
      </c>
    </row>
    <row r="20" spans="1:35" x14ac:dyDescent="0.3">
      <c r="A20" s="10" t="s">
        <v>1406</v>
      </c>
      <c r="B20" s="12">
        <v>989.39469999999983</v>
      </c>
      <c r="C20" s="12"/>
      <c r="D20" s="12"/>
      <c r="E20" s="12"/>
      <c r="F20" s="12">
        <v>39489.653639999997</v>
      </c>
      <c r="G20" s="12">
        <v>33475.68</v>
      </c>
      <c r="H20" s="12">
        <v>22309.837440000003</v>
      </c>
      <c r="I20" s="12">
        <v>59221.440720000006</v>
      </c>
      <c r="J20" s="12">
        <v>15339.646139999999</v>
      </c>
      <c r="K20" s="12">
        <v>105981.70272</v>
      </c>
      <c r="L20" s="12">
        <v>1853.32482</v>
      </c>
      <c r="M20" s="12"/>
      <c r="N20" s="12">
        <v>5749.1559000000007</v>
      </c>
      <c r="O20" s="12"/>
      <c r="P20" s="12"/>
      <c r="Q20" s="12"/>
      <c r="R20" s="12">
        <v>78253.279020000002</v>
      </c>
      <c r="S20" s="12">
        <v>7167.5668799999994</v>
      </c>
      <c r="T20" s="12"/>
      <c r="U20" s="12">
        <v>1948.1462000000001</v>
      </c>
      <c r="V20" s="12"/>
      <c r="W20" s="12">
        <v>48582.215760000006</v>
      </c>
      <c r="X20" s="12">
        <v>4846.6447200000002</v>
      </c>
      <c r="Y20" s="12">
        <v>5497.3325000000004</v>
      </c>
      <c r="Z20" s="12"/>
      <c r="AA20" s="12">
        <v>41071.932000000001</v>
      </c>
      <c r="AB20" s="12"/>
      <c r="AC20" s="12">
        <v>45872.984250000001</v>
      </c>
      <c r="AD20" s="12">
        <v>17009.911999999997</v>
      </c>
      <c r="AE20" s="12"/>
      <c r="AF20" s="12">
        <v>20287.469400000002</v>
      </c>
      <c r="AG20" s="12">
        <v>21303.279840000003</v>
      </c>
      <c r="AH20" s="12">
        <v>20866.559999999998</v>
      </c>
      <c r="AI20" s="12">
        <v>597117.15865000011</v>
      </c>
    </row>
    <row r="21" spans="1:35" x14ac:dyDescent="0.3">
      <c r="A21" s="10" t="s">
        <v>1400</v>
      </c>
      <c r="B21" s="12">
        <v>7944.7970799999994</v>
      </c>
      <c r="C21" s="12">
        <v>39508.723799999992</v>
      </c>
      <c r="D21" s="12">
        <v>51929.128719999993</v>
      </c>
      <c r="E21" s="12">
        <v>12481.436800000001</v>
      </c>
      <c r="F21" s="12"/>
      <c r="G21" s="12">
        <v>9431.7695999999996</v>
      </c>
      <c r="H21" s="12"/>
      <c r="I21" s="12">
        <v>5532.6686399999999</v>
      </c>
      <c r="J21" s="12"/>
      <c r="K21" s="12">
        <v>6352.3798799999995</v>
      </c>
      <c r="L21" s="12"/>
      <c r="M21" s="12"/>
      <c r="N21" s="12">
        <v>31218.691400000003</v>
      </c>
      <c r="O21" s="12"/>
      <c r="P21" s="12"/>
      <c r="Q21" s="12">
        <v>29033.704000000002</v>
      </c>
      <c r="R21" s="12">
        <v>5002.3123200000009</v>
      </c>
      <c r="S21" s="12"/>
      <c r="T21" s="12"/>
      <c r="U21" s="12">
        <v>15357.69966</v>
      </c>
      <c r="V21" s="12">
        <v>17084.938320000001</v>
      </c>
      <c r="W21" s="12">
        <v>74491.454809999996</v>
      </c>
      <c r="X21" s="12"/>
      <c r="Y21" s="12">
        <v>17985.918359999996</v>
      </c>
      <c r="Z21" s="12"/>
      <c r="AA21" s="12">
        <v>17830.4548</v>
      </c>
      <c r="AB21" s="12">
        <v>15275.5965</v>
      </c>
      <c r="AC21" s="12">
        <v>2237.6023999999998</v>
      </c>
      <c r="AD21" s="12">
        <v>10855.105869999999</v>
      </c>
      <c r="AE21" s="12">
        <v>18599.828130000002</v>
      </c>
      <c r="AF21" s="12">
        <v>18307.712480000002</v>
      </c>
      <c r="AG21" s="12">
        <v>48863.066359999997</v>
      </c>
      <c r="AH21" s="12">
        <v>11792.958000000001</v>
      </c>
      <c r="AI21" s="12">
        <v>467117.94792999991</v>
      </c>
    </row>
    <row r="22" spans="1:35" x14ac:dyDescent="0.3">
      <c r="A22" s="10" t="s">
        <v>1417</v>
      </c>
      <c r="B22" s="12">
        <v>10511.386199999999</v>
      </c>
      <c r="C22" s="12"/>
      <c r="D22" s="12">
        <v>0</v>
      </c>
      <c r="E22" s="12">
        <v>0</v>
      </c>
      <c r="F22" s="12">
        <v>3208.8335999999999</v>
      </c>
      <c r="G22" s="12">
        <v>2667.2333200000003</v>
      </c>
      <c r="H22" s="12">
        <v>0</v>
      </c>
      <c r="I22" s="12">
        <v>0</v>
      </c>
      <c r="J22" s="12"/>
      <c r="K22" s="12">
        <v>0</v>
      </c>
      <c r="L22" s="12"/>
      <c r="M22" s="12"/>
      <c r="N22" s="12">
        <v>0</v>
      </c>
      <c r="O22" s="12"/>
      <c r="P22" s="12">
        <v>0</v>
      </c>
      <c r="Q22" s="12">
        <v>0</v>
      </c>
      <c r="R22" s="12">
        <v>0</v>
      </c>
      <c r="S22" s="12">
        <v>0</v>
      </c>
      <c r="T22" s="12">
        <v>0</v>
      </c>
      <c r="U22" s="12">
        <v>0</v>
      </c>
      <c r="V22" s="12"/>
      <c r="W22" s="12">
        <v>18416.456609999997</v>
      </c>
      <c r="X22" s="12">
        <v>0</v>
      </c>
      <c r="Y22" s="12"/>
      <c r="Z22" s="12"/>
      <c r="AA22" s="12">
        <v>34640.985000000001</v>
      </c>
      <c r="AB22" s="12">
        <v>0</v>
      </c>
      <c r="AC22" s="12">
        <v>0</v>
      </c>
      <c r="AD22" s="12">
        <v>0</v>
      </c>
      <c r="AE22" s="12">
        <v>0</v>
      </c>
      <c r="AF22" s="12">
        <v>486.56036000000006</v>
      </c>
      <c r="AG22" s="12"/>
      <c r="AH22" s="12"/>
      <c r="AI22" s="12">
        <v>69931.455090000003</v>
      </c>
    </row>
    <row r="23" spans="1:35" x14ac:dyDescent="0.3">
      <c r="A23" s="10" t="s">
        <v>1399</v>
      </c>
      <c r="B23" s="12">
        <v>24416.278989999999</v>
      </c>
      <c r="C23" s="12"/>
      <c r="D23" s="12">
        <v>4648.9350599999998</v>
      </c>
      <c r="E23" s="12">
        <v>9151.630000000001</v>
      </c>
      <c r="F23" s="12"/>
      <c r="G23" s="12">
        <v>31629.554919999999</v>
      </c>
      <c r="H23" s="12">
        <v>18916.432219999999</v>
      </c>
      <c r="I23" s="12"/>
      <c r="J23" s="12"/>
      <c r="K23" s="12">
        <v>64128.8586</v>
      </c>
      <c r="L23" s="12">
        <v>554.97959999999989</v>
      </c>
      <c r="M23" s="12">
        <v>789.46368000000007</v>
      </c>
      <c r="N23" s="12"/>
      <c r="O23" s="12">
        <v>6823.2037199999995</v>
      </c>
      <c r="P23" s="12">
        <v>20805.370690000003</v>
      </c>
      <c r="Q23" s="12"/>
      <c r="R23" s="12">
        <v>87186.760439999998</v>
      </c>
      <c r="S23" s="12"/>
      <c r="T23" s="12"/>
      <c r="U23" s="12"/>
      <c r="V23" s="12">
        <v>32095.464200000002</v>
      </c>
      <c r="W23" s="12"/>
      <c r="X23" s="12"/>
      <c r="Y23" s="12">
        <v>34932.681600000004</v>
      </c>
      <c r="Z23" s="12"/>
      <c r="AA23" s="12"/>
      <c r="AB23" s="12">
        <v>6137.98416</v>
      </c>
      <c r="AC23" s="12"/>
      <c r="AD23" s="12">
        <v>6770.0719200000003</v>
      </c>
      <c r="AE23" s="12">
        <v>25491.11796</v>
      </c>
      <c r="AF23" s="12">
        <v>158.16520000000003</v>
      </c>
      <c r="AG23" s="12">
        <v>36310.30197</v>
      </c>
      <c r="AH23" s="12"/>
      <c r="AI23" s="12">
        <v>410947.25492999994</v>
      </c>
    </row>
    <row r="24" spans="1:35" x14ac:dyDescent="0.3">
      <c r="A24" s="10" t="s">
        <v>1418</v>
      </c>
      <c r="B24" s="12">
        <v>19117.733100000001</v>
      </c>
      <c r="C24" s="12"/>
      <c r="D24" s="12">
        <v>51926.012279999995</v>
      </c>
      <c r="E24" s="12">
        <v>109937.11616000001</v>
      </c>
      <c r="F24" s="12">
        <v>62066.492319999998</v>
      </c>
      <c r="G24" s="12">
        <v>7543.8005999999996</v>
      </c>
      <c r="H24" s="12">
        <v>28925.557119999998</v>
      </c>
      <c r="I24" s="12"/>
      <c r="J24" s="12">
        <v>24128.64272</v>
      </c>
      <c r="K24" s="12">
        <v>21446.400000000001</v>
      </c>
      <c r="L24" s="12">
        <v>17843.72193</v>
      </c>
      <c r="M24" s="12">
        <v>8582.8799799999997</v>
      </c>
      <c r="N24" s="12">
        <v>6980.1763200000005</v>
      </c>
      <c r="O24" s="12"/>
      <c r="P24" s="12"/>
      <c r="Q24" s="12">
        <v>4083.4300000000003</v>
      </c>
      <c r="R24" s="12">
        <v>20722.29348</v>
      </c>
      <c r="S24" s="12">
        <v>19816.344349999999</v>
      </c>
      <c r="T24" s="12">
        <v>66005.49987</v>
      </c>
      <c r="U24" s="12">
        <v>4921.3008</v>
      </c>
      <c r="V24" s="12"/>
      <c r="W24" s="12">
        <v>46878.839200000002</v>
      </c>
      <c r="X24" s="12">
        <v>31581.441959999996</v>
      </c>
      <c r="Y24" s="12">
        <v>3085.38</v>
      </c>
      <c r="Z24" s="12"/>
      <c r="AA24" s="12"/>
      <c r="AB24" s="12"/>
      <c r="AC24" s="12">
        <v>8728.9427399999986</v>
      </c>
      <c r="AD24" s="12"/>
      <c r="AE24" s="12"/>
      <c r="AF24" s="12"/>
      <c r="AG24" s="12">
        <v>2183.9422500000001</v>
      </c>
      <c r="AH24" s="12"/>
      <c r="AI24" s="12">
        <v>566505.94718000002</v>
      </c>
    </row>
    <row r="25" spans="1:35" x14ac:dyDescent="0.3">
      <c r="A25" s="10" t="s">
        <v>1398</v>
      </c>
      <c r="B25" s="12">
        <v>85336.720950000003</v>
      </c>
      <c r="C25" s="12"/>
      <c r="D25" s="12">
        <v>17694.882399999999</v>
      </c>
      <c r="E25" s="12">
        <v>61980.596730000005</v>
      </c>
      <c r="F25" s="12">
        <v>13882.919040000001</v>
      </c>
      <c r="G25" s="12">
        <v>26302.966559999997</v>
      </c>
      <c r="H25" s="12"/>
      <c r="I25" s="12"/>
      <c r="J25" s="12"/>
      <c r="K25" s="12">
        <v>74200.581009999994</v>
      </c>
      <c r="L25" s="12">
        <v>7256.5421999999999</v>
      </c>
      <c r="M25" s="12">
        <v>132103.00212000002</v>
      </c>
      <c r="N25" s="12">
        <v>11002.004999999999</v>
      </c>
      <c r="O25" s="12">
        <v>6319.9846800000005</v>
      </c>
      <c r="P25" s="12">
        <v>9587.7280800000008</v>
      </c>
      <c r="Q25" s="12"/>
      <c r="R25" s="12"/>
      <c r="S25" s="12">
        <v>1541.5919999999999</v>
      </c>
      <c r="T25" s="12"/>
      <c r="U25" s="12"/>
      <c r="V25" s="12"/>
      <c r="W25" s="12"/>
      <c r="X25" s="12"/>
      <c r="Y25" s="12">
        <v>14139.90576</v>
      </c>
      <c r="Z25" s="12">
        <v>9097.867400000001</v>
      </c>
      <c r="AA25" s="12"/>
      <c r="AB25" s="12"/>
      <c r="AC25" s="12"/>
      <c r="AD25" s="12">
        <v>5219.7772800000002</v>
      </c>
      <c r="AE25" s="12">
        <v>101008.88751000002</v>
      </c>
      <c r="AF25" s="12"/>
      <c r="AG25" s="12">
        <v>3645.6088500000001</v>
      </c>
      <c r="AH25" s="12">
        <v>593.52160000000003</v>
      </c>
      <c r="AI25" s="12">
        <v>580915.08916999993</v>
      </c>
    </row>
    <row r="26" spans="1:35" x14ac:dyDescent="0.3">
      <c r="A26" s="10" t="s">
        <v>1410</v>
      </c>
      <c r="B26" s="12">
        <v>11393.722979999999</v>
      </c>
      <c r="C26" s="12"/>
      <c r="D26" s="12"/>
      <c r="E26" s="12"/>
      <c r="F26" s="12">
        <v>23507.575000000001</v>
      </c>
      <c r="G26" s="12">
        <v>9301.9459999999999</v>
      </c>
      <c r="H26" s="12">
        <v>35256.783040000002</v>
      </c>
      <c r="I26" s="12">
        <v>10814.319</v>
      </c>
      <c r="J26" s="12">
        <v>39068.859620000003</v>
      </c>
      <c r="K26" s="12">
        <v>26490.27576</v>
      </c>
      <c r="L26" s="12">
        <v>20641.897199999999</v>
      </c>
      <c r="M26" s="12">
        <v>14063.653600000001</v>
      </c>
      <c r="N26" s="12">
        <v>5968.5955599999998</v>
      </c>
      <c r="O26" s="12"/>
      <c r="P26" s="12">
        <v>18398.4388</v>
      </c>
      <c r="Q26" s="12">
        <v>1119.492</v>
      </c>
      <c r="R26" s="12"/>
      <c r="S26" s="12"/>
      <c r="T26" s="12">
        <v>25485.499680000001</v>
      </c>
      <c r="U26" s="12">
        <v>29597.640160000003</v>
      </c>
      <c r="V26" s="12">
        <v>10310.463239999999</v>
      </c>
      <c r="W26" s="12">
        <v>8118.5574299999998</v>
      </c>
      <c r="X26" s="12"/>
      <c r="Y26" s="12">
        <v>1551.6000000000001</v>
      </c>
      <c r="Z26" s="12">
        <v>8897.572979999999</v>
      </c>
      <c r="AA26" s="12">
        <v>58944.550499999998</v>
      </c>
      <c r="AB26" s="12"/>
      <c r="AC26" s="12">
        <v>64527.264049999998</v>
      </c>
      <c r="AD26" s="12"/>
      <c r="AE26" s="12">
        <v>22209.693749999999</v>
      </c>
      <c r="AF26" s="12">
        <v>4778.8646400000007</v>
      </c>
      <c r="AG26" s="12"/>
      <c r="AH26" s="12"/>
      <c r="AI26" s="12">
        <v>450447.26498999994</v>
      </c>
    </row>
    <row r="27" spans="1:35" x14ac:dyDescent="0.3">
      <c r="A27" s="10" t="s">
        <v>1377</v>
      </c>
      <c r="B27" s="12">
        <v>448055.58006000007</v>
      </c>
      <c r="C27" s="12">
        <v>183189.74595999997</v>
      </c>
      <c r="D27" s="12">
        <v>411814.45707</v>
      </c>
      <c r="E27" s="12">
        <v>382169.26542000001</v>
      </c>
      <c r="F27" s="12">
        <v>390149.27944000007</v>
      </c>
      <c r="G27" s="12">
        <v>331723.10493000003</v>
      </c>
      <c r="H27" s="12">
        <v>391318.99383000011</v>
      </c>
      <c r="I27" s="12">
        <v>374016.44617000001</v>
      </c>
      <c r="J27" s="12">
        <v>346625.72980000009</v>
      </c>
      <c r="K27" s="12">
        <v>416006.12540999998</v>
      </c>
      <c r="L27" s="12">
        <v>165016.13856999998</v>
      </c>
      <c r="M27" s="12">
        <v>266569.37350000005</v>
      </c>
      <c r="N27" s="12">
        <v>270499.64948000002</v>
      </c>
      <c r="O27" s="12">
        <v>247027.14031999998</v>
      </c>
      <c r="P27" s="12">
        <v>348036.44128999999</v>
      </c>
      <c r="Q27" s="12">
        <v>222352.99324000001</v>
      </c>
      <c r="R27" s="12">
        <v>258674.70052000001</v>
      </c>
      <c r="S27" s="12">
        <v>287692.44656000001</v>
      </c>
      <c r="T27" s="12">
        <v>378492.45475000003</v>
      </c>
      <c r="U27" s="12">
        <v>422905.62887000007</v>
      </c>
      <c r="V27" s="12">
        <v>414027.59846999997</v>
      </c>
      <c r="W27" s="12">
        <v>493606.05356999999</v>
      </c>
      <c r="X27" s="12">
        <v>277520.88267000002</v>
      </c>
      <c r="Y27" s="12">
        <v>429507.73319</v>
      </c>
      <c r="Z27" s="12">
        <v>382160.86480999994</v>
      </c>
      <c r="AA27" s="12">
        <v>328847.78194999998</v>
      </c>
      <c r="AB27" s="12">
        <v>155256.72823000001</v>
      </c>
      <c r="AC27" s="12">
        <v>290444.43622999999</v>
      </c>
      <c r="AD27" s="12">
        <v>128279.63919</v>
      </c>
      <c r="AE27" s="12">
        <v>365808.07334999996</v>
      </c>
      <c r="AF27" s="12">
        <v>162895.90742999999</v>
      </c>
      <c r="AG27" s="12">
        <v>370088.47204000002</v>
      </c>
      <c r="AH27" s="12">
        <v>130706.08270999999</v>
      </c>
      <c r="AI27" s="12">
        <v>10471485.949030001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767D0-BB52-47C5-BC55-2F994F050856}">
  <dimension ref="A1:W633"/>
  <sheetViews>
    <sheetView workbookViewId="0">
      <selection activeCell="W1" sqref="W1"/>
    </sheetView>
  </sheetViews>
  <sheetFormatPr defaultRowHeight="14.4" x14ac:dyDescent="0.3"/>
  <cols>
    <col min="1" max="1" width="16.109375" bestFit="1" customWidth="1"/>
    <col min="2" max="2" width="9.6640625" bestFit="1" customWidth="1"/>
    <col min="3" max="3" width="12.44140625" bestFit="1" customWidth="1"/>
    <col min="4" max="4" width="13.21875" bestFit="1" customWidth="1"/>
    <col min="5" max="5" width="9.21875" bestFit="1" customWidth="1"/>
    <col min="6" max="6" width="8" bestFit="1" customWidth="1"/>
    <col min="7" max="7" width="8.44140625" bestFit="1" customWidth="1"/>
    <col min="8" max="8" width="14" bestFit="1" customWidth="1"/>
    <col min="9" max="9" width="12.44140625" bestFit="1" customWidth="1"/>
    <col min="10" max="10" width="16.6640625" bestFit="1" customWidth="1"/>
    <col min="11" max="12" width="11.6640625" bestFit="1" customWidth="1"/>
    <col min="13" max="13" width="15.33203125" bestFit="1" customWidth="1"/>
    <col min="14" max="14" width="10" bestFit="1" customWidth="1"/>
    <col min="15" max="15" width="8.21875" bestFit="1" customWidth="1"/>
    <col min="16" max="16" width="9.88671875" bestFit="1" customWidth="1"/>
    <col min="17" max="17" width="8.6640625" bestFit="1" customWidth="1"/>
    <col min="18" max="18" width="11" bestFit="1" customWidth="1"/>
    <col min="19" max="19" width="8.33203125" bestFit="1" customWidth="1"/>
    <col min="20" max="20" width="13.44140625" bestFit="1" customWidth="1"/>
    <col min="21" max="21" width="12.6640625" bestFit="1" customWidth="1"/>
    <col min="22" max="22" width="10.6640625" bestFit="1" customWidth="1"/>
    <col min="23" max="23" width="17" bestFit="1" customWidth="1"/>
  </cols>
  <sheetData>
    <row r="1" spans="1:23" x14ac:dyDescent="0.3">
      <c r="A1" s="39" t="s">
        <v>15</v>
      </c>
      <c r="B1" s="40">
        <v>45362</v>
      </c>
      <c r="C1" s="41">
        <v>45388</v>
      </c>
      <c r="D1" s="42">
        <f>DATEDIF(B1,C1, "MD")</f>
        <v>26</v>
      </c>
      <c r="E1" s="42" t="str">
        <f>TEXT(Data!B1,"MMM-YYYY")</f>
        <v>Mar-2024</v>
      </c>
      <c r="F1" s="42" t="str">
        <f>"Q"&amp;ROUNDUP(MONTH(B1)/3,0)&amp;"-"&amp;YEAR(B1)</f>
        <v>Q1-2024</v>
      </c>
      <c r="G1" s="37" t="s">
        <v>16</v>
      </c>
      <c r="H1" s="37" t="s">
        <v>17</v>
      </c>
      <c r="I1" s="37" t="s">
        <v>18</v>
      </c>
      <c r="J1" s="37" t="s">
        <v>19</v>
      </c>
      <c r="K1" s="37" t="s">
        <v>20</v>
      </c>
      <c r="L1" s="37" t="s">
        <v>21</v>
      </c>
      <c r="M1" s="37" t="s">
        <v>22</v>
      </c>
      <c r="N1" s="37" t="s">
        <v>23</v>
      </c>
      <c r="O1" s="42">
        <v>279.24</v>
      </c>
      <c r="P1" s="43" t="str">
        <f>IF(Q1&lt;50, "Low", IF(Q1&lt;200, "Medium", "High"))</f>
        <v>High</v>
      </c>
      <c r="Q1" s="42">
        <v>608.9</v>
      </c>
      <c r="R1" s="42">
        <v>0.112</v>
      </c>
      <c r="S1" s="42">
        <v>9</v>
      </c>
      <c r="T1" s="42">
        <f t="shared" ref="T1:T64" si="0">(Q27*S1)*(1-R1)</f>
        <v>1403.9546399999999</v>
      </c>
      <c r="U1" s="37">
        <f t="shared" ref="U1:U64" si="1">(O1*S1)</f>
        <v>2513.16</v>
      </c>
      <c r="V1" s="42">
        <f>(T1-U1)</f>
        <v>-1109.2053599999999</v>
      </c>
      <c r="W1" s="44">
        <f>IF(T1=0, 0, V1/T1)</f>
        <v>-0.79005783263766982</v>
      </c>
    </row>
    <row r="2" spans="1:23" x14ac:dyDescent="0.3">
      <c r="A2" s="45" t="s">
        <v>24</v>
      </c>
      <c r="B2" s="46">
        <v>45588</v>
      </c>
      <c r="C2" s="47">
        <v>45587</v>
      </c>
      <c r="D2" s="48">
        <f>DATEDIF(C2, B2, "MD")</f>
        <v>1</v>
      </c>
      <c r="E2" s="48" t="str">
        <f>TEXT(Data!B2,"MMM-YYYY")</f>
        <v>Oct-2024</v>
      </c>
      <c r="F2" s="48" t="str">
        <f t="shared" ref="F2:F65" si="2">"Q"&amp;ROUNDUP(MONTH(B2)/3,0)&amp;"-"&amp;YEAR(B2)</f>
        <v>Q4-2024</v>
      </c>
      <c r="G2" s="38" t="s">
        <v>16</v>
      </c>
      <c r="H2" s="38" t="s">
        <v>25</v>
      </c>
      <c r="I2" s="38" t="s">
        <v>26</v>
      </c>
      <c r="J2" s="38" t="s">
        <v>27</v>
      </c>
      <c r="K2" s="38" t="s">
        <v>28</v>
      </c>
      <c r="L2" s="38" t="s">
        <v>29</v>
      </c>
      <c r="M2" s="38" t="s">
        <v>30</v>
      </c>
      <c r="N2" s="38" t="s">
        <v>31</v>
      </c>
      <c r="O2" s="48">
        <v>1084.3900000000001</v>
      </c>
      <c r="P2" s="49" t="str">
        <f t="shared" ref="P2:P65" si="3">IF(Q2&lt;50, "Low", IF(Q2&lt;200, "Medium", "High"))</f>
        <v>High</v>
      </c>
      <c r="Q2" s="48">
        <v>759.33</v>
      </c>
      <c r="R2" s="48">
        <v>0.23699999999999999</v>
      </c>
      <c r="S2" s="48">
        <v>31</v>
      </c>
      <c r="T2" s="48">
        <f t="shared" si="0"/>
        <v>17934.41419</v>
      </c>
      <c r="U2" s="38">
        <f t="shared" si="1"/>
        <v>33616.090000000004</v>
      </c>
      <c r="V2" s="48">
        <f t="shared" ref="V2:V65" si="4">(T2-U2)</f>
        <v>-15681.675810000004</v>
      </c>
      <c r="W2" s="50">
        <f t="shared" ref="W2:W65" si="5">IF(T2=0, 0, V2/T2)</f>
        <v>-0.87439018882166253</v>
      </c>
    </row>
    <row r="3" spans="1:23" x14ac:dyDescent="0.3">
      <c r="A3" s="39" t="s">
        <v>32</v>
      </c>
      <c r="B3" s="40">
        <v>44985</v>
      </c>
      <c r="C3" s="41">
        <v>45010</v>
      </c>
      <c r="D3" s="42">
        <f t="shared" ref="D3:D66" si="6">DATEDIF(B3,C3, "MD")</f>
        <v>25</v>
      </c>
      <c r="E3" s="42" t="str">
        <f>TEXT(Data!B3,"MMM-YYYY")</f>
        <v>Feb-2023</v>
      </c>
      <c r="F3" s="42" t="str">
        <f t="shared" si="2"/>
        <v>Q1-2023</v>
      </c>
      <c r="G3" s="37" t="s">
        <v>16</v>
      </c>
      <c r="H3" s="37" t="s">
        <v>17</v>
      </c>
      <c r="I3" s="37" t="s">
        <v>33</v>
      </c>
      <c r="J3" s="37" t="s">
        <v>19</v>
      </c>
      <c r="K3" s="37" t="s">
        <v>20</v>
      </c>
      <c r="L3" s="37" t="s">
        <v>34</v>
      </c>
      <c r="M3" s="37" t="s">
        <v>35</v>
      </c>
      <c r="N3" s="37" t="s">
        <v>36</v>
      </c>
      <c r="O3" s="42">
        <v>1460.76</v>
      </c>
      <c r="P3" s="43" t="str">
        <f t="shared" si="3"/>
        <v>Low</v>
      </c>
      <c r="Q3" s="42">
        <v>-30.66</v>
      </c>
      <c r="R3" s="42">
        <v>0.13100000000000001</v>
      </c>
      <c r="S3" s="42">
        <v>12</v>
      </c>
      <c r="T3" s="42">
        <f t="shared" si="0"/>
        <v>4534.0944</v>
      </c>
      <c r="U3" s="37">
        <f t="shared" si="1"/>
        <v>17529.12</v>
      </c>
      <c r="V3" s="42">
        <f t="shared" si="4"/>
        <v>-12995.025599999999</v>
      </c>
      <c r="W3" s="44">
        <f t="shared" si="5"/>
        <v>-2.8660686023652264</v>
      </c>
    </row>
    <row r="4" spans="1:23" x14ac:dyDescent="0.3">
      <c r="A4" s="45" t="s">
        <v>37</v>
      </c>
      <c r="B4" s="46">
        <v>45745</v>
      </c>
      <c r="C4" s="47">
        <v>45749</v>
      </c>
      <c r="D4" s="48">
        <f t="shared" si="6"/>
        <v>4</v>
      </c>
      <c r="E4" s="48" t="str">
        <f>TEXT(Data!B4,"MMM-YYYY")</f>
        <v>Mar-2025</v>
      </c>
      <c r="F4" s="48" t="str">
        <f t="shared" si="2"/>
        <v>Q1-2025</v>
      </c>
      <c r="G4" s="38" t="s">
        <v>16</v>
      </c>
      <c r="H4" s="38" t="s">
        <v>25</v>
      </c>
      <c r="I4" s="38" t="s">
        <v>38</v>
      </c>
      <c r="J4" s="38" t="s">
        <v>39</v>
      </c>
      <c r="K4" s="38" t="s">
        <v>40</v>
      </c>
      <c r="L4" s="38" t="s">
        <v>41</v>
      </c>
      <c r="M4" s="38" t="s">
        <v>42</v>
      </c>
      <c r="N4" s="38" t="s">
        <v>43</v>
      </c>
      <c r="O4" s="48">
        <v>259.93</v>
      </c>
      <c r="P4" s="49" t="str">
        <f t="shared" si="3"/>
        <v>High</v>
      </c>
      <c r="Q4" s="48">
        <v>255.94</v>
      </c>
      <c r="R4" s="48">
        <v>7.1999999999999995E-2</v>
      </c>
      <c r="S4" s="48">
        <v>22</v>
      </c>
      <c r="T4" s="48">
        <f t="shared" si="0"/>
        <v>34016.730880000003</v>
      </c>
      <c r="U4" s="38">
        <f t="shared" si="1"/>
        <v>5718.46</v>
      </c>
      <c r="V4" s="48">
        <f t="shared" si="4"/>
        <v>28298.270880000004</v>
      </c>
      <c r="W4" s="50">
        <f t="shared" si="5"/>
        <v>0.83189272301994943</v>
      </c>
    </row>
    <row r="5" spans="1:23" x14ac:dyDescent="0.3">
      <c r="A5" s="39" t="s">
        <v>44</v>
      </c>
      <c r="B5" s="40">
        <v>45266</v>
      </c>
      <c r="C5" s="41">
        <v>45291</v>
      </c>
      <c r="D5" s="42">
        <f t="shared" si="6"/>
        <v>25</v>
      </c>
      <c r="E5" s="42" t="str">
        <f>TEXT(Data!B5,"MMM-YYYY")</f>
        <v>Dec-2023</v>
      </c>
      <c r="F5" s="42" t="str">
        <f t="shared" si="2"/>
        <v>Q4-2023</v>
      </c>
      <c r="G5" s="37" t="s">
        <v>45</v>
      </c>
      <c r="H5" s="37" t="s">
        <v>46</v>
      </c>
      <c r="I5" s="37" t="s">
        <v>47</v>
      </c>
      <c r="J5" s="37" t="s">
        <v>48</v>
      </c>
      <c r="K5" s="37" t="s">
        <v>20</v>
      </c>
      <c r="L5" s="37" t="s">
        <v>49</v>
      </c>
      <c r="M5" s="37" t="s">
        <v>30</v>
      </c>
      <c r="N5" s="37" t="s">
        <v>50</v>
      </c>
      <c r="O5" s="42">
        <v>663.03</v>
      </c>
      <c r="P5" s="43" t="str">
        <f t="shared" si="3"/>
        <v>High</v>
      </c>
      <c r="Q5" s="42">
        <v>813.51</v>
      </c>
      <c r="R5" s="42">
        <v>0.10199999999999999</v>
      </c>
      <c r="S5" s="42">
        <v>15</v>
      </c>
      <c r="T5" s="42">
        <f t="shared" si="0"/>
        <v>8510.0765999999985</v>
      </c>
      <c r="U5" s="37">
        <f t="shared" si="1"/>
        <v>9945.4499999999989</v>
      </c>
      <c r="V5" s="42">
        <f t="shared" si="4"/>
        <v>-1435.3734000000004</v>
      </c>
      <c r="W5" s="44">
        <f t="shared" si="5"/>
        <v>-0.16866750647109341</v>
      </c>
    </row>
    <row r="6" spans="1:23" x14ac:dyDescent="0.3">
      <c r="A6" s="45" t="s">
        <v>51</v>
      </c>
      <c r="B6" s="46">
        <v>44928</v>
      </c>
      <c r="C6" s="47">
        <v>44931</v>
      </c>
      <c r="D6" s="48">
        <f t="shared" si="6"/>
        <v>3</v>
      </c>
      <c r="E6" s="48" t="str">
        <f>TEXT(Data!B6,"MMM-YYYY")</f>
        <v>Jan-2023</v>
      </c>
      <c r="F6" s="48" t="str">
        <f t="shared" si="2"/>
        <v>Q1-2023</v>
      </c>
      <c r="G6" s="38" t="s">
        <v>52</v>
      </c>
      <c r="H6" s="38" t="s">
        <v>53</v>
      </c>
      <c r="I6" s="38" t="s">
        <v>54</v>
      </c>
      <c r="J6" s="38" t="s">
        <v>19</v>
      </c>
      <c r="K6" s="38" t="s">
        <v>55</v>
      </c>
      <c r="L6" s="38" t="s">
        <v>56</v>
      </c>
      <c r="M6" s="38" t="s">
        <v>57</v>
      </c>
      <c r="N6" s="38" t="s">
        <v>58</v>
      </c>
      <c r="O6" s="48">
        <v>315.87</v>
      </c>
      <c r="P6" s="49" t="str">
        <f t="shared" si="3"/>
        <v>High</v>
      </c>
      <c r="Q6" s="48">
        <v>591.67999999999995</v>
      </c>
      <c r="R6" s="48">
        <v>0</v>
      </c>
      <c r="S6" s="48">
        <v>7</v>
      </c>
      <c r="T6" s="48">
        <f t="shared" si="0"/>
        <v>12558.49</v>
      </c>
      <c r="U6" s="38">
        <f t="shared" si="1"/>
        <v>2211.09</v>
      </c>
      <c r="V6" s="48">
        <f t="shared" si="4"/>
        <v>10347.4</v>
      </c>
      <c r="W6" s="50">
        <f t="shared" si="5"/>
        <v>0.82393663569425946</v>
      </c>
    </row>
    <row r="7" spans="1:23" x14ac:dyDescent="0.3">
      <c r="A7" s="39" t="s">
        <v>59</v>
      </c>
      <c r="B7" s="40">
        <v>45653</v>
      </c>
      <c r="C7" s="41">
        <v>45671</v>
      </c>
      <c r="D7" s="42">
        <f t="shared" si="6"/>
        <v>18</v>
      </c>
      <c r="E7" s="42" t="str">
        <f>TEXT(Data!B7,"MMM-YYYY")</f>
        <v>Dec-2024</v>
      </c>
      <c r="F7" s="42" t="str">
        <f t="shared" si="2"/>
        <v>Q4-2024</v>
      </c>
      <c r="G7" s="37" t="s">
        <v>45</v>
      </c>
      <c r="H7" s="37" t="s">
        <v>60</v>
      </c>
      <c r="I7" s="37" t="s">
        <v>61</v>
      </c>
      <c r="J7" s="37" t="s">
        <v>62</v>
      </c>
      <c r="K7" s="37" t="s">
        <v>40</v>
      </c>
      <c r="L7" s="37" t="s">
        <v>63</v>
      </c>
      <c r="M7" s="37" t="s">
        <v>64</v>
      </c>
      <c r="N7" s="37" t="s">
        <v>65</v>
      </c>
      <c r="O7" s="42">
        <v>586.07000000000005</v>
      </c>
      <c r="P7" s="43" t="str">
        <f t="shared" si="3"/>
        <v>High</v>
      </c>
      <c r="Q7" s="42">
        <v>845.97</v>
      </c>
      <c r="R7" s="42">
        <v>0.14699999999999999</v>
      </c>
      <c r="S7" s="42">
        <v>4</v>
      </c>
      <c r="T7" s="42">
        <f t="shared" si="0"/>
        <v>8983.864239999999</v>
      </c>
      <c r="U7" s="37">
        <f t="shared" si="1"/>
        <v>2344.2800000000002</v>
      </c>
      <c r="V7" s="42">
        <f t="shared" si="4"/>
        <v>6639.5842399999983</v>
      </c>
      <c r="W7" s="44">
        <f t="shared" si="5"/>
        <v>0.73905660889639613</v>
      </c>
    </row>
    <row r="8" spans="1:23" x14ac:dyDescent="0.3">
      <c r="A8" s="45" t="s">
        <v>66</v>
      </c>
      <c r="B8" s="46">
        <v>44941</v>
      </c>
      <c r="C8" s="47">
        <v>44939</v>
      </c>
      <c r="D8" s="48">
        <f>DATEDIF(C8,B8, "MD")</f>
        <v>2</v>
      </c>
      <c r="E8" s="48" t="str">
        <f>TEXT(Data!B8,"MMM-YYYY")</f>
        <v>Jan-2023</v>
      </c>
      <c r="F8" s="48" t="str">
        <f t="shared" si="2"/>
        <v>Q1-2023</v>
      </c>
      <c r="G8" s="38" t="s">
        <v>16</v>
      </c>
      <c r="H8" s="38" t="s">
        <v>25</v>
      </c>
      <c r="I8" s="38" t="s">
        <v>67</v>
      </c>
      <c r="J8" s="38" t="s">
        <v>27</v>
      </c>
      <c r="K8" s="38" t="s">
        <v>28</v>
      </c>
      <c r="L8" s="38" t="s">
        <v>68</v>
      </c>
      <c r="M8" s="38" t="s">
        <v>30</v>
      </c>
      <c r="N8" s="38" t="s">
        <v>69</v>
      </c>
      <c r="O8" s="48">
        <v>28.38</v>
      </c>
      <c r="P8" s="49" t="str">
        <f t="shared" si="3"/>
        <v>Low</v>
      </c>
      <c r="Q8" s="48">
        <v>47.22</v>
      </c>
      <c r="R8" s="48">
        <v>0.19400000000000001</v>
      </c>
      <c r="S8" s="48">
        <v>18</v>
      </c>
      <c r="T8" s="48">
        <f t="shared" si="0"/>
        <v>19177.399799999999</v>
      </c>
      <c r="U8" s="38">
        <f t="shared" si="1"/>
        <v>510.84</v>
      </c>
      <c r="V8" s="48">
        <f t="shared" si="4"/>
        <v>18666.559799999999</v>
      </c>
      <c r="W8" s="50">
        <f t="shared" si="5"/>
        <v>0.97336239504168864</v>
      </c>
    </row>
    <row r="9" spans="1:23" x14ac:dyDescent="0.3">
      <c r="A9" s="39" t="s">
        <v>70</v>
      </c>
      <c r="B9" s="40">
        <v>45416</v>
      </c>
      <c r="C9" s="41">
        <v>45441</v>
      </c>
      <c r="D9" s="42">
        <f t="shared" si="6"/>
        <v>25</v>
      </c>
      <c r="E9" s="42" t="str">
        <f>TEXT(Data!B9,"MMM-YYYY")</f>
        <v>May-2024</v>
      </c>
      <c r="F9" s="42" t="str">
        <f t="shared" si="2"/>
        <v>Q2-2024</v>
      </c>
      <c r="G9" s="37" t="s">
        <v>16</v>
      </c>
      <c r="H9" s="37" t="s">
        <v>25</v>
      </c>
      <c r="I9" s="37" t="s">
        <v>67</v>
      </c>
      <c r="J9" s="37" t="s">
        <v>39</v>
      </c>
      <c r="K9" s="37" t="s">
        <v>40</v>
      </c>
      <c r="L9" s="37" t="s">
        <v>68</v>
      </c>
      <c r="M9" s="37" t="s">
        <v>64</v>
      </c>
      <c r="N9" s="37" t="s">
        <v>71</v>
      </c>
      <c r="O9" s="42">
        <v>1295.3399999999999</v>
      </c>
      <c r="P9" s="43" t="str">
        <f t="shared" si="3"/>
        <v>High</v>
      </c>
      <c r="Q9" s="42">
        <v>2530.81</v>
      </c>
      <c r="R9" s="42">
        <v>3.1E-2</v>
      </c>
      <c r="S9" s="42">
        <v>6</v>
      </c>
      <c r="T9" s="42">
        <f t="shared" si="0"/>
        <v>17656.36218</v>
      </c>
      <c r="U9" s="37">
        <f t="shared" si="1"/>
        <v>7772.0399999999991</v>
      </c>
      <c r="V9" s="42">
        <f t="shared" si="4"/>
        <v>9884.322180000001</v>
      </c>
      <c r="W9" s="44">
        <f t="shared" si="5"/>
        <v>0.55981646044825306</v>
      </c>
    </row>
    <row r="10" spans="1:23" x14ac:dyDescent="0.3">
      <c r="A10" s="45" t="s">
        <v>72</v>
      </c>
      <c r="B10" s="46">
        <v>45798</v>
      </c>
      <c r="C10" s="47">
        <v>45817</v>
      </c>
      <c r="D10" s="48">
        <f t="shared" si="6"/>
        <v>19</v>
      </c>
      <c r="E10" s="48" t="str">
        <f>TEXT(Data!B10,"MMM-YYYY")</f>
        <v>May-2025</v>
      </c>
      <c r="F10" s="48" t="str">
        <f t="shared" si="2"/>
        <v>Q2-2025</v>
      </c>
      <c r="G10" s="38" t="s">
        <v>52</v>
      </c>
      <c r="H10" s="38" t="s">
        <v>73</v>
      </c>
      <c r="I10" s="38" t="s">
        <v>74</v>
      </c>
      <c r="J10" s="38" t="s">
        <v>39</v>
      </c>
      <c r="K10" s="38" t="s">
        <v>28</v>
      </c>
      <c r="L10" s="38" t="s">
        <v>75</v>
      </c>
      <c r="M10" s="38" t="s">
        <v>22</v>
      </c>
      <c r="N10" s="38" t="s">
        <v>76</v>
      </c>
      <c r="O10" s="48">
        <v>1331.38</v>
      </c>
      <c r="P10" s="49" t="str">
        <f t="shared" si="3"/>
        <v>High</v>
      </c>
      <c r="Q10" s="48">
        <v>2309.56</v>
      </c>
      <c r="R10" s="48">
        <v>0.14899999999999999</v>
      </c>
      <c r="S10" s="48">
        <v>31</v>
      </c>
      <c r="T10" s="48">
        <f t="shared" si="0"/>
        <v>5259.5799699999998</v>
      </c>
      <c r="U10" s="38">
        <f t="shared" si="1"/>
        <v>41272.780000000006</v>
      </c>
      <c r="V10" s="48">
        <f t="shared" si="4"/>
        <v>-36013.200030000007</v>
      </c>
      <c r="W10" s="50">
        <f t="shared" si="5"/>
        <v>-6.8471627459635354</v>
      </c>
    </row>
    <row r="11" spans="1:23" x14ac:dyDescent="0.3">
      <c r="A11" s="39" t="s">
        <v>77</v>
      </c>
      <c r="B11" s="40">
        <v>45319</v>
      </c>
      <c r="C11" s="41">
        <v>45331</v>
      </c>
      <c r="D11" s="42">
        <f t="shared" si="6"/>
        <v>12</v>
      </c>
      <c r="E11" s="42" t="str">
        <f>TEXT(Data!B11,"MMM-YYYY")</f>
        <v>Jan-2024</v>
      </c>
      <c r="F11" s="42" t="str">
        <f t="shared" si="2"/>
        <v>Q1-2024</v>
      </c>
      <c r="G11" s="37" t="s">
        <v>78</v>
      </c>
      <c r="H11" s="37" t="s">
        <v>79</v>
      </c>
      <c r="I11" s="37" t="s">
        <v>80</v>
      </c>
      <c r="J11" s="37" t="s">
        <v>19</v>
      </c>
      <c r="K11" s="37" t="s">
        <v>28</v>
      </c>
      <c r="L11" s="37" t="s">
        <v>41</v>
      </c>
      <c r="M11" s="37" t="s">
        <v>81</v>
      </c>
      <c r="N11" s="37" t="s">
        <v>82</v>
      </c>
      <c r="O11" s="42">
        <v>644.16999999999996</v>
      </c>
      <c r="P11" s="43" t="str">
        <f t="shared" si="3"/>
        <v>High</v>
      </c>
      <c r="Q11" s="42">
        <v>700.12</v>
      </c>
      <c r="R11" s="42">
        <v>6.0000000000000001E-3</v>
      </c>
      <c r="S11" s="42">
        <v>23</v>
      </c>
      <c r="T11" s="42">
        <f t="shared" si="0"/>
        <v>21204.733619999999</v>
      </c>
      <c r="U11" s="37">
        <f t="shared" si="1"/>
        <v>14815.91</v>
      </c>
      <c r="V11" s="42">
        <f t="shared" si="4"/>
        <v>6388.8236199999992</v>
      </c>
      <c r="W11" s="44">
        <f t="shared" si="5"/>
        <v>0.30129233097152197</v>
      </c>
    </row>
    <row r="12" spans="1:23" x14ac:dyDescent="0.3">
      <c r="A12" s="45" t="s">
        <v>83</v>
      </c>
      <c r="B12" s="46">
        <v>45660</v>
      </c>
      <c r="C12" s="47">
        <v>45680</v>
      </c>
      <c r="D12" s="48">
        <f t="shared" si="6"/>
        <v>20</v>
      </c>
      <c r="E12" s="48" t="str">
        <f>TEXT(Data!B12,"MMM-YYYY")</f>
        <v>Jan-2025</v>
      </c>
      <c r="F12" s="48" t="str">
        <f t="shared" si="2"/>
        <v>Q1-2025</v>
      </c>
      <c r="G12" s="38" t="s">
        <v>45</v>
      </c>
      <c r="H12" s="38" t="s">
        <v>46</v>
      </c>
      <c r="I12" s="38" t="s">
        <v>47</v>
      </c>
      <c r="J12" s="38" t="s">
        <v>19</v>
      </c>
      <c r="K12" s="38" t="s">
        <v>55</v>
      </c>
      <c r="L12" s="38" t="s">
        <v>84</v>
      </c>
      <c r="M12" s="38" t="s">
        <v>42</v>
      </c>
      <c r="N12" s="38" t="s">
        <v>85</v>
      </c>
      <c r="O12" s="48">
        <v>908.6</v>
      </c>
      <c r="P12" s="49" t="str">
        <f t="shared" si="3"/>
        <v>High</v>
      </c>
      <c r="Q12" s="48">
        <v>691.37</v>
      </c>
      <c r="R12" s="48">
        <v>0.25</v>
      </c>
      <c r="S12" s="48">
        <v>20</v>
      </c>
      <c r="T12" s="48">
        <f t="shared" si="0"/>
        <v>26031.15</v>
      </c>
      <c r="U12" s="38">
        <f t="shared" si="1"/>
        <v>18172</v>
      </c>
      <c r="V12" s="48">
        <f t="shared" si="4"/>
        <v>7859.1500000000015</v>
      </c>
      <c r="W12" s="50">
        <f t="shared" si="5"/>
        <v>0.30191328466087747</v>
      </c>
    </row>
    <row r="13" spans="1:23" x14ac:dyDescent="0.3">
      <c r="A13" s="39" t="s">
        <v>86</v>
      </c>
      <c r="B13" s="40">
        <v>45722</v>
      </c>
      <c r="C13" s="41">
        <v>45747</v>
      </c>
      <c r="D13" s="42">
        <f t="shared" si="6"/>
        <v>25</v>
      </c>
      <c r="E13" s="42" t="str">
        <f>TEXT(Data!B13,"MMM-YYYY")</f>
        <v>Mar-2025</v>
      </c>
      <c r="F13" s="42" t="str">
        <f t="shared" si="2"/>
        <v>Q1-2025</v>
      </c>
      <c r="G13" s="37" t="s">
        <v>52</v>
      </c>
      <c r="H13" s="37" t="s">
        <v>73</v>
      </c>
      <c r="I13" s="37" t="s">
        <v>87</v>
      </c>
      <c r="J13" s="37" t="s">
        <v>39</v>
      </c>
      <c r="K13" s="37" t="s">
        <v>28</v>
      </c>
      <c r="L13" s="37" t="s">
        <v>29</v>
      </c>
      <c r="M13" s="37" t="s">
        <v>22</v>
      </c>
      <c r="N13" s="37" t="s">
        <v>88</v>
      </c>
      <c r="O13" s="42">
        <v>331.57</v>
      </c>
      <c r="P13" s="43" t="str">
        <f t="shared" si="3"/>
        <v>High</v>
      </c>
      <c r="Q13" s="42">
        <v>548.4</v>
      </c>
      <c r="R13" s="42">
        <v>9.4E-2</v>
      </c>
      <c r="S13" s="42">
        <v>10</v>
      </c>
      <c r="T13" s="42">
        <f t="shared" si="0"/>
        <v>12644.498400000002</v>
      </c>
      <c r="U13" s="37">
        <f t="shared" si="1"/>
        <v>3315.7</v>
      </c>
      <c r="V13" s="42">
        <f t="shared" si="4"/>
        <v>9328.7984000000033</v>
      </c>
      <c r="W13" s="44">
        <f t="shared" si="5"/>
        <v>0.73777528415045723</v>
      </c>
    </row>
    <row r="14" spans="1:23" x14ac:dyDescent="0.3">
      <c r="A14" s="45" t="s">
        <v>89</v>
      </c>
      <c r="B14" s="46">
        <v>45311</v>
      </c>
      <c r="C14" s="47">
        <v>45335</v>
      </c>
      <c r="D14" s="48">
        <f t="shared" si="6"/>
        <v>24</v>
      </c>
      <c r="E14" s="48" t="str">
        <f>TEXT(Data!B14,"MMM-YYYY")</f>
        <v>Jan-2024</v>
      </c>
      <c r="F14" s="48" t="str">
        <f t="shared" si="2"/>
        <v>Q1-2024</v>
      </c>
      <c r="G14" s="38" t="s">
        <v>78</v>
      </c>
      <c r="H14" s="38" t="s">
        <v>90</v>
      </c>
      <c r="I14" s="38" t="s">
        <v>91</v>
      </c>
      <c r="J14" s="38" t="s">
        <v>19</v>
      </c>
      <c r="K14" s="38" t="s">
        <v>20</v>
      </c>
      <c r="L14" s="38" t="s">
        <v>92</v>
      </c>
      <c r="M14" s="38" t="s">
        <v>30</v>
      </c>
      <c r="N14" s="38" t="s">
        <v>93</v>
      </c>
      <c r="O14" s="48">
        <v>643.53</v>
      </c>
      <c r="P14" s="49" t="str">
        <f t="shared" si="3"/>
        <v>High</v>
      </c>
      <c r="Q14" s="48">
        <v>1439.01</v>
      </c>
      <c r="R14" s="48">
        <v>0</v>
      </c>
      <c r="S14" s="48">
        <v>15</v>
      </c>
      <c r="T14" s="48">
        <f t="shared" si="0"/>
        <v>6816.3</v>
      </c>
      <c r="U14" s="38">
        <f t="shared" si="1"/>
        <v>9652.9499999999989</v>
      </c>
      <c r="V14" s="48">
        <f t="shared" si="4"/>
        <v>-2836.6499999999987</v>
      </c>
      <c r="W14" s="50">
        <f t="shared" si="5"/>
        <v>-0.4161568592931647</v>
      </c>
    </row>
    <row r="15" spans="1:23" x14ac:dyDescent="0.3">
      <c r="A15" s="39" t="s">
        <v>94</v>
      </c>
      <c r="B15" s="40">
        <v>45901</v>
      </c>
      <c r="C15" s="41">
        <v>45930</v>
      </c>
      <c r="D15" s="42">
        <f t="shared" si="6"/>
        <v>29</v>
      </c>
      <c r="E15" s="42" t="str">
        <f>TEXT(Data!B15,"MMM-YYYY")</f>
        <v>Sept-2025</v>
      </c>
      <c r="F15" s="42" t="str">
        <f t="shared" si="2"/>
        <v>Q3-2025</v>
      </c>
      <c r="G15" s="37" t="s">
        <v>52</v>
      </c>
      <c r="H15" s="37" t="s">
        <v>73</v>
      </c>
      <c r="I15" s="37" t="s">
        <v>87</v>
      </c>
      <c r="J15" s="37" t="s">
        <v>27</v>
      </c>
      <c r="K15" s="37" t="s">
        <v>20</v>
      </c>
      <c r="L15" s="37" t="s">
        <v>95</v>
      </c>
      <c r="M15" s="37" t="s">
        <v>81</v>
      </c>
      <c r="N15" s="37" t="s">
        <v>96</v>
      </c>
      <c r="O15" s="42">
        <v>780.59</v>
      </c>
      <c r="P15" s="43" t="str">
        <f t="shared" si="3"/>
        <v>High</v>
      </c>
      <c r="Q15" s="42">
        <v>631.57000000000005</v>
      </c>
      <c r="R15" s="42">
        <v>0</v>
      </c>
      <c r="S15" s="42">
        <v>12</v>
      </c>
      <c r="T15" s="42">
        <f t="shared" si="0"/>
        <v>18971.64</v>
      </c>
      <c r="U15" s="37">
        <f t="shared" si="1"/>
        <v>9367.08</v>
      </c>
      <c r="V15" s="42">
        <f t="shared" si="4"/>
        <v>9604.56</v>
      </c>
      <c r="W15" s="44">
        <f t="shared" si="5"/>
        <v>0.50625881579030596</v>
      </c>
    </row>
    <row r="16" spans="1:23" x14ac:dyDescent="0.3">
      <c r="A16" s="45" t="s">
        <v>97</v>
      </c>
      <c r="B16" s="46">
        <v>45039</v>
      </c>
      <c r="C16" s="47">
        <v>45038</v>
      </c>
      <c r="D16" s="48">
        <f>DATEDIF(C16, B16, "MD")</f>
        <v>1</v>
      </c>
      <c r="E16" s="48" t="str">
        <f>TEXT(Data!B16,"MMM-YYYY")</f>
        <v>Apr-2023</v>
      </c>
      <c r="F16" s="48" t="str">
        <f t="shared" si="2"/>
        <v>Q2-2023</v>
      </c>
      <c r="G16" s="38" t="s">
        <v>16</v>
      </c>
      <c r="H16" s="38" t="s">
        <v>17</v>
      </c>
      <c r="I16" s="38" t="s">
        <v>33</v>
      </c>
      <c r="J16" s="38" t="s">
        <v>62</v>
      </c>
      <c r="K16" s="38" t="s">
        <v>98</v>
      </c>
      <c r="L16" s="38" t="s">
        <v>63</v>
      </c>
      <c r="M16" s="38" t="s">
        <v>57</v>
      </c>
      <c r="N16" s="38" t="s">
        <v>99</v>
      </c>
      <c r="O16" s="48">
        <v>756.51</v>
      </c>
      <c r="P16" s="49" t="str">
        <f t="shared" si="3"/>
        <v>High</v>
      </c>
      <c r="Q16" s="48">
        <v>850.8</v>
      </c>
      <c r="R16" s="48">
        <v>7.3999999999999996E-2</v>
      </c>
      <c r="S16" s="48">
        <v>9</v>
      </c>
      <c r="T16" s="48">
        <f t="shared" si="0"/>
        <v>14666.089860000002</v>
      </c>
      <c r="U16" s="38">
        <f t="shared" si="1"/>
        <v>6808.59</v>
      </c>
      <c r="V16" s="48">
        <f t="shared" si="4"/>
        <v>7857.4998600000017</v>
      </c>
      <c r="W16" s="50">
        <f t="shared" si="5"/>
        <v>0.53575969702943038</v>
      </c>
    </row>
    <row r="17" spans="1:23" x14ac:dyDescent="0.3">
      <c r="A17" s="39" t="s">
        <v>100</v>
      </c>
      <c r="B17" s="40">
        <v>45636</v>
      </c>
      <c r="C17" s="41">
        <v>45665</v>
      </c>
      <c r="D17" s="42">
        <f t="shared" si="6"/>
        <v>29</v>
      </c>
      <c r="E17" s="42" t="str">
        <f>TEXT(Data!B17,"MMM-YYYY")</f>
        <v>Dec-2024</v>
      </c>
      <c r="F17" s="42" t="str">
        <f t="shared" si="2"/>
        <v>Q4-2024</v>
      </c>
      <c r="G17" s="37" t="s">
        <v>78</v>
      </c>
      <c r="H17" s="37" t="s">
        <v>90</v>
      </c>
      <c r="I17" s="37" t="s">
        <v>91</v>
      </c>
      <c r="J17" s="37" t="s">
        <v>62</v>
      </c>
      <c r="K17" s="37" t="s">
        <v>20</v>
      </c>
      <c r="L17" s="37" t="s">
        <v>95</v>
      </c>
      <c r="M17" s="37" t="s">
        <v>30</v>
      </c>
      <c r="N17" s="37" t="s">
        <v>101</v>
      </c>
      <c r="O17" s="42">
        <v>891.08</v>
      </c>
      <c r="P17" s="43" t="str">
        <f t="shared" si="3"/>
        <v>High</v>
      </c>
      <c r="Q17" s="42">
        <v>1040.0999999999999</v>
      </c>
      <c r="R17" s="42">
        <v>0.109</v>
      </c>
      <c r="S17" s="42">
        <v>28</v>
      </c>
      <c r="T17" s="42">
        <f t="shared" si="0"/>
        <v>79945.865999999995</v>
      </c>
      <c r="U17" s="37">
        <f t="shared" si="1"/>
        <v>24950.240000000002</v>
      </c>
      <c r="V17" s="42">
        <f t="shared" si="4"/>
        <v>54995.625999999989</v>
      </c>
      <c r="W17" s="44">
        <f t="shared" si="5"/>
        <v>0.68791081705212864</v>
      </c>
    </row>
    <row r="18" spans="1:23" x14ac:dyDescent="0.3">
      <c r="A18" s="45" t="s">
        <v>102</v>
      </c>
      <c r="B18" s="46">
        <v>45908</v>
      </c>
      <c r="C18" s="47">
        <v>45916</v>
      </c>
      <c r="D18" s="48">
        <f t="shared" si="6"/>
        <v>8</v>
      </c>
      <c r="E18" s="48" t="str">
        <f>TEXT(Data!B18,"MMM-YYYY")</f>
        <v>Sept-2025</v>
      </c>
      <c r="F18" s="48" t="str">
        <f t="shared" si="2"/>
        <v>Q3-2025</v>
      </c>
      <c r="G18" s="38" t="s">
        <v>45</v>
      </c>
      <c r="H18" s="38" t="s">
        <v>46</v>
      </c>
      <c r="I18" s="38" t="s">
        <v>47</v>
      </c>
      <c r="J18" s="38" t="s">
        <v>19</v>
      </c>
      <c r="K18" s="38" t="s">
        <v>55</v>
      </c>
      <c r="L18" s="38" t="s">
        <v>21</v>
      </c>
      <c r="M18" s="38" t="s">
        <v>42</v>
      </c>
      <c r="N18" s="38" t="s">
        <v>103</v>
      </c>
      <c r="O18" s="48">
        <v>1225.57</v>
      </c>
      <c r="P18" s="49" t="str">
        <f t="shared" si="3"/>
        <v>High</v>
      </c>
      <c r="Q18" s="48">
        <v>2705.57</v>
      </c>
      <c r="R18" s="48">
        <v>0.183</v>
      </c>
      <c r="S18" s="48">
        <v>16</v>
      </c>
      <c r="T18" s="48">
        <f t="shared" si="0"/>
        <v>14842.34096</v>
      </c>
      <c r="U18" s="38">
        <f t="shared" si="1"/>
        <v>19609.12</v>
      </c>
      <c r="V18" s="48">
        <f t="shared" si="4"/>
        <v>-4766.7790399999994</v>
      </c>
      <c r="W18" s="50">
        <f t="shared" si="5"/>
        <v>-0.32116086356232038</v>
      </c>
    </row>
    <row r="19" spans="1:23" x14ac:dyDescent="0.3">
      <c r="A19" s="39" t="s">
        <v>104</v>
      </c>
      <c r="B19" s="40">
        <v>45858</v>
      </c>
      <c r="C19" s="41">
        <v>45874</v>
      </c>
      <c r="D19" s="42">
        <f t="shared" si="6"/>
        <v>16</v>
      </c>
      <c r="E19" s="42" t="str">
        <f>TEXT(Data!B19,"MMM-YYYY")</f>
        <v>Jul-2025</v>
      </c>
      <c r="F19" s="42" t="str">
        <f t="shared" si="2"/>
        <v>Q3-2025</v>
      </c>
      <c r="G19" s="37" t="s">
        <v>52</v>
      </c>
      <c r="H19" s="37" t="s">
        <v>73</v>
      </c>
      <c r="I19" s="37" t="s">
        <v>87</v>
      </c>
      <c r="J19" s="37" t="s">
        <v>105</v>
      </c>
      <c r="K19" s="37" t="s">
        <v>40</v>
      </c>
      <c r="L19" s="37" t="s">
        <v>41</v>
      </c>
      <c r="M19" s="37" t="s">
        <v>81</v>
      </c>
      <c r="N19" s="37" t="s">
        <v>106</v>
      </c>
      <c r="O19" s="42">
        <v>1068.17</v>
      </c>
      <c r="P19" s="43" t="str">
        <f t="shared" si="3"/>
        <v>High</v>
      </c>
      <c r="Q19" s="42">
        <v>2375.37</v>
      </c>
      <c r="R19" s="42">
        <v>0.109</v>
      </c>
      <c r="S19" s="42">
        <v>18</v>
      </c>
      <c r="T19" s="42">
        <f t="shared" si="0"/>
        <v>15979.62168</v>
      </c>
      <c r="U19" s="37">
        <f t="shared" si="1"/>
        <v>19227.060000000001</v>
      </c>
      <c r="V19" s="42">
        <f t="shared" si="4"/>
        <v>-3247.4383200000011</v>
      </c>
      <c r="W19" s="44">
        <f t="shared" si="5"/>
        <v>-0.20322372988745258</v>
      </c>
    </row>
    <row r="20" spans="1:23" x14ac:dyDescent="0.3">
      <c r="A20" s="45" t="s">
        <v>107</v>
      </c>
      <c r="B20" s="46">
        <v>45798</v>
      </c>
      <c r="C20" s="47">
        <v>45796</v>
      </c>
      <c r="D20" s="48">
        <f>DATEDIF(C20,B20, "MD")</f>
        <v>2</v>
      </c>
      <c r="E20" s="48" t="str">
        <f>TEXT(Data!B20,"MMM-YYYY")</f>
        <v>May-2025</v>
      </c>
      <c r="F20" s="48" t="str">
        <f t="shared" si="2"/>
        <v>Q2-2025</v>
      </c>
      <c r="G20" s="38" t="s">
        <v>78</v>
      </c>
      <c r="H20" s="38" t="s">
        <v>108</v>
      </c>
      <c r="I20" s="38" t="s">
        <v>109</v>
      </c>
      <c r="J20" s="38" t="s">
        <v>105</v>
      </c>
      <c r="K20" s="38" t="s">
        <v>28</v>
      </c>
      <c r="L20" s="38" t="s">
        <v>110</v>
      </c>
      <c r="M20" s="38" t="s">
        <v>57</v>
      </c>
      <c r="N20" s="38" t="s">
        <v>111</v>
      </c>
      <c r="O20" s="48">
        <v>1015.16</v>
      </c>
      <c r="P20" s="49" t="str">
        <f t="shared" si="3"/>
        <v>High</v>
      </c>
      <c r="Q20" s="48">
        <v>2148.14</v>
      </c>
      <c r="R20" s="48">
        <v>3.7999999999999999E-2</v>
      </c>
      <c r="S20" s="48">
        <v>19</v>
      </c>
      <c r="T20" s="48">
        <f t="shared" si="0"/>
        <v>25535.279900000001</v>
      </c>
      <c r="U20" s="38">
        <f t="shared" si="1"/>
        <v>19288.04</v>
      </c>
      <c r="V20" s="48">
        <f t="shared" si="4"/>
        <v>6247.2399000000005</v>
      </c>
      <c r="W20" s="50">
        <f t="shared" si="5"/>
        <v>0.24465131866441769</v>
      </c>
    </row>
    <row r="21" spans="1:23" x14ac:dyDescent="0.3">
      <c r="A21" s="39" t="s">
        <v>112</v>
      </c>
      <c r="B21" s="40">
        <v>45498</v>
      </c>
      <c r="C21" s="41">
        <v>45497</v>
      </c>
      <c r="D21" s="42">
        <f>DATEDIF(C21,B21, "MD")</f>
        <v>1</v>
      </c>
      <c r="E21" s="42" t="str">
        <f>TEXT(Data!B21,"MMM-YYYY")</f>
        <v>Jul-2024</v>
      </c>
      <c r="F21" s="42" t="str">
        <f t="shared" si="2"/>
        <v>Q3-2024</v>
      </c>
      <c r="G21" s="37" t="s">
        <v>16</v>
      </c>
      <c r="H21" s="37" t="s">
        <v>17</v>
      </c>
      <c r="I21" s="37" t="s">
        <v>113</v>
      </c>
      <c r="J21" s="37" t="s">
        <v>39</v>
      </c>
      <c r="K21" s="37" t="s">
        <v>98</v>
      </c>
      <c r="L21" s="37" t="s">
        <v>29</v>
      </c>
      <c r="M21" s="37" t="s">
        <v>57</v>
      </c>
      <c r="N21" s="37" t="s">
        <v>114</v>
      </c>
      <c r="O21" s="42">
        <v>1494.4</v>
      </c>
      <c r="P21" s="43" t="str">
        <f t="shared" si="3"/>
        <v>High</v>
      </c>
      <c r="Q21" s="42">
        <v>3661.07</v>
      </c>
      <c r="R21" s="42">
        <v>7.1999999999999995E-2</v>
      </c>
      <c r="S21" s="42">
        <v>7</v>
      </c>
      <c r="T21" s="42">
        <f t="shared" si="0"/>
        <v>3565.5894400000002</v>
      </c>
      <c r="U21" s="37">
        <f t="shared" si="1"/>
        <v>10460.800000000001</v>
      </c>
      <c r="V21" s="42">
        <f t="shared" si="4"/>
        <v>-6895.2105600000014</v>
      </c>
      <c r="W21" s="44">
        <f t="shared" si="5"/>
        <v>-1.9338206700544864</v>
      </c>
    </row>
    <row r="22" spans="1:23" x14ac:dyDescent="0.3">
      <c r="A22" s="45" t="s">
        <v>115</v>
      </c>
      <c r="B22" s="46">
        <v>45057</v>
      </c>
      <c r="C22" s="47">
        <v>45074</v>
      </c>
      <c r="D22" s="48">
        <f t="shared" si="6"/>
        <v>17</v>
      </c>
      <c r="E22" s="48" t="str">
        <f>TEXT(Data!B22,"MMM-YYYY")</f>
        <v>May-2023</v>
      </c>
      <c r="F22" s="48" t="str">
        <f t="shared" si="2"/>
        <v>Q2-2023</v>
      </c>
      <c r="G22" s="38" t="s">
        <v>45</v>
      </c>
      <c r="H22" s="38" t="s">
        <v>116</v>
      </c>
      <c r="I22" s="38" t="s">
        <v>117</v>
      </c>
      <c r="J22" s="38" t="s">
        <v>105</v>
      </c>
      <c r="K22" s="38" t="s">
        <v>40</v>
      </c>
      <c r="L22" s="38" t="s">
        <v>63</v>
      </c>
      <c r="M22" s="38" t="s">
        <v>35</v>
      </c>
      <c r="N22" s="38" t="s">
        <v>118</v>
      </c>
      <c r="O22" s="48">
        <v>1331.19</v>
      </c>
      <c r="P22" s="49" t="str">
        <f t="shared" si="3"/>
        <v>High</v>
      </c>
      <c r="Q22" s="48">
        <v>2903.09</v>
      </c>
      <c r="R22" s="48">
        <v>0.14299999999999999</v>
      </c>
      <c r="S22" s="48">
        <v>8</v>
      </c>
      <c r="T22" s="48">
        <f t="shared" si="0"/>
        <v>24160.543999999998</v>
      </c>
      <c r="U22" s="38">
        <f t="shared" si="1"/>
        <v>10649.52</v>
      </c>
      <c r="V22" s="48">
        <f t="shared" si="4"/>
        <v>13511.023999999998</v>
      </c>
      <c r="W22" s="50">
        <f t="shared" si="5"/>
        <v>0.55921853415221112</v>
      </c>
    </row>
    <row r="23" spans="1:23" x14ac:dyDescent="0.3">
      <c r="A23" s="39" t="s">
        <v>119</v>
      </c>
      <c r="B23" s="40">
        <v>45822</v>
      </c>
      <c r="C23" s="41">
        <v>45837</v>
      </c>
      <c r="D23" s="42">
        <f t="shared" si="6"/>
        <v>15</v>
      </c>
      <c r="E23" s="42" t="str">
        <f>TEXT(Data!B23,"MMM-YYYY")</f>
        <v>Jun-2025</v>
      </c>
      <c r="F23" s="42" t="str">
        <f t="shared" si="2"/>
        <v>Q2-2025</v>
      </c>
      <c r="G23" s="37" t="s">
        <v>16</v>
      </c>
      <c r="H23" s="37" t="s">
        <v>25</v>
      </c>
      <c r="I23" s="37" t="s">
        <v>26</v>
      </c>
      <c r="J23" s="37" t="s">
        <v>48</v>
      </c>
      <c r="K23" s="37" t="s">
        <v>40</v>
      </c>
      <c r="L23" s="37" t="s">
        <v>110</v>
      </c>
      <c r="M23" s="37" t="s">
        <v>81</v>
      </c>
      <c r="N23" s="37" t="s">
        <v>120</v>
      </c>
      <c r="O23" s="42">
        <v>730.99</v>
      </c>
      <c r="P23" s="43" t="str">
        <f t="shared" si="3"/>
        <v>High</v>
      </c>
      <c r="Q23" s="42">
        <v>1242.8399999999999</v>
      </c>
      <c r="R23" s="42">
        <v>0.12</v>
      </c>
      <c r="S23" s="42">
        <v>10</v>
      </c>
      <c r="T23" s="42">
        <f t="shared" si="0"/>
        <v>16065.367999999999</v>
      </c>
      <c r="U23" s="37">
        <f t="shared" si="1"/>
        <v>7309.9</v>
      </c>
      <c r="V23" s="42">
        <f t="shared" si="4"/>
        <v>8755.4679999999989</v>
      </c>
      <c r="W23" s="44">
        <f t="shared" si="5"/>
        <v>0.54499019256826231</v>
      </c>
    </row>
    <row r="24" spans="1:23" x14ac:dyDescent="0.3">
      <c r="A24" s="45" t="s">
        <v>121</v>
      </c>
      <c r="B24" s="46">
        <v>45430</v>
      </c>
      <c r="C24" s="47">
        <v>45435</v>
      </c>
      <c r="D24" s="48">
        <f t="shared" si="6"/>
        <v>5</v>
      </c>
      <c r="E24" s="48" t="str">
        <f>TEXT(Data!B24,"MMM-YYYY")</f>
        <v>May-2024</v>
      </c>
      <c r="F24" s="48" t="str">
        <f t="shared" si="2"/>
        <v>Q2-2024</v>
      </c>
      <c r="G24" s="38" t="s">
        <v>52</v>
      </c>
      <c r="H24" s="38" t="s">
        <v>122</v>
      </c>
      <c r="I24" s="38" t="s">
        <v>123</v>
      </c>
      <c r="J24" s="38" t="s">
        <v>105</v>
      </c>
      <c r="K24" s="38" t="s">
        <v>20</v>
      </c>
      <c r="L24" s="38" t="s">
        <v>92</v>
      </c>
      <c r="M24" s="38" t="s">
        <v>57</v>
      </c>
      <c r="N24" s="38" t="s">
        <v>124</v>
      </c>
      <c r="O24" s="48">
        <v>1274.5899999999999</v>
      </c>
      <c r="P24" s="49" t="str">
        <f t="shared" si="3"/>
        <v>High</v>
      </c>
      <c r="Q24" s="48">
        <v>2553.69</v>
      </c>
      <c r="R24" s="48">
        <v>0.01</v>
      </c>
      <c r="S24" s="48">
        <v>8</v>
      </c>
      <c r="T24" s="48">
        <f t="shared" si="0"/>
        <v>14187.650399999999</v>
      </c>
      <c r="U24" s="38">
        <f t="shared" si="1"/>
        <v>10196.719999999999</v>
      </c>
      <c r="V24" s="48">
        <f t="shared" si="4"/>
        <v>3990.9303999999993</v>
      </c>
      <c r="W24" s="50">
        <f t="shared" si="5"/>
        <v>0.28129607704458237</v>
      </c>
    </row>
    <row r="25" spans="1:23" x14ac:dyDescent="0.3">
      <c r="A25" s="39" t="s">
        <v>125</v>
      </c>
      <c r="B25" s="40">
        <v>44964</v>
      </c>
      <c r="C25" s="41">
        <v>44969</v>
      </c>
      <c r="D25" s="42">
        <f t="shared" si="6"/>
        <v>5</v>
      </c>
      <c r="E25" s="42" t="str">
        <f>TEXT(Data!B25,"MMM-YYYY")</f>
        <v>Feb-2023</v>
      </c>
      <c r="F25" s="42" t="str">
        <f t="shared" si="2"/>
        <v>Q1-2023</v>
      </c>
      <c r="G25" s="37" t="s">
        <v>52</v>
      </c>
      <c r="H25" s="37" t="s">
        <v>73</v>
      </c>
      <c r="I25" s="37" t="s">
        <v>74</v>
      </c>
      <c r="J25" s="37" t="s">
        <v>27</v>
      </c>
      <c r="K25" s="37" t="s">
        <v>28</v>
      </c>
      <c r="L25" s="37" t="s">
        <v>126</v>
      </c>
      <c r="M25" s="37" t="s">
        <v>22</v>
      </c>
      <c r="N25" s="37" t="s">
        <v>127</v>
      </c>
      <c r="O25" s="42">
        <v>948.55</v>
      </c>
      <c r="P25" s="43" t="str">
        <f t="shared" si="3"/>
        <v>High</v>
      </c>
      <c r="Q25" s="42">
        <v>2089.16</v>
      </c>
      <c r="R25" s="42">
        <v>7.0000000000000001E-3</v>
      </c>
      <c r="S25" s="42">
        <v>12</v>
      </c>
      <c r="T25" s="42">
        <f t="shared" si="0"/>
        <v>31336.100999999999</v>
      </c>
      <c r="U25" s="37">
        <f t="shared" si="1"/>
        <v>11382.599999999999</v>
      </c>
      <c r="V25" s="42">
        <f t="shared" si="4"/>
        <v>19953.501</v>
      </c>
      <c r="W25" s="44">
        <f t="shared" si="5"/>
        <v>0.63675761703729516</v>
      </c>
    </row>
    <row r="26" spans="1:23" x14ac:dyDescent="0.3">
      <c r="A26" s="45" t="s">
        <v>128</v>
      </c>
      <c r="B26" s="46">
        <v>45473</v>
      </c>
      <c r="C26" s="47">
        <v>45487</v>
      </c>
      <c r="D26" s="48">
        <f t="shared" si="6"/>
        <v>14</v>
      </c>
      <c r="E26" s="48" t="str">
        <f>TEXT(Data!B26,"MMM-YYYY")</f>
        <v>Jun-2024</v>
      </c>
      <c r="F26" s="48" t="str">
        <f t="shared" si="2"/>
        <v>Q2-2024</v>
      </c>
      <c r="G26" s="38" t="s">
        <v>52</v>
      </c>
      <c r="H26" s="38" t="s">
        <v>73</v>
      </c>
      <c r="I26" s="38" t="s">
        <v>87</v>
      </c>
      <c r="J26" s="38" t="s">
        <v>27</v>
      </c>
      <c r="K26" s="38" t="s">
        <v>20</v>
      </c>
      <c r="L26" s="38" t="s">
        <v>21</v>
      </c>
      <c r="M26" s="38" t="s">
        <v>81</v>
      </c>
      <c r="N26" s="38" t="s">
        <v>129</v>
      </c>
      <c r="O26" s="48">
        <v>1491.85</v>
      </c>
      <c r="P26" s="49" t="str">
        <f t="shared" si="3"/>
        <v>High</v>
      </c>
      <c r="Q26" s="48">
        <v>2583.02</v>
      </c>
      <c r="R26" s="48">
        <v>0.16800000000000001</v>
      </c>
      <c r="S26" s="48">
        <v>4</v>
      </c>
      <c r="T26" s="48">
        <f t="shared" si="0"/>
        <v>353.76639999999998</v>
      </c>
      <c r="U26" s="38">
        <f t="shared" si="1"/>
        <v>5967.4</v>
      </c>
      <c r="V26" s="48">
        <f t="shared" si="4"/>
        <v>-5613.6335999999992</v>
      </c>
      <c r="W26" s="50">
        <f t="shared" si="5"/>
        <v>-15.868193248426079</v>
      </c>
    </row>
    <row r="27" spans="1:23" x14ac:dyDescent="0.3">
      <c r="A27" s="39" t="s">
        <v>130</v>
      </c>
      <c r="B27" s="40">
        <v>45626</v>
      </c>
      <c r="C27" s="41">
        <v>45656</v>
      </c>
      <c r="D27" s="42">
        <f t="shared" si="6"/>
        <v>0</v>
      </c>
      <c r="E27" s="42" t="str">
        <f>TEXT(Data!B27,"MMM-YYYY")</f>
        <v>Nov-2024</v>
      </c>
      <c r="F27" s="42" t="str">
        <f t="shared" si="2"/>
        <v>Q4-2024</v>
      </c>
      <c r="G27" s="37" t="s">
        <v>78</v>
      </c>
      <c r="H27" s="37" t="s">
        <v>90</v>
      </c>
      <c r="I27" s="37" t="s">
        <v>91</v>
      </c>
      <c r="J27" s="37" t="s">
        <v>48</v>
      </c>
      <c r="K27" s="37" t="s">
        <v>40</v>
      </c>
      <c r="L27" s="37" t="s">
        <v>84</v>
      </c>
      <c r="M27" s="37" t="s">
        <v>30</v>
      </c>
      <c r="N27" s="37" t="s">
        <v>131</v>
      </c>
      <c r="O27" s="42">
        <v>117.64</v>
      </c>
      <c r="P27" s="43" t="str">
        <f t="shared" si="3"/>
        <v>Medium</v>
      </c>
      <c r="Q27" s="42">
        <v>175.67</v>
      </c>
      <c r="R27" s="42">
        <v>0</v>
      </c>
      <c r="S27" s="42">
        <v>10</v>
      </c>
      <c r="T27" s="42">
        <f t="shared" si="0"/>
        <v>3857.2000000000003</v>
      </c>
      <c r="U27" s="37">
        <f t="shared" si="1"/>
        <v>1176.4000000000001</v>
      </c>
      <c r="V27" s="42">
        <f t="shared" si="4"/>
        <v>2680.8</v>
      </c>
      <c r="W27" s="44">
        <f t="shared" si="5"/>
        <v>0.69501192574924819</v>
      </c>
    </row>
    <row r="28" spans="1:23" x14ac:dyDescent="0.3">
      <c r="A28" s="45" t="s">
        <v>132</v>
      </c>
      <c r="B28" s="46">
        <v>45492</v>
      </c>
      <c r="C28" s="47">
        <v>45492</v>
      </c>
      <c r="D28" s="48">
        <f t="shared" si="6"/>
        <v>0</v>
      </c>
      <c r="E28" s="48" t="str">
        <f>TEXT(Data!B28,"MMM-YYYY")</f>
        <v>Jul-2024</v>
      </c>
      <c r="F28" s="48" t="str">
        <f t="shared" si="2"/>
        <v>Q3-2024</v>
      </c>
      <c r="G28" s="38" t="s">
        <v>16</v>
      </c>
      <c r="H28" s="38" t="s">
        <v>17</v>
      </c>
      <c r="I28" s="38" t="s">
        <v>18</v>
      </c>
      <c r="J28" s="38" t="s">
        <v>62</v>
      </c>
      <c r="K28" s="38" t="s">
        <v>20</v>
      </c>
      <c r="L28" s="38" t="s">
        <v>75</v>
      </c>
      <c r="M28" s="38" t="s">
        <v>42</v>
      </c>
      <c r="N28" s="38" t="s">
        <v>133</v>
      </c>
      <c r="O28" s="48">
        <v>857.24</v>
      </c>
      <c r="P28" s="49" t="str">
        <f t="shared" si="3"/>
        <v>High</v>
      </c>
      <c r="Q28" s="48">
        <v>758.23</v>
      </c>
      <c r="R28" s="48">
        <v>0.125</v>
      </c>
      <c r="S28" s="48">
        <v>6</v>
      </c>
      <c r="T28" s="48">
        <f t="shared" si="0"/>
        <v>1243.5675000000001</v>
      </c>
      <c r="U28" s="38">
        <f t="shared" si="1"/>
        <v>5143.4400000000005</v>
      </c>
      <c r="V28" s="48">
        <f t="shared" si="4"/>
        <v>-3899.8725000000004</v>
      </c>
      <c r="W28" s="50">
        <f t="shared" si="5"/>
        <v>-3.1360360414694015</v>
      </c>
    </row>
    <row r="29" spans="1:23" x14ac:dyDescent="0.3">
      <c r="A29" s="39" t="s">
        <v>134</v>
      </c>
      <c r="B29" s="40">
        <v>45030</v>
      </c>
      <c r="C29" s="41">
        <v>45060</v>
      </c>
      <c r="D29" s="42">
        <f t="shared" si="6"/>
        <v>0</v>
      </c>
      <c r="E29" s="42" t="str">
        <f>TEXT(Data!B29,"MMM-YYYY")</f>
        <v>Apr-2023</v>
      </c>
      <c r="F29" s="42" t="str">
        <f t="shared" si="2"/>
        <v>Q2-2023</v>
      </c>
      <c r="G29" s="37" t="s">
        <v>16</v>
      </c>
      <c r="H29" s="37" t="s">
        <v>17</v>
      </c>
      <c r="I29" s="37" t="s">
        <v>135</v>
      </c>
      <c r="J29" s="37" t="s">
        <v>48</v>
      </c>
      <c r="K29" s="37" t="s">
        <v>40</v>
      </c>
      <c r="L29" s="37" t="s">
        <v>110</v>
      </c>
      <c r="M29" s="37" t="s">
        <v>42</v>
      </c>
      <c r="N29" s="37" t="s">
        <v>136</v>
      </c>
      <c r="O29" s="42">
        <v>209.25</v>
      </c>
      <c r="P29" s="43" t="str">
        <f t="shared" si="3"/>
        <v>High</v>
      </c>
      <c r="Q29" s="42">
        <v>434.8</v>
      </c>
      <c r="R29" s="42">
        <v>0</v>
      </c>
      <c r="S29" s="42">
        <v>9</v>
      </c>
      <c r="T29" s="42">
        <f t="shared" si="0"/>
        <v>377.09999999999997</v>
      </c>
      <c r="U29" s="37">
        <f t="shared" si="1"/>
        <v>1883.25</v>
      </c>
      <c r="V29" s="42">
        <f t="shared" si="4"/>
        <v>-1506.15</v>
      </c>
      <c r="W29" s="44">
        <f t="shared" si="5"/>
        <v>-3.9940334128878288</v>
      </c>
    </row>
    <row r="30" spans="1:23" x14ac:dyDescent="0.3">
      <c r="A30" s="45" t="s">
        <v>137</v>
      </c>
      <c r="B30" s="46">
        <v>45754</v>
      </c>
      <c r="C30" s="47">
        <v>45758</v>
      </c>
      <c r="D30" s="48">
        <f t="shared" si="6"/>
        <v>4</v>
      </c>
      <c r="E30" s="48" t="str">
        <f>TEXT(Data!B30,"MMM-YYYY")</f>
        <v>Apr-2025</v>
      </c>
      <c r="F30" s="48" t="str">
        <f t="shared" si="2"/>
        <v>Q2-2025</v>
      </c>
      <c r="G30" s="38" t="s">
        <v>78</v>
      </c>
      <c r="H30" s="38" t="s">
        <v>90</v>
      </c>
      <c r="I30" s="38" t="s">
        <v>138</v>
      </c>
      <c r="J30" s="38" t="s">
        <v>27</v>
      </c>
      <c r="K30" s="38" t="s">
        <v>20</v>
      </c>
      <c r="L30" s="38" t="s">
        <v>63</v>
      </c>
      <c r="M30" s="38" t="s">
        <v>35</v>
      </c>
      <c r="N30" s="38" t="s">
        <v>139</v>
      </c>
      <c r="O30" s="48">
        <v>754.77</v>
      </c>
      <c r="P30" s="49" t="str">
        <f t="shared" si="3"/>
        <v>High</v>
      </c>
      <c r="Q30" s="48">
        <v>1666.18</v>
      </c>
      <c r="R30" s="48">
        <v>0.13900000000000001</v>
      </c>
      <c r="S30" s="48">
        <v>14</v>
      </c>
      <c r="T30" s="48">
        <f t="shared" si="0"/>
        <v>11781.338519999999</v>
      </c>
      <c r="U30" s="38">
        <f t="shared" si="1"/>
        <v>10566.779999999999</v>
      </c>
      <c r="V30" s="48">
        <f t="shared" si="4"/>
        <v>1214.5585200000005</v>
      </c>
      <c r="W30" s="50">
        <f t="shared" si="5"/>
        <v>0.10309172577786183</v>
      </c>
    </row>
    <row r="31" spans="1:23" x14ac:dyDescent="0.3">
      <c r="A31" s="39" t="s">
        <v>140</v>
      </c>
      <c r="B31" s="40">
        <v>45653</v>
      </c>
      <c r="C31" s="41">
        <v>45672</v>
      </c>
      <c r="D31" s="42">
        <f t="shared" si="6"/>
        <v>19</v>
      </c>
      <c r="E31" s="42" t="str">
        <f>TEXT(Data!B31,"MMM-YYYY")</f>
        <v>Dec-2024</v>
      </c>
      <c r="F31" s="42" t="str">
        <f t="shared" si="2"/>
        <v>Q4-2024</v>
      </c>
      <c r="G31" s="37" t="s">
        <v>45</v>
      </c>
      <c r="H31" s="37" t="s">
        <v>60</v>
      </c>
      <c r="I31" s="37" t="s">
        <v>141</v>
      </c>
      <c r="J31" s="37" t="s">
        <v>39</v>
      </c>
      <c r="K31" s="37" t="s">
        <v>55</v>
      </c>
      <c r="L31" s="37" t="s">
        <v>41</v>
      </c>
      <c r="M31" s="37" t="s">
        <v>22</v>
      </c>
      <c r="N31" s="37" t="s">
        <v>142</v>
      </c>
      <c r="O31" s="42">
        <v>495.59</v>
      </c>
      <c r="P31" s="43" t="str">
        <f t="shared" si="3"/>
        <v>High</v>
      </c>
      <c r="Q31" s="42">
        <v>631.78</v>
      </c>
      <c r="R31" s="42">
        <v>8.6999999999999994E-2</v>
      </c>
      <c r="S31" s="42">
        <v>17</v>
      </c>
      <c r="T31" s="42">
        <f t="shared" si="0"/>
        <v>43367.691729999999</v>
      </c>
      <c r="U31" s="37">
        <f t="shared" si="1"/>
        <v>8425.0299999999988</v>
      </c>
      <c r="V31" s="42">
        <f t="shared" si="4"/>
        <v>34942.66173</v>
      </c>
      <c r="W31" s="44">
        <f t="shared" si="5"/>
        <v>0.8057302645376464</v>
      </c>
    </row>
    <row r="32" spans="1:23" x14ac:dyDescent="0.3">
      <c r="A32" s="45" t="s">
        <v>143</v>
      </c>
      <c r="B32" s="46">
        <v>44980</v>
      </c>
      <c r="C32" s="47">
        <v>45010</v>
      </c>
      <c r="D32" s="48">
        <f t="shared" si="6"/>
        <v>2</v>
      </c>
      <c r="E32" s="48" t="str">
        <f>TEXT(Data!B32,"MMM-YYYY")</f>
        <v>Feb-2023</v>
      </c>
      <c r="F32" s="48" t="str">
        <f t="shared" si="2"/>
        <v>Q1-2023</v>
      </c>
      <c r="G32" s="38" t="s">
        <v>52</v>
      </c>
      <c r="H32" s="38" t="s">
        <v>53</v>
      </c>
      <c r="I32" s="38" t="s">
        <v>144</v>
      </c>
      <c r="J32" s="38" t="s">
        <v>105</v>
      </c>
      <c r="K32" s="38" t="s">
        <v>28</v>
      </c>
      <c r="L32" s="38" t="s">
        <v>145</v>
      </c>
      <c r="M32" s="38" t="s">
        <v>42</v>
      </c>
      <c r="N32" s="38" t="s">
        <v>146</v>
      </c>
      <c r="O32" s="48">
        <v>1242.6600000000001</v>
      </c>
      <c r="P32" s="49" t="str">
        <f t="shared" si="3"/>
        <v>High</v>
      </c>
      <c r="Q32" s="48">
        <v>1794.07</v>
      </c>
      <c r="R32" s="48">
        <v>8.8999999999999996E-2</v>
      </c>
      <c r="S32" s="48">
        <v>16</v>
      </c>
      <c r="T32" s="48">
        <f t="shared" si="0"/>
        <v>10231.623200000002</v>
      </c>
      <c r="U32" s="38">
        <f t="shared" si="1"/>
        <v>19882.560000000001</v>
      </c>
      <c r="V32" s="48">
        <f t="shared" si="4"/>
        <v>-9650.9367999999995</v>
      </c>
      <c r="W32" s="50">
        <f t="shared" si="5"/>
        <v>-0.94324591624914389</v>
      </c>
    </row>
    <row r="33" spans="1:23" x14ac:dyDescent="0.3">
      <c r="A33" s="39" t="s">
        <v>147</v>
      </c>
      <c r="B33" s="40">
        <v>45862</v>
      </c>
      <c r="C33" s="41">
        <v>45875</v>
      </c>
      <c r="D33" s="42">
        <f t="shared" si="6"/>
        <v>13</v>
      </c>
      <c r="E33" s="42" t="str">
        <f>TEXT(Data!B33,"MMM-YYYY")</f>
        <v>Jul-2025</v>
      </c>
      <c r="F33" s="42" t="str">
        <f t="shared" si="2"/>
        <v>Q3-2025</v>
      </c>
      <c r="G33" s="37" t="s">
        <v>16</v>
      </c>
      <c r="H33" s="37" t="s">
        <v>148</v>
      </c>
      <c r="I33" s="37" t="s">
        <v>149</v>
      </c>
      <c r="J33" s="37" t="s">
        <v>27</v>
      </c>
      <c r="K33" s="37" t="s">
        <v>40</v>
      </c>
      <c r="L33" s="37" t="s">
        <v>145</v>
      </c>
      <c r="M33" s="37" t="s">
        <v>35</v>
      </c>
      <c r="N33" s="37" t="s">
        <v>150</v>
      </c>
      <c r="O33" s="42">
        <v>1463.9</v>
      </c>
      <c r="P33" s="43" t="str">
        <f t="shared" si="3"/>
        <v>High</v>
      </c>
      <c r="Q33" s="42">
        <v>2633.02</v>
      </c>
      <c r="R33" s="42">
        <v>8.4000000000000005E-2</v>
      </c>
      <c r="S33" s="42">
        <v>4</v>
      </c>
      <c r="T33" s="42">
        <f t="shared" si="0"/>
        <v>-19.309279999999998</v>
      </c>
      <c r="U33" s="37">
        <f t="shared" si="1"/>
        <v>5855.6</v>
      </c>
      <c r="V33" s="42">
        <f t="shared" si="4"/>
        <v>-5874.9092800000008</v>
      </c>
      <c r="W33" s="44">
        <f t="shared" si="5"/>
        <v>304.25315081660227</v>
      </c>
    </row>
    <row r="34" spans="1:23" x14ac:dyDescent="0.3">
      <c r="A34" s="45" t="s">
        <v>151</v>
      </c>
      <c r="B34" s="46">
        <v>45400</v>
      </c>
      <c r="C34" s="47">
        <v>45420</v>
      </c>
      <c r="D34" s="48">
        <f t="shared" si="6"/>
        <v>20</v>
      </c>
      <c r="E34" s="48" t="str">
        <f>TEXT(Data!B34,"MMM-YYYY")</f>
        <v>Apr-2024</v>
      </c>
      <c r="F34" s="48" t="str">
        <f t="shared" si="2"/>
        <v>Q2-2024</v>
      </c>
      <c r="G34" s="38" t="s">
        <v>78</v>
      </c>
      <c r="H34" s="38" t="s">
        <v>108</v>
      </c>
      <c r="I34" s="38" t="s">
        <v>152</v>
      </c>
      <c r="J34" s="38" t="s">
        <v>39</v>
      </c>
      <c r="K34" s="38" t="s">
        <v>1364</v>
      </c>
      <c r="L34" s="38" t="s">
        <v>145</v>
      </c>
      <c r="M34" s="38" t="s">
        <v>57</v>
      </c>
      <c r="N34" s="38" t="s">
        <v>153</v>
      </c>
      <c r="O34" s="48">
        <v>645.33000000000004</v>
      </c>
      <c r="P34" s="49" t="str">
        <f t="shared" si="3"/>
        <v>High</v>
      </c>
      <c r="Q34" s="48">
        <v>1321.85</v>
      </c>
      <c r="R34" s="48">
        <v>0</v>
      </c>
      <c r="S34" s="48">
        <v>10</v>
      </c>
      <c r="T34" s="48">
        <f t="shared" si="0"/>
        <v>14370.599999999999</v>
      </c>
      <c r="U34" s="38">
        <f t="shared" si="1"/>
        <v>6453.3</v>
      </c>
      <c r="V34" s="48">
        <f t="shared" si="4"/>
        <v>7917.2999999999984</v>
      </c>
      <c r="W34" s="50">
        <f t="shared" si="5"/>
        <v>0.55093733038286496</v>
      </c>
    </row>
    <row r="35" spans="1:23" x14ac:dyDescent="0.3">
      <c r="A35" s="39" t="s">
        <v>154</v>
      </c>
      <c r="B35" s="40">
        <v>45527</v>
      </c>
      <c r="C35" s="41">
        <v>45525</v>
      </c>
      <c r="D35" s="42">
        <f>DATEDIF(C35,B35, "MD")</f>
        <v>2</v>
      </c>
      <c r="E35" s="42" t="str">
        <f>TEXT(Data!B35,"MMM-YYYY")</f>
        <v>Aug-2024</v>
      </c>
      <c r="F35" s="42" t="str">
        <f t="shared" si="2"/>
        <v>Q3-2024</v>
      </c>
      <c r="G35" s="37" t="s">
        <v>16</v>
      </c>
      <c r="H35" s="37" t="s">
        <v>148</v>
      </c>
      <c r="I35" s="37" t="s">
        <v>149</v>
      </c>
      <c r="J35" s="37" t="s">
        <v>27</v>
      </c>
      <c r="K35" s="37" t="s">
        <v>20</v>
      </c>
      <c r="L35" s="37" t="s">
        <v>63</v>
      </c>
      <c r="M35" s="37" t="s">
        <v>22</v>
      </c>
      <c r="N35" s="37" t="s">
        <v>155</v>
      </c>
      <c r="O35" s="42">
        <v>1432.52</v>
      </c>
      <c r="P35" s="43" t="str">
        <f t="shared" si="3"/>
        <v>High</v>
      </c>
      <c r="Q35" s="42">
        <v>3036.87</v>
      </c>
      <c r="R35" s="42">
        <v>0</v>
      </c>
      <c r="S35" s="42">
        <v>9</v>
      </c>
      <c r="T35" s="42">
        <f t="shared" si="0"/>
        <v>17207.010000000002</v>
      </c>
      <c r="U35" s="37">
        <f t="shared" si="1"/>
        <v>12892.68</v>
      </c>
      <c r="V35" s="42">
        <f t="shared" si="4"/>
        <v>4314.3300000000017</v>
      </c>
      <c r="W35" s="44">
        <f t="shared" si="5"/>
        <v>0.25073095209452434</v>
      </c>
    </row>
    <row r="36" spans="1:23" x14ac:dyDescent="0.3">
      <c r="A36" s="45" t="s">
        <v>156</v>
      </c>
      <c r="B36" s="46">
        <v>45012</v>
      </c>
      <c r="C36" s="47">
        <v>45038</v>
      </c>
      <c r="D36" s="48">
        <f t="shared" si="6"/>
        <v>26</v>
      </c>
      <c r="E36" s="48" t="str">
        <f>TEXT(Data!B36,"MMM-YYYY")</f>
        <v>Mar-2023</v>
      </c>
      <c r="F36" s="48" t="str">
        <f t="shared" si="2"/>
        <v>Q1-2023</v>
      </c>
      <c r="G36" s="38" t="s">
        <v>45</v>
      </c>
      <c r="H36" s="38" t="s">
        <v>60</v>
      </c>
      <c r="I36" s="38" t="s">
        <v>141</v>
      </c>
      <c r="J36" s="38" t="s">
        <v>39</v>
      </c>
      <c r="K36" s="38" t="s">
        <v>40</v>
      </c>
      <c r="L36" s="38" t="s">
        <v>29</v>
      </c>
      <c r="M36" s="38" t="s">
        <v>30</v>
      </c>
      <c r="N36" s="38" t="s">
        <v>157</v>
      </c>
      <c r="O36" s="48">
        <v>178.53</v>
      </c>
      <c r="P36" s="49" t="str">
        <f t="shared" si="3"/>
        <v>Medium</v>
      </c>
      <c r="Q36" s="48">
        <v>199.37</v>
      </c>
      <c r="R36" s="48">
        <v>0.10100000000000001</v>
      </c>
      <c r="S36" s="48">
        <v>37</v>
      </c>
      <c r="T36" s="48">
        <f t="shared" si="0"/>
        <v>86276.904139999999</v>
      </c>
      <c r="U36" s="38">
        <f t="shared" si="1"/>
        <v>6605.61</v>
      </c>
      <c r="V36" s="48">
        <f t="shared" si="4"/>
        <v>79671.294139999998</v>
      </c>
      <c r="W36" s="50">
        <f t="shared" si="5"/>
        <v>0.92343709981432354</v>
      </c>
    </row>
    <row r="37" spans="1:23" x14ac:dyDescent="0.3">
      <c r="A37" s="39" t="s">
        <v>158</v>
      </c>
      <c r="B37" s="40">
        <v>45358</v>
      </c>
      <c r="C37" s="41">
        <v>45376</v>
      </c>
      <c r="D37" s="42">
        <f t="shared" si="6"/>
        <v>18</v>
      </c>
      <c r="E37" s="42" t="str">
        <f>TEXT(Data!B37,"MMM-YYYY")</f>
        <v>Mar-2024</v>
      </c>
      <c r="F37" s="42" t="str">
        <f t="shared" si="2"/>
        <v>Q1-2024</v>
      </c>
      <c r="G37" s="37" t="s">
        <v>78</v>
      </c>
      <c r="H37" s="37" t="s">
        <v>79</v>
      </c>
      <c r="I37" s="37" t="s">
        <v>159</v>
      </c>
      <c r="J37" s="37" t="s">
        <v>19</v>
      </c>
      <c r="K37" s="37" t="s">
        <v>28</v>
      </c>
      <c r="L37" s="37" t="s">
        <v>56</v>
      </c>
      <c r="M37" s="37" t="s">
        <v>22</v>
      </c>
      <c r="N37" s="37" t="s">
        <v>160</v>
      </c>
      <c r="O37" s="42">
        <v>712.84</v>
      </c>
      <c r="P37" s="43" t="str">
        <f t="shared" si="3"/>
        <v>High</v>
      </c>
      <c r="Q37" s="42">
        <v>927.51</v>
      </c>
      <c r="R37" s="42">
        <v>0.24299999999999999</v>
      </c>
      <c r="S37" s="42">
        <v>27</v>
      </c>
      <c r="T37" s="42">
        <f t="shared" si="0"/>
        <v>25427.751119999997</v>
      </c>
      <c r="U37" s="37">
        <f t="shared" si="1"/>
        <v>19246.68</v>
      </c>
      <c r="V37" s="42">
        <f t="shared" si="4"/>
        <v>6181.0711199999969</v>
      </c>
      <c r="W37" s="44">
        <f t="shared" si="5"/>
        <v>0.24308367227718869</v>
      </c>
    </row>
    <row r="38" spans="1:23" x14ac:dyDescent="0.3">
      <c r="A38" s="45" t="s">
        <v>161</v>
      </c>
      <c r="B38" s="46">
        <v>45832</v>
      </c>
      <c r="C38" s="47">
        <v>45848</v>
      </c>
      <c r="D38" s="48">
        <f t="shared" si="6"/>
        <v>16</v>
      </c>
      <c r="E38" s="48" t="str">
        <f>TEXT(Data!B38,"MMM-YYYY")</f>
        <v>Jun-2025</v>
      </c>
      <c r="F38" s="48" t="str">
        <f t="shared" si="2"/>
        <v>Q2-2025</v>
      </c>
      <c r="G38" s="38" t="s">
        <v>45</v>
      </c>
      <c r="H38" s="38" t="s">
        <v>116</v>
      </c>
      <c r="I38" s="38" t="s">
        <v>162</v>
      </c>
      <c r="J38" s="38" t="s">
        <v>105</v>
      </c>
      <c r="K38" s="38" t="s">
        <v>98</v>
      </c>
      <c r="L38" s="38" t="s">
        <v>126</v>
      </c>
      <c r="M38" s="38" t="s">
        <v>22</v>
      </c>
      <c r="N38" s="38" t="s">
        <v>163</v>
      </c>
      <c r="O38" s="48">
        <v>757.19</v>
      </c>
      <c r="P38" s="49" t="str">
        <f t="shared" si="3"/>
        <v>High</v>
      </c>
      <c r="Q38" s="48">
        <v>1735.41</v>
      </c>
      <c r="R38" s="48">
        <v>0.13600000000000001</v>
      </c>
      <c r="S38" s="48">
        <v>8</v>
      </c>
      <c r="T38" s="48">
        <f t="shared" si="0"/>
        <v>13219.269119999999</v>
      </c>
      <c r="U38" s="38">
        <f t="shared" si="1"/>
        <v>6057.52</v>
      </c>
      <c r="V38" s="48">
        <f t="shared" si="4"/>
        <v>7161.7491199999986</v>
      </c>
      <c r="W38" s="50">
        <f t="shared" si="5"/>
        <v>0.54176589151700383</v>
      </c>
    </row>
    <row r="39" spans="1:23" x14ac:dyDescent="0.3">
      <c r="A39" s="39" t="s">
        <v>164</v>
      </c>
      <c r="B39" s="40">
        <v>45401</v>
      </c>
      <c r="C39" s="41">
        <v>45418</v>
      </c>
      <c r="D39" s="42">
        <f t="shared" si="6"/>
        <v>17</v>
      </c>
      <c r="E39" s="42" t="str">
        <f>TEXT(Data!B39,"MMM-YYYY")</f>
        <v>Apr-2024</v>
      </c>
      <c r="F39" s="42" t="str">
        <f t="shared" si="2"/>
        <v>Q2-2024</v>
      </c>
      <c r="G39" s="37" t="s">
        <v>16</v>
      </c>
      <c r="H39" s="37" t="s">
        <v>25</v>
      </c>
      <c r="I39" s="37" t="s">
        <v>26</v>
      </c>
      <c r="J39" s="37" t="s">
        <v>39</v>
      </c>
      <c r="K39" s="37" t="s">
        <v>28</v>
      </c>
      <c r="L39" s="37" t="s">
        <v>75</v>
      </c>
      <c r="M39" s="37" t="s">
        <v>30</v>
      </c>
      <c r="N39" s="37" t="s">
        <v>165</v>
      </c>
      <c r="O39" s="42">
        <v>865.33</v>
      </c>
      <c r="P39" s="43" t="str">
        <f t="shared" si="3"/>
        <v>High</v>
      </c>
      <c r="Q39" s="42">
        <v>1395.64</v>
      </c>
      <c r="R39" s="42">
        <v>0.17499999999999999</v>
      </c>
      <c r="S39" s="42">
        <v>13</v>
      </c>
      <c r="T39" s="42">
        <f t="shared" si="0"/>
        <v>8106.7057499999992</v>
      </c>
      <c r="U39" s="37">
        <f t="shared" si="1"/>
        <v>11249.29</v>
      </c>
      <c r="V39" s="42">
        <f t="shared" si="4"/>
        <v>-3142.5842500000017</v>
      </c>
      <c r="W39" s="44">
        <f t="shared" si="5"/>
        <v>-0.38765243822991874</v>
      </c>
    </row>
    <row r="40" spans="1:23" x14ac:dyDescent="0.3">
      <c r="A40" s="45" t="s">
        <v>166</v>
      </c>
      <c r="B40" s="46">
        <v>45094</v>
      </c>
      <c r="C40" s="47">
        <v>45101</v>
      </c>
      <c r="D40" s="48">
        <f t="shared" si="6"/>
        <v>7</v>
      </c>
      <c r="E40" s="48" t="str">
        <f>TEXT(Data!B40,"MMM-YYYY")</f>
        <v>Jun-2023</v>
      </c>
      <c r="F40" s="48" t="str">
        <f t="shared" si="2"/>
        <v>Q2-2023</v>
      </c>
      <c r="G40" s="38" t="s">
        <v>52</v>
      </c>
      <c r="H40" s="38" t="s">
        <v>122</v>
      </c>
      <c r="I40" s="38" t="s">
        <v>167</v>
      </c>
      <c r="J40" s="38" t="s">
        <v>19</v>
      </c>
      <c r="K40" s="38" t="s">
        <v>20</v>
      </c>
      <c r="L40" s="38" t="s">
        <v>34</v>
      </c>
      <c r="M40" s="38" t="s">
        <v>30</v>
      </c>
      <c r="N40" s="38" t="s">
        <v>168</v>
      </c>
      <c r="O40" s="48">
        <v>313.99</v>
      </c>
      <c r="P40" s="49" t="str">
        <f t="shared" si="3"/>
        <v>High</v>
      </c>
      <c r="Q40" s="48">
        <v>454.42</v>
      </c>
      <c r="R40" s="48">
        <v>0.129</v>
      </c>
      <c r="S40" s="48">
        <v>9</v>
      </c>
      <c r="T40" s="48">
        <f t="shared" si="0"/>
        <v>8980.9071300000014</v>
      </c>
      <c r="U40" s="38">
        <f t="shared" si="1"/>
        <v>2825.91</v>
      </c>
      <c r="V40" s="48">
        <f t="shared" si="4"/>
        <v>6154.9971300000016</v>
      </c>
      <c r="W40" s="50">
        <f t="shared" si="5"/>
        <v>0.68534247608904963</v>
      </c>
    </row>
    <row r="41" spans="1:23" x14ac:dyDescent="0.3">
      <c r="A41" s="39" t="s">
        <v>169</v>
      </c>
      <c r="B41" s="40">
        <v>45531</v>
      </c>
      <c r="C41" s="41">
        <v>45554</v>
      </c>
      <c r="D41" s="42">
        <f t="shared" si="6"/>
        <v>23</v>
      </c>
      <c r="E41" s="42" t="str">
        <f>TEXT(Data!B41,"MMM-YYYY")</f>
        <v>Aug-2024</v>
      </c>
      <c r="F41" s="42" t="str">
        <f t="shared" si="2"/>
        <v>Q3-2024</v>
      </c>
      <c r="G41" s="37" t="s">
        <v>78</v>
      </c>
      <c r="H41" s="37" t="s">
        <v>79</v>
      </c>
      <c r="I41" s="37" t="s">
        <v>80</v>
      </c>
      <c r="J41" s="37" t="s">
        <v>62</v>
      </c>
      <c r="K41" s="37" t="s">
        <v>98</v>
      </c>
      <c r="L41" s="37" t="s">
        <v>145</v>
      </c>
      <c r="M41" s="37" t="s">
        <v>64</v>
      </c>
      <c r="N41" s="37" t="s">
        <v>170</v>
      </c>
      <c r="O41" s="42">
        <v>1024.01</v>
      </c>
      <c r="P41" s="43" t="str">
        <f t="shared" si="3"/>
        <v>High</v>
      </c>
      <c r="Q41" s="42">
        <v>1580.97</v>
      </c>
      <c r="R41" s="42">
        <v>3.6999999999999998E-2</v>
      </c>
      <c r="S41" s="42">
        <v>27</v>
      </c>
      <c r="T41" s="42">
        <f t="shared" si="0"/>
        <v>32087.834099999996</v>
      </c>
      <c r="U41" s="37">
        <f t="shared" si="1"/>
        <v>27648.27</v>
      </c>
      <c r="V41" s="42">
        <f t="shared" si="4"/>
        <v>4439.564099999996</v>
      </c>
      <c r="W41" s="44">
        <f t="shared" si="5"/>
        <v>0.13835661472707492</v>
      </c>
    </row>
    <row r="42" spans="1:23" x14ac:dyDescent="0.3">
      <c r="A42" s="45" t="s">
        <v>171</v>
      </c>
      <c r="B42" s="46">
        <v>45302</v>
      </c>
      <c r="C42" s="47">
        <v>45324</v>
      </c>
      <c r="D42" s="48">
        <f t="shared" si="6"/>
        <v>22</v>
      </c>
      <c r="E42" s="48" t="str">
        <f>TEXT(Data!B42,"MMM-YYYY")</f>
        <v>Jan-2024</v>
      </c>
      <c r="F42" s="48" t="str">
        <f t="shared" si="2"/>
        <v>Q1-2024</v>
      </c>
      <c r="G42" s="38" t="s">
        <v>16</v>
      </c>
      <c r="H42" s="38" t="s">
        <v>148</v>
      </c>
      <c r="I42" s="38" t="s">
        <v>172</v>
      </c>
      <c r="J42" s="38" t="s">
        <v>48</v>
      </c>
      <c r="K42" s="38" t="s">
        <v>28</v>
      </c>
      <c r="L42" s="38" t="s">
        <v>95</v>
      </c>
      <c r="M42" s="38" t="s">
        <v>35</v>
      </c>
      <c r="N42" s="38" t="s">
        <v>173</v>
      </c>
      <c r="O42" s="48">
        <v>1206.2</v>
      </c>
      <c r="P42" s="49" t="str">
        <f t="shared" si="3"/>
        <v>High</v>
      </c>
      <c r="Q42" s="48">
        <v>1759.79</v>
      </c>
      <c r="R42" s="48">
        <v>0</v>
      </c>
      <c r="S42" s="48">
        <v>6</v>
      </c>
      <c r="T42" s="48">
        <f t="shared" si="0"/>
        <v>7368.0599999999995</v>
      </c>
      <c r="U42" s="38">
        <f t="shared" si="1"/>
        <v>7237.2000000000007</v>
      </c>
      <c r="V42" s="48">
        <f t="shared" si="4"/>
        <v>130.85999999999876</v>
      </c>
      <c r="W42" s="50">
        <f t="shared" si="5"/>
        <v>1.7760441690214082E-2</v>
      </c>
    </row>
    <row r="43" spans="1:23" x14ac:dyDescent="0.3">
      <c r="A43" s="39" t="s">
        <v>174</v>
      </c>
      <c r="B43" s="40">
        <v>45590</v>
      </c>
      <c r="C43" s="41">
        <v>45610</v>
      </c>
      <c r="D43" s="42">
        <f t="shared" si="6"/>
        <v>20</v>
      </c>
      <c r="E43" s="42" t="str">
        <f>TEXT(Data!B43,"MMM-YYYY")</f>
        <v>Oct-2024</v>
      </c>
      <c r="F43" s="42" t="str">
        <f t="shared" si="2"/>
        <v>Q4-2024</v>
      </c>
      <c r="G43" s="37" t="s">
        <v>16</v>
      </c>
      <c r="H43" s="37" t="s">
        <v>17</v>
      </c>
      <c r="I43" s="37" t="s">
        <v>113</v>
      </c>
      <c r="J43" s="37" t="s">
        <v>19</v>
      </c>
      <c r="K43" s="37" t="s">
        <v>98</v>
      </c>
      <c r="L43" s="37" t="s">
        <v>92</v>
      </c>
      <c r="M43" s="37" t="s">
        <v>30</v>
      </c>
      <c r="N43" s="37" t="s">
        <v>175</v>
      </c>
      <c r="O43" s="42">
        <v>1396.48</v>
      </c>
      <c r="P43" s="43" t="str">
        <f t="shared" si="3"/>
        <v>High</v>
      </c>
      <c r="Q43" s="42">
        <v>3204.5</v>
      </c>
      <c r="R43" s="42">
        <v>0.318</v>
      </c>
      <c r="S43" s="42">
        <v>14</v>
      </c>
      <c r="T43" s="42">
        <f t="shared" si="0"/>
        <v>5778.7360400000007</v>
      </c>
      <c r="U43" s="37">
        <f t="shared" si="1"/>
        <v>19550.72</v>
      </c>
      <c r="V43" s="42">
        <f t="shared" si="4"/>
        <v>-13771.983960000001</v>
      </c>
      <c r="W43" s="44">
        <f t="shared" si="5"/>
        <v>-2.3832173445319715</v>
      </c>
    </row>
    <row r="44" spans="1:23" x14ac:dyDescent="0.3">
      <c r="A44" s="45" t="s">
        <v>176</v>
      </c>
      <c r="B44" s="46">
        <v>45806</v>
      </c>
      <c r="C44" s="47">
        <v>45828</v>
      </c>
      <c r="D44" s="48">
        <f t="shared" si="6"/>
        <v>22</v>
      </c>
      <c r="E44" s="48" t="str">
        <f>TEXT(Data!B44,"MMM-YYYY")</f>
        <v>May-2025</v>
      </c>
      <c r="F44" s="48" t="str">
        <f t="shared" si="2"/>
        <v>Q2-2025</v>
      </c>
      <c r="G44" s="38" t="s">
        <v>78</v>
      </c>
      <c r="H44" s="38" t="s">
        <v>79</v>
      </c>
      <c r="I44" s="38" t="s">
        <v>80</v>
      </c>
      <c r="J44" s="38" t="s">
        <v>19</v>
      </c>
      <c r="K44" s="38" t="s">
        <v>98</v>
      </c>
      <c r="L44" s="38" t="s">
        <v>75</v>
      </c>
      <c r="M44" s="38" t="s">
        <v>30</v>
      </c>
      <c r="N44" s="38" t="s">
        <v>177</v>
      </c>
      <c r="O44" s="48">
        <v>483.47</v>
      </c>
      <c r="P44" s="49" t="str">
        <f t="shared" si="3"/>
        <v>High</v>
      </c>
      <c r="Q44" s="48">
        <v>1135.43</v>
      </c>
      <c r="R44" s="48">
        <v>0.14599999999999999</v>
      </c>
      <c r="S44" s="48">
        <v>11</v>
      </c>
      <c r="T44" s="48">
        <f t="shared" si="0"/>
        <v>17662.129100000002</v>
      </c>
      <c r="U44" s="38">
        <f t="shared" si="1"/>
        <v>5318.17</v>
      </c>
      <c r="V44" s="48">
        <f t="shared" si="4"/>
        <v>12343.959100000002</v>
      </c>
      <c r="W44" s="50">
        <f t="shared" si="5"/>
        <v>0.6988941723905755</v>
      </c>
    </row>
    <row r="45" spans="1:23" x14ac:dyDescent="0.3">
      <c r="A45" s="39" t="s">
        <v>178</v>
      </c>
      <c r="B45" s="40">
        <v>45432</v>
      </c>
      <c r="C45" s="41">
        <v>45445</v>
      </c>
      <c r="D45" s="42">
        <f t="shared" si="6"/>
        <v>13</v>
      </c>
      <c r="E45" s="42" t="str">
        <f>TEXT(Data!B45,"MMM-YYYY")</f>
        <v>May-2024</v>
      </c>
      <c r="F45" s="42" t="str">
        <f t="shared" si="2"/>
        <v>Q2-2024</v>
      </c>
      <c r="G45" s="37" t="s">
        <v>52</v>
      </c>
      <c r="H45" s="37" t="s">
        <v>53</v>
      </c>
      <c r="I45" s="37" t="s">
        <v>179</v>
      </c>
      <c r="J45" s="37" t="s">
        <v>105</v>
      </c>
      <c r="K45" s="37" t="s">
        <v>40</v>
      </c>
      <c r="L45" s="37" t="s">
        <v>95</v>
      </c>
      <c r="M45" s="37" t="s">
        <v>22</v>
      </c>
      <c r="N45" s="37" t="s">
        <v>180</v>
      </c>
      <c r="O45" s="42">
        <v>675.43</v>
      </c>
      <c r="P45" s="43" t="str">
        <f t="shared" si="3"/>
        <v>High</v>
      </c>
      <c r="Q45" s="42">
        <v>996.36</v>
      </c>
      <c r="R45" s="42">
        <v>0.182</v>
      </c>
      <c r="S45" s="42">
        <v>22</v>
      </c>
      <c r="T45" s="42">
        <f t="shared" si="0"/>
        <v>22844.122400000004</v>
      </c>
      <c r="U45" s="37">
        <f t="shared" si="1"/>
        <v>14859.46</v>
      </c>
      <c r="V45" s="42">
        <f t="shared" si="4"/>
        <v>7984.6624000000047</v>
      </c>
      <c r="W45" s="44">
        <f t="shared" si="5"/>
        <v>0.34952808692707771</v>
      </c>
    </row>
    <row r="46" spans="1:23" x14ac:dyDescent="0.3">
      <c r="A46" s="45" t="s">
        <v>181</v>
      </c>
      <c r="B46" s="46">
        <v>45035</v>
      </c>
      <c r="C46" s="47">
        <v>45046</v>
      </c>
      <c r="D46" s="48">
        <f t="shared" si="6"/>
        <v>11</v>
      </c>
      <c r="E46" s="48" t="str">
        <f>TEXT(Data!B46,"MMM-YYYY")</f>
        <v>Apr-2023</v>
      </c>
      <c r="F46" s="48" t="str">
        <f t="shared" si="2"/>
        <v>Q2-2023</v>
      </c>
      <c r="G46" s="38" t="s">
        <v>45</v>
      </c>
      <c r="H46" s="38" t="s">
        <v>60</v>
      </c>
      <c r="I46" s="38" t="s">
        <v>141</v>
      </c>
      <c r="J46" s="38" t="s">
        <v>62</v>
      </c>
      <c r="K46" s="38" t="s">
        <v>20</v>
      </c>
      <c r="L46" s="38" t="s">
        <v>75</v>
      </c>
      <c r="M46" s="38" t="s">
        <v>35</v>
      </c>
      <c r="N46" s="38" t="s">
        <v>182</v>
      </c>
      <c r="O46" s="48">
        <v>826.55</v>
      </c>
      <c r="P46" s="49" t="str">
        <f t="shared" si="3"/>
        <v>High</v>
      </c>
      <c r="Q46" s="48">
        <v>1397.05</v>
      </c>
      <c r="R46" s="48">
        <v>0.16900000000000001</v>
      </c>
      <c r="S46" s="48">
        <v>28</v>
      </c>
      <c r="T46" s="48">
        <f t="shared" si="0"/>
        <v>14447.799239999997</v>
      </c>
      <c r="U46" s="38">
        <f t="shared" si="1"/>
        <v>23143.399999999998</v>
      </c>
      <c r="V46" s="48">
        <f t="shared" si="4"/>
        <v>-8695.6007600000012</v>
      </c>
      <c r="W46" s="50">
        <f t="shared" si="5"/>
        <v>-0.6018633437212686</v>
      </c>
    </row>
    <row r="47" spans="1:23" x14ac:dyDescent="0.3">
      <c r="A47" s="39" t="s">
        <v>183</v>
      </c>
      <c r="B47" s="40">
        <v>45100</v>
      </c>
      <c r="C47" s="41">
        <v>45110</v>
      </c>
      <c r="D47" s="42">
        <f t="shared" si="6"/>
        <v>10</v>
      </c>
      <c r="E47" s="42" t="str">
        <f>TEXT(Data!B47,"MMM-YYYY")</f>
        <v>Jun-2023</v>
      </c>
      <c r="F47" s="42" t="str">
        <f t="shared" si="2"/>
        <v>Q2-2023</v>
      </c>
      <c r="G47" s="37" t="s">
        <v>16</v>
      </c>
      <c r="H47" s="37" t="s">
        <v>25</v>
      </c>
      <c r="I47" s="37" t="s">
        <v>67</v>
      </c>
      <c r="J47" s="37" t="s">
        <v>48</v>
      </c>
      <c r="K47" s="37" t="s">
        <v>28</v>
      </c>
      <c r="L47" s="37" t="s">
        <v>29</v>
      </c>
      <c r="M47" s="37" t="s">
        <v>30</v>
      </c>
      <c r="N47" s="37" t="s">
        <v>184</v>
      </c>
      <c r="O47" s="42">
        <v>337.75</v>
      </c>
      <c r="P47" s="43" t="str">
        <f t="shared" si="3"/>
        <v>High</v>
      </c>
      <c r="Q47" s="42">
        <v>548.89</v>
      </c>
      <c r="R47" s="42">
        <v>0</v>
      </c>
      <c r="S47" s="42">
        <v>13</v>
      </c>
      <c r="T47" s="42">
        <f t="shared" si="0"/>
        <v>18926.830000000002</v>
      </c>
      <c r="U47" s="37">
        <f t="shared" si="1"/>
        <v>4390.75</v>
      </c>
      <c r="V47" s="42">
        <f t="shared" si="4"/>
        <v>14536.080000000002</v>
      </c>
      <c r="W47" s="44">
        <f t="shared" si="5"/>
        <v>0.76801450639119173</v>
      </c>
    </row>
    <row r="48" spans="1:23" x14ac:dyDescent="0.3">
      <c r="A48" s="45" t="s">
        <v>185</v>
      </c>
      <c r="B48" s="46">
        <v>45426</v>
      </c>
      <c r="C48" s="47">
        <v>45440</v>
      </c>
      <c r="D48" s="48">
        <f t="shared" si="6"/>
        <v>14</v>
      </c>
      <c r="E48" s="48" t="str">
        <f>TEXT(Data!B48,"MMM-YYYY")</f>
        <v>May-2024</v>
      </c>
      <c r="F48" s="48" t="str">
        <f t="shared" si="2"/>
        <v>Q2-2024</v>
      </c>
      <c r="G48" s="38" t="s">
        <v>78</v>
      </c>
      <c r="H48" s="38" t="s">
        <v>108</v>
      </c>
      <c r="I48" s="38" t="s">
        <v>109</v>
      </c>
      <c r="J48" s="38" t="s">
        <v>48</v>
      </c>
      <c r="K48" s="38" t="s">
        <v>20</v>
      </c>
      <c r="L48" s="38" t="s">
        <v>56</v>
      </c>
      <c r="M48" s="38" t="s">
        <v>35</v>
      </c>
      <c r="N48" s="38" t="s">
        <v>186</v>
      </c>
      <c r="O48" s="48">
        <v>1421.14</v>
      </c>
      <c r="P48" s="49" t="str">
        <f t="shared" si="3"/>
        <v>High</v>
      </c>
      <c r="Q48" s="48">
        <v>3524</v>
      </c>
      <c r="R48" s="48">
        <v>0</v>
      </c>
      <c r="S48" s="48">
        <v>31</v>
      </c>
      <c r="T48" s="48">
        <f t="shared" si="0"/>
        <v>16939.329999999998</v>
      </c>
      <c r="U48" s="38">
        <f t="shared" si="1"/>
        <v>44055.340000000004</v>
      </c>
      <c r="V48" s="48">
        <f t="shared" si="4"/>
        <v>-27116.010000000006</v>
      </c>
      <c r="W48" s="50">
        <f t="shared" si="5"/>
        <v>-1.6007722855626527</v>
      </c>
    </row>
    <row r="49" spans="1:23" x14ac:dyDescent="0.3">
      <c r="A49" s="39" t="s">
        <v>187</v>
      </c>
      <c r="B49" s="40">
        <v>45579</v>
      </c>
      <c r="C49" s="41">
        <v>45604</v>
      </c>
      <c r="D49" s="42">
        <f t="shared" si="6"/>
        <v>25</v>
      </c>
      <c r="E49" s="42" t="str">
        <f>TEXT(Data!B49,"MMM-YYYY")</f>
        <v>Oct-2024</v>
      </c>
      <c r="F49" s="42" t="str">
        <f t="shared" si="2"/>
        <v>Q4-2024</v>
      </c>
      <c r="G49" s="37" t="s">
        <v>16</v>
      </c>
      <c r="H49" s="37" t="s">
        <v>25</v>
      </c>
      <c r="I49" s="37" t="s">
        <v>38</v>
      </c>
      <c r="J49" s="37" t="s">
        <v>105</v>
      </c>
      <c r="K49" s="37" t="s">
        <v>28</v>
      </c>
      <c r="L49" s="37" t="s">
        <v>68</v>
      </c>
      <c r="M49" s="37" t="s">
        <v>35</v>
      </c>
      <c r="N49" s="37" t="s">
        <v>188</v>
      </c>
      <c r="O49" s="42">
        <v>859.35</v>
      </c>
      <c r="P49" s="43" t="str">
        <f t="shared" si="3"/>
        <v>High</v>
      </c>
      <c r="Q49" s="42">
        <v>1825.61</v>
      </c>
      <c r="R49" s="42">
        <v>0.187</v>
      </c>
      <c r="S49" s="42">
        <v>24</v>
      </c>
      <c r="T49" s="42">
        <f t="shared" si="0"/>
        <v>26300.615040000001</v>
      </c>
      <c r="U49" s="37">
        <f t="shared" si="1"/>
        <v>20624.400000000001</v>
      </c>
      <c r="V49" s="42">
        <f t="shared" si="4"/>
        <v>5676.2150399999991</v>
      </c>
      <c r="W49" s="44">
        <f t="shared" si="5"/>
        <v>0.21582061983596865</v>
      </c>
    </row>
    <row r="50" spans="1:23" x14ac:dyDescent="0.3">
      <c r="A50" s="45" t="s">
        <v>189</v>
      </c>
      <c r="B50" s="46">
        <v>45117</v>
      </c>
      <c r="C50" s="47">
        <v>45139</v>
      </c>
      <c r="D50" s="48">
        <f t="shared" si="6"/>
        <v>22</v>
      </c>
      <c r="E50" s="48" t="str">
        <f>TEXT(Data!B50,"MMM-YYYY")</f>
        <v>Jul-2023</v>
      </c>
      <c r="F50" s="48" t="str">
        <f t="shared" si="2"/>
        <v>Q3-2023</v>
      </c>
      <c r="G50" s="38" t="s">
        <v>78</v>
      </c>
      <c r="H50" s="38" t="s">
        <v>90</v>
      </c>
      <c r="I50" s="38" t="s">
        <v>91</v>
      </c>
      <c r="J50" s="38" t="s">
        <v>48</v>
      </c>
      <c r="K50" s="38" t="s">
        <v>40</v>
      </c>
      <c r="L50" s="38" t="s">
        <v>56</v>
      </c>
      <c r="M50" s="38" t="s">
        <v>30</v>
      </c>
      <c r="N50" s="38" t="s">
        <v>190</v>
      </c>
      <c r="O50" s="48">
        <v>1303.56</v>
      </c>
      <c r="P50" s="49" t="str">
        <f t="shared" si="3"/>
        <v>High</v>
      </c>
      <c r="Q50" s="48">
        <v>1791.37</v>
      </c>
      <c r="R50" s="48">
        <v>0.126</v>
      </c>
      <c r="S50" s="48">
        <v>22</v>
      </c>
      <c r="T50" s="48">
        <f t="shared" si="0"/>
        <v>21312.892040000002</v>
      </c>
      <c r="U50" s="38">
        <f t="shared" si="1"/>
        <v>28678.32</v>
      </c>
      <c r="V50" s="48">
        <f t="shared" si="4"/>
        <v>-7365.4279599999973</v>
      </c>
      <c r="W50" s="50">
        <f t="shared" si="5"/>
        <v>-0.34558557075110097</v>
      </c>
    </row>
    <row r="51" spans="1:23" x14ac:dyDescent="0.3">
      <c r="A51" s="39" t="s">
        <v>191</v>
      </c>
      <c r="B51" s="40">
        <v>45602</v>
      </c>
      <c r="C51" s="41">
        <v>45618</v>
      </c>
      <c r="D51" s="42">
        <f t="shared" si="6"/>
        <v>16</v>
      </c>
      <c r="E51" s="42" t="str">
        <f>TEXT(Data!B51,"MMM-YYYY")</f>
        <v>Nov-2024</v>
      </c>
      <c r="F51" s="42" t="str">
        <f t="shared" si="2"/>
        <v>Q4-2024</v>
      </c>
      <c r="G51" s="37" t="s">
        <v>52</v>
      </c>
      <c r="H51" s="37" t="s">
        <v>53</v>
      </c>
      <c r="I51" s="37" t="s">
        <v>54</v>
      </c>
      <c r="J51" s="37" t="s">
        <v>39</v>
      </c>
      <c r="K51" s="37" t="s">
        <v>55</v>
      </c>
      <c r="L51" s="37" t="s">
        <v>145</v>
      </c>
      <c r="M51" s="37" t="s">
        <v>81</v>
      </c>
      <c r="N51" s="37" t="s">
        <v>192</v>
      </c>
      <c r="O51" s="42">
        <v>1454.11</v>
      </c>
      <c r="P51" s="43" t="str">
        <f t="shared" si="3"/>
        <v>High</v>
      </c>
      <c r="Q51" s="42">
        <v>2629.75</v>
      </c>
      <c r="R51" s="42">
        <v>0.29199999999999998</v>
      </c>
      <c r="S51" s="42">
        <v>8</v>
      </c>
      <c r="T51" s="42">
        <f t="shared" si="0"/>
        <v>17808.182399999998</v>
      </c>
      <c r="U51" s="37">
        <f t="shared" si="1"/>
        <v>11632.88</v>
      </c>
      <c r="V51" s="42">
        <f t="shared" si="4"/>
        <v>6175.3023999999987</v>
      </c>
      <c r="W51" s="44">
        <f t="shared" si="5"/>
        <v>0.34676769707839467</v>
      </c>
    </row>
    <row r="52" spans="1:23" x14ac:dyDescent="0.3">
      <c r="A52" s="45" t="s">
        <v>193</v>
      </c>
      <c r="B52" s="46">
        <v>45582</v>
      </c>
      <c r="C52" s="47">
        <v>45602</v>
      </c>
      <c r="D52" s="48">
        <f t="shared" si="6"/>
        <v>20</v>
      </c>
      <c r="E52" s="48" t="str">
        <f>TEXT(Data!B52,"MMM-YYYY")</f>
        <v>Oct-2024</v>
      </c>
      <c r="F52" s="48" t="str">
        <f t="shared" si="2"/>
        <v>Q4-2024</v>
      </c>
      <c r="G52" s="38" t="s">
        <v>45</v>
      </c>
      <c r="H52" s="38" t="s">
        <v>60</v>
      </c>
      <c r="I52" s="38" t="s">
        <v>61</v>
      </c>
      <c r="J52" s="38" t="s">
        <v>105</v>
      </c>
      <c r="K52" s="38" t="s">
        <v>55</v>
      </c>
      <c r="L52" s="38" t="s">
        <v>68</v>
      </c>
      <c r="M52" s="38" t="s">
        <v>64</v>
      </c>
      <c r="N52" s="38" t="s">
        <v>194</v>
      </c>
      <c r="O52" s="48">
        <v>72.94</v>
      </c>
      <c r="P52" s="49" t="str">
        <f t="shared" si="3"/>
        <v>Medium</v>
      </c>
      <c r="Q52" s="48">
        <v>106.3</v>
      </c>
      <c r="R52" s="48">
        <v>0.29499999999999998</v>
      </c>
      <c r="S52" s="48">
        <v>8</v>
      </c>
      <c r="T52" s="48">
        <f t="shared" si="0"/>
        <v>11819.917200000002</v>
      </c>
      <c r="U52" s="38">
        <f t="shared" si="1"/>
        <v>583.52</v>
      </c>
      <c r="V52" s="48">
        <f t="shared" si="4"/>
        <v>11236.397200000001</v>
      </c>
      <c r="W52" s="50">
        <f t="shared" si="5"/>
        <v>0.95063247989588284</v>
      </c>
    </row>
    <row r="53" spans="1:23" x14ac:dyDescent="0.3">
      <c r="A53" s="39" t="s">
        <v>195</v>
      </c>
      <c r="B53" s="40">
        <v>45016</v>
      </c>
      <c r="C53" s="41">
        <v>45021</v>
      </c>
      <c r="D53" s="42">
        <f t="shared" si="6"/>
        <v>5</v>
      </c>
      <c r="E53" s="42" t="str">
        <f>TEXT(Data!B53,"MMM-YYYY")</f>
        <v>Mar-2023</v>
      </c>
      <c r="F53" s="42" t="str">
        <f t="shared" si="2"/>
        <v>Q1-2023</v>
      </c>
      <c r="G53" s="37" t="s">
        <v>16</v>
      </c>
      <c r="H53" s="37" t="s">
        <v>17</v>
      </c>
      <c r="I53" s="37" t="s">
        <v>135</v>
      </c>
      <c r="J53" s="37" t="s">
        <v>27</v>
      </c>
      <c r="K53" s="37" t="s">
        <v>40</v>
      </c>
      <c r="L53" s="37" t="s">
        <v>56</v>
      </c>
      <c r="M53" s="37" t="s">
        <v>57</v>
      </c>
      <c r="N53" s="37" t="s">
        <v>196</v>
      </c>
      <c r="O53" s="42">
        <v>533.26</v>
      </c>
      <c r="P53" s="43" t="str">
        <f t="shared" si="3"/>
        <v>High</v>
      </c>
      <c r="Q53" s="42">
        <v>385.72</v>
      </c>
      <c r="R53" s="42">
        <v>0</v>
      </c>
      <c r="S53" s="42">
        <v>15</v>
      </c>
      <c r="T53" s="42">
        <f t="shared" si="0"/>
        <v>10554.3</v>
      </c>
      <c r="U53" s="37">
        <f t="shared" si="1"/>
        <v>7998.9</v>
      </c>
      <c r="V53" s="42">
        <f t="shared" si="4"/>
        <v>2555.3999999999996</v>
      </c>
      <c r="W53" s="44">
        <f t="shared" si="5"/>
        <v>0.24211932577243397</v>
      </c>
    </row>
    <row r="54" spans="1:23" x14ac:dyDescent="0.3">
      <c r="A54" s="45" t="s">
        <v>197</v>
      </c>
      <c r="B54" s="46">
        <v>45678</v>
      </c>
      <c r="C54" s="47">
        <v>45704</v>
      </c>
      <c r="D54" s="48">
        <f t="shared" si="6"/>
        <v>26</v>
      </c>
      <c r="E54" s="48" t="str">
        <f>TEXT(Data!B54,"MMM-YYYY")</f>
        <v>Jan-2025</v>
      </c>
      <c r="F54" s="48" t="str">
        <f t="shared" si="2"/>
        <v>Q1-2025</v>
      </c>
      <c r="G54" s="38" t="s">
        <v>78</v>
      </c>
      <c r="H54" s="38" t="s">
        <v>90</v>
      </c>
      <c r="I54" s="38" t="s">
        <v>138</v>
      </c>
      <c r="J54" s="38" t="s">
        <v>19</v>
      </c>
      <c r="K54" s="38" t="s">
        <v>55</v>
      </c>
      <c r="L54" s="38" t="s">
        <v>68</v>
      </c>
      <c r="M54" s="38" t="s">
        <v>57</v>
      </c>
      <c r="N54" s="38" t="s">
        <v>198</v>
      </c>
      <c r="O54" s="48">
        <v>204.11</v>
      </c>
      <c r="P54" s="49" t="str">
        <f t="shared" si="3"/>
        <v>High</v>
      </c>
      <c r="Q54" s="48">
        <v>236.87</v>
      </c>
      <c r="R54" s="48">
        <v>0.182</v>
      </c>
      <c r="S54" s="48">
        <v>13</v>
      </c>
      <c r="T54" s="48">
        <f t="shared" si="0"/>
        <v>21238.118460000002</v>
      </c>
      <c r="U54" s="38">
        <f t="shared" si="1"/>
        <v>2653.4300000000003</v>
      </c>
      <c r="V54" s="48">
        <f t="shared" si="4"/>
        <v>18584.688460000001</v>
      </c>
      <c r="W54" s="50">
        <f t="shared" si="5"/>
        <v>0.87506284961177294</v>
      </c>
    </row>
    <row r="55" spans="1:23" x14ac:dyDescent="0.3">
      <c r="A55" s="39" t="s">
        <v>199</v>
      </c>
      <c r="B55" s="40">
        <v>45168</v>
      </c>
      <c r="C55" s="41">
        <v>45170</v>
      </c>
      <c r="D55" s="42">
        <f t="shared" si="6"/>
        <v>2</v>
      </c>
      <c r="E55" s="42" t="str">
        <f>TEXT(Data!B55,"MMM-YYYY")</f>
        <v>Aug-2023</v>
      </c>
      <c r="F55" s="42" t="str">
        <f t="shared" si="2"/>
        <v>Q3-2023</v>
      </c>
      <c r="G55" s="37" t="s">
        <v>78</v>
      </c>
      <c r="H55" s="37" t="s">
        <v>79</v>
      </c>
      <c r="I55" s="37" t="s">
        <v>159</v>
      </c>
      <c r="J55" s="37" t="s">
        <v>19</v>
      </c>
      <c r="K55" s="37" t="s">
        <v>98</v>
      </c>
      <c r="L55" s="37" t="s">
        <v>126</v>
      </c>
      <c r="M55" s="37" t="s">
        <v>35</v>
      </c>
      <c r="N55" s="37" t="s">
        <v>200</v>
      </c>
      <c r="O55" s="42">
        <v>44.42</v>
      </c>
      <c r="P55" s="43" t="str">
        <f t="shared" si="3"/>
        <v>Low</v>
      </c>
      <c r="Q55" s="42">
        <v>41.9</v>
      </c>
      <c r="R55" s="42">
        <v>0.14399999999999999</v>
      </c>
      <c r="S55" s="42">
        <v>6</v>
      </c>
      <c r="T55" s="42">
        <f t="shared" si="0"/>
        <v>14195.647199999998</v>
      </c>
      <c r="U55" s="37">
        <f t="shared" si="1"/>
        <v>266.52</v>
      </c>
      <c r="V55" s="42">
        <f t="shared" si="4"/>
        <v>13929.127199999997</v>
      </c>
      <c r="W55" s="44">
        <f t="shared" si="5"/>
        <v>0.9812252307876459</v>
      </c>
    </row>
    <row r="56" spans="1:23" x14ac:dyDescent="0.3">
      <c r="A56" s="45" t="s">
        <v>201</v>
      </c>
      <c r="B56" s="46">
        <v>45753</v>
      </c>
      <c r="C56" s="47">
        <v>45777</v>
      </c>
      <c r="D56" s="48">
        <f t="shared" si="6"/>
        <v>24</v>
      </c>
      <c r="E56" s="48" t="str">
        <f>TEXT(Data!B56,"MMM-YYYY")</f>
        <v>Apr-2025</v>
      </c>
      <c r="F56" s="48" t="str">
        <f t="shared" si="2"/>
        <v>Q2-2025</v>
      </c>
      <c r="G56" s="38" t="s">
        <v>52</v>
      </c>
      <c r="H56" s="38" t="s">
        <v>73</v>
      </c>
      <c r="I56" s="38" t="s">
        <v>87</v>
      </c>
      <c r="J56" s="38" t="s">
        <v>27</v>
      </c>
      <c r="K56" s="38" t="s">
        <v>28</v>
      </c>
      <c r="L56" s="38" t="s">
        <v>95</v>
      </c>
      <c r="M56" s="38" t="s">
        <v>64</v>
      </c>
      <c r="N56" s="38" t="s">
        <v>202</v>
      </c>
      <c r="O56" s="48">
        <v>855.78</v>
      </c>
      <c r="P56" s="49" t="str">
        <f t="shared" si="3"/>
        <v>High</v>
      </c>
      <c r="Q56" s="48">
        <v>977.38</v>
      </c>
      <c r="R56" s="48">
        <v>0.14699999999999999</v>
      </c>
      <c r="S56" s="48">
        <v>38</v>
      </c>
      <c r="T56" s="48">
        <f t="shared" si="0"/>
        <v>48735.421419999999</v>
      </c>
      <c r="U56" s="38">
        <f t="shared" si="1"/>
        <v>32519.64</v>
      </c>
      <c r="V56" s="48">
        <f t="shared" si="4"/>
        <v>16215.781419999999</v>
      </c>
      <c r="W56" s="50">
        <f t="shared" si="5"/>
        <v>0.33273091619036216</v>
      </c>
    </row>
    <row r="57" spans="1:23" x14ac:dyDescent="0.3">
      <c r="A57" s="39" t="s">
        <v>203</v>
      </c>
      <c r="B57" s="40">
        <v>45697</v>
      </c>
      <c r="C57" s="41">
        <v>45717</v>
      </c>
      <c r="D57" s="42">
        <f t="shared" si="6"/>
        <v>20</v>
      </c>
      <c r="E57" s="42" t="str">
        <f>TEXT(Data!B57,"MMM-YYYY")</f>
        <v>Feb-2025</v>
      </c>
      <c r="F57" s="42" t="str">
        <f t="shared" si="2"/>
        <v>Q1-2025</v>
      </c>
      <c r="G57" s="37" t="s">
        <v>52</v>
      </c>
      <c r="H57" s="37" t="s">
        <v>73</v>
      </c>
      <c r="I57" s="37" t="s">
        <v>74</v>
      </c>
      <c r="J57" s="37" t="s">
        <v>19</v>
      </c>
      <c r="K57" s="37" t="s">
        <v>55</v>
      </c>
      <c r="L57" s="37" t="s">
        <v>56</v>
      </c>
      <c r="M57" s="37" t="s">
        <v>57</v>
      </c>
      <c r="N57" s="37" t="s">
        <v>204</v>
      </c>
      <c r="O57" s="42">
        <v>1154.6400000000001</v>
      </c>
      <c r="P57" s="43" t="str">
        <f t="shared" si="3"/>
        <v>High</v>
      </c>
      <c r="Q57" s="42">
        <v>2794.13</v>
      </c>
      <c r="R57" s="42">
        <v>3.5000000000000003E-2</v>
      </c>
      <c r="S57" s="42">
        <v>11</v>
      </c>
      <c r="T57" s="42">
        <f t="shared" si="0"/>
        <v>4119.0446000000002</v>
      </c>
      <c r="U57" s="37">
        <f t="shared" si="1"/>
        <v>12701.04</v>
      </c>
      <c r="V57" s="42">
        <f t="shared" si="4"/>
        <v>-8581.9953999999998</v>
      </c>
      <c r="W57" s="44">
        <f t="shared" si="5"/>
        <v>-2.0834917398078185</v>
      </c>
    </row>
    <row r="58" spans="1:23" x14ac:dyDescent="0.3">
      <c r="A58" s="45" t="s">
        <v>205</v>
      </c>
      <c r="B58" s="46">
        <v>45643</v>
      </c>
      <c r="C58" s="47">
        <v>45644</v>
      </c>
      <c r="D58" s="48">
        <f t="shared" si="6"/>
        <v>1</v>
      </c>
      <c r="E58" s="48" t="str">
        <f>TEXT(Data!B58,"MMM-YYYY")</f>
        <v>Dec-2024</v>
      </c>
      <c r="F58" s="48" t="str">
        <f t="shared" si="2"/>
        <v>Q4-2024</v>
      </c>
      <c r="G58" s="38" t="s">
        <v>78</v>
      </c>
      <c r="H58" s="38" t="s">
        <v>79</v>
      </c>
      <c r="I58" s="38" t="s">
        <v>159</v>
      </c>
      <c r="J58" s="38" t="s">
        <v>27</v>
      </c>
      <c r="K58" s="38" t="s">
        <v>20</v>
      </c>
      <c r="L58" s="38" t="s">
        <v>49</v>
      </c>
      <c r="M58" s="38" t="s">
        <v>81</v>
      </c>
      <c r="N58" s="38" t="s">
        <v>206</v>
      </c>
      <c r="O58" s="48">
        <v>346.82</v>
      </c>
      <c r="P58" s="49" t="str">
        <f t="shared" si="3"/>
        <v>High</v>
      </c>
      <c r="Q58" s="48">
        <v>701.95</v>
      </c>
      <c r="R58" s="48">
        <v>0.14699999999999999</v>
      </c>
      <c r="S58" s="48">
        <v>8</v>
      </c>
      <c r="T58" s="48">
        <f t="shared" si="0"/>
        <v>304.14567999999997</v>
      </c>
      <c r="U58" s="38">
        <f t="shared" si="1"/>
        <v>2774.56</v>
      </c>
      <c r="V58" s="48">
        <f t="shared" si="4"/>
        <v>-2470.4143199999999</v>
      </c>
      <c r="W58" s="50">
        <f t="shared" si="5"/>
        <v>-8.122470521363315</v>
      </c>
    </row>
    <row r="59" spans="1:23" x14ac:dyDescent="0.3">
      <c r="A59" s="39" t="s">
        <v>207</v>
      </c>
      <c r="B59" s="40">
        <v>45817</v>
      </c>
      <c r="C59" s="41">
        <v>45826</v>
      </c>
      <c r="D59" s="42">
        <f t="shared" si="6"/>
        <v>9</v>
      </c>
      <c r="E59" s="42" t="str">
        <f>TEXT(Data!B59,"MMM-YYYY")</f>
        <v>Jun-2025</v>
      </c>
      <c r="F59" s="42" t="str">
        <f t="shared" si="2"/>
        <v>Q2-2025</v>
      </c>
      <c r="G59" s="37" t="s">
        <v>78</v>
      </c>
      <c r="H59" s="37" t="s">
        <v>90</v>
      </c>
      <c r="I59" s="37" t="s">
        <v>91</v>
      </c>
      <c r="J59" s="37" t="s">
        <v>62</v>
      </c>
      <c r="K59" s="37" t="s">
        <v>40</v>
      </c>
      <c r="L59" s="37" t="s">
        <v>92</v>
      </c>
      <c r="M59" s="37" t="s">
        <v>81</v>
      </c>
      <c r="N59" s="37" t="s">
        <v>208</v>
      </c>
      <c r="O59" s="42">
        <v>1225.5</v>
      </c>
      <c r="P59" s="43" t="str">
        <f t="shared" si="3"/>
        <v>Low</v>
      </c>
      <c r="Q59" s="42">
        <v>-5.27</v>
      </c>
      <c r="R59" s="42">
        <v>7.4999999999999997E-2</v>
      </c>
      <c r="S59" s="42">
        <v>56</v>
      </c>
      <c r="T59" s="42">
        <f t="shared" si="0"/>
        <v>93667.868000000002</v>
      </c>
      <c r="U59" s="37">
        <f t="shared" si="1"/>
        <v>68628</v>
      </c>
      <c r="V59" s="42">
        <f t="shared" si="4"/>
        <v>25039.868000000002</v>
      </c>
      <c r="W59" s="44">
        <f t="shared" si="5"/>
        <v>0.2673261229774121</v>
      </c>
    </row>
    <row r="60" spans="1:23" x14ac:dyDescent="0.3">
      <c r="A60" s="45" t="s">
        <v>209</v>
      </c>
      <c r="B60" s="46">
        <v>45779</v>
      </c>
      <c r="C60" s="47">
        <v>45790</v>
      </c>
      <c r="D60" s="48">
        <f t="shared" si="6"/>
        <v>11</v>
      </c>
      <c r="E60" s="48" t="str">
        <f>TEXT(Data!B60,"MMM-YYYY")</f>
        <v>May-2025</v>
      </c>
      <c r="F60" s="48" t="str">
        <f t="shared" si="2"/>
        <v>Q2-2025</v>
      </c>
      <c r="G60" s="38" t="s">
        <v>16</v>
      </c>
      <c r="H60" s="38" t="s">
        <v>17</v>
      </c>
      <c r="I60" s="38" t="s">
        <v>135</v>
      </c>
      <c r="J60" s="38" t="s">
        <v>62</v>
      </c>
      <c r="K60" s="38" t="s">
        <v>28</v>
      </c>
      <c r="L60" s="38" t="s">
        <v>75</v>
      </c>
      <c r="M60" s="38" t="s">
        <v>81</v>
      </c>
      <c r="N60" s="38" t="s">
        <v>210</v>
      </c>
      <c r="O60" s="48">
        <v>1057.5999999999999</v>
      </c>
      <c r="P60" s="49" t="str">
        <f t="shared" si="3"/>
        <v>High</v>
      </c>
      <c r="Q60" s="48">
        <v>1437.06</v>
      </c>
      <c r="R60" s="48">
        <v>0.20499999999999999</v>
      </c>
      <c r="S60" s="48">
        <v>4</v>
      </c>
      <c r="T60" s="48">
        <f t="shared" si="0"/>
        <v>4086.5861999999997</v>
      </c>
      <c r="U60" s="38">
        <f t="shared" si="1"/>
        <v>4230.3999999999996</v>
      </c>
      <c r="V60" s="48">
        <f t="shared" si="4"/>
        <v>-143.8137999999999</v>
      </c>
      <c r="W60" s="50">
        <f t="shared" si="5"/>
        <v>-3.5191671718560573E-2</v>
      </c>
    </row>
    <row r="61" spans="1:23" x14ac:dyDescent="0.3">
      <c r="A61" s="39" t="s">
        <v>211</v>
      </c>
      <c r="B61" s="40">
        <v>45361</v>
      </c>
      <c r="C61" s="41">
        <v>45391</v>
      </c>
      <c r="D61" s="42">
        <f t="shared" si="6"/>
        <v>30</v>
      </c>
      <c r="E61" s="42" t="str">
        <f>TEXT(Data!B61,"MMM-YYYY")</f>
        <v>Mar-2024</v>
      </c>
      <c r="F61" s="42" t="str">
        <f t="shared" si="2"/>
        <v>Q1-2024</v>
      </c>
      <c r="G61" s="37" t="s">
        <v>78</v>
      </c>
      <c r="H61" s="37" t="s">
        <v>90</v>
      </c>
      <c r="I61" s="37" t="s">
        <v>138</v>
      </c>
      <c r="J61" s="37" t="s">
        <v>19</v>
      </c>
      <c r="K61" s="37" t="s">
        <v>98</v>
      </c>
      <c r="L61" s="37" t="s">
        <v>34</v>
      </c>
      <c r="M61" s="37" t="s">
        <v>22</v>
      </c>
      <c r="N61" s="37" t="s">
        <v>212</v>
      </c>
      <c r="O61" s="42">
        <v>1176.56</v>
      </c>
      <c r="P61" s="43" t="str">
        <f t="shared" si="3"/>
        <v>High</v>
      </c>
      <c r="Q61" s="42">
        <v>1911.89</v>
      </c>
      <c r="R61" s="42">
        <v>0.11899999999999999</v>
      </c>
      <c r="S61" s="42">
        <v>20</v>
      </c>
      <c r="T61" s="42">
        <f t="shared" si="0"/>
        <v>29568.826800000003</v>
      </c>
      <c r="U61" s="37">
        <f t="shared" si="1"/>
        <v>23531.199999999997</v>
      </c>
      <c r="V61" s="42">
        <f t="shared" si="4"/>
        <v>6037.6268000000055</v>
      </c>
      <c r="W61" s="44">
        <f t="shared" si="5"/>
        <v>0.20418891966319086</v>
      </c>
    </row>
    <row r="62" spans="1:23" x14ac:dyDescent="0.3">
      <c r="A62" s="45" t="s">
        <v>213</v>
      </c>
      <c r="B62" s="46">
        <v>45910</v>
      </c>
      <c r="C62" s="47">
        <v>45912</v>
      </c>
      <c r="D62" s="48">
        <f t="shared" si="6"/>
        <v>2</v>
      </c>
      <c r="E62" s="48" t="str">
        <f>TEXT(Data!B62,"MMM-YYYY")</f>
        <v>Sept-2025</v>
      </c>
      <c r="F62" s="48" t="str">
        <f t="shared" si="2"/>
        <v>Q3-2025</v>
      </c>
      <c r="G62" s="38" t="s">
        <v>45</v>
      </c>
      <c r="H62" s="38" t="s">
        <v>46</v>
      </c>
      <c r="I62" s="38" t="s">
        <v>214</v>
      </c>
      <c r="J62" s="38" t="s">
        <v>48</v>
      </c>
      <c r="K62" s="38" t="s">
        <v>28</v>
      </c>
      <c r="L62" s="38" t="s">
        <v>68</v>
      </c>
      <c r="M62" s="38" t="s">
        <v>22</v>
      </c>
      <c r="N62" s="38" t="s">
        <v>215</v>
      </c>
      <c r="O62" s="48">
        <v>1470.15</v>
      </c>
      <c r="P62" s="49" t="str">
        <f t="shared" si="3"/>
        <v>High</v>
      </c>
      <c r="Q62" s="48">
        <v>2593.7800000000002</v>
      </c>
      <c r="R62" s="48">
        <v>0.11</v>
      </c>
      <c r="S62" s="48">
        <v>12</v>
      </c>
      <c r="T62" s="48">
        <f t="shared" si="0"/>
        <v>7255.4580000000005</v>
      </c>
      <c r="U62" s="38">
        <f t="shared" si="1"/>
        <v>17641.800000000003</v>
      </c>
      <c r="V62" s="48">
        <f t="shared" si="4"/>
        <v>-10386.342000000002</v>
      </c>
      <c r="W62" s="50">
        <f t="shared" si="5"/>
        <v>-1.4315212078961799</v>
      </c>
    </row>
    <row r="63" spans="1:23" x14ac:dyDescent="0.3">
      <c r="A63" s="39" t="s">
        <v>216</v>
      </c>
      <c r="B63" s="40">
        <v>45774</v>
      </c>
      <c r="C63" s="41">
        <v>45802</v>
      </c>
      <c r="D63" s="42">
        <f t="shared" si="6"/>
        <v>28</v>
      </c>
      <c r="E63" s="42" t="str">
        <f>TEXT(Data!B63,"MMM-YYYY")</f>
        <v>Apr-2025</v>
      </c>
      <c r="F63" s="42" t="str">
        <f t="shared" si="2"/>
        <v>Q2-2025</v>
      </c>
      <c r="G63" s="37" t="s">
        <v>78</v>
      </c>
      <c r="H63" s="37" t="s">
        <v>90</v>
      </c>
      <c r="I63" s="37" t="s">
        <v>217</v>
      </c>
      <c r="J63" s="37" t="s">
        <v>62</v>
      </c>
      <c r="K63" s="37" t="s">
        <v>40</v>
      </c>
      <c r="L63" s="37" t="s">
        <v>34</v>
      </c>
      <c r="M63" s="37" t="s">
        <v>42</v>
      </c>
      <c r="N63" s="37" t="s">
        <v>218</v>
      </c>
      <c r="O63" s="42">
        <v>603.45000000000005</v>
      </c>
      <c r="P63" s="43" t="str">
        <f t="shared" si="3"/>
        <v>High</v>
      </c>
      <c r="Q63" s="42">
        <v>1244.08</v>
      </c>
      <c r="R63" s="42">
        <v>0.2</v>
      </c>
      <c r="S63" s="42">
        <v>11</v>
      </c>
      <c r="T63" s="42">
        <f t="shared" si="0"/>
        <v>9767.2960000000003</v>
      </c>
      <c r="U63" s="37">
        <f t="shared" si="1"/>
        <v>6637.9500000000007</v>
      </c>
      <c r="V63" s="42">
        <f t="shared" si="4"/>
        <v>3129.3459999999995</v>
      </c>
      <c r="W63" s="44">
        <f t="shared" si="5"/>
        <v>0.32039020830330106</v>
      </c>
    </row>
    <row r="64" spans="1:23" x14ac:dyDescent="0.3">
      <c r="A64" s="45" t="s">
        <v>219</v>
      </c>
      <c r="B64" s="46">
        <v>45598</v>
      </c>
      <c r="C64" s="47">
        <v>45614</v>
      </c>
      <c r="D64" s="48">
        <f t="shared" si="6"/>
        <v>16</v>
      </c>
      <c r="E64" s="48" t="str">
        <f>TEXT(Data!B64,"MMM-YYYY")</f>
        <v>Nov-2024</v>
      </c>
      <c r="F64" s="48" t="str">
        <f t="shared" si="2"/>
        <v>Q4-2024</v>
      </c>
      <c r="G64" s="38" t="s">
        <v>45</v>
      </c>
      <c r="H64" s="38" t="s">
        <v>60</v>
      </c>
      <c r="I64" s="38" t="s">
        <v>220</v>
      </c>
      <c r="J64" s="38" t="s">
        <v>62</v>
      </c>
      <c r="K64" s="38" t="s">
        <v>55</v>
      </c>
      <c r="L64" s="38" t="s">
        <v>68</v>
      </c>
      <c r="M64" s="38" t="s">
        <v>64</v>
      </c>
      <c r="N64" s="38" t="s">
        <v>221</v>
      </c>
      <c r="O64" s="48">
        <v>1233.58</v>
      </c>
      <c r="P64" s="49" t="str">
        <f t="shared" si="3"/>
        <v>High</v>
      </c>
      <c r="Q64" s="48">
        <v>1912.51</v>
      </c>
      <c r="R64" s="48">
        <v>0.255</v>
      </c>
      <c r="S64" s="48">
        <v>51</v>
      </c>
      <c r="T64" s="48">
        <f t="shared" si="0"/>
        <v>3175.2421499999996</v>
      </c>
      <c r="U64" s="38">
        <f t="shared" si="1"/>
        <v>62912.579999999994</v>
      </c>
      <c r="V64" s="48">
        <f t="shared" si="4"/>
        <v>-59737.337849999996</v>
      </c>
      <c r="W64" s="50">
        <f t="shared" si="5"/>
        <v>-18.813474698299782</v>
      </c>
    </row>
    <row r="65" spans="1:23" x14ac:dyDescent="0.3">
      <c r="A65" s="39" t="s">
        <v>222</v>
      </c>
      <c r="B65" s="40">
        <v>44972</v>
      </c>
      <c r="C65" s="41">
        <v>44983</v>
      </c>
      <c r="D65" s="42">
        <f t="shared" si="6"/>
        <v>11</v>
      </c>
      <c r="E65" s="42" t="str">
        <f>TEXT(Data!B65,"MMM-YYYY")</f>
        <v>Feb-2023</v>
      </c>
      <c r="F65" s="42" t="str">
        <f t="shared" si="2"/>
        <v>Q1-2023</v>
      </c>
      <c r="G65" s="37" t="s">
        <v>16</v>
      </c>
      <c r="H65" s="37" t="s">
        <v>148</v>
      </c>
      <c r="I65" s="37" t="s">
        <v>149</v>
      </c>
      <c r="J65" s="37" t="s">
        <v>39</v>
      </c>
      <c r="K65" s="37" t="s">
        <v>20</v>
      </c>
      <c r="L65" s="37" t="s">
        <v>95</v>
      </c>
      <c r="M65" s="37" t="s">
        <v>57</v>
      </c>
      <c r="N65" s="37" t="s">
        <v>223</v>
      </c>
      <c r="O65" s="42">
        <v>498.5</v>
      </c>
      <c r="P65" s="43" t="str">
        <f t="shared" si="3"/>
        <v>High</v>
      </c>
      <c r="Q65" s="42">
        <v>755.87</v>
      </c>
      <c r="R65" s="42">
        <v>0.13</v>
      </c>
      <c r="S65" s="42">
        <v>40</v>
      </c>
      <c r="T65" s="42">
        <f t="shared" ref="T65:T128" si="7">(Q91*S65)*(1-R65)</f>
        <v>44693.64</v>
      </c>
      <c r="U65" s="37">
        <f t="shared" ref="U65:U128" si="8">(O65*S65)</f>
        <v>19940</v>
      </c>
      <c r="V65" s="42">
        <f t="shared" si="4"/>
        <v>24753.64</v>
      </c>
      <c r="W65" s="44">
        <f t="shared" si="5"/>
        <v>0.55385150996875621</v>
      </c>
    </row>
    <row r="66" spans="1:23" x14ac:dyDescent="0.3">
      <c r="A66" s="45" t="s">
        <v>224</v>
      </c>
      <c r="B66" s="46">
        <v>45263</v>
      </c>
      <c r="C66" s="47">
        <v>45286</v>
      </c>
      <c r="D66" s="48">
        <f t="shared" si="6"/>
        <v>23</v>
      </c>
      <c r="E66" s="48" t="str">
        <f>TEXT(Data!B66,"MMM-YYYY")</f>
        <v>Dec-2023</v>
      </c>
      <c r="F66" s="48" t="str">
        <f t="shared" ref="F66:F129" si="9">"Q"&amp;ROUNDUP(MONTH(B66)/3,0)&amp;"-"&amp;YEAR(B66)</f>
        <v>Q4-2023</v>
      </c>
      <c r="G66" s="38" t="s">
        <v>52</v>
      </c>
      <c r="H66" s="38" t="s">
        <v>73</v>
      </c>
      <c r="I66" s="38" t="s">
        <v>225</v>
      </c>
      <c r="J66" s="38" t="s">
        <v>27</v>
      </c>
      <c r="K66" s="38" t="s">
        <v>20</v>
      </c>
      <c r="L66" s="38" t="s">
        <v>68</v>
      </c>
      <c r="M66" s="38" t="s">
        <v>42</v>
      </c>
      <c r="N66" s="38" t="s">
        <v>226</v>
      </c>
      <c r="O66" s="48">
        <v>1303.1099999999999</v>
      </c>
      <c r="P66" s="49" t="str">
        <f t="shared" ref="P66:P129" si="10">IF(Q66&lt;50, "Low", IF(Q66&lt;200, "Medium", "High"))</f>
        <v>High</v>
      </c>
      <c r="Q66" s="48">
        <v>1145.67</v>
      </c>
      <c r="R66" s="48">
        <v>0.184</v>
      </c>
      <c r="S66" s="48">
        <v>13</v>
      </c>
      <c r="T66" s="48">
        <f t="shared" si="7"/>
        <v>9671.5257600000004</v>
      </c>
      <c r="U66" s="38">
        <f t="shared" si="8"/>
        <v>16940.43</v>
      </c>
      <c r="V66" s="48">
        <f t="shared" ref="V66:V129" si="11">(T66-U66)</f>
        <v>-7268.9042399999998</v>
      </c>
      <c r="W66" s="50">
        <f t="shared" ref="W66:W129" si="12">IF(T66=0, 0, V66/T66)</f>
        <v>-0.75157781929952694</v>
      </c>
    </row>
    <row r="67" spans="1:23" x14ac:dyDescent="0.3">
      <c r="A67" s="39" t="s">
        <v>227</v>
      </c>
      <c r="B67" s="40">
        <v>45004</v>
      </c>
      <c r="C67" s="41">
        <v>45025</v>
      </c>
      <c r="D67" s="42">
        <f t="shared" ref="D67:D130" si="13">DATEDIF(B67,C67, "MD")</f>
        <v>21</v>
      </c>
      <c r="E67" s="42" t="str">
        <f>TEXT(Data!B67,"MMM-YYYY")</f>
        <v>Mar-2023</v>
      </c>
      <c r="F67" s="42" t="str">
        <f t="shared" si="9"/>
        <v>Q1-2023</v>
      </c>
      <c r="G67" s="37" t="s">
        <v>78</v>
      </c>
      <c r="H67" s="37" t="s">
        <v>108</v>
      </c>
      <c r="I67" s="37" t="s">
        <v>228</v>
      </c>
      <c r="J67" s="37" t="s">
        <v>48</v>
      </c>
      <c r="K67" s="37" t="s">
        <v>20</v>
      </c>
      <c r="L67" s="37" t="s">
        <v>49</v>
      </c>
      <c r="M67" s="37" t="s">
        <v>81</v>
      </c>
      <c r="N67" s="37" t="s">
        <v>229</v>
      </c>
      <c r="O67" s="42">
        <v>1082.17</v>
      </c>
      <c r="P67" s="43" t="str">
        <f t="shared" si="10"/>
        <v>High</v>
      </c>
      <c r="Q67" s="42">
        <v>1234.0999999999999</v>
      </c>
      <c r="R67" s="42">
        <v>0.189</v>
      </c>
      <c r="S67" s="42">
        <v>16</v>
      </c>
      <c r="T67" s="42">
        <f t="shared" si="7"/>
        <v>18232.188319999997</v>
      </c>
      <c r="U67" s="37">
        <f t="shared" si="8"/>
        <v>17314.72</v>
      </c>
      <c r="V67" s="42">
        <f t="shared" si="11"/>
        <v>917.46831999999631</v>
      </c>
      <c r="W67" s="44">
        <f t="shared" si="12"/>
        <v>5.0321349467061474E-2</v>
      </c>
    </row>
    <row r="68" spans="1:23" x14ac:dyDescent="0.3">
      <c r="A68" s="45" t="s">
        <v>230</v>
      </c>
      <c r="B68" s="46">
        <v>45434</v>
      </c>
      <c r="C68" s="47">
        <v>45449</v>
      </c>
      <c r="D68" s="48">
        <f t="shared" si="13"/>
        <v>15</v>
      </c>
      <c r="E68" s="48" t="str">
        <f>TEXT(Data!B68,"MMM-YYYY")</f>
        <v>May-2024</v>
      </c>
      <c r="F68" s="48" t="str">
        <f t="shared" si="9"/>
        <v>Q2-2024</v>
      </c>
      <c r="G68" s="38" t="s">
        <v>45</v>
      </c>
      <c r="H68" s="38" t="s">
        <v>46</v>
      </c>
      <c r="I68" s="38" t="s">
        <v>231</v>
      </c>
      <c r="J68" s="38" t="s">
        <v>19</v>
      </c>
      <c r="K68" s="38" t="s">
        <v>55</v>
      </c>
      <c r="L68" s="38" t="s">
        <v>21</v>
      </c>
      <c r="M68" s="38" t="s">
        <v>64</v>
      </c>
      <c r="N68" s="38" t="s">
        <v>232</v>
      </c>
      <c r="O68" s="48">
        <v>673.88</v>
      </c>
      <c r="P68" s="49" t="str">
        <f t="shared" si="10"/>
        <v>High</v>
      </c>
      <c r="Q68" s="48">
        <v>1228.01</v>
      </c>
      <c r="R68" s="48">
        <v>0.105</v>
      </c>
      <c r="S68" s="48">
        <v>13</v>
      </c>
      <c r="T68" s="48">
        <f t="shared" si="7"/>
        <v>11273.616900000001</v>
      </c>
      <c r="U68" s="38">
        <f t="shared" si="8"/>
        <v>8760.44</v>
      </c>
      <c r="V68" s="48">
        <f t="shared" si="11"/>
        <v>2513.1769000000004</v>
      </c>
      <c r="W68" s="50">
        <f t="shared" si="12"/>
        <v>0.22292551913840536</v>
      </c>
    </row>
    <row r="69" spans="1:23" x14ac:dyDescent="0.3">
      <c r="A69" s="39" t="s">
        <v>233</v>
      </c>
      <c r="B69" s="40">
        <v>45157</v>
      </c>
      <c r="C69" s="41">
        <v>45176</v>
      </c>
      <c r="D69" s="42">
        <f t="shared" si="13"/>
        <v>19</v>
      </c>
      <c r="E69" s="42" t="str">
        <f>TEXT(Data!B69,"MMM-YYYY")</f>
        <v>Aug-2023</v>
      </c>
      <c r="F69" s="42" t="str">
        <f t="shared" si="9"/>
        <v>Q3-2023</v>
      </c>
      <c r="G69" s="37" t="s">
        <v>16</v>
      </c>
      <c r="H69" s="37" t="s">
        <v>148</v>
      </c>
      <c r="I69" s="37" t="s">
        <v>149</v>
      </c>
      <c r="J69" s="37" t="s">
        <v>105</v>
      </c>
      <c r="K69" s="37" t="s">
        <v>20</v>
      </c>
      <c r="L69" s="37" t="s">
        <v>145</v>
      </c>
      <c r="M69" s="37" t="s">
        <v>64</v>
      </c>
      <c r="N69" s="37" t="s">
        <v>234</v>
      </c>
      <c r="O69" s="42">
        <v>494.61</v>
      </c>
      <c r="P69" s="43" t="str">
        <f t="shared" si="10"/>
        <v>High</v>
      </c>
      <c r="Q69" s="42">
        <v>605.23</v>
      </c>
      <c r="R69" s="42">
        <v>0.20399999999999999</v>
      </c>
      <c r="S69" s="42">
        <v>18</v>
      </c>
      <c r="T69" s="42">
        <f t="shared" si="7"/>
        <v>15600.46968</v>
      </c>
      <c r="U69" s="37">
        <f t="shared" si="8"/>
        <v>8902.98</v>
      </c>
      <c r="V69" s="42">
        <f t="shared" si="11"/>
        <v>6697.4896800000006</v>
      </c>
      <c r="W69" s="44">
        <f t="shared" si="12"/>
        <v>0.42931333590464055</v>
      </c>
    </row>
    <row r="70" spans="1:23" x14ac:dyDescent="0.3">
      <c r="A70" s="45" t="s">
        <v>235</v>
      </c>
      <c r="B70" s="46">
        <v>45037</v>
      </c>
      <c r="C70" s="47">
        <v>45056</v>
      </c>
      <c r="D70" s="48">
        <f t="shared" si="13"/>
        <v>19</v>
      </c>
      <c r="E70" s="48" t="str">
        <f>TEXT(Data!B70,"MMM-YYYY")</f>
        <v>Apr-2023</v>
      </c>
      <c r="F70" s="48" t="str">
        <f t="shared" si="9"/>
        <v>Q2-2023</v>
      </c>
      <c r="G70" s="38" t="s">
        <v>45</v>
      </c>
      <c r="H70" s="38" t="s">
        <v>116</v>
      </c>
      <c r="I70" s="38" t="s">
        <v>162</v>
      </c>
      <c r="J70" s="38" t="s">
        <v>19</v>
      </c>
      <c r="K70" s="38" t="s">
        <v>20</v>
      </c>
      <c r="L70" s="38" t="s">
        <v>75</v>
      </c>
      <c r="M70" s="38" t="s">
        <v>22</v>
      </c>
      <c r="N70" s="38" t="s">
        <v>236</v>
      </c>
      <c r="O70" s="48">
        <v>882.33</v>
      </c>
      <c r="P70" s="49" t="str">
        <f t="shared" si="10"/>
        <v>High</v>
      </c>
      <c r="Q70" s="48">
        <v>1880.15</v>
      </c>
      <c r="R70" s="48">
        <v>0.05</v>
      </c>
      <c r="S70" s="48">
        <v>5</v>
      </c>
      <c r="T70" s="48">
        <f t="shared" si="7"/>
        <v>11803.702499999998</v>
      </c>
      <c r="U70" s="38">
        <f t="shared" si="8"/>
        <v>4411.6500000000005</v>
      </c>
      <c r="V70" s="48">
        <f t="shared" si="11"/>
        <v>7392.0524999999971</v>
      </c>
      <c r="W70" s="50">
        <f t="shared" si="12"/>
        <v>0.6262486283435218</v>
      </c>
    </row>
    <row r="71" spans="1:23" x14ac:dyDescent="0.3">
      <c r="A71" s="39" t="s">
        <v>237</v>
      </c>
      <c r="B71" s="40">
        <v>45369</v>
      </c>
      <c r="C71" s="41">
        <v>45372</v>
      </c>
      <c r="D71" s="42">
        <f t="shared" si="13"/>
        <v>3</v>
      </c>
      <c r="E71" s="42" t="str">
        <f>TEXT(Data!B71,"MMM-YYYY")</f>
        <v>Mar-2024</v>
      </c>
      <c r="F71" s="42" t="str">
        <f t="shared" si="9"/>
        <v>Q1-2024</v>
      </c>
      <c r="G71" s="37" t="s">
        <v>78</v>
      </c>
      <c r="H71" s="37" t="s">
        <v>79</v>
      </c>
      <c r="I71" s="37" t="s">
        <v>159</v>
      </c>
      <c r="J71" s="37" t="s">
        <v>62</v>
      </c>
      <c r="K71" s="37" t="s">
        <v>28</v>
      </c>
      <c r="L71" s="37" t="s">
        <v>110</v>
      </c>
      <c r="M71" s="37" t="s">
        <v>81</v>
      </c>
      <c r="N71" s="37" t="s">
        <v>238</v>
      </c>
      <c r="O71" s="42">
        <v>910.63</v>
      </c>
      <c r="P71" s="43" t="str">
        <f t="shared" si="10"/>
        <v>High</v>
      </c>
      <c r="Q71" s="42">
        <v>1269.4000000000001</v>
      </c>
      <c r="R71" s="42">
        <v>6.8000000000000005E-2</v>
      </c>
      <c r="S71" s="42">
        <v>9</v>
      </c>
      <c r="T71" s="42">
        <f t="shared" si="7"/>
        <v>240.65172000000001</v>
      </c>
      <c r="U71" s="37">
        <f t="shared" si="8"/>
        <v>8195.67</v>
      </c>
      <c r="V71" s="42">
        <f t="shared" si="11"/>
        <v>-7955.0182800000002</v>
      </c>
      <c r="W71" s="44">
        <f t="shared" si="12"/>
        <v>-33.05614553679483</v>
      </c>
    </row>
    <row r="72" spans="1:23" x14ac:dyDescent="0.3">
      <c r="A72" s="45" t="s">
        <v>239</v>
      </c>
      <c r="B72" s="46">
        <v>45756</v>
      </c>
      <c r="C72" s="47">
        <v>45783</v>
      </c>
      <c r="D72" s="48">
        <f t="shared" si="13"/>
        <v>27</v>
      </c>
      <c r="E72" s="48" t="str">
        <f>TEXT(Data!B72,"MMM-YYYY")</f>
        <v>Apr-2025</v>
      </c>
      <c r="F72" s="48" t="str">
        <f t="shared" si="9"/>
        <v>Q2-2025</v>
      </c>
      <c r="G72" s="38" t="s">
        <v>52</v>
      </c>
      <c r="H72" s="38" t="s">
        <v>73</v>
      </c>
      <c r="I72" s="38" t="s">
        <v>87</v>
      </c>
      <c r="J72" s="38" t="s">
        <v>105</v>
      </c>
      <c r="K72" s="38" t="s">
        <v>40</v>
      </c>
      <c r="L72" s="38" t="s">
        <v>84</v>
      </c>
      <c r="M72" s="38" t="s">
        <v>57</v>
      </c>
      <c r="N72" s="38" t="s">
        <v>240</v>
      </c>
      <c r="O72" s="48">
        <v>264.19</v>
      </c>
      <c r="P72" s="49" t="str">
        <f t="shared" si="10"/>
        <v>High</v>
      </c>
      <c r="Q72" s="48">
        <v>620.92999999999995</v>
      </c>
      <c r="R72" s="48">
        <v>0.14199999999999999</v>
      </c>
      <c r="S72" s="48">
        <v>12</v>
      </c>
      <c r="T72" s="48">
        <f t="shared" si="7"/>
        <v>19527.59952</v>
      </c>
      <c r="U72" s="38">
        <f t="shared" si="8"/>
        <v>3170.2799999999997</v>
      </c>
      <c r="V72" s="48">
        <f t="shared" si="11"/>
        <v>16357.319520000001</v>
      </c>
      <c r="W72" s="50">
        <f t="shared" si="12"/>
        <v>0.83765132028885447</v>
      </c>
    </row>
    <row r="73" spans="1:23" x14ac:dyDescent="0.3">
      <c r="A73" s="39" t="s">
        <v>241</v>
      </c>
      <c r="B73" s="40">
        <v>45394</v>
      </c>
      <c r="C73" s="41">
        <v>45419</v>
      </c>
      <c r="D73" s="42">
        <f t="shared" si="13"/>
        <v>25</v>
      </c>
      <c r="E73" s="42" t="str">
        <f>TEXT(Data!B73,"MMM-YYYY")</f>
        <v>Apr-2024</v>
      </c>
      <c r="F73" s="42" t="str">
        <f t="shared" si="9"/>
        <v>Q2-2024</v>
      </c>
      <c r="G73" s="37" t="s">
        <v>16</v>
      </c>
      <c r="H73" s="37" t="s">
        <v>148</v>
      </c>
      <c r="I73" s="37" t="s">
        <v>149</v>
      </c>
      <c r="J73" s="37" t="s">
        <v>27</v>
      </c>
      <c r="K73" s="37" t="s">
        <v>55</v>
      </c>
      <c r="L73" s="37" t="s">
        <v>75</v>
      </c>
      <c r="M73" s="37" t="s">
        <v>57</v>
      </c>
      <c r="N73" s="37" t="s">
        <v>242</v>
      </c>
      <c r="O73" s="42">
        <v>1376.51</v>
      </c>
      <c r="P73" s="43" t="str">
        <f t="shared" si="10"/>
        <v>High</v>
      </c>
      <c r="Q73" s="42">
        <v>1455.91</v>
      </c>
      <c r="R73" s="42">
        <v>0.185</v>
      </c>
      <c r="S73" s="42">
        <v>17</v>
      </c>
      <c r="T73" s="42">
        <f t="shared" si="7"/>
        <v>5807.6003499999997</v>
      </c>
      <c r="U73" s="37">
        <f t="shared" si="8"/>
        <v>23400.67</v>
      </c>
      <c r="V73" s="42">
        <f t="shared" si="11"/>
        <v>-17593.069649999998</v>
      </c>
      <c r="W73" s="44">
        <f t="shared" si="12"/>
        <v>-3.0293182364037841</v>
      </c>
    </row>
    <row r="74" spans="1:23" x14ac:dyDescent="0.3">
      <c r="A74" s="45" t="s">
        <v>243</v>
      </c>
      <c r="B74" s="46">
        <v>45641</v>
      </c>
      <c r="C74" s="47">
        <v>45646</v>
      </c>
      <c r="D74" s="48">
        <f t="shared" si="13"/>
        <v>5</v>
      </c>
      <c r="E74" s="48" t="str">
        <f>TEXT(Data!B74,"MMM-YYYY")</f>
        <v>Dec-2024</v>
      </c>
      <c r="F74" s="48" t="str">
        <f t="shared" si="9"/>
        <v>Q4-2024</v>
      </c>
      <c r="G74" s="38" t="s">
        <v>45</v>
      </c>
      <c r="H74" s="38" t="s">
        <v>116</v>
      </c>
      <c r="I74" s="38" t="s">
        <v>117</v>
      </c>
      <c r="J74" s="38" t="s">
        <v>62</v>
      </c>
      <c r="K74" s="38" t="s">
        <v>98</v>
      </c>
      <c r="L74" s="38" t="s">
        <v>29</v>
      </c>
      <c r="M74" s="38" t="s">
        <v>35</v>
      </c>
      <c r="N74" s="38" t="s">
        <v>244</v>
      </c>
      <c r="O74" s="48">
        <v>717.55</v>
      </c>
      <c r="P74" s="49" t="str">
        <f t="shared" si="10"/>
        <v>High</v>
      </c>
      <c r="Q74" s="48">
        <v>546.42999999999995</v>
      </c>
      <c r="R74" s="48">
        <v>4.7E-2</v>
      </c>
      <c r="S74" s="48">
        <v>18</v>
      </c>
      <c r="T74" s="48">
        <f t="shared" si="7"/>
        <v>34328.070179999995</v>
      </c>
      <c r="U74" s="38">
        <f t="shared" si="8"/>
        <v>12915.9</v>
      </c>
      <c r="V74" s="48">
        <f t="shared" si="11"/>
        <v>21412.170179999994</v>
      </c>
      <c r="W74" s="50">
        <f t="shared" si="12"/>
        <v>0.62375106050893059</v>
      </c>
    </row>
    <row r="75" spans="1:23" x14ac:dyDescent="0.3">
      <c r="A75" s="39" t="s">
        <v>245</v>
      </c>
      <c r="B75" s="40">
        <v>45066</v>
      </c>
      <c r="C75" s="41">
        <v>45064</v>
      </c>
      <c r="D75" s="42">
        <f>DATEDIF(C75,B75, "MD")</f>
        <v>2</v>
      </c>
      <c r="E75" s="42" t="str">
        <f>TEXT(Data!B75,"MMM-YYYY")</f>
        <v>May-2023</v>
      </c>
      <c r="F75" s="42" t="str">
        <f t="shared" si="9"/>
        <v>Q2-2023</v>
      </c>
      <c r="G75" s="37" t="s">
        <v>16</v>
      </c>
      <c r="H75" s="37" t="s">
        <v>148</v>
      </c>
      <c r="I75" s="37" t="s">
        <v>172</v>
      </c>
      <c r="J75" s="37" t="s">
        <v>19</v>
      </c>
      <c r="K75" s="37" t="s">
        <v>55</v>
      </c>
      <c r="L75" s="37" t="s">
        <v>75</v>
      </c>
      <c r="M75" s="37" t="s">
        <v>22</v>
      </c>
      <c r="N75" s="37" t="s">
        <v>246</v>
      </c>
      <c r="O75" s="42">
        <v>917.88</v>
      </c>
      <c r="P75" s="43" t="str">
        <f t="shared" si="10"/>
        <v>High</v>
      </c>
      <c r="Q75" s="42">
        <v>1347.92</v>
      </c>
      <c r="R75" s="42">
        <v>0.34300000000000003</v>
      </c>
      <c r="S75" s="42">
        <v>5</v>
      </c>
      <c r="T75" s="42">
        <f t="shared" si="7"/>
        <v>10198.97235</v>
      </c>
      <c r="U75" s="37">
        <f t="shared" si="8"/>
        <v>4589.3999999999996</v>
      </c>
      <c r="V75" s="42">
        <f t="shared" si="11"/>
        <v>5609.5723500000004</v>
      </c>
      <c r="W75" s="44">
        <f t="shared" si="12"/>
        <v>0.55001348738826616</v>
      </c>
    </row>
    <row r="76" spans="1:23" x14ac:dyDescent="0.3">
      <c r="A76" s="45" t="s">
        <v>247</v>
      </c>
      <c r="B76" s="46">
        <v>45187</v>
      </c>
      <c r="C76" s="47">
        <v>45207</v>
      </c>
      <c r="D76" s="48">
        <f t="shared" si="13"/>
        <v>20</v>
      </c>
      <c r="E76" s="48" t="str">
        <f>TEXT(Data!B76,"MMM-YYYY")</f>
        <v>Sept-2023</v>
      </c>
      <c r="F76" s="48" t="str">
        <f t="shared" si="9"/>
        <v>Q3-2023</v>
      </c>
      <c r="G76" s="38" t="s">
        <v>45</v>
      </c>
      <c r="H76" s="38" t="s">
        <v>60</v>
      </c>
      <c r="I76" s="38" t="s">
        <v>141</v>
      </c>
      <c r="J76" s="38" t="s">
        <v>62</v>
      </c>
      <c r="K76" s="38" t="s">
        <v>98</v>
      </c>
      <c r="L76" s="38" t="s">
        <v>56</v>
      </c>
      <c r="M76" s="38" t="s">
        <v>22</v>
      </c>
      <c r="N76" s="38" t="s">
        <v>248</v>
      </c>
      <c r="O76" s="48">
        <v>825.64</v>
      </c>
      <c r="P76" s="49" t="str">
        <f t="shared" si="10"/>
        <v>High</v>
      </c>
      <c r="Q76" s="48">
        <v>1108.43</v>
      </c>
      <c r="R76" s="48">
        <v>0.114</v>
      </c>
      <c r="S76" s="48">
        <v>7</v>
      </c>
      <c r="T76" s="48">
        <f t="shared" si="7"/>
        <v>2073.2045600000001</v>
      </c>
      <c r="U76" s="38">
        <f t="shared" si="8"/>
        <v>5779.48</v>
      </c>
      <c r="V76" s="48">
        <f t="shared" si="11"/>
        <v>-3706.2754399999994</v>
      </c>
      <c r="W76" s="50">
        <f t="shared" si="12"/>
        <v>-1.7877036890175464</v>
      </c>
    </row>
    <row r="77" spans="1:23" x14ac:dyDescent="0.3">
      <c r="A77" s="39" t="s">
        <v>249</v>
      </c>
      <c r="B77" s="40">
        <v>45532</v>
      </c>
      <c r="C77" s="41">
        <v>45560</v>
      </c>
      <c r="D77" s="42">
        <f t="shared" si="13"/>
        <v>28</v>
      </c>
      <c r="E77" s="42" t="str">
        <f>TEXT(Data!B77,"MMM-YYYY")</f>
        <v>Aug-2024</v>
      </c>
      <c r="F77" s="42" t="str">
        <f t="shared" si="9"/>
        <v>Q3-2024</v>
      </c>
      <c r="G77" s="37" t="s">
        <v>52</v>
      </c>
      <c r="H77" s="37" t="s">
        <v>73</v>
      </c>
      <c r="I77" s="37" t="s">
        <v>225</v>
      </c>
      <c r="J77" s="37" t="s">
        <v>39</v>
      </c>
      <c r="K77" s="37" t="s">
        <v>28</v>
      </c>
      <c r="L77" s="37" t="s">
        <v>1364</v>
      </c>
      <c r="M77" s="37" t="s">
        <v>81</v>
      </c>
      <c r="N77" s="37" t="s">
        <v>250</v>
      </c>
      <c r="O77" s="42">
        <v>1394.65</v>
      </c>
      <c r="P77" s="43" t="str">
        <f t="shared" si="10"/>
        <v>High</v>
      </c>
      <c r="Q77" s="42">
        <v>3144.1</v>
      </c>
      <c r="R77" s="42">
        <v>0.13400000000000001</v>
      </c>
      <c r="S77" s="42">
        <v>13</v>
      </c>
      <c r="T77" s="42">
        <f t="shared" si="7"/>
        <v>21984.960139999999</v>
      </c>
      <c r="U77" s="37">
        <f t="shared" si="8"/>
        <v>18130.45</v>
      </c>
      <c r="V77" s="42">
        <f t="shared" si="11"/>
        <v>3854.5101399999985</v>
      </c>
      <c r="W77" s="44">
        <f t="shared" si="12"/>
        <v>0.17532486370020767</v>
      </c>
    </row>
    <row r="78" spans="1:23" x14ac:dyDescent="0.3">
      <c r="A78" s="45" t="s">
        <v>251</v>
      </c>
      <c r="B78" s="46">
        <v>45473</v>
      </c>
      <c r="C78" s="47">
        <v>45471</v>
      </c>
      <c r="D78" s="48">
        <f>DATEDIF(C78,B78, "MD")</f>
        <v>2</v>
      </c>
      <c r="E78" s="48" t="str">
        <f>TEXT(Data!B78,"MMM-YYYY")</f>
        <v>Jun-2024</v>
      </c>
      <c r="F78" s="48" t="str">
        <f t="shared" si="9"/>
        <v>Q2-2024</v>
      </c>
      <c r="G78" s="38" t="s">
        <v>52</v>
      </c>
      <c r="H78" s="38" t="s">
        <v>73</v>
      </c>
      <c r="I78" s="38" t="s">
        <v>225</v>
      </c>
      <c r="J78" s="38" t="s">
        <v>62</v>
      </c>
      <c r="K78" s="38" t="s">
        <v>98</v>
      </c>
      <c r="L78" s="38" t="s">
        <v>49</v>
      </c>
      <c r="M78" s="38" t="s">
        <v>81</v>
      </c>
      <c r="N78" s="38" t="s">
        <v>252</v>
      </c>
      <c r="O78" s="48">
        <v>1112.98</v>
      </c>
      <c r="P78" s="49" t="str">
        <f t="shared" si="10"/>
        <v>High</v>
      </c>
      <c r="Q78" s="48">
        <v>2095.73</v>
      </c>
      <c r="R78" s="48">
        <v>7.1999999999999995E-2</v>
      </c>
      <c r="S78" s="48">
        <v>17</v>
      </c>
      <c r="T78" s="48">
        <f t="shared" si="7"/>
        <v>3822.3670400000005</v>
      </c>
      <c r="U78" s="38">
        <f t="shared" si="8"/>
        <v>18920.66</v>
      </c>
      <c r="V78" s="48">
        <f t="shared" si="11"/>
        <v>-15098.292959999999</v>
      </c>
      <c r="W78" s="50">
        <f t="shared" si="12"/>
        <v>-3.9499851275402365</v>
      </c>
    </row>
    <row r="79" spans="1:23" x14ac:dyDescent="0.3">
      <c r="A79" s="39" t="s">
        <v>253</v>
      </c>
      <c r="B79" s="40">
        <v>45091</v>
      </c>
      <c r="C79" s="41">
        <v>45093</v>
      </c>
      <c r="D79" s="42">
        <f t="shared" si="13"/>
        <v>2</v>
      </c>
      <c r="E79" s="42" t="str">
        <f>TEXT(Data!B79,"MMM-YYYY")</f>
        <v>Jun-2023</v>
      </c>
      <c r="F79" s="42" t="str">
        <f t="shared" si="9"/>
        <v>Q2-2023</v>
      </c>
      <c r="G79" s="37" t="s">
        <v>78</v>
      </c>
      <c r="H79" s="37" t="s">
        <v>108</v>
      </c>
      <c r="I79" s="37" t="s">
        <v>228</v>
      </c>
      <c r="J79" s="37" t="s">
        <v>39</v>
      </c>
      <c r="K79" s="37" t="s">
        <v>98</v>
      </c>
      <c r="L79" s="37" t="s">
        <v>95</v>
      </c>
      <c r="M79" s="37" t="s">
        <v>22</v>
      </c>
      <c r="N79" s="37" t="s">
        <v>254</v>
      </c>
      <c r="O79" s="42">
        <v>357.36</v>
      </c>
      <c r="P79" s="43" t="str">
        <f t="shared" si="10"/>
        <v>High</v>
      </c>
      <c r="Q79" s="42">
        <v>703.62</v>
      </c>
      <c r="R79" s="42">
        <v>0.25700000000000001</v>
      </c>
      <c r="S79" s="42">
        <v>20</v>
      </c>
      <c r="T79" s="42">
        <f t="shared" si="7"/>
        <v>44117.408199999998</v>
      </c>
      <c r="U79" s="37">
        <f t="shared" si="8"/>
        <v>7147.2000000000007</v>
      </c>
      <c r="V79" s="42">
        <f t="shared" si="11"/>
        <v>36970.208199999994</v>
      </c>
      <c r="W79" s="44">
        <f t="shared" si="12"/>
        <v>0.83799592288832592</v>
      </c>
    </row>
    <row r="80" spans="1:23" x14ac:dyDescent="0.3">
      <c r="A80" s="45" t="s">
        <v>255</v>
      </c>
      <c r="B80" s="46">
        <v>45617</v>
      </c>
      <c r="C80" s="47">
        <v>45647</v>
      </c>
      <c r="D80" s="48">
        <f t="shared" si="13"/>
        <v>0</v>
      </c>
      <c r="E80" s="48" t="str">
        <f>TEXT(Data!B80,"MMM-YYYY")</f>
        <v>Nov-2024</v>
      </c>
      <c r="F80" s="48" t="str">
        <f t="shared" si="9"/>
        <v>Q4-2024</v>
      </c>
      <c r="G80" s="38" t="s">
        <v>78</v>
      </c>
      <c r="H80" s="38" t="s">
        <v>90</v>
      </c>
      <c r="I80" s="38" t="s">
        <v>91</v>
      </c>
      <c r="J80" s="38" t="s">
        <v>62</v>
      </c>
      <c r="K80" s="38" t="s">
        <v>98</v>
      </c>
      <c r="L80" s="38" t="s">
        <v>34</v>
      </c>
      <c r="M80" s="38" t="s">
        <v>64</v>
      </c>
      <c r="N80" s="38" t="s">
        <v>256</v>
      </c>
      <c r="O80" s="48">
        <v>1122.68</v>
      </c>
      <c r="P80" s="49" t="str">
        <f t="shared" si="10"/>
        <v>High</v>
      </c>
      <c r="Q80" s="48">
        <v>1997.19</v>
      </c>
      <c r="R80" s="48">
        <v>0.186</v>
      </c>
      <c r="S80" s="48">
        <v>3</v>
      </c>
      <c r="T80" s="48">
        <f t="shared" si="7"/>
        <v>3404.8806</v>
      </c>
      <c r="U80" s="38">
        <f t="shared" si="8"/>
        <v>3368.04</v>
      </c>
      <c r="V80" s="48">
        <f t="shared" si="11"/>
        <v>36.840599999999995</v>
      </c>
      <c r="W80" s="50">
        <f t="shared" si="12"/>
        <v>1.081993888420052E-2</v>
      </c>
    </row>
    <row r="81" spans="1:23" x14ac:dyDescent="0.3">
      <c r="A81" s="39" t="s">
        <v>257</v>
      </c>
      <c r="B81" s="40">
        <v>44965</v>
      </c>
      <c r="C81" s="41">
        <v>44968</v>
      </c>
      <c r="D81" s="42">
        <f t="shared" si="13"/>
        <v>3</v>
      </c>
      <c r="E81" s="42" t="str">
        <f>TEXT(Data!B81,"MMM-YYYY")</f>
        <v>Feb-2023</v>
      </c>
      <c r="F81" s="42" t="str">
        <f t="shared" si="9"/>
        <v>Q1-2023</v>
      </c>
      <c r="G81" s="37" t="s">
        <v>16</v>
      </c>
      <c r="H81" s="37" t="s">
        <v>148</v>
      </c>
      <c r="I81" s="37" t="s">
        <v>258</v>
      </c>
      <c r="J81" s="37" t="s">
        <v>19</v>
      </c>
      <c r="K81" s="37" t="s">
        <v>98</v>
      </c>
      <c r="L81" s="37" t="s">
        <v>110</v>
      </c>
      <c r="M81" s="37" t="s">
        <v>35</v>
      </c>
      <c r="N81" s="37" t="s">
        <v>259</v>
      </c>
      <c r="O81" s="42">
        <v>1410.05</v>
      </c>
      <c r="P81" s="43" t="str">
        <f t="shared" si="10"/>
        <v>High</v>
      </c>
      <c r="Q81" s="42">
        <v>2763.95</v>
      </c>
      <c r="R81" s="42">
        <v>0.161</v>
      </c>
      <c r="S81" s="42">
        <v>26</v>
      </c>
      <c r="T81" s="42">
        <f t="shared" si="7"/>
        <v>336.15374000000003</v>
      </c>
      <c r="U81" s="37">
        <f t="shared" si="8"/>
        <v>36661.299999999996</v>
      </c>
      <c r="V81" s="42">
        <f t="shared" si="11"/>
        <v>-36325.146259999994</v>
      </c>
      <c r="W81" s="44">
        <f t="shared" si="12"/>
        <v>-108.06110995522462</v>
      </c>
    </row>
    <row r="82" spans="1:23" x14ac:dyDescent="0.3">
      <c r="A82" s="45" t="s">
        <v>260</v>
      </c>
      <c r="B82" s="46">
        <v>45157</v>
      </c>
      <c r="C82" s="47">
        <v>45181</v>
      </c>
      <c r="D82" s="48">
        <f t="shared" si="13"/>
        <v>24</v>
      </c>
      <c r="E82" s="48" t="str">
        <f>TEXT(Data!B82,"MMM-YYYY")</f>
        <v>Aug-2023</v>
      </c>
      <c r="F82" s="48" t="str">
        <f t="shared" si="9"/>
        <v>Q3-2023</v>
      </c>
      <c r="G82" s="38" t="s">
        <v>52</v>
      </c>
      <c r="H82" s="38" t="s">
        <v>53</v>
      </c>
      <c r="I82" s="38" t="s">
        <v>179</v>
      </c>
      <c r="J82" s="38" t="s">
        <v>105</v>
      </c>
      <c r="K82" s="38" t="s">
        <v>20</v>
      </c>
      <c r="L82" s="38" t="s">
        <v>34</v>
      </c>
      <c r="M82" s="38" t="s">
        <v>30</v>
      </c>
      <c r="N82" s="38" t="s">
        <v>261</v>
      </c>
      <c r="O82" s="48">
        <v>1183.95</v>
      </c>
      <c r="P82" s="49" t="str">
        <f t="shared" si="10"/>
        <v>High</v>
      </c>
      <c r="Q82" s="48">
        <v>1503.53</v>
      </c>
      <c r="R82" s="48">
        <v>0.24099999999999999</v>
      </c>
      <c r="S82" s="48">
        <v>16</v>
      </c>
      <c r="T82" s="48">
        <f t="shared" si="7"/>
        <v>27333.836640000001</v>
      </c>
      <c r="U82" s="38">
        <f t="shared" si="8"/>
        <v>18943.2</v>
      </c>
      <c r="V82" s="48">
        <f t="shared" si="11"/>
        <v>8390.6366400000006</v>
      </c>
      <c r="W82" s="50">
        <f t="shared" si="12"/>
        <v>0.30696885879976488</v>
      </c>
    </row>
    <row r="83" spans="1:23" x14ac:dyDescent="0.3">
      <c r="A83" s="39" t="s">
        <v>262</v>
      </c>
      <c r="B83" s="40">
        <v>45791</v>
      </c>
      <c r="C83" s="41">
        <v>45801</v>
      </c>
      <c r="D83" s="42">
        <f t="shared" si="13"/>
        <v>10</v>
      </c>
      <c r="E83" s="42" t="str">
        <f>TEXT(Data!B83,"MMM-YYYY")</f>
        <v>May-2025</v>
      </c>
      <c r="F83" s="42" t="str">
        <f t="shared" si="9"/>
        <v>Q2-2025</v>
      </c>
      <c r="G83" s="37" t="s">
        <v>78</v>
      </c>
      <c r="H83" s="37" t="s">
        <v>90</v>
      </c>
      <c r="I83" s="37" t="s">
        <v>217</v>
      </c>
      <c r="J83" s="37" t="s">
        <v>62</v>
      </c>
      <c r="K83" s="37" t="s">
        <v>40</v>
      </c>
      <c r="L83" s="37" t="s">
        <v>95</v>
      </c>
      <c r="M83" s="37" t="s">
        <v>22</v>
      </c>
      <c r="N83" s="37" t="s">
        <v>263</v>
      </c>
      <c r="O83" s="42">
        <v>170.39</v>
      </c>
      <c r="P83" s="43" t="str">
        <f t="shared" si="10"/>
        <v>High</v>
      </c>
      <c r="Q83" s="42">
        <v>388.04</v>
      </c>
      <c r="R83" s="42">
        <v>8.4000000000000005E-2</v>
      </c>
      <c r="S83" s="42">
        <v>15</v>
      </c>
      <c r="T83" s="42">
        <f t="shared" si="7"/>
        <v>2281.3896</v>
      </c>
      <c r="U83" s="37">
        <f t="shared" si="8"/>
        <v>2555.85</v>
      </c>
      <c r="V83" s="42">
        <f t="shared" si="11"/>
        <v>-274.46039999999994</v>
      </c>
      <c r="W83" s="44">
        <f t="shared" si="12"/>
        <v>-0.12030404627074653</v>
      </c>
    </row>
    <row r="84" spans="1:23" x14ac:dyDescent="0.3">
      <c r="A84" s="45" t="s">
        <v>264</v>
      </c>
      <c r="B84" s="46">
        <v>45770</v>
      </c>
      <c r="C84" s="47">
        <v>45769</v>
      </c>
      <c r="D84" s="48">
        <f>DATEDIF(C84,B84, "MD")</f>
        <v>1</v>
      </c>
      <c r="E84" s="48" t="str">
        <f>TEXT(Data!B84,"MMM-YYYY")</f>
        <v>Apr-2025</v>
      </c>
      <c r="F84" s="48" t="str">
        <f t="shared" si="9"/>
        <v>Q2-2025</v>
      </c>
      <c r="G84" s="38" t="s">
        <v>52</v>
      </c>
      <c r="H84" s="38" t="s">
        <v>122</v>
      </c>
      <c r="I84" s="38" t="s">
        <v>167</v>
      </c>
      <c r="J84" s="38" t="s">
        <v>39</v>
      </c>
      <c r="K84" s="38" t="s">
        <v>55</v>
      </c>
      <c r="L84" s="38" t="s">
        <v>145</v>
      </c>
      <c r="M84" s="38" t="s">
        <v>64</v>
      </c>
      <c r="N84" s="38" t="s">
        <v>265</v>
      </c>
      <c r="O84" s="48">
        <v>23.24</v>
      </c>
      <c r="P84" s="49" t="str">
        <f t="shared" si="10"/>
        <v>Low</v>
      </c>
      <c r="Q84" s="48">
        <v>44.57</v>
      </c>
      <c r="R84" s="48">
        <v>0.215</v>
      </c>
      <c r="S84" s="48">
        <v>15</v>
      </c>
      <c r="T84" s="48">
        <f t="shared" si="7"/>
        <v>4198.3762500000003</v>
      </c>
      <c r="U84" s="38">
        <f t="shared" si="8"/>
        <v>348.59999999999997</v>
      </c>
      <c r="V84" s="48">
        <f t="shared" si="11"/>
        <v>3849.7762500000003</v>
      </c>
      <c r="W84" s="50">
        <f t="shared" si="12"/>
        <v>0.91696789919674304</v>
      </c>
    </row>
    <row r="85" spans="1:23" x14ac:dyDescent="0.3">
      <c r="A85" s="39" t="s">
        <v>266</v>
      </c>
      <c r="B85" s="40">
        <v>45741</v>
      </c>
      <c r="C85" s="41">
        <v>45764</v>
      </c>
      <c r="D85" s="42">
        <f t="shared" si="13"/>
        <v>23</v>
      </c>
      <c r="E85" s="42" t="str">
        <f>TEXT(Data!B85,"MMM-YYYY")</f>
        <v>Mar-2025</v>
      </c>
      <c r="F85" s="42" t="str">
        <f t="shared" si="9"/>
        <v>Q1-2025</v>
      </c>
      <c r="G85" s="37" t="s">
        <v>78</v>
      </c>
      <c r="H85" s="37" t="s">
        <v>108</v>
      </c>
      <c r="I85" s="37" t="s">
        <v>152</v>
      </c>
      <c r="J85" s="37" t="s">
        <v>48</v>
      </c>
      <c r="K85" s="37" t="s">
        <v>20</v>
      </c>
      <c r="L85" s="37" t="s">
        <v>92</v>
      </c>
      <c r="M85" s="37" t="s">
        <v>35</v>
      </c>
      <c r="N85" s="37" t="s">
        <v>267</v>
      </c>
      <c r="O85" s="42">
        <v>1421.19</v>
      </c>
      <c r="P85" s="43" t="str">
        <f t="shared" si="10"/>
        <v>High</v>
      </c>
      <c r="Q85" s="42">
        <v>1808.26</v>
      </c>
      <c r="R85" s="42">
        <v>0.104</v>
      </c>
      <c r="S85" s="42">
        <v>13</v>
      </c>
      <c r="T85" s="42">
        <f t="shared" si="7"/>
        <v>11939.7824</v>
      </c>
      <c r="U85" s="37">
        <f t="shared" si="8"/>
        <v>18475.47</v>
      </c>
      <c r="V85" s="42">
        <f t="shared" si="11"/>
        <v>-6535.6876000000011</v>
      </c>
      <c r="W85" s="44">
        <f t="shared" si="12"/>
        <v>-0.54738749677716081</v>
      </c>
    </row>
    <row r="86" spans="1:23" x14ac:dyDescent="0.3">
      <c r="A86" s="45" t="s">
        <v>268</v>
      </c>
      <c r="B86" s="46">
        <v>45282</v>
      </c>
      <c r="C86" s="47">
        <v>45283</v>
      </c>
      <c r="D86" s="48">
        <f t="shared" si="13"/>
        <v>1</v>
      </c>
      <c r="E86" s="48" t="str">
        <f>TEXT(Data!B86,"MMM-YYYY")</f>
        <v>Dec-2023</v>
      </c>
      <c r="F86" s="48" t="str">
        <f t="shared" si="9"/>
        <v>Q4-2023</v>
      </c>
      <c r="G86" s="38" t="s">
        <v>16</v>
      </c>
      <c r="H86" s="38" t="s">
        <v>148</v>
      </c>
      <c r="I86" s="38" t="s">
        <v>258</v>
      </c>
      <c r="J86" s="38" t="s">
        <v>39</v>
      </c>
      <c r="K86" s="38" t="s">
        <v>40</v>
      </c>
      <c r="L86" s="38" t="s">
        <v>145</v>
      </c>
      <c r="M86" s="38" t="s">
        <v>22</v>
      </c>
      <c r="N86" s="38" t="s">
        <v>269</v>
      </c>
      <c r="O86" s="48">
        <v>1186.18</v>
      </c>
      <c r="P86" s="49" t="str">
        <f t="shared" si="10"/>
        <v>High</v>
      </c>
      <c r="Q86" s="48">
        <v>1285.0899999999999</v>
      </c>
      <c r="R86" s="48">
        <v>7.0000000000000007E-2</v>
      </c>
      <c r="S86" s="48">
        <v>11</v>
      </c>
      <c r="T86" s="48">
        <f t="shared" si="7"/>
        <v>18364.589100000001</v>
      </c>
      <c r="U86" s="38">
        <f t="shared" si="8"/>
        <v>13047.980000000001</v>
      </c>
      <c r="V86" s="48">
        <f t="shared" si="11"/>
        <v>5316.6090999999997</v>
      </c>
      <c r="W86" s="50">
        <f t="shared" si="12"/>
        <v>0.28950329740838032</v>
      </c>
    </row>
    <row r="87" spans="1:23" x14ac:dyDescent="0.3">
      <c r="A87" s="39" t="s">
        <v>270</v>
      </c>
      <c r="B87" s="40">
        <v>45388</v>
      </c>
      <c r="C87" s="41">
        <v>45407</v>
      </c>
      <c r="D87" s="42">
        <f t="shared" si="13"/>
        <v>19</v>
      </c>
      <c r="E87" s="42" t="str">
        <f>TEXT(Data!B87,"MMM-YYYY")</f>
        <v>Apr-2024</v>
      </c>
      <c r="F87" s="42" t="str">
        <f t="shared" si="9"/>
        <v>Q2-2024</v>
      </c>
      <c r="G87" s="37" t="s">
        <v>45</v>
      </c>
      <c r="H87" s="37" t="s">
        <v>116</v>
      </c>
      <c r="I87" s="37" t="s">
        <v>162</v>
      </c>
      <c r="J87" s="37" t="s">
        <v>19</v>
      </c>
      <c r="K87" s="37" t="s">
        <v>20</v>
      </c>
      <c r="L87" s="37" t="s">
        <v>95</v>
      </c>
      <c r="M87" s="37" t="s">
        <v>22</v>
      </c>
      <c r="N87" s="37" t="s">
        <v>271</v>
      </c>
      <c r="O87" s="42">
        <v>1366.48</v>
      </c>
      <c r="P87" s="43" t="str">
        <f t="shared" si="10"/>
        <v>High</v>
      </c>
      <c r="Q87" s="42">
        <v>1678.14</v>
      </c>
      <c r="R87" s="42">
        <v>0.154</v>
      </c>
      <c r="S87" s="42">
        <v>10</v>
      </c>
      <c r="T87" s="42">
        <f t="shared" si="7"/>
        <v>36.970199999999998</v>
      </c>
      <c r="U87" s="37">
        <f t="shared" si="8"/>
        <v>13664.8</v>
      </c>
      <c r="V87" s="42">
        <f t="shared" si="11"/>
        <v>-13627.8298</v>
      </c>
      <c r="W87" s="44">
        <f t="shared" si="12"/>
        <v>-368.61661013464897</v>
      </c>
    </row>
    <row r="88" spans="1:23" x14ac:dyDescent="0.3">
      <c r="A88" s="45" t="s">
        <v>272</v>
      </c>
      <c r="B88" s="46">
        <v>45876</v>
      </c>
      <c r="C88" s="47">
        <v>45888</v>
      </c>
      <c r="D88" s="48">
        <f t="shared" si="13"/>
        <v>12</v>
      </c>
      <c r="E88" s="48" t="str">
        <f>TEXT(Data!B88,"MMM-YYYY")</f>
        <v>Aug-2025</v>
      </c>
      <c r="F88" s="48" t="str">
        <f t="shared" si="9"/>
        <v>Q3-2025</v>
      </c>
      <c r="G88" s="38" t="s">
        <v>16</v>
      </c>
      <c r="H88" s="38" t="s">
        <v>17</v>
      </c>
      <c r="I88" s="38" t="s">
        <v>135</v>
      </c>
      <c r="J88" s="38" t="s">
        <v>19</v>
      </c>
      <c r="K88" s="38" t="s">
        <v>1364</v>
      </c>
      <c r="L88" s="38" t="s">
        <v>110</v>
      </c>
      <c r="M88" s="38" t="s">
        <v>22</v>
      </c>
      <c r="N88" s="38" t="s">
        <v>273</v>
      </c>
      <c r="O88" s="48">
        <v>601.51</v>
      </c>
      <c r="P88" s="49" t="str">
        <f t="shared" si="10"/>
        <v>High</v>
      </c>
      <c r="Q88" s="48">
        <v>679.35</v>
      </c>
      <c r="R88" s="48">
        <v>0.188</v>
      </c>
      <c r="S88" s="48">
        <v>3</v>
      </c>
      <c r="T88" s="48">
        <f t="shared" si="7"/>
        <v>532.26600000000008</v>
      </c>
      <c r="U88" s="38">
        <f t="shared" si="8"/>
        <v>1804.53</v>
      </c>
      <c r="V88" s="48">
        <f t="shared" si="11"/>
        <v>-1272.2639999999999</v>
      </c>
      <c r="W88" s="50">
        <f t="shared" si="12"/>
        <v>-2.3902785449380568</v>
      </c>
    </row>
    <row r="89" spans="1:23" x14ac:dyDescent="0.3">
      <c r="A89" s="39" t="s">
        <v>274</v>
      </c>
      <c r="B89" s="40">
        <v>45312</v>
      </c>
      <c r="C89" s="41">
        <v>45316</v>
      </c>
      <c r="D89" s="42">
        <f t="shared" si="13"/>
        <v>4</v>
      </c>
      <c r="E89" s="42" t="str">
        <f>TEXT(Data!B89,"MMM-YYYY")</f>
        <v>Jan-2024</v>
      </c>
      <c r="F89" s="42" t="str">
        <f t="shared" si="9"/>
        <v>Q1-2024</v>
      </c>
      <c r="G89" s="37" t="s">
        <v>45</v>
      </c>
      <c r="H89" s="37" t="s">
        <v>60</v>
      </c>
      <c r="I89" s="37" t="s">
        <v>141</v>
      </c>
      <c r="J89" s="37" t="s">
        <v>48</v>
      </c>
      <c r="K89" s="37" t="s">
        <v>98</v>
      </c>
      <c r="L89" s="37" t="s">
        <v>21</v>
      </c>
      <c r="M89" s="37" t="s">
        <v>64</v>
      </c>
      <c r="N89" s="37" t="s">
        <v>275</v>
      </c>
      <c r="O89" s="42">
        <v>523.70000000000005</v>
      </c>
      <c r="P89" s="43" t="str">
        <f t="shared" si="10"/>
        <v>High</v>
      </c>
      <c r="Q89" s="42">
        <v>1109.92</v>
      </c>
      <c r="R89" s="42">
        <v>0.03</v>
      </c>
      <c r="S89" s="42">
        <v>11</v>
      </c>
      <c r="T89" s="42">
        <f t="shared" si="7"/>
        <v>2666.1129000000001</v>
      </c>
      <c r="U89" s="37">
        <f t="shared" si="8"/>
        <v>5760.7000000000007</v>
      </c>
      <c r="V89" s="42">
        <f t="shared" si="11"/>
        <v>-3094.5871000000006</v>
      </c>
      <c r="W89" s="44">
        <f t="shared" si="12"/>
        <v>-1.160711198689298</v>
      </c>
    </row>
    <row r="90" spans="1:23" x14ac:dyDescent="0.3">
      <c r="A90" s="45" t="s">
        <v>276</v>
      </c>
      <c r="B90" s="46">
        <v>45106</v>
      </c>
      <c r="C90" s="47">
        <v>45109</v>
      </c>
      <c r="D90" s="48">
        <f t="shared" si="13"/>
        <v>3</v>
      </c>
      <c r="E90" s="48" t="str">
        <f>TEXT(Data!B90,"MMM-YYYY")</f>
        <v>Jun-2023</v>
      </c>
      <c r="F90" s="48" t="str">
        <f t="shared" si="9"/>
        <v>Q2-2023</v>
      </c>
      <c r="G90" s="38" t="s">
        <v>45</v>
      </c>
      <c r="H90" s="38" t="s">
        <v>46</v>
      </c>
      <c r="I90" s="38" t="s">
        <v>231</v>
      </c>
      <c r="J90" s="38" t="s">
        <v>27</v>
      </c>
      <c r="K90" s="38" t="s">
        <v>40</v>
      </c>
      <c r="L90" s="38" t="s">
        <v>84</v>
      </c>
      <c r="M90" s="38" t="s">
        <v>64</v>
      </c>
      <c r="N90" s="38" t="s">
        <v>277</v>
      </c>
      <c r="O90" s="48">
        <v>55.65</v>
      </c>
      <c r="P90" s="49" t="str">
        <f t="shared" si="10"/>
        <v>Medium</v>
      </c>
      <c r="Q90" s="48">
        <v>83.57</v>
      </c>
      <c r="R90" s="48">
        <v>6.6000000000000003E-2</v>
      </c>
      <c r="S90" s="48">
        <v>8</v>
      </c>
      <c r="T90" s="48">
        <f t="shared" si="7"/>
        <v>25677.677439999999</v>
      </c>
      <c r="U90" s="38">
        <f t="shared" si="8"/>
        <v>445.2</v>
      </c>
      <c r="V90" s="48">
        <f t="shared" si="11"/>
        <v>25232.477439999999</v>
      </c>
      <c r="W90" s="50">
        <f t="shared" si="12"/>
        <v>0.98266198331059018</v>
      </c>
    </row>
    <row r="91" spans="1:23" x14ac:dyDescent="0.3">
      <c r="A91" s="39" t="s">
        <v>278</v>
      </c>
      <c r="B91" s="40">
        <v>45775</v>
      </c>
      <c r="C91" s="41">
        <v>45792</v>
      </c>
      <c r="D91" s="42">
        <f t="shared" si="13"/>
        <v>17</v>
      </c>
      <c r="E91" s="42" t="str">
        <f>TEXT(Data!B91,"MMM-YYYY")</f>
        <v>Apr-2025</v>
      </c>
      <c r="F91" s="42" t="str">
        <f t="shared" si="9"/>
        <v>Q2-2025</v>
      </c>
      <c r="G91" s="37" t="s">
        <v>45</v>
      </c>
      <c r="H91" s="37" t="s">
        <v>46</v>
      </c>
      <c r="I91" s="37" t="s">
        <v>231</v>
      </c>
      <c r="J91" s="37" t="s">
        <v>27</v>
      </c>
      <c r="K91" s="37" t="s">
        <v>98</v>
      </c>
      <c r="L91" s="37" t="s">
        <v>126</v>
      </c>
      <c r="M91" s="37" t="s">
        <v>35</v>
      </c>
      <c r="N91" s="37" t="s">
        <v>279</v>
      </c>
      <c r="O91" s="42">
        <v>691.19</v>
      </c>
      <c r="P91" s="43" t="str">
        <f t="shared" si="10"/>
        <v>High</v>
      </c>
      <c r="Q91" s="42">
        <v>1284.3</v>
      </c>
      <c r="R91" s="42">
        <v>7.3999999999999996E-2</v>
      </c>
      <c r="S91" s="42">
        <v>7</v>
      </c>
      <c r="T91" s="42">
        <f t="shared" si="7"/>
        <v>346.46290000000005</v>
      </c>
      <c r="U91" s="37">
        <f t="shared" si="8"/>
        <v>4838.33</v>
      </c>
      <c r="V91" s="42">
        <f t="shared" si="11"/>
        <v>-4491.8670999999995</v>
      </c>
      <c r="W91" s="44">
        <f t="shared" si="12"/>
        <v>-12.964929578318483</v>
      </c>
    </row>
    <row r="92" spans="1:23" x14ac:dyDescent="0.3">
      <c r="A92" s="45" t="s">
        <v>280</v>
      </c>
      <c r="B92" s="46">
        <v>45817</v>
      </c>
      <c r="C92" s="47">
        <v>45833</v>
      </c>
      <c r="D92" s="48">
        <f t="shared" si="13"/>
        <v>16</v>
      </c>
      <c r="E92" s="48" t="str">
        <f>TEXT(Data!B92,"MMM-YYYY")</f>
        <v>Jun-2025</v>
      </c>
      <c r="F92" s="48" t="str">
        <f t="shared" si="9"/>
        <v>Q2-2025</v>
      </c>
      <c r="G92" s="38" t="s">
        <v>45</v>
      </c>
      <c r="H92" s="38" t="s">
        <v>60</v>
      </c>
      <c r="I92" s="38" t="s">
        <v>281</v>
      </c>
      <c r="J92" s="38" t="s">
        <v>105</v>
      </c>
      <c r="K92" s="38" t="s">
        <v>55</v>
      </c>
      <c r="L92" s="38" t="s">
        <v>110</v>
      </c>
      <c r="M92" s="38" t="s">
        <v>42</v>
      </c>
      <c r="N92" s="38" t="s">
        <v>282</v>
      </c>
      <c r="O92" s="48">
        <v>527.33000000000004</v>
      </c>
      <c r="P92" s="49" t="str">
        <f t="shared" si="10"/>
        <v>High</v>
      </c>
      <c r="Q92" s="48">
        <v>911.72</v>
      </c>
      <c r="R92" s="48">
        <v>0.14399999999999999</v>
      </c>
      <c r="S92" s="48">
        <v>25</v>
      </c>
      <c r="T92" s="48">
        <f t="shared" si="7"/>
        <v>74251.58</v>
      </c>
      <c r="U92" s="38">
        <f t="shared" si="8"/>
        <v>13183.250000000002</v>
      </c>
      <c r="V92" s="48">
        <f t="shared" si="11"/>
        <v>61068.33</v>
      </c>
      <c r="W92" s="50">
        <f t="shared" si="12"/>
        <v>0.82245158958233622</v>
      </c>
    </row>
    <row r="93" spans="1:23" x14ac:dyDescent="0.3">
      <c r="A93" s="39" t="s">
        <v>283</v>
      </c>
      <c r="B93" s="40">
        <v>45101</v>
      </c>
      <c r="C93" s="41">
        <v>45100</v>
      </c>
      <c r="D93" s="42">
        <f>DATEDIF(C93,B93, "MD")</f>
        <v>1</v>
      </c>
      <c r="E93" s="42" t="str">
        <f>TEXT(Data!B93,"MMM-YYYY")</f>
        <v>Jun-2023</v>
      </c>
      <c r="F93" s="42" t="str">
        <f t="shared" si="9"/>
        <v>Q2-2023</v>
      </c>
      <c r="G93" s="37" t="s">
        <v>52</v>
      </c>
      <c r="H93" s="37" t="s">
        <v>73</v>
      </c>
      <c r="I93" s="37" t="s">
        <v>225</v>
      </c>
      <c r="J93" s="37" t="s">
        <v>39</v>
      </c>
      <c r="K93" s="37" t="s">
        <v>20</v>
      </c>
      <c r="L93" s="37" t="s">
        <v>63</v>
      </c>
      <c r="M93" s="37" t="s">
        <v>30</v>
      </c>
      <c r="N93" s="37" t="s">
        <v>284</v>
      </c>
      <c r="O93" s="42">
        <v>804.01</v>
      </c>
      <c r="P93" s="43" t="str">
        <f t="shared" si="10"/>
        <v>High</v>
      </c>
      <c r="Q93" s="42">
        <v>1405.07</v>
      </c>
      <c r="R93" s="42">
        <v>9.6000000000000002E-2</v>
      </c>
      <c r="S93" s="42">
        <v>8</v>
      </c>
      <c r="T93" s="42">
        <f t="shared" si="7"/>
        <v>4491.2166399999996</v>
      </c>
      <c r="U93" s="37">
        <f t="shared" si="8"/>
        <v>6432.08</v>
      </c>
      <c r="V93" s="42">
        <f t="shared" si="11"/>
        <v>-1940.8633600000003</v>
      </c>
      <c r="W93" s="44">
        <f t="shared" si="12"/>
        <v>-0.43214645731273393</v>
      </c>
    </row>
    <row r="94" spans="1:23" x14ac:dyDescent="0.3">
      <c r="A94" s="45" t="s">
        <v>285</v>
      </c>
      <c r="B94" s="46">
        <v>45569</v>
      </c>
      <c r="C94" s="47">
        <v>45598</v>
      </c>
      <c r="D94" s="48">
        <f t="shared" si="13"/>
        <v>29</v>
      </c>
      <c r="E94" s="48" t="str">
        <f>TEXT(Data!B94,"MMM-YYYY")</f>
        <v>Oct-2024</v>
      </c>
      <c r="F94" s="48" t="str">
        <f t="shared" si="9"/>
        <v>Q4-2024</v>
      </c>
      <c r="G94" s="38" t="s">
        <v>16</v>
      </c>
      <c r="H94" s="38" t="s">
        <v>25</v>
      </c>
      <c r="I94" s="38" t="s">
        <v>67</v>
      </c>
      <c r="J94" s="38" t="s">
        <v>19</v>
      </c>
      <c r="K94" s="38" t="s">
        <v>55</v>
      </c>
      <c r="L94" s="38" t="s">
        <v>84</v>
      </c>
      <c r="M94" s="38" t="s">
        <v>81</v>
      </c>
      <c r="N94" s="38" t="s">
        <v>286</v>
      </c>
      <c r="O94" s="48">
        <v>412.09</v>
      </c>
      <c r="P94" s="49" t="str">
        <f t="shared" si="10"/>
        <v>High</v>
      </c>
      <c r="Q94" s="48">
        <v>968.94</v>
      </c>
      <c r="R94" s="48">
        <v>9.9000000000000005E-2</v>
      </c>
      <c r="S94" s="48">
        <v>23</v>
      </c>
      <c r="T94" s="48">
        <f t="shared" si="7"/>
        <v>1834.19273</v>
      </c>
      <c r="U94" s="38">
        <f t="shared" si="8"/>
        <v>9478.07</v>
      </c>
      <c r="V94" s="48">
        <f t="shared" si="11"/>
        <v>-7643.87727</v>
      </c>
      <c r="W94" s="50">
        <f t="shared" si="12"/>
        <v>-4.1674340678473847</v>
      </c>
    </row>
    <row r="95" spans="1:23" x14ac:dyDescent="0.3">
      <c r="A95" s="39" t="s">
        <v>287</v>
      </c>
      <c r="B95" s="40">
        <v>45910</v>
      </c>
      <c r="C95" s="41">
        <v>45930</v>
      </c>
      <c r="D95" s="42">
        <f t="shared" si="13"/>
        <v>20</v>
      </c>
      <c r="E95" s="42" t="str">
        <f>TEXT(Data!B95,"MMM-YYYY")</f>
        <v>Sept-2025</v>
      </c>
      <c r="F95" s="42" t="str">
        <f t="shared" si="9"/>
        <v>Q3-2025</v>
      </c>
      <c r="G95" s="37" t="s">
        <v>16</v>
      </c>
      <c r="H95" s="37" t="s">
        <v>17</v>
      </c>
      <c r="I95" s="37" t="s">
        <v>113</v>
      </c>
      <c r="J95" s="37" t="s">
        <v>19</v>
      </c>
      <c r="K95" s="37" t="s">
        <v>98</v>
      </c>
      <c r="L95" s="37" t="s">
        <v>49</v>
      </c>
      <c r="M95" s="37" t="s">
        <v>42</v>
      </c>
      <c r="N95" s="37" t="s">
        <v>288</v>
      </c>
      <c r="O95" s="42">
        <v>1009.48</v>
      </c>
      <c r="P95" s="43" t="str">
        <f t="shared" si="10"/>
        <v>High</v>
      </c>
      <c r="Q95" s="42">
        <v>1088.81</v>
      </c>
      <c r="R95" s="42">
        <v>0.16</v>
      </c>
      <c r="S95" s="42">
        <v>6</v>
      </c>
      <c r="T95" s="42">
        <f t="shared" si="7"/>
        <v>9873.8135999999995</v>
      </c>
      <c r="U95" s="37">
        <f t="shared" si="8"/>
        <v>6056.88</v>
      </c>
      <c r="V95" s="42">
        <f t="shared" si="11"/>
        <v>3816.9335999999994</v>
      </c>
      <c r="W95" s="44">
        <f t="shared" si="12"/>
        <v>0.38657136488782812</v>
      </c>
    </row>
    <row r="96" spans="1:23" x14ac:dyDescent="0.3">
      <c r="A96" s="45" t="s">
        <v>289</v>
      </c>
      <c r="B96" s="46">
        <v>45022</v>
      </c>
      <c r="C96" s="47">
        <v>45043</v>
      </c>
      <c r="D96" s="48">
        <f t="shared" si="13"/>
        <v>21</v>
      </c>
      <c r="E96" s="48" t="str">
        <f>TEXT(Data!B96,"MMM-YYYY")</f>
        <v>Apr-2023</v>
      </c>
      <c r="F96" s="48" t="str">
        <f t="shared" si="9"/>
        <v>Q2-2023</v>
      </c>
      <c r="G96" s="38" t="s">
        <v>78</v>
      </c>
      <c r="H96" s="38" t="s">
        <v>108</v>
      </c>
      <c r="I96" s="38" t="s">
        <v>228</v>
      </c>
      <c r="J96" s="38" t="s">
        <v>105</v>
      </c>
      <c r="K96" s="38" t="s">
        <v>55</v>
      </c>
      <c r="L96" s="38" t="s">
        <v>34</v>
      </c>
      <c r="M96" s="38" t="s">
        <v>30</v>
      </c>
      <c r="N96" s="38" t="s">
        <v>290</v>
      </c>
      <c r="O96" s="48">
        <v>1084.79</v>
      </c>
      <c r="P96" s="49" t="str">
        <f t="shared" si="10"/>
        <v>High</v>
      </c>
      <c r="Q96" s="48">
        <v>2484.9899999999998</v>
      </c>
      <c r="R96" s="48">
        <v>3.4000000000000002E-2</v>
      </c>
      <c r="S96" s="48">
        <v>18</v>
      </c>
      <c r="T96" s="48">
        <f t="shared" si="7"/>
        <v>47694.762360000001</v>
      </c>
      <c r="U96" s="38">
        <f t="shared" si="8"/>
        <v>19526.22</v>
      </c>
      <c r="V96" s="48">
        <f t="shared" si="11"/>
        <v>28168.542359999999</v>
      </c>
      <c r="W96" s="50">
        <f t="shared" si="12"/>
        <v>0.59060032939013052</v>
      </c>
    </row>
    <row r="97" spans="1:23" x14ac:dyDescent="0.3">
      <c r="A97" s="39" t="s">
        <v>291</v>
      </c>
      <c r="B97" s="40">
        <v>45870</v>
      </c>
      <c r="C97" s="41">
        <v>45885</v>
      </c>
      <c r="D97" s="42">
        <f t="shared" si="13"/>
        <v>15</v>
      </c>
      <c r="E97" s="42" t="str">
        <f>TEXT(Data!B97,"MMM-YYYY")</f>
        <v>Aug-2025</v>
      </c>
      <c r="F97" s="42" t="str">
        <f t="shared" si="9"/>
        <v>Q3-2025</v>
      </c>
      <c r="G97" s="37" t="s">
        <v>45</v>
      </c>
      <c r="H97" s="37" t="s">
        <v>60</v>
      </c>
      <c r="I97" s="37" t="s">
        <v>1364</v>
      </c>
      <c r="J97" s="37" t="s">
        <v>105</v>
      </c>
      <c r="K97" s="37" t="s">
        <v>98</v>
      </c>
      <c r="L97" s="37" t="s">
        <v>68</v>
      </c>
      <c r="M97" s="37" t="s">
        <v>64</v>
      </c>
      <c r="N97" s="37" t="s">
        <v>292</v>
      </c>
      <c r="O97" s="42">
        <v>24.44</v>
      </c>
      <c r="P97" s="43" t="str">
        <f t="shared" si="10"/>
        <v>Low</v>
      </c>
      <c r="Q97" s="42">
        <v>28.69</v>
      </c>
      <c r="R97" s="42">
        <v>0.14599999999999999</v>
      </c>
      <c r="S97" s="42">
        <v>6</v>
      </c>
      <c r="T97" s="42">
        <f t="shared" si="7"/>
        <v>8605.3480799999998</v>
      </c>
      <c r="U97" s="37">
        <f t="shared" si="8"/>
        <v>146.64000000000001</v>
      </c>
      <c r="V97" s="42">
        <f t="shared" si="11"/>
        <v>8458.7080800000003</v>
      </c>
      <c r="W97" s="44">
        <f t="shared" si="12"/>
        <v>0.98295943422197984</v>
      </c>
    </row>
    <row r="98" spans="1:23" x14ac:dyDescent="0.3">
      <c r="A98" s="45" t="s">
        <v>293</v>
      </c>
      <c r="B98" s="46">
        <v>45440</v>
      </c>
      <c r="C98" s="47">
        <v>45438</v>
      </c>
      <c r="D98" s="48">
        <f>DATEDIF(C98,B98, "MD")</f>
        <v>2</v>
      </c>
      <c r="E98" s="48" t="str">
        <f>TEXT(Data!B98,"MMM-YYYY")</f>
        <v>May-2024</v>
      </c>
      <c r="F98" s="48" t="str">
        <f t="shared" si="9"/>
        <v>Q2-2024</v>
      </c>
      <c r="G98" s="38" t="s">
        <v>16</v>
      </c>
      <c r="H98" s="38" t="s">
        <v>25</v>
      </c>
      <c r="I98" s="38" t="s">
        <v>67</v>
      </c>
      <c r="J98" s="38" t="s">
        <v>105</v>
      </c>
      <c r="K98" s="38" t="s">
        <v>28</v>
      </c>
      <c r="L98" s="38" t="s">
        <v>84</v>
      </c>
      <c r="M98" s="38" t="s">
        <v>81</v>
      </c>
      <c r="N98" s="38" t="s">
        <v>294</v>
      </c>
      <c r="O98" s="48">
        <v>1227.08</v>
      </c>
      <c r="P98" s="49" t="str">
        <f t="shared" si="10"/>
        <v>High</v>
      </c>
      <c r="Q98" s="48">
        <v>1896.62</v>
      </c>
      <c r="R98" s="48">
        <v>0</v>
      </c>
      <c r="S98" s="48">
        <v>18</v>
      </c>
      <c r="T98" s="48">
        <f t="shared" si="7"/>
        <v>25810.2</v>
      </c>
      <c r="U98" s="38">
        <f t="shared" si="8"/>
        <v>22087.439999999999</v>
      </c>
      <c r="V98" s="48">
        <f t="shared" si="11"/>
        <v>3722.760000000002</v>
      </c>
      <c r="W98" s="50">
        <f t="shared" si="12"/>
        <v>0.14423599972104059</v>
      </c>
    </row>
    <row r="99" spans="1:23" x14ac:dyDescent="0.3">
      <c r="A99" s="39" t="s">
        <v>295</v>
      </c>
      <c r="B99" s="40">
        <v>45860</v>
      </c>
      <c r="C99" s="41">
        <v>45887</v>
      </c>
      <c r="D99" s="42">
        <f t="shared" si="13"/>
        <v>27</v>
      </c>
      <c r="E99" s="42" t="str">
        <f>TEXT(Data!B99,"MMM-YYYY")</f>
        <v>Jul-2025</v>
      </c>
      <c r="F99" s="42" t="str">
        <f t="shared" si="9"/>
        <v>Q3-2025</v>
      </c>
      <c r="G99" s="37" t="s">
        <v>45</v>
      </c>
      <c r="H99" s="37" t="s">
        <v>116</v>
      </c>
      <c r="I99" s="37" t="s">
        <v>117</v>
      </c>
      <c r="J99" s="37" t="s">
        <v>39</v>
      </c>
      <c r="K99" s="37" t="s">
        <v>40</v>
      </c>
      <c r="L99" s="37" t="s">
        <v>110</v>
      </c>
      <c r="M99" s="37" t="s">
        <v>35</v>
      </c>
      <c r="N99" s="37" t="s">
        <v>296</v>
      </c>
      <c r="O99" s="42">
        <v>547.32000000000005</v>
      </c>
      <c r="P99" s="43" t="str">
        <f t="shared" si="10"/>
        <v>High</v>
      </c>
      <c r="Q99" s="42">
        <v>419.17</v>
      </c>
      <c r="R99" s="42">
        <v>9.1999999999999998E-2</v>
      </c>
      <c r="S99" s="42">
        <v>14</v>
      </c>
      <c r="T99" s="42">
        <f t="shared" si="7"/>
        <v>3615.67416</v>
      </c>
      <c r="U99" s="37">
        <f t="shared" si="8"/>
        <v>7662.4800000000005</v>
      </c>
      <c r="V99" s="42">
        <f t="shared" si="11"/>
        <v>-4046.8058400000004</v>
      </c>
      <c r="W99" s="44">
        <f t="shared" si="12"/>
        <v>-1.1192396385630061</v>
      </c>
    </row>
    <row r="100" spans="1:23" x14ac:dyDescent="0.3">
      <c r="A100" s="45" t="s">
        <v>297</v>
      </c>
      <c r="B100" s="46">
        <v>44985</v>
      </c>
      <c r="C100" s="47">
        <v>45005</v>
      </c>
      <c r="D100" s="48">
        <f t="shared" si="13"/>
        <v>20</v>
      </c>
      <c r="E100" s="48" t="str">
        <f>TEXT(Data!B100,"MMM-YYYY")</f>
        <v>Feb-2023</v>
      </c>
      <c r="F100" s="48" t="str">
        <f t="shared" si="9"/>
        <v>Q1-2023</v>
      </c>
      <c r="G100" s="38" t="s">
        <v>78</v>
      </c>
      <c r="H100" s="38" t="s">
        <v>79</v>
      </c>
      <c r="I100" s="38" t="s">
        <v>80</v>
      </c>
      <c r="J100" s="38" t="s">
        <v>62</v>
      </c>
      <c r="K100" s="38" t="s">
        <v>98</v>
      </c>
      <c r="L100" s="38" t="s">
        <v>92</v>
      </c>
      <c r="M100" s="38" t="s">
        <v>57</v>
      </c>
      <c r="N100" s="38" t="s">
        <v>298</v>
      </c>
      <c r="O100" s="48">
        <v>1200.78</v>
      </c>
      <c r="P100" s="49" t="str">
        <f t="shared" si="10"/>
        <v>High</v>
      </c>
      <c r="Q100" s="48">
        <v>2001.17</v>
      </c>
      <c r="R100" s="48">
        <v>0.29199999999999998</v>
      </c>
      <c r="S100" s="48">
        <v>18</v>
      </c>
      <c r="T100" s="48">
        <f t="shared" si="7"/>
        <v>8854.276319999999</v>
      </c>
      <c r="U100" s="38">
        <f t="shared" si="8"/>
        <v>21614.04</v>
      </c>
      <c r="V100" s="48">
        <f t="shared" si="11"/>
        <v>-12759.763680000002</v>
      </c>
      <c r="W100" s="50">
        <f t="shared" si="12"/>
        <v>-1.4410848745682701</v>
      </c>
    </row>
    <row r="101" spans="1:23" x14ac:dyDescent="0.3">
      <c r="A101" s="39" t="s">
        <v>299</v>
      </c>
      <c r="B101" s="40">
        <v>45684</v>
      </c>
      <c r="C101" s="41">
        <v>45703</v>
      </c>
      <c r="D101" s="42">
        <f t="shared" si="13"/>
        <v>19</v>
      </c>
      <c r="E101" s="42" t="str">
        <f>TEXT(Data!B101,"MMM-YYYY")</f>
        <v>Jan-2025</v>
      </c>
      <c r="F101" s="42" t="str">
        <f t="shared" si="9"/>
        <v>Q1-2025</v>
      </c>
      <c r="G101" s="37" t="s">
        <v>45</v>
      </c>
      <c r="H101" s="37" t="s">
        <v>116</v>
      </c>
      <c r="I101" s="37" t="s">
        <v>117</v>
      </c>
      <c r="J101" s="37" t="s">
        <v>39</v>
      </c>
      <c r="K101" s="37" t="s">
        <v>98</v>
      </c>
      <c r="L101" s="37" t="s">
        <v>49</v>
      </c>
      <c r="M101" s="37" t="s">
        <v>42</v>
      </c>
      <c r="N101" s="37" t="s">
        <v>300</v>
      </c>
      <c r="O101" s="42">
        <v>1253.22</v>
      </c>
      <c r="P101" s="43" t="str">
        <f t="shared" si="10"/>
        <v>High</v>
      </c>
      <c r="Q101" s="42">
        <v>3104.71</v>
      </c>
      <c r="R101" s="42">
        <v>0</v>
      </c>
      <c r="S101" s="42">
        <v>17</v>
      </c>
      <c r="T101" s="42">
        <f t="shared" si="7"/>
        <v>31422.63</v>
      </c>
      <c r="U101" s="37">
        <f t="shared" si="8"/>
        <v>21304.74</v>
      </c>
      <c r="V101" s="42">
        <f t="shared" si="11"/>
        <v>10117.89</v>
      </c>
      <c r="W101" s="44">
        <f t="shared" si="12"/>
        <v>0.3219937350883742</v>
      </c>
    </row>
    <row r="102" spans="1:23" x14ac:dyDescent="0.3">
      <c r="A102" s="45" t="s">
        <v>301</v>
      </c>
      <c r="B102" s="46">
        <v>45304</v>
      </c>
      <c r="C102" s="47">
        <v>45313</v>
      </c>
      <c r="D102" s="48">
        <f t="shared" si="13"/>
        <v>9</v>
      </c>
      <c r="E102" s="48" t="str">
        <f>TEXT(Data!B102,"MMM-YYYY")</f>
        <v>Jan-2024</v>
      </c>
      <c r="F102" s="48" t="str">
        <f t="shared" si="9"/>
        <v>Q1-2024</v>
      </c>
      <c r="G102" s="38" t="s">
        <v>45</v>
      </c>
      <c r="H102" s="38" t="s">
        <v>60</v>
      </c>
      <c r="I102" s="38" t="s">
        <v>220</v>
      </c>
      <c r="J102" s="38" t="s">
        <v>105</v>
      </c>
      <c r="K102" s="38" t="s">
        <v>40</v>
      </c>
      <c r="L102" s="38" t="s">
        <v>29</v>
      </c>
      <c r="M102" s="38" t="s">
        <v>22</v>
      </c>
      <c r="N102" s="38" t="s">
        <v>302</v>
      </c>
      <c r="O102" s="48">
        <v>313.60000000000002</v>
      </c>
      <c r="P102" s="49" t="str">
        <f t="shared" si="10"/>
        <v>High</v>
      </c>
      <c r="Q102" s="48">
        <v>334.28</v>
      </c>
      <c r="R102" s="48">
        <v>0.14000000000000001</v>
      </c>
      <c r="S102" s="48">
        <v>22</v>
      </c>
      <c r="T102" s="48">
        <f t="shared" si="7"/>
        <v>854.99479999999994</v>
      </c>
      <c r="U102" s="38">
        <f t="shared" si="8"/>
        <v>6899.2000000000007</v>
      </c>
      <c r="V102" s="48">
        <f t="shared" si="11"/>
        <v>-6044.2052000000003</v>
      </c>
      <c r="W102" s="50">
        <f t="shared" si="12"/>
        <v>-7.0692888424584579</v>
      </c>
    </row>
    <row r="103" spans="1:23" x14ac:dyDescent="0.3">
      <c r="A103" s="39" t="s">
        <v>303</v>
      </c>
      <c r="B103" s="40">
        <v>45747</v>
      </c>
      <c r="C103" s="41">
        <v>45751</v>
      </c>
      <c r="D103" s="42">
        <f t="shared" si="13"/>
        <v>4</v>
      </c>
      <c r="E103" s="42" t="str">
        <f>TEXT(Data!B103,"MMM-YYYY")</f>
        <v>Mar-2025</v>
      </c>
      <c r="F103" s="42" t="str">
        <f t="shared" si="9"/>
        <v>Q1-2025</v>
      </c>
      <c r="G103" s="37" t="s">
        <v>16</v>
      </c>
      <c r="H103" s="37" t="s">
        <v>17</v>
      </c>
      <c r="I103" s="37" t="s">
        <v>135</v>
      </c>
      <c r="J103" s="37" t="s">
        <v>19</v>
      </c>
      <c r="K103" s="37" t="s">
        <v>98</v>
      </c>
      <c r="L103" s="37" t="s">
        <v>21</v>
      </c>
      <c r="M103" s="37" t="s">
        <v>57</v>
      </c>
      <c r="N103" s="37" t="s">
        <v>304</v>
      </c>
      <c r="O103" s="42">
        <v>862.08</v>
      </c>
      <c r="P103" s="43" t="str">
        <f t="shared" si="10"/>
        <v>High</v>
      </c>
      <c r="Q103" s="42">
        <v>1952.83</v>
      </c>
      <c r="R103" s="42">
        <v>0</v>
      </c>
      <c r="S103" s="42">
        <v>7</v>
      </c>
      <c r="T103" s="42">
        <f t="shared" si="7"/>
        <v>2527.7000000000003</v>
      </c>
      <c r="U103" s="37">
        <f t="shared" si="8"/>
        <v>6034.56</v>
      </c>
      <c r="V103" s="42">
        <f t="shared" si="11"/>
        <v>-3506.86</v>
      </c>
      <c r="W103" s="44">
        <f t="shared" si="12"/>
        <v>-1.3873719191359732</v>
      </c>
    </row>
    <row r="104" spans="1:23" x14ac:dyDescent="0.3">
      <c r="A104" s="45" t="s">
        <v>305</v>
      </c>
      <c r="B104" s="46">
        <v>45631</v>
      </c>
      <c r="C104" s="47">
        <v>45654</v>
      </c>
      <c r="D104" s="48">
        <f t="shared" si="13"/>
        <v>23</v>
      </c>
      <c r="E104" s="48" t="str">
        <f>TEXT(Data!B104,"MMM-YYYY")</f>
        <v>Dec-2024</v>
      </c>
      <c r="F104" s="48" t="str">
        <f t="shared" si="9"/>
        <v>Q4-2024</v>
      </c>
      <c r="G104" s="38" t="s">
        <v>52</v>
      </c>
      <c r="H104" s="38" t="s">
        <v>53</v>
      </c>
      <c r="I104" s="38" t="s">
        <v>179</v>
      </c>
      <c r="J104" s="38" t="s">
        <v>19</v>
      </c>
      <c r="K104" s="38" t="s">
        <v>98</v>
      </c>
      <c r="L104" s="38" t="s">
        <v>84</v>
      </c>
      <c r="M104" s="38" t="s">
        <v>81</v>
      </c>
      <c r="N104" s="38" t="s">
        <v>306</v>
      </c>
      <c r="O104" s="48">
        <v>107.03</v>
      </c>
      <c r="P104" s="49" t="str">
        <f t="shared" si="10"/>
        <v>High</v>
      </c>
      <c r="Q104" s="48">
        <v>242.29</v>
      </c>
      <c r="R104" s="48">
        <v>0.18</v>
      </c>
      <c r="S104" s="48">
        <v>30</v>
      </c>
      <c r="T104" s="48">
        <f t="shared" si="7"/>
        <v>24706.764000000003</v>
      </c>
      <c r="U104" s="38">
        <f t="shared" si="8"/>
        <v>3210.9</v>
      </c>
      <c r="V104" s="48">
        <f t="shared" si="11"/>
        <v>21495.864000000001</v>
      </c>
      <c r="W104" s="50">
        <f t="shared" si="12"/>
        <v>0.87003963772835646</v>
      </c>
    </row>
    <row r="105" spans="1:23" x14ac:dyDescent="0.3">
      <c r="A105" s="39" t="s">
        <v>307</v>
      </c>
      <c r="B105" s="40">
        <v>45549</v>
      </c>
      <c r="C105" s="41">
        <v>45570</v>
      </c>
      <c r="D105" s="42">
        <f t="shared" si="13"/>
        <v>21</v>
      </c>
      <c r="E105" s="42" t="str">
        <f>TEXT(Data!B105,"MMM-YYYY")</f>
        <v>Sept-2024</v>
      </c>
      <c r="F105" s="42" t="str">
        <f t="shared" si="9"/>
        <v>Q3-2024</v>
      </c>
      <c r="G105" s="37" t="s">
        <v>45</v>
      </c>
      <c r="H105" s="37" t="s">
        <v>116</v>
      </c>
      <c r="I105" s="37" t="s">
        <v>162</v>
      </c>
      <c r="J105" s="37" t="s">
        <v>62</v>
      </c>
      <c r="K105" s="37" t="s">
        <v>28</v>
      </c>
      <c r="L105" s="37" t="s">
        <v>92</v>
      </c>
      <c r="M105" s="37" t="s">
        <v>57</v>
      </c>
      <c r="N105" s="37" t="s">
        <v>308</v>
      </c>
      <c r="O105" s="42">
        <v>1405.56</v>
      </c>
      <c r="P105" s="43" t="str">
        <f t="shared" si="10"/>
        <v>High</v>
      </c>
      <c r="Q105" s="42">
        <v>2968.87</v>
      </c>
      <c r="R105" s="42">
        <v>0.16900000000000001</v>
      </c>
      <c r="S105" s="42">
        <v>5</v>
      </c>
      <c r="T105" s="42">
        <f t="shared" si="7"/>
        <v>4270.2181499999997</v>
      </c>
      <c r="U105" s="37">
        <f t="shared" si="8"/>
        <v>7027.7999999999993</v>
      </c>
      <c r="V105" s="42">
        <f t="shared" si="11"/>
        <v>-2757.5818499999996</v>
      </c>
      <c r="W105" s="44">
        <f t="shared" si="12"/>
        <v>-0.64577072016800818</v>
      </c>
    </row>
    <row r="106" spans="1:23" x14ac:dyDescent="0.3">
      <c r="A106" s="45" t="s">
        <v>309</v>
      </c>
      <c r="B106" s="46">
        <v>45433</v>
      </c>
      <c r="C106" s="47">
        <v>45439</v>
      </c>
      <c r="D106" s="48">
        <f t="shared" si="13"/>
        <v>6</v>
      </c>
      <c r="E106" s="48" t="str">
        <f>TEXT(Data!B106,"MMM-YYYY")</f>
        <v>May-2024</v>
      </c>
      <c r="F106" s="48" t="str">
        <f t="shared" si="9"/>
        <v>Q2-2024</v>
      </c>
      <c r="G106" s="38" t="s">
        <v>16</v>
      </c>
      <c r="H106" s="38" t="s">
        <v>148</v>
      </c>
      <c r="I106" s="38" t="s">
        <v>149</v>
      </c>
      <c r="J106" s="38" t="s">
        <v>39</v>
      </c>
      <c r="K106" s="38" t="s">
        <v>28</v>
      </c>
      <c r="L106" s="38" t="s">
        <v>110</v>
      </c>
      <c r="M106" s="38" t="s">
        <v>22</v>
      </c>
      <c r="N106" s="38" t="s">
        <v>310</v>
      </c>
      <c r="O106" s="48">
        <v>1157.51</v>
      </c>
      <c r="P106" s="49" t="str">
        <f t="shared" si="10"/>
        <v>High</v>
      </c>
      <c r="Q106" s="48">
        <v>1394.3</v>
      </c>
      <c r="R106" s="48">
        <v>0.27800000000000002</v>
      </c>
      <c r="S106" s="48">
        <v>12</v>
      </c>
      <c r="T106" s="48">
        <f t="shared" si="7"/>
        <v>4055.5317599999998</v>
      </c>
      <c r="U106" s="38">
        <f t="shared" si="8"/>
        <v>13890.119999999999</v>
      </c>
      <c r="V106" s="48">
        <f t="shared" si="11"/>
        <v>-9834.5882399999991</v>
      </c>
      <c r="W106" s="50">
        <f t="shared" si="12"/>
        <v>-2.4249811916156712</v>
      </c>
    </row>
    <row r="107" spans="1:23" x14ac:dyDescent="0.3">
      <c r="A107" s="39" t="s">
        <v>311</v>
      </c>
      <c r="B107" s="40">
        <v>45057</v>
      </c>
      <c r="C107" s="41">
        <v>45084</v>
      </c>
      <c r="D107" s="42">
        <f t="shared" si="13"/>
        <v>27</v>
      </c>
      <c r="E107" s="42" t="str">
        <f>TEXT(Data!B107,"MMM-YYYY")</f>
        <v>May-2023</v>
      </c>
      <c r="F107" s="42" t="str">
        <f t="shared" si="9"/>
        <v>Q2-2023</v>
      </c>
      <c r="G107" s="37" t="s">
        <v>16</v>
      </c>
      <c r="H107" s="37" t="s">
        <v>17</v>
      </c>
      <c r="I107" s="37" t="s">
        <v>113</v>
      </c>
      <c r="J107" s="37" t="s">
        <v>19</v>
      </c>
      <c r="K107" s="37" t="s">
        <v>28</v>
      </c>
      <c r="L107" s="37" t="s">
        <v>29</v>
      </c>
      <c r="M107" s="37" t="s">
        <v>42</v>
      </c>
      <c r="N107" s="37" t="s">
        <v>312</v>
      </c>
      <c r="O107" s="42">
        <v>12.85</v>
      </c>
      <c r="P107" s="43" t="str">
        <f t="shared" si="10"/>
        <v>Low</v>
      </c>
      <c r="Q107" s="42">
        <v>15.41</v>
      </c>
      <c r="R107" s="42">
        <v>0.13700000000000001</v>
      </c>
      <c r="S107" s="42">
        <v>39</v>
      </c>
      <c r="T107" s="42">
        <f t="shared" si="7"/>
        <v>22483.549139999999</v>
      </c>
      <c r="U107" s="37">
        <f t="shared" si="8"/>
        <v>501.15</v>
      </c>
      <c r="V107" s="42">
        <f t="shared" si="11"/>
        <v>21982.399139999998</v>
      </c>
      <c r="W107" s="44">
        <f t="shared" si="12"/>
        <v>0.97771036961827273</v>
      </c>
    </row>
    <row r="108" spans="1:23" x14ac:dyDescent="0.3">
      <c r="A108" s="45" t="s">
        <v>313</v>
      </c>
      <c r="B108" s="46">
        <v>45518</v>
      </c>
      <c r="C108" s="47">
        <v>45539</v>
      </c>
      <c r="D108" s="48">
        <f t="shared" si="13"/>
        <v>21</v>
      </c>
      <c r="E108" s="48" t="str">
        <f>TEXT(Data!B108,"MMM-YYYY")</f>
        <v>Aug-2024</v>
      </c>
      <c r="F108" s="48" t="str">
        <f t="shared" si="9"/>
        <v>Q3-2024</v>
      </c>
      <c r="G108" s="38" t="s">
        <v>78</v>
      </c>
      <c r="H108" s="38" t="s">
        <v>108</v>
      </c>
      <c r="I108" s="38" t="s">
        <v>228</v>
      </c>
      <c r="J108" s="38" t="s">
        <v>39</v>
      </c>
      <c r="K108" s="38" t="s">
        <v>28</v>
      </c>
      <c r="L108" s="38" t="s">
        <v>29</v>
      </c>
      <c r="M108" s="38" t="s">
        <v>42</v>
      </c>
      <c r="N108" s="38" t="s">
        <v>314</v>
      </c>
      <c r="O108" s="48">
        <v>1138.8</v>
      </c>
      <c r="P108" s="49" t="str">
        <f t="shared" si="10"/>
        <v>High</v>
      </c>
      <c r="Q108" s="48">
        <v>2250.81</v>
      </c>
      <c r="R108" s="48">
        <v>0.123</v>
      </c>
      <c r="S108" s="48">
        <v>12</v>
      </c>
      <c r="T108" s="48">
        <f t="shared" si="7"/>
        <v>5654.22948</v>
      </c>
      <c r="U108" s="38">
        <f t="shared" si="8"/>
        <v>13665.599999999999</v>
      </c>
      <c r="V108" s="48">
        <f t="shared" si="11"/>
        <v>-8011.3705199999986</v>
      </c>
      <c r="W108" s="50">
        <f t="shared" si="12"/>
        <v>-1.4168810353979475</v>
      </c>
    </row>
    <row r="109" spans="1:23" x14ac:dyDescent="0.3">
      <c r="A109" s="39" t="s">
        <v>315</v>
      </c>
      <c r="B109" s="40">
        <v>45581</v>
      </c>
      <c r="C109" s="41">
        <v>45604</v>
      </c>
      <c r="D109" s="42">
        <f t="shared" si="13"/>
        <v>23</v>
      </c>
      <c r="E109" s="42" t="str">
        <f>TEXT(Data!B109,"MMM-YYYY")</f>
        <v>Oct-2024</v>
      </c>
      <c r="F109" s="42" t="str">
        <f t="shared" si="9"/>
        <v>Q4-2024</v>
      </c>
      <c r="G109" s="37" t="s">
        <v>45</v>
      </c>
      <c r="H109" s="37" t="s">
        <v>46</v>
      </c>
      <c r="I109" s="37" t="s">
        <v>47</v>
      </c>
      <c r="J109" s="37" t="s">
        <v>62</v>
      </c>
      <c r="K109" s="37" t="s">
        <v>20</v>
      </c>
      <c r="L109" s="37" t="s">
        <v>29</v>
      </c>
      <c r="M109" s="37" t="s">
        <v>35</v>
      </c>
      <c r="N109" s="37" t="s">
        <v>316</v>
      </c>
      <c r="O109" s="42">
        <v>82.14</v>
      </c>
      <c r="P109" s="43" t="str">
        <f t="shared" si="10"/>
        <v>Medium</v>
      </c>
      <c r="Q109" s="42">
        <v>166.04</v>
      </c>
      <c r="R109" s="42">
        <v>0</v>
      </c>
      <c r="S109" s="42">
        <v>10</v>
      </c>
      <c r="T109" s="42">
        <f t="shared" si="7"/>
        <v>5727.1</v>
      </c>
      <c r="U109" s="37">
        <f t="shared" si="8"/>
        <v>821.4</v>
      </c>
      <c r="V109" s="42">
        <f t="shared" si="11"/>
        <v>4905.7000000000007</v>
      </c>
      <c r="W109" s="44">
        <f t="shared" si="12"/>
        <v>0.85657662691414516</v>
      </c>
    </row>
    <row r="110" spans="1:23" x14ac:dyDescent="0.3">
      <c r="A110" s="45" t="s">
        <v>317</v>
      </c>
      <c r="B110" s="46">
        <v>45445</v>
      </c>
      <c r="C110" s="47">
        <v>45451</v>
      </c>
      <c r="D110" s="48">
        <f t="shared" si="13"/>
        <v>6</v>
      </c>
      <c r="E110" s="48" t="str">
        <f>TEXT(Data!B110,"MMM-YYYY")</f>
        <v>Jun-2024</v>
      </c>
      <c r="F110" s="48" t="str">
        <f t="shared" si="9"/>
        <v>Q2-2024</v>
      </c>
      <c r="G110" s="38" t="s">
        <v>16</v>
      </c>
      <c r="H110" s="38" t="s">
        <v>17</v>
      </c>
      <c r="I110" s="38" t="s">
        <v>18</v>
      </c>
      <c r="J110" s="38" t="s">
        <v>48</v>
      </c>
      <c r="K110" s="38" t="s">
        <v>40</v>
      </c>
      <c r="L110" s="38" t="s">
        <v>75</v>
      </c>
      <c r="M110" s="38" t="s">
        <v>81</v>
      </c>
      <c r="N110" s="38" t="s">
        <v>318</v>
      </c>
      <c r="O110" s="48">
        <v>292.94</v>
      </c>
      <c r="P110" s="49" t="str">
        <f t="shared" si="10"/>
        <v>High</v>
      </c>
      <c r="Q110" s="48">
        <v>356.55</v>
      </c>
      <c r="R110" s="48">
        <v>0.22900000000000001</v>
      </c>
      <c r="S110" s="48">
        <v>2</v>
      </c>
      <c r="T110" s="48">
        <f t="shared" si="7"/>
        <v>3583.4075399999997</v>
      </c>
      <c r="U110" s="38">
        <f t="shared" si="8"/>
        <v>585.88</v>
      </c>
      <c r="V110" s="48">
        <f t="shared" si="11"/>
        <v>2997.5275399999996</v>
      </c>
      <c r="W110" s="50">
        <f t="shared" si="12"/>
        <v>0.83650199050482543</v>
      </c>
    </row>
    <row r="111" spans="1:23" x14ac:dyDescent="0.3">
      <c r="A111" s="39" t="s">
        <v>319</v>
      </c>
      <c r="B111" s="40">
        <v>45452</v>
      </c>
      <c r="C111" s="41">
        <v>45480</v>
      </c>
      <c r="D111" s="42">
        <f t="shared" si="13"/>
        <v>28</v>
      </c>
      <c r="E111" s="42" t="str">
        <f>TEXT(Data!B111,"MMM-YYYY")</f>
        <v>Jun-2024</v>
      </c>
      <c r="F111" s="42" t="str">
        <f t="shared" si="9"/>
        <v>Q2-2024</v>
      </c>
      <c r="G111" s="37" t="s">
        <v>45</v>
      </c>
      <c r="H111" s="37" t="s">
        <v>116</v>
      </c>
      <c r="I111" s="37" t="s">
        <v>117</v>
      </c>
      <c r="J111" s="37" t="s">
        <v>19</v>
      </c>
      <c r="K111" s="37" t="s">
        <v>28</v>
      </c>
      <c r="L111" s="37" t="s">
        <v>29</v>
      </c>
      <c r="M111" s="37" t="s">
        <v>22</v>
      </c>
      <c r="N111" s="37" t="s">
        <v>320</v>
      </c>
      <c r="O111" s="42">
        <v>550.22</v>
      </c>
      <c r="P111" s="43" t="str">
        <f t="shared" si="10"/>
        <v>High</v>
      </c>
      <c r="Q111" s="42">
        <v>1025.05</v>
      </c>
      <c r="R111" s="42">
        <v>0</v>
      </c>
      <c r="S111" s="42">
        <v>27</v>
      </c>
      <c r="T111" s="42">
        <f t="shared" si="7"/>
        <v>44038.080000000002</v>
      </c>
      <c r="U111" s="37">
        <f t="shared" si="8"/>
        <v>14855.94</v>
      </c>
      <c r="V111" s="42">
        <f t="shared" si="11"/>
        <v>29182.14</v>
      </c>
      <c r="W111" s="44">
        <f t="shared" si="12"/>
        <v>0.66265695507161071</v>
      </c>
    </row>
    <row r="112" spans="1:23" x14ac:dyDescent="0.3">
      <c r="A112" s="45" t="s">
        <v>321</v>
      </c>
      <c r="B112" s="46">
        <v>45453</v>
      </c>
      <c r="C112" s="47">
        <v>45454</v>
      </c>
      <c r="D112" s="48">
        <f t="shared" si="13"/>
        <v>1</v>
      </c>
      <c r="E112" s="48" t="str">
        <f>TEXT(Data!B112,"MMM-YYYY")</f>
        <v>Jun-2024</v>
      </c>
      <c r="F112" s="48" t="str">
        <f t="shared" si="9"/>
        <v>Q2-2024</v>
      </c>
      <c r="G112" s="38" t="s">
        <v>78</v>
      </c>
      <c r="H112" s="38" t="s">
        <v>108</v>
      </c>
      <c r="I112" s="38" t="s">
        <v>109</v>
      </c>
      <c r="J112" s="38" t="s">
        <v>62</v>
      </c>
      <c r="K112" s="38" t="s">
        <v>40</v>
      </c>
      <c r="L112" s="38" t="s">
        <v>110</v>
      </c>
      <c r="M112" s="38" t="s">
        <v>57</v>
      </c>
      <c r="N112" s="38" t="s">
        <v>322</v>
      </c>
      <c r="O112" s="48">
        <v>1187.1300000000001</v>
      </c>
      <c r="P112" s="49" t="str">
        <f t="shared" si="10"/>
        <v>High</v>
      </c>
      <c r="Q112" s="48">
        <v>1795.17</v>
      </c>
      <c r="R112" s="48">
        <v>1.2E-2</v>
      </c>
      <c r="S112" s="48">
        <v>17</v>
      </c>
      <c r="T112" s="48">
        <f t="shared" si="7"/>
        <v>6606.0347600000005</v>
      </c>
      <c r="U112" s="38">
        <f t="shared" si="8"/>
        <v>20181.210000000003</v>
      </c>
      <c r="V112" s="48">
        <f t="shared" si="11"/>
        <v>-13575.175240000002</v>
      </c>
      <c r="W112" s="50">
        <f t="shared" si="12"/>
        <v>-2.0549657598229172</v>
      </c>
    </row>
    <row r="113" spans="1:23" x14ac:dyDescent="0.3">
      <c r="A113" s="39" t="s">
        <v>323</v>
      </c>
      <c r="B113" s="40">
        <v>45472</v>
      </c>
      <c r="C113" s="41">
        <v>45499</v>
      </c>
      <c r="D113" s="42">
        <f t="shared" si="13"/>
        <v>27</v>
      </c>
      <c r="E113" s="42" t="str">
        <f>TEXT(Data!B113,"MMM-YYYY")</f>
        <v>Jun-2024</v>
      </c>
      <c r="F113" s="42" t="str">
        <f t="shared" si="9"/>
        <v>Q2-2024</v>
      </c>
      <c r="G113" s="37" t="s">
        <v>16</v>
      </c>
      <c r="H113" s="37" t="s">
        <v>148</v>
      </c>
      <c r="I113" s="37" t="s">
        <v>172</v>
      </c>
      <c r="J113" s="37" t="s">
        <v>105</v>
      </c>
      <c r="K113" s="37" t="s">
        <v>55</v>
      </c>
      <c r="L113" s="37" t="s">
        <v>56</v>
      </c>
      <c r="M113" s="37" t="s">
        <v>35</v>
      </c>
      <c r="N113" s="37" t="s">
        <v>324</v>
      </c>
      <c r="O113" s="42">
        <v>5.36</v>
      </c>
      <c r="P113" s="43" t="str">
        <f t="shared" si="10"/>
        <v>Low</v>
      </c>
      <c r="Q113" s="42">
        <v>4.37</v>
      </c>
      <c r="R113" s="42">
        <v>0.11799999999999999</v>
      </c>
      <c r="S113" s="42">
        <v>9</v>
      </c>
      <c r="T113" s="42">
        <f t="shared" si="7"/>
        <v>14734.198080000002</v>
      </c>
      <c r="U113" s="37">
        <f t="shared" si="8"/>
        <v>48.24</v>
      </c>
      <c r="V113" s="42">
        <f t="shared" si="11"/>
        <v>14685.958080000002</v>
      </c>
      <c r="W113" s="44">
        <f t="shared" si="12"/>
        <v>0.99672598401771995</v>
      </c>
    </row>
    <row r="114" spans="1:23" x14ac:dyDescent="0.3">
      <c r="A114" s="45" t="s">
        <v>325</v>
      </c>
      <c r="B114" s="46">
        <v>45674</v>
      </c>
      <c r="C114" s="47">
        <v>45681</v>
      </c>
      <c r="D114" s="48">
        <f t="shared" si="13"/>
        <v>7</v>
      </c>
      <c r="E114" s="48" t="str">
        <f>TEXT(Data!B114,"MMM-YYYY")</f>
        <v>Jan-2025</v>
      </c>
      <c r="F114" s="48" t="str">
        <f t="shared" si="9"/>
        <v>Q1-2025</v>
      </c>
      <c r="G114" s="38" t="s">
        <v>52</v>
      </c>
      <c r="H114" s="38" t="s">
        <v>122</v>
      </c>
      <c r="I114" s="38" t="s">
        <v>326</v>
      </c>
      <c r="J114" s="38" t="s">
        <v>105</v>
      </c>
      <c r="K114" s="38" t="s">
        <v>28</v>
      </c>
      <c r="L114" s="38" t="s">
        <v>41</v>
      </c>
      <c r="M114" s="38" t="s">
        <v>81</v>
      </c>
      <c r="N114" s="38" t="s">
        <v>327</v>
      </c>
      <c r="O114" s="48">
        <v>142.09</v>
      </c>
      <c r="P114" s="49" t="str">
        <f t="shared" si="10"/>
        <v>High</v>
      </c>
      <c r="Q114" s="48">
        <v>218.5</v>
      </c>
      <c r="R114" s="48">
        <v>0.11899999999999999</v>
      </c>
      <c r="S114" s="48">
        <v>11</v>
      </c>
      <c r="T114" s="48">
        <f t="shared" si="7"/>
        <v>822.7659000000001</v>
      </c>
      <c r="U114" s="38">
        <f t="shared" si="8"/>
        <v>1562.99</v>
      </c>
      <c r="V114" s="48">
        <f t="shared" si="11"/>
        <v>-740.22409999999991</v>
      </c>
      <c r="W114" s="50">
        <f t="shared" si="12"/>
        <v>-0.89967766043779862</v>
      </c>
    </row>
    <row r="115" spans="1:23" x14ac:dyDescent="0.3">
      <c r="A115" s="39" t="s">
        <v>328</v>
      </c>
      <c r="B115" s="40">
        <v>45250</v>
      </c>
      <c r="C115" s="41">
        <v>45265</v>
      </c>
      <c r="D115" s="42">
        <f t="shared" si="13"/>
        <v>15</v>
      </c>
      <c r="E115" s="42" t="str">
        <f>TEXT(Data!B115,"MMM-YYYY")</f>
        <v>Nov-2023</v>
      </c>
      <c r="F115" s="42" t="str">
        <f t="shared" si="9"/>
        <v>Q4-2023</v>
      </c>
      <c r="G115" s="37" t="s">
        <v>45</v>
      </c>
      <c r="H115" s="37" t="s">
        <v>46</v>
      </c>
      <c r="I115" s="37" t="s">
        <v>214</v>
      </c>
      <c r="J115" s="37" t="s">
        <v>105</v>
      </c>
      <c r="K115" s="37" t="s">
        <v>20</v>
      </c>
      <c r="L115" s="37" t="s">
        <v>49</v>
      </c>
      <c r="M115" s="37" t="s">
        <v>35</v>
      </c>
      <c r="N115" s="37" t="s">
        <v>329</v>
      </c>
      <c r="O115" s="42">
        <v>354.24</v>
      </c>
      <c r="P115" s="43" t="str">
        <f t="shared" si="10"/>
        <v>High</v>
      </c>
      <c r="Q115" s="42">
        <v>249.87</v>
      </c>
      <c r="R115" s="42">
        <v>0</v>
      </c>
      <c r="S115" s="42">
        <v>6</v>
      </c>
      <c r="T115" s="42">
        <f t="shared" si="7"/>
        <v>13513.439999999999</v>
      </c>
      <c r="U115" s="37">
        <f t="shared" si="8"/>
        <v>2125.44</v>
      </c>
      <c r="V115" s="42">
        <f t="shared" si="11"/>
        <v>11387.999999999998</v>
      </c>
      <c r="W115" s="44">
        <f t="shared" si="12"/>
        <v>0.84271658437821895</v>
      </c>
    </row>
    <row r="116" spans="1:23" x14ac:dyDescent="0.3">
      <c r="A116" s="45" t="s">
        <v>330</v>
      </c>
      <c r="B116" s="46">
        <v>44987</v>
      </c>
      <c r="C116" s="47">
        <v>44990</v>
      </c>
      <c r="D116" s="48">
        <f t="shared" si="13"/>
        <v>3</v>
      </c>
      <c r="E116" s="48" t="str">
        <f>TEXT(Data!B116,"MMM-YYYY")</f>
        <v>Mar-2023</v>
      </c>
      <c r="F116" s="48" t="str">
        <f t="shared" si="9"/>
        <v>Q1-2023</v>
      </c>
      <c r="G116" s="38" t="s">
        <v>52</v>
      </c>
      <c r="H116" s="38" t="s">
        <v>73</v>
      </c>
      <c r="I116" s="38" t="s">
        <v>87</v>
      </c>
      <c r="J116" s="38" t="s">
        <v>105</v>
      </c>
      <c r="K116" s="38" t="s">
        <v>98</v>
      </c>
      <c r="L116" s="38" t="s">
        <v>41</v>
      </c>
      <c r="M116" s="38" t="s">
        <v>64</v>
      </c>
      <c r="N116" s="38" t="s">
        <v>331</v>
      </c>
      <c r="O116" s="48">
        <v>1473.58</v>
      </c>
      <c r="P116" s="49" t="str">
        <f t="shared" si="10"/>
        <v>High</v>
      </c>
      <c r="Q116" s="48">
        <v>3436.52</v>
      </c>
      <c r="R116" s="48">
        <v>0.108</v>
      </c>
      <c r="S116" s="48">
        <v>8</v>
      </c>
      <c r="T116" s="48">
        <f t="shared" si="7"/>
        <v>6576.6803200000004</v>
      </c>
      <c r="U116" s="38">
        <f t="shared" si="8"/>
        <v>11788.64</v>
      </c>
      <c r="V116" s="48">
        <f t="shared" si="11"/>
        <v>-5211.959679999999</v>
      </c>
      <c r="W116" s="50">
        <f t="shared" si="12"/>
        <v>-0.79249095689662452</v>
      </c>
    </row>
    <row r="117" spans="1:23" x14ac:dyDescent="0.3">
      <c r="A117" s="39" t="s">
        <v>332</v>
      </c>
      <c r="B117" s="40">
        <v>45811</v>
      </c>
      <c r="C117" s="41">
        <v>45818</v>
      </c>
      <c r="D117" s="42">
        <f t="shared" si="13"/>
        <v>7</v>
      </c>
      <c r="E117" s="42" t="str">
        <f>TEXT(Data!B117,"MMM-YYYY")</f>
        <v>Jun-2025</v>
      </c>
      <c r="F117" s="42" t="str">
        <f t="shared" si="9"/>
        <v>Q2-2025</v>
      </c>
      <c r="G117" s="37" t="s">
        <v>52</v>
      </c>
      <c r="H117" s="37" t="s">
        <v>53</v>
      </c>
      <c r="I117" s="37" t="s">
        <v>54</v>
      </c>
      <c r="J117" s="37" t="s">
        <v>48</v>
      </c>
      <c r="K117" s="37" t="s">
        <v>55</v>
      </c>
      <c r="L117" s="37" t="s">
        <v>68</v>
      </c>
      <c r="M117" s="37" t="s">
        <v>30</v>
      </c>
      <c r="N117" s="37" t="s">
        <v>333</v>
      </c>
      <c r="O117" s="42">
        <v>75.180000000000007</v>
      </c>
      <c r="P117" s="43" t="str">
        <f t="shared" si="10"/>
        <v>Medium</v>
      </c>
      <c r="Q117" s="42">
        <v>53.45</v>
      </c>
      <c r="R117" s="42">
        <v>0.157</v>
      </c>
      <c r="S117" s="42">
        <v>17</v>
      </c>
      <c r="T117" s="42">
        <f t="shared" si="7"/>
        <v>23548.41258</v>
      </c>
      <c r="U117" s="37">
        <f t="shared" si="8"/>
        <v>1278.0600000000002</v>
      </c>
      <c r="V117" s="42">
        <f t="shared" si="11"/>
        <v>22270.352579999999</v>
      </c>
      <c r="W117" s="44">
        <f t="shared" si="12"/>
        <v>0.94572627791117114</v>
      </c>
    </row>
    <row r="118" spans="1:23" x14ac:dyDescent="0.3">
      <c r="A118" s="45" t="s">
        <v>334</v>
      </c>
      <c r="B118" s="46">
        <v>45653</v>
      </c>
      <c r="C118" s="47">
        <v>45659</v>
      </c>
      <c r="D118" s="48">
        <f t="shared" si="13"/>
        <v>6</v>
      </c>
      <c r="E118" s="48" t="str">
        <f>TEXT(Data!B118,"MMM-YYYY")</f>
        <v>Dec-2024</v>
      </c>
      <c r="F118" s="48" t="str">
        <f t="shared" si="9"/>
        <v>Q4-2024</v>
      </c>
      <c r="G118" s="38" t="s">
        <v>78</v>
      </c>
      <c r="H118" s="38" t="s">
        <v>79</v>
      </c>
      <c r="I118" s="38" t="s">
        <v>335</v>
      </c>
      <c r="J118" s="38" t="s">
        <v>27</v>
      </c>
      <c r="K118" s="38" t="s">
        <v>98</v>
      </c>
      <c r="L118" s="38" t="s">
        <v>84</v>
      </c>
      <c r="M118" s="38" t="s">
        <v>57</v>
      </c>
      <c r="N118" s="38" t="s">
        <v>336</v>
      </c>
      <c r="O118" s="48">
        <v>1391.99</v>
      </c>
      <c r="P118" s="49" t="str">
        <f t="shared" si="10"/>
        <v>High</v>
      </c>
      <c r="Q118" s="48">
        <v>3469.7</v>
      </c>
      <c r="R118" s="48">
        <v>0.184</v>
      </c>
      <c r="S118" s="48">
        <v>23</v>
      </c>
      <c r="T118" s="48">
        <f t="shared" si="7"/>
        <v>27535.846560000005</v>
      </c>
      <c r="U118" s="38">
        <f t="shared" si="8"/>
        <v>32015.77</v>
      </c>
      <c r="V118" s="48">
        <f t="shared" si="11"/>
        <v>-4479.923439999995</v>
      </c>
      <c r="W118" s="50">
        <f t="shared" si="12"/>
        <v>-0.16269423314218215</v>
      </c>
    </row>
    <row r="119" spans="1:23" x14ac:dyDescent="0.3">
      <c r="A119" s="39" t="s">
        <v>337</v>
      </c>
      <c r="B119" s="40">
        <v>45086</v>
      </c>
      <c r="C119" s="41">
        <v>45096</v>
      </c>
      <c r="D119" s="42">
        <f t="shared" si="13"/>
        <v>10</v>
      </c>
      <c r="E119" s="42" t="str">
        <f>TEXT(Data!B119,"MMM-YYYY")</f>
        <v>Jun-2023</v>
      </c>
      <c r="F119" s="42" t="str">
        <f t="shared" si="9"/>
        <v>Q2-2023</v>
      </c>
      <c r="G119" s="37" t="s">
        <v>45</v>
      </c>
      <c r="H119" s="37" t="s">
        <v>116</v>
      </c>
      <c r="I119" s="37" t="s">
        <v>338</v>
      </c>
      <c r="J119" s="37" t="s">
        <v>105</v>
      </c>
      <c r="K119" s="37" t="s">
        <v>20</v>
      </c>
      <c r="L119" s="37" t="s">
        <v>84</v>
      </c>
      <c r="M119" s="37" t="s">
        <v>64</v>
      </c>
      <c r="N119" s="37" t="s">
        <v>339</v>
      </c>
      <c r="O119" s="42">
        <v>339.61</v>
      </c>
      <c r="P119" s="43" t="str">
        <f t="shared" si="10"/>
        <v>High</v>
      </c>
      <c r="Q119" s="42">
        <v>621.02</v>
      </c>
      <c r="R119" s="42">
        <v>7.0999999999999994E-2</v>
      </c>
      <c r="S119" s="42">
        <v>10</v>
      </c>
      <c r="T119" s="42">
        <f t="shared" si="7"/>
        <v>9278.4804000000004</v>
      </c>
      <c r="U119" s="37">
        <f t="shared" si="8"/>
        <v>3396.1000000000004</v>
      </c>
      <c r="V119" s="42">
        <f t="shared" si="11"/>
        <v>5882.3804</v>
      </c>
      <c r="W119" s="44">
        <f t="shared" si="12"/>
        <v>0.63398101266668616</v>
      </c>
    </row>
    <row r="120" spans="1:23" x14ac:dyDescent="0.3">
      <c r="A120" s="45" t="s">
        <v>340</v>
      </c>
      <c r="B120" s="46">
        <v>45847</v>
      </c>
      <c r="C120" s="47">
        <v>45856</v>
      </c>
      <c r="D120" s="48">
        <f t="shared" si="13"/>
        <v>9</v>
      </c>
      <c r="E120" s="48" t="str">
        <f>TEXT(Data!B120,"MMM-YYYY")</f>
        <v>Jul-2025</v>
      </c>
      <c r="F120" s="48" t="str">
        <f t="shared" si="9"/>
        <v>Q3-2025</v>
      </c>
      <c r="G120" s="38" t="s">
        <v>52</v>
      </c>
      <c r="H120" s="38" t="s">
        <v>53</v>
      </c>
      <c r="I120" s="38" t="s">
        <v>179</v>
      </c>
      <c r="J120" s="38" t="s">
        <v>27</v>
      </c>
      <c r="K120" s="38" t="s">
        <v>55</v>
      </c>
      <c r="L120" s="38" t="s">
        <v>34</v>
      </c>
      <c r="M120" s="38" t="s">
        <v>57</v>
      </c>
      <c r="N120" s="38" t="s">
        <v>341</v>
      </c>
      <c r="O120" s="48">
        <v>57.96</v>
      </c>
      <c r="P120" s="49" t="str">
        <f t="shared" si="10"/>
        <v>Medium</v>
      </c>
      <c r="Q120" s="48">
        <v>88.51</v>
      </c>
      <c r="R120" s="48">
        <v>4.2999999999999997E-2</v>
      </c>
      <c r="S120" s="48">
        <v>7</v>
      </c>
      <c r="T120" s="48">
        <f t="shared" si="7"/>
        <v>4225.1932799999995</v>
      </c>
      <c r="U120" s="38">
        <f t="shared" si="8"/>
        <v>405.72</v>
      </c>
      <c r="V120" s="48">
        <f t="shared" si="11"/>
        <v>3819.4732799999992</v>
      </c>
      <c r="W120" s="50">
        <f t="shared" si="12"/>
        <v>0.90397599041907017</v>
      </c>
    </row>
    <row r="121" spans="1:23" x14ac:dyDescent="0.3">
      <c r="A121" s="39" t="s">
        <v>342</v>
      </c>
      <c r="B121" s="40">
        <v>45827</v>
      </c>
      <c r="C121" s="41">
        <v>45850</v>
      </c>
      <c r="D121" s="42">
        <f t="shared" si="13"/>
        <v>23</v>
      </c>
      <c r="E121" s="42" t="str">
        <f>TEXT(Data!B121,"MMM-YYYY")</f>
        <v>Jun-2025</v>
      </c>
      <c r="F121" s="42" t="str">
        <f t="shared" si="9"/>
        <v>Q2-2025</v>
      </c>
      <c r="G121" s="37" t="s">
        <v>78</v>
      </c>
      <c r="H121" s="37" t="s">
        <v>108</v>
      </c>
      <c r="I121" s="37" t="s">
        <v>1364</v>
      </c>
      <c r="J121" s="37" t="s">
        <v>39</v>
      </c>
      <c r="K121" s="37" t="s">
        <v>98</v>
      </c>
      <c r="L121" s="37" t="s">
        <v>1364</v>
      </c>
      <c r="M121" s="37" t="s">
        <v>35</v>
      </c>
      <c r="N121" s="37" t="s">
        <v>343</v>
      </c>
      <c r="O121" s="42">
        <v>801.24</v>
      </c>
      <c r="P121" s="43" t="str">
        <f t="shared" si="10"/>
        <v>High</v>
      </c>
      <c r="Q121" s="42">
        <v>1959.09</v>
      </c>
      <c r="R121" s="42">
        <v>0.123</v>
      </c>
      <c r="S121" s="42">
        <v>23</v>
      </c>
      <c r="T121" s="42">
        <f t="shared" si="7"/>
        <v>14696.792309999999</v>
      </c>
      <c r="U121" s="37">
        <f t="shared" si="8"/>
        <v>18428.52</v>
      </c>
      <c r="V121" s="42">
        <f t="shared" si="11"/>
        <v>-3731.7276900000015</v>
      </c>
      <c r="W121" s="44">
        <f t="shared" si="12"/>
        <v>-0.25391443325091134</v>
      </c>
    </row>
    <row r="122" spans="1:23" x14ac:dyDescent="0.3">
      <c r="A122" s="45" t="s">
        <v>344</v>
      </c>
      <c r="B122" s="46">
        <v>45249</v>
      </c>
      <c r="C122" s="47">
        <v>45273</v>
      </c>
      <c r="D122" s="48">
        <f t="shared" si="13"/>
        <v>24</v>
      </c>
      <c r="E122" s="48" t="str">
        <f>TEXT(Data!B122,"MMM-YYYY")</f>
        <v>Nov-2023</v>
      </c>
      <c r="F122" s="48" t="str">
        <f t="shared" si="9"/>
        <v>Q4-2023</v>
      </c>
      <c r="G122" s="38" t="s">
        <v>78</v>
      </c>
      <c r="H122" s="38" t="s">
        <v>90</v>
      </c>
      <c r="I122" s="38" t="s">
        <v>138</v>
      </c>
      <c r="J122" s="38" t="s">
        <v>39</v>
      </c>
      <c r="K122" s="38" t="s">
        <v>98</v>
      </c>
      <c r="L122" s="38" t="s">
        <v>92</v>
      </c>
      <c r="M122" s="38" t="s">
        <v>64</v>
      </c>
      <c r="N122" s="38" t="s">
        <v>345</v>
      </c>
      <c r="O122" s="48">
        <v>1297.42</v>
      </c>
      <c r="P122" s="49" t="str">
        <f t="shared" si="10"/>
        <v>High</v>
      </c>
      <c r="Q122" s="48">
        <v>2742.97</v>
      </c>
      <c r="R122" s="48">
        <v>6.9000000000000006E-2</v>
      </c>
      <c r="S122" s="48">
        <v>9</v>
      </c>
      <c r="T122" s="48">
        <f t="shared" si="7"/>
        <v>7972.7022900000002</v>
      </c>
      <c r="U122" s="38">
        <f t="shared" si="8"/>
        <v>11676.78</v>
      </c>
      <c r="V122" s="48">
        <f t="shared" si="11"/>
        <v>-3704.0777100000005</v>
      </c>
      <c r="W122" s="50">
        <f t="shared" si="12"/>
        <v>-0.46459501123551927</v>
      </c>
    </row>
    <row r="123" spans="1:23" x14ac:dyDescent="0.3">
      <c r="A123" s="39" t="s">
        <v>346</v>
      </c>
      <c r="B123" s="40">
        <v>45289</v>
      </c>
      <c r="C123" s="41">
        <v>45311</v>
      </c>
      <c r="D123" s="42">
        <f t="shared" si="13"/>
        <v>22</v>
      </c>
      <c r="E123" s="42" t="str">
        <f>TEXT(Data!B123,"MMM-YYYY")</f>
        <v>Dec-2023</v>
      </c>
      <c r="F123" s="42" t="str">
        <f t="shared" si="9"/>
        <v>Q4-2023</v>
      </c>
      <c r="G123" s="37" t="s">
        <v>16</v>
      </c>
      <c r="H123" s="37" t="s">
        <v>17</v>
      </c>
      <c r="I123" s="37" t="s">
        <v>18</v>
      </c>
      <c r="J123" s="37" t="s">
        <v>19</v>
      </c>
      <c r="K123" s="37" t="s">
        <v>98</v>
      </c>
      <c r="L123" s="37" t="s">
        <v>49</v>
      </c>
      <c r="M123" s="37" t="s">
        <v>42</v>
      </c>
      <c r="N123" s="37" t="s">
        <v>347</v>
      </c>
      <c r="O123" s="42">
        <v>1395.49</v>
      </c>
      <c r="P123" s="43" t="str">
        <f t="shared" si="10"/>
        <v>High</v>
      </c>
      <c r="Q123" s="42">
        <v>1679.42</v>
      </c>
      <c r="R123" s="42">
        <v>0.20300000000000001</v>
      </c>
      <c r="S123" s="42">
        <v>12</v>
      </c>
      <c r="T123" s="42">
        <f t="shared" si="7"/>
        <v>7009.2643199999993</v>
      </c>
      <c r="U123" s="37">
        <f t="shared" si="8"/>
        <v>16745.88</v>
      </c>
      <c r="V123" s="42">
        <f t="shared" si="11"/>
        <v>-9736.6156800000026</v>
      </c>
      <c r="W123" s="44">
        <f t="shared" si="12"/>
        <v>-1.3891066502111884</v>
      </c>
    </row>
    <row r="124" spans="1:23" x14ac:dyDescent="0.3">
      <c r="A124" s="45" t="s">
        <v>348</v>
      </c>
      <c r="B124" s="46">
        <v>45598</v>
      </c>
      <c r="C124" s="47">
        <v>45625</v>
      </c>
      <c r="D124" s="48">
        <f t="shared" si="13"/>
        <v>27</v>
      </c>
      <c r="E124" s="48" t="str">
        <f>TEXT(Data!B124,"MMM-YYYY")</f>
        <v>Nov-2024</v>
      </c>
      <c r="F124" s="48" t="str">
        <f t="shared" si="9"/>
        <v>Q4-2024</v>
      </c>
      <c r="G124" s="38" t="s">
        <v>52</v>
      </c>
      <c r="H124" s="38" t="s">
        <v>73</v>
      </c>
      <c r="I124" s="38" t="s">
        <v>87</v>
      </c>
      <c r="J124" s="38" t="s">
        <v>62</v>
      </c>
      <c r="K124" s="38" t="s">
        <v>98</v>
      </c>
      <c r="L124" s="38" t="s">
        <v>34</v>
      </c>
      <c r="M124" s="38" t="s">
        <v>35</v>
      </c>
      <c r="N124" s="38" t="s">
        <v>349</v>
      </c>
      <c r="O124" s="48">
        <v>1363.51</v>
      </c>
      <c r="P124" s="49" t="str">
        <f t="shared" si="10"/>
        <v>High</v>
      </c>
      <c r="Q124" s="48">
        <v>1433.9</v>
      </c>
      <c r="R124" s="48">
        <v>5.7000000000000002E-2</v>
      </c>
      <c r="S124" s="48">
        <v>8</v>
      </c>
      <c r="T124" s="48">
        <f t="shared" si="7"/>
        <v>18192.506879999997</v>
      </c>
      <c r="U124" s="38">
        <f t="shared" si="8"/>
        <v>10908.08</v>
      </c>
      <c r="V124" s="48">
        <f t="shared" si="11"/>
        <v>7284.4268799999973</v>
      </c>
      <c r="W124" s="50">
        <f t="shared" si="12"/>
        <v>0.4004080871343883</v>
      </c>
    </row>
    <row r="125" spans="1:23" x14ac:dyDescent="0.3">
      <c r="A125" s="39" t="s">
        <v>350</v>
      </c>
      <c r="B125" s="40">
        <v>45159</v>
      </c>
      <c r="C125" s="41">
        <v>45173</v>
      </c>
      <c r="D125" s="42">
        <f t="shared" si="13"/>
        <v>14</v>
      </c>
      <c r="E125" s="42" t="str">
        <f>TEXT(Data!B125,"MMM-YYYY")</f>
        <v>Aug-2023</v>
      </c>
      <c r="F125" s="42" t="str">
        <f t="shared" si="9"/>
        <v>Q3-2023</v>
      </c>
      <c r="G125" s="37" t="s">
        <v>52</v>
      </c>
      <c r="H125" s="37" t="s">
        <v>53</v>
      </c>
      <c r="I125" s="37" t="s">
        <v>144</v>
      </c>
      <c r="J125" s="37" t="s">
        <v>27</v>
      </c>
      <c r="K125" s="37" t="s">
        <v>55</v>
      </c>
      <c r="L125" s="37" t="s">
        <v>84</v>
      </c>
      <c r="M125" s="37" t="s">
        <v>22</v>
      </c>
      <c r="N125" s="37" t="s">
        <v>351</v>
      </c>
      <c r="O125" s="42">
        <v>178.19</v>
      </c>
      <c r="P125" s="43" t="str">
        <f t="shared" si="10"/>
        <v>High</v>
      </c>
      <c r="Q125" s="42">
        <v>284.43</v>
      </c>
      <c r="R125" s="42">
        <v>8.8999999999999996E-2</v>
      </c>
      <c r="S125" s="42">
        <v>8</v>
      </c>
      <c r="T125" s="42">
        <f t="shared" si="7"/>
        <v>4141.6975199999997</v>
      </c>
      <c r="U125" s="37">
        <f t="shared" si="8"/>
        <v>1425.52</v>
      </c>
      <c r="V125" s="42">
        <f t="shared" si="11"/>
        <v>2716.1775199999997</v>
      </c>
      <c r="W125" s="44">
        <f t="shared" si="12"/>
        <v>0.65581262438498888</v>
      </c>
    </row>
    <row r="126" spans="1:23" x14ac:dyDescent="0.3">
      <c r="A126" s="45" t="s">
        <v>352</v>
      </c>
      <c r="B126" s="46">
        <v>45150</v>
      </c>
      <c r="C126" s="47">
        <v>45175</v>
      </c>
      <c r="D126" s="48">
        <f t="shared" si="13"/>
        <v>25</v>
      </c>
      <c r="E126" s="48" t="str">
        <f>TEXT(Data!B126,"MMM-YYYY")</f>
        <v>Aug-2023</v>
      </c>
      <c r="F126" s="48" t="str">
        <f t="shared" si="9"/>
        <v>Q3-2023</v>
      </c>
      <c r="G126" s="38" t="s">
        <v>45</v>
      </c>
      <c r="H126" s="38" t="s">
        <v>116</v>
      </c>
      <c r="I126" s="38" t="s">
        <v>162</v>
      </c>
      <c r="J126" s="38" t="s">
        <v>62</v>
      </c>
      <c r="K126" s="38" t="s">
        <v>20</v>
      </c>
      <c r="L126" s="38" t="s">
        <v>56</v>
      </c>
      <c r="M126" s="38" t="s">
        <v>22</v>
      </c>
      <c r="N126" s="38" t="s">
        <v>353</v>
      </c>
      <c r="O126" s="48">
        <v>950.77</v>
      </c>
      <c r="P126" s="49" t="str">
        <f t="shared" si="10"/>
        <v>High</v>
      </c>
      <c r="Q126" s="48">
        <v>694.78</v>
      </c>
      <c r="R126" s="48">
        <v>8.4000000000000005E-2</v>
      </c>
      <c r="S126" s="48">
        <v>14</v>
      </c>
      <c r="T126" s="48">
        <f t="shared" si="7"/>
        <v>16093.478800000001</v>
      </c>
      <c r="U126" s="38">
        <f t="shared" si="8"/>
        <v>13310.779999999999</v>
      </c>
      <c r="V126" s="48">
        <f t="shared" si="11"/>
        <v>2782.6988000000019</v>
      </c>
      <c r="W126" s="50">
        <f t="shared" si="12"/>
        <v>0.17290847023081185</v>
      </c>
    </row>
    <row r="127" spans="1:23" x14ac:dyDescent="0.3">
      <c r="A127" s="39" t="s">
        <v>354</v>
      </c>
      <c r="B127" s="40">
        <v>45450</v>
      </c>
      <c r="C127" s="41">
        <v>45469</v>
      </c>
      <c r="D127" s="42">
        <f t="shared" si="13"/>
        <v>19</v>
      </c>
      <c r="E127" s="42" t="str">
        <f>TEXT(Data!B127,"MMM-YYYY")</f>
        <v>Jun-2024</v>
      </c>
      <c r="F127" s="42" t="str">
        <f t="shared" si="9"/>
        <v>Q2-2024</v>
      </c>
      <c r="G127" s="37" t="s">
        <v>78</v>
      </c>
      <c r="H127" s="37" t="s">
        <v>79</v>
      </c>
      <c r="I127" s="37" t="s">
        <v>80</v>
      </c>
      <c r="J127" s="37" t="s">
        <v>39</v>
      </c>
      <c r="K127" s="37" t="s">
        <v>40</v>
      </c>
      <c r="L127" s="37" t="s">
        <v>110</v>
      </c>
      <c r="M127" s="37" t="s">
        <v>22</v>
      </c>
      <c r="N127" s="37" t="s">
        <v>355</v>
      </c>
      <c r="O127" s="42">
        <v>1064.32</v>
      </c>
      <c r="P127" s="43" t="str">
        <f t="shared" si="10"/>
        <v>High</v>
      </c>
      <c r="Q127" s="42">
        <v>1848.39</v>
      </c>
      <c r="R127" s="42">
        <v>7.2999999999999995E-2</v>
      </c>
      <c r="S127" s="42">
        <v>38</v>
      </c>
      <c r="T127" s="42">
        <f t="shared" si="7"/>
        <v>29785.344300000001</v>
      </c>
      <c r="U127" s="37">
        <f t="shared" si="8"/>
        <v>40444.159999999996</v>
      </c>
      <c r="V127" s="42">
        <f t="shared" si="11"/>
        <v>-10658.815699999996</v>
      </c>
      <c r="W127" s="44">
        <f t="shared" si="12"/>
        <v>-0.35785437269563458</v>
      </c>
    </row>
    <row r="128" spans="1:23" x14ac:dyDescent="0.3">
      <c r="A128" s="45" t="s">
        <v>356</v>
      </c>
      <c r="B128" s="46">
        <v>45874</v>
      </c>
      <c r="C128" s="47">
        <v>45883</v>
      </c>
      <c r="D128" s="48">
        <f t="shared" si="13"/>
        <v>9</v>
      </c>
      <c r="E128" s="48" t="str">
        <f>TEXT(Data!B128,"MMM-YYYY")</f>
        <v>Aug-2025</v>
      </c>
      <c r="F128" s="48" t="str">
        <f t="shared" si="9"/>
        <v>Q3-2025</v>
      </c>
      <c r="G128" s="38" t="s">
        <v>78</v>
      </c>
      <c r="H128" s="38" t="s">
        <v>108</v>
      </c>
      <c r="I128" s="38" t="s">
        <v>152</v>
      </c>
      <c r="J128" s="38" t="s">
        <v>39</v>
      </c>
      <c r="K128" s="38" t="s">
        <v>98</v>
      </c>
      <c r="L128" s="38" t="s">
        <v>63</v>
      </c>
      <c r="M128" s="38" t="s">
        <v>22</v>
      </c>
      <c r="N128" s="38" t="s">
        <v>357</v>
      </c>
      <c r="O128" s="48">
        <v>41.76</v>
      </c>
      <c r="P128" s="49" t="str">
        <f t="shared" si="10"/>
        <v>Low</v>
      </c>
      <c r="Q128" s="48">
        <v>45.19</v>
      </c>
      <c r="R128" s="48">
        <v>0.17899999999999999</v>
      </c>
      <c r="S128" s="48">
        <v>23</v>
      </c>
      <c r="T128" s="48">
        <f t="shared" si="7"/>
        <v>40507.245110000003</v>
      </c>
      <c r="U128" s="38">
        <f t="shared" si="8"/>
        <v>960.4799999999999</v>
      </c>
      <c r="V128" s="48">
        <f t="shared" si="11"/>
        <v>39546.76511</v>
      </c>
      <c r="W128" s="50">
        <f t="shared" si="12"/>
        <v>0.97628868619942533</v>
      </c>
    </row>
    <row r="129" spans="1:23" x14ac:dyDescent="0.3">
      <c r="A129" s="39" t="s">
        <v>358</v>
      </c>
      <c r="B129" s="40">
        <v>45442</v>
      </c>
      <c r="C129" s="41">
        <v>45456</v>
      </c>
      <c r="D129" s="42">
        <f t="shared" si="13"/>
        <v>14</v>
      </c>
      <c r="E129" s="42" t="str">
        <f>TEXT(Data!B129,"MMM-YYYY")</f>
        <v>May-2024</v>
      </c>
      <c r="F129" s="42" t="str">
        <f t="shared" si="9"/>
        <v>Q2-2024</v>
      </c>
      <c r="G129" s="37" t="s">
        <v>52</v>
      </c>
      <c r="H129" s="37" t="s">
        <v>122</v>
      </c>
      <c r="I129" s="37" t="s">
        <v>167</v>
      </c>
      <c r="J129" s="37" t="s">
        <v>62</v>
      </c>
      <c r="K129" s="37" t="s">
        <v>20</v>
      </c>
      <c r="L129" s="37" t="s">
        <v>84</v>
      </c>
      <c r="M129" s="37" t="s">
        <v>42</v>
      </c>
      <c r="N129" s="37" t="s">
        <v>359</v>
      </c>
      <c r="O129" s="42">
        <v>157.78</v>
      </c>
      <c r="P129" s="43" t="str">
        <f t="shared" si="10"/>
        <v>High</v>
      </c>
      <c r="Q129" s="42">
        <v>361.1</v>
      </c>
      <c r="R129" s="42">
        <v>0.187</v>
      </c>
      <c r="S129" s="42">
        <v>9</v>
      </c>
      <c r="T129" s="42">
        <f t="shared" ref="T129:T192" si="14">(Q155*S129)*(1-R129)</f>
        <v>9877.5109800000009</v>
      </c>
      <c r="U129" s="37">
        <f t="shared" ref="U129:U192" si="15">(O129*S129)</f>
        <v>1420.02</v>
      </c>
      <c r="V129" s="42">
        <f t="shared" si="11"/>
        <v>8457.4909800000005</v>
      </c>
      <c r="W129" s="44">
        <f t="shared" si="12"/>
        <v>0.85623706185948478</v>
      </c>
    </row>
    <row r="130" spans="1:23" x14ac:dyDescent="0.3">
      <c r="A130" s="45" t="s">
        <v>360</v>
      </c>
      <c r="B130" s="46">
        <v>44948</v>
      </c>
      <c r="C130" s="47">
        <v>44956</v>
      </c>
      <c r="D130" s="48">
        <f t="shared" si="13"/>
        <v>8</v>
      </c>
      <c r="E130" s="48" t="str">
        <f>TEXT(Data!B130,"MMM-YYYY")</f>
        <v>Jan-2023</v>
      </c>
      <c r="F130" s="48" t="str">
        <f t="shared" ref="F130:F193" si="16">"Q"&amp;ROUNDUP(MONTH(B130)/3,0)&amp;"-"&amp;YEAR(B130)</f>
        <v>Q1-2023</v>
      </c>
      <c r="G130" s="38" t="s">
        <v>52</v>
      </c>
      <c r="H130" s="38" t="s">
        <v>122</v>
      </c>
      <c r="I130" s="38" t="s">
        <v>167</v>
      </c>
      <c r="J130" s="38" t="s">
        <v>62</v>
      </c>
      <c r="K130" s="38" t="s">
        <v>28</v>
      </c>
      <c r="L130" s="38" t="s">
        <v>75</v>
      </c>
      <c r="M130" s="38" t="s">
        <v>35</v>
      </c>
      <c r="N130" s="38" t="s">
        <v>361</v>
      </c>
      <c r="O130" s="48">
        <v>413.52</v>
      </c>
      <c r="P130" s="49" t="str">
        <f t="shared" ref="P130:P193" si="17">IF(Q130&lt;50, "Low", IF(Q130&lt;200, "Medium", "High"))</f>
        <v>High</v>
      </c>
      <c r="Q130" s="48">
        <v>1004.34</v>
      </c>
      <c r="R130" s="48">
        <v>0.111</v>
      </c>
      <c r="S130" s="48">
        <v>18</v>
      </c>
      <c r="T130" s="48">
        <f t="shared" si="14"/>
        <v>8440.7349599999998</v>
      </c>
      <c r="U130" s="38">
        <f t="shared" si="15"/>
        <v>7443.36</v>
      </c>
      <c r="V130" s="48">
        <f t="shared" ref="V130:V193" si="18">(T130-U130)</f>
        <v>997.3749600000001</v>
      </c>
      <c r="W130" s="50">
        <f t="shared" ref="W130:W193" si="19">IF(T130=0, 0, V130/T130)</f>
        <v>0.11816209900281008</v>
      </c>
    </row>
    <row r="131" spans="1:23" x14ac:dyDescent="0.3">
      <c r="A131" s="39" t="s">
        <v>362</v>
      </c>
      <c r="B131" s="40">
        <v>45700</v>
      </c>
      <c r="C131" s="41">
        <v>45716</v>
      </c>
      <c r="D131" s="42">
        <f t="shared" ref="D131:D194" si="20">DATEDIF(B131,C131, "MD")</f>
        <v>16</v>
      </c>
      <c r="E131" s="42" t="str">
        <f>TEXT(Data!B131,"MMM-YYYY")</f>
        <v>Feb-2025</v>
      </c>
      <c r="F131" s="42" t="str">
        <f t="shared" si="16"/>
        <v>Q1-2025</v>
      </c>
      <c r="G131" s="37" t="s">
        <v>52</v>
      </c>
      <c r="H131" s="37" t="s">
        <v>73</v>
      </c>
      <c r="I131" s="37" t="s">
        <v>74</v>
      </c>
      <c r="J131" s="37" t="s">
        <v>39</v>
      </c>
      <c r="K131" s="37" t="s">
        <v>98</v>
      </c>
      <c r="L131" s="37" t="s">
        <v>56</v>
      </c>
      <c r="M131" s="37" t="s">
        <v>64</v>
      </c>
      <c r="N131" s="37" t="s">
        <v>363</v>
      </c>
      <c r="O131" s="42">
        <v>414.95</v>
      </c>
      <c r="P131" s="43" t="str">
        <f t="shared" si="17"/>
        <v>High</v>
      </c>
      <c r="Q131" s="42">
        <v>1027.73</v>
      </c>
      <c r="R131" s="42">
        <v>6.3E-2</v>
      </c>
      <c r="S131" s="42">
        <v>8</v>
      </c>
      <c r="T131" s="42">
        <f t="shared" si="14"/>
        <v>10997.906320000002</v>
      </c>
      <c r="U131" s="37">
        <f t="shared" si="15"/>
        <v>3319.6</v>
      </c>
      <c r="V131" s="42">
        <f t="shared" si="18"/>
        <v>7678.3063200000015</v>
      </c>
      <c r="W131" s="44">
        <f t="shared" si="19"/>
        <v>0.69816073137818835</v>
      </c>
    </row>
    <row r="132" spans="1:23" x14ac:dyDescent="0.3">
      <c r="A132" s="45" t="s">
        <v>364</v>
      </c>
      <c r="B132" s="46">
        <v>45719</v>
      </c>
      <c r="C132" s="47">
        <v>45740</v>
      </c>
      <c r="D132" s="48">
        <f t="shared" si="20"/>
        <v>21</v>
      </c>
      <c r="E132" s="48" t="str">
        <f>TEXT(Data!B132,"MMM-YYYY")</f>
        <v>Mar-2025</v>
      </c>
      <c r="F132" s="48" t="str">
        <f t="shared" si="16"/>
        <v>Q1-2025</v>
      </c>
      <c r="G132" s="38" t="s">
        <v>16</v>
      </c>
      <c r="H132" s="38" t="s">
        <v>25</v>
      </c>
      <c r="I132" s="38" t="s">
        <v>67</v>
      </c>
      <c r="J132" s="38" t="s">
        <v>105</v>
      </c>
      <c r="K132" s="38" t="s">
        <v>98</v>
      </c>
      <c r="L132" s="38" t="s">
        <v>92</v>
      </c>
      <c r="M132" s="38" t="s">
        <v>81</v>
      </c>
      <c r="N132" s="38" t="s">
        <v>365</v>
      </c>
      <c r="O132" s="48">
        <v>555.95000000000005</v>
      </c>
      <c r="P132" s="49" t="str">
        <f t="shared" si="17"/>
        <v>High</v>
      </c>
      <c r="Q132" s="48">
        <v>468.09</v>
      </c>
      <c r="R132" s="48">
        <v>0.14199999999999999</v>
      </c>
      <c r="S132" s="48">
        <v>11</v>
      </c>
      <c r="T132" s="48">
        <f t="shared" si="14"/>
        <v>15583.45932</v>
      </c>
      <c r="U132" s="38">
        <f t="shared" si="15"/>
        <v>6115.4500000000007</v>
      </c>
      <c r="V132" s="48">
        <f t="shared" si="18"/>
        <v>9468.0093199999992</v>
      </c>
      <c r="W132" s="50">
        <f t="shared" si="19"/>
        <v>0.60756787858063332</v>
      </c>
    </row>
    <row r="133" spans="1:23" x14ac:dyDescent="0.3">
      <c r="A133" s="39" t="s">
        <v>366</v>
      </c>
      <c r="B133" s="40">
        <v>44953</v>
      </c>
      <c r="C133" s="41">
        <v>44957</v>
      </c>
      <c r="D133" s="42">
        <f t="shared" si="20"/>
        <v>4</v>
      </c>
      <c r="E133" s="42" t="str">
        <f>TEXT(Data!B133,"MMM-YYYY")</f>
        <v>Jan-2023</v>
      </c>
      <c r="F133" s="42" t="str">
        <f t="shared" si="16"/>
        <v>Q1-2023</v>
      </c>
      <c r="G133" s="37" t="s">
        <v>78</v>
      </c>
      <c r="H133" s="37" t="s">
        <v>108</v>
      </c>
      <c r="I133" s="37" t="s">
        <v>228</v>
      </c>
      <c r="J133" s="37" t="s">
        <v>105</v>
      </c>
      <c r="K133" s="37" t="s">
        <v>28</v>
      </c>
      <c r="L133" s="37" t="s">
        <v>126</v>
      </c>
      <c r="M133" s="37" t="s">
        <v>57</v>
      </c>
      <c r="N133" s="37" t="s">
        <v>367</v>
      </c>
      <c r="O133" s="42">
        <v>941.2</v>
      </c>
      <c r="P133" s="43" t="str">
        <f t="shared" si="17"/>
        <v>High</v>
      </c>
      <c r="Q133" s="42">
        <v>668.02</v>
      </c>
      <c r="R133" s="42">
        <v>0.22</v>
      </c>
      <c r="S133" s="42">
        <v>16</v>
      </c>
      <c r="T133" s="42">
        <f t="shared" si="14"/>
        <v>24737.606400000001</v>
      </c>
      <c r="U133" s="37">
        <f t="shared" si="15"/>
        <v>15059.2</v>
      </c>
      <c r="V133" s="42">
        <f t="shared" si="18"/>
        <v>9678.4063999999998</v>
      </c>
      <c r="W133" s="44">
        <f t="shared" si="19"/>
        <v>0.3912426385763822</v>
      </c>
    </row>
    <row r="134" spans="1:23" x14ac:dyDescent="0.3">
      <c r="A134" s="45" t="s">
        <v>368</v>
      </c>
      <c r="B134" s="46">
        <v>45666</v>
      </c>
      <c r="C134" s="47">
        <v>45672</v>
      </c>
      <c r="D134" s="48">
        <f t="shared" si="20"/>
        <v>6</v>
      </c>
      <c r="E134" s="48" t="str">
        <f>TEXT(Data!B134,"MMM-YYYY")</f>
        <v>Jan-2025</v>
      </c>
      <c r="F134" s="48" t="str">
        <f t="shared" si="16"/>
        <v>Q1-2025</v>
      </c>
      <c r="G134" s="38" t="s">
        <v>45</v>
      </c>
      <c r="H134" s="38" t="s">
        <v>116</v>
      </c>
      <c r="I134" s="38" t="s">
        <v>338</v>
      </c>
      <c r="J134" s="38" t="s">
        <v>27</v>
      </c>
      <c r="K134" s="38" t="s">
        <v>28</v>
      </c>
      <c r="L134" s="38" t="s">
        <v>21</v>
      </c>
      <c r="M134" s="38" t="s">
        <v>42</v>
      </c>
      <c r="N134" s="38" t="s">
        <v>369</v>
      </c>
      <c r="O134" s="48">
        <v>304.77999999999997</v>
      </c>
      <c r="P134" s="49" t="str">
        <f t="shared" si="17"/>
        <v>High</v>
      </c>
      <c r="Q134" s="48">
        <v>537.27</v>
      </c>
      <c r="R134" s="48">
        <v>0.187</v>
      </c>
      <c r="S134" s="48">
        <v>8</v>
      </c>
      <c r="T134" s="48">
        <f t="shared" si="14"/>
        <v>16599.638879999999</v>
      </c>
      <c r="U134" s="38">
        <f t="shared" si="15"/>
        <v>2438.2399999999998</v>
      </c>
      <c r="V134" s="48">
        <f t="shared" si="18"/>
        <v>14161.398879999999</v>
      </c>
      <c r="W134" s="50">
        <f t="shared" si="19"/>
        <v>0.85311487691833454</v>
      </c>
    </row>
    <row r="135" spans="1:23" x14ac:dyDescent="0.3">
      <c r="A135" s="39" t="s">
        <v>370</v>
      </c>
      <c r="B135" s="40">
        <v>45647</v>
      </c>
      <c r="C135" s="41">
        <v>45652</v>
      </c>
      <c r="D135" s="42">
        <f t="shared" si="20"/>
        <v>5</v>
      </c>
      <c r="E135" s="42" t="str">
        <f>TEXT(Data!B135,"MMM-YYYY")</f>
        <v>Dec-2024</v>
      </c>
      <c r="F135" s="42" t="str">
        <f t="shared" si="16"/>
        <v>Q4-2024</v>
      </c>
      <c r="G135" s="37" t="s">
        <v>52</v>
      </c>
      <c r="H135" s="37" t="s">
        <v>122</v>
      </c>
      <c r="I135" s="37" t="s">
        <v>167</v>
      </c>
      <c r="J135" s="37" t="s">
        <v>48</v>
      </c>
      <c r="K135" s="37" t="s">
        <v>40</v>
      </c>
      <c r="L135" s="37" t="s">
        <v>110</v>
      </c>
      <c r="M135" s="37" t="s">
        <v>30</v>
      </c>
      <c r="N135" s="37" t="s">
        <v>371</v>
      </c>
      <c r="O135" s="42">
        <v>699.57</v>
      </c>
      <c r="P135" s="43" t="str">
        <f t="shared" si="17"/>
        <v>High</v>
      </c>
      <c r="Q135" s="42">
        <v>572.71</v>
      </c>
      <c r="R135" s="42">
        <v>0.192</v>
      </c>
      <c r="S135" s="42">
        <v>26</v>
      </c>
      <c r="T135" s="42">
        <f t="shared" si="14"/>
        <v>10987.39408</v>
      </c>
      <c r="U135" s="37">
        <f t="shared" si="15"/>
        <v>18188.82</v>
      </c>
      <c r="V135" s="42">
        <f t="shared" si="18"/>
        <v>-7201.4259199999997</v>
      </c>
      <c r="W135" s="44">
        <f t="shared" si="19"/>
        <v>-0.65542619729172391</v>
      </c>
    </row>
    <row r="136" spans="1:23" x14ac:dyDescent="0.3">
      <c r="A136" s="45" t="s">
        <v>372</v>
      </c>
      <c r="B136" s="46">
        <v>45028</v>
      </c>
      <c r="C136" s="47">
        <v>45033</v>
      </c>
      <c r="D136" s="48">
        <f t="shared" si="20"/>
        <v>5</v>
      </c>
      <c r="E136" s="48" t="str">
        <f>TEXT(Data!B136,"MMM-YYYY")</f>
        <v>Apr-2023</v>
      </c>
      <c r="F136" s="48" t="str">
        <f t="shared" si="16"/>
        <v>Q2-2023</v>
      </c>
      <c r="G136" s="38" t="s">
        <v>78</v>
      </c>
      <c r="H136" s="38" t="s">
        <v>90</v>
      </c>
      <c r="I136" s="38" t="s">
        <v>138</v>
      </c>
      <c r="J136" s="38" t="s">
        <v>105</v>
      </c>
      <c r="K136" s="38" t="s">
        <v>98</v>
      </c>
      <c r="L136" s="38" t="s">
        <v>63</v>
      </c>
      <c r="M136" s="38" t="s">
        <v>64</v>
      </c>
      <c r="N136" s="38" t="s">
        <v>373</v>
      </c>
      <c r="O136" s="48">
        <v>1087.81</v>
      </c>
      <c r="P136" s="49" t="str">
        <f t="shared" si="17"/>
        <v>High</v>
      </c>
      <c r="Q136" s="48">
        <v>2323.87</v>
      </c>
      <c r="R136" s="48">
        <v>9.4E-2</v>
      </c>
      <c r="S136" s="48">
        <v>13</v>
      </c>
      <c r="T136" s="48">
        <f t="shared" si="14"/>
        <v>14342.18838</v>
      </c>
      <c r="U136" s="38">
        <f t="shared" si="15"/>
        <v>14141.529999999999</v>
      </c>
      <c r="V136" s="48">
        <f t="shared" si="18"/>
        <v>200.65838000000076</v>
      </c>
      <c r="W136" s="50">
        <f t="shared" si="19"/>
        <v>1.399077844213902E-2</v>
      </c>
    </row>
    <row r="137" spans="1:23" x14ac:dyDescent="0.3">
      <c r="A137" s="39" t="s">
        <v>374</v>
      </c>
      <c r="B137" s="40">
        <v>45640</v>
      </c>
      <c r="C137" s="41">
        <v>45669</v>
      </c>
      <c r="D137" s="42">
        <f t="shared" si="20"/>
        <v>29</v>
      </c>
      <c r="E137" s="42" t="str">
        <f>TEXT(Data!B137,"MMM-YYYY")</f>
        <v>Dec-2024</v>
      </c>
      <c r="F137" s="42" t="str">
        <f t="shared" si="16"/>
        <v>Q4-2024</v>
      </c>
      <c r="G137" s="37" t="s">
        <v>45</v>
      </c>
      <c r="H137" s="37" t="s">
        <v>116</v>
      </c>
      <c r="I137" s="37" t="s">
        <v>117</v>
      </c>
      <c r="J137" s="37" t="s">
        <v>27</v>
      </c>
      <c r="K137" s="37" t="s">
        <v>28</v>
      </c>
      <c r="L137" s="37" t="s">
        <v>29</v>
      </c>
      <c r="M137" s="37" t="s">
        <v>22</v>
      </c>
      <c r="N137" s="37" t="s">
        <v>375</v>
      </c>
      <c r="O137" s="42">
        <v>1412.15</v>
      </c>
      <c r="P137" s="43" t="str">
        <f t="shared" si="17"/>
        <v>High</v>
      </c>
      <c r="Q137" s="42">
        <v>1631.04</v>
      </c>
      <c r="R137" s="42">
        <v>8.9999999999999993E-3</v>
      </c>
      <c r="S137" s="42">
        <v>6</v>
      </c>
      <c r="T137" s="42">
        <f t="shared" si="14"/>
        <v>7989.2834400000002</v>
      </c>
      <c r="U137" s="37">
        <f t="shared" si="15"/>
        <v>8472.9000000000015</v>
      </c>
      <c r="V137" s="42">
        <f t="shared" si="18"/>
        <v>-483.6165600000013</v>
      </c>
      <c r="W137" s="44">
        <f t="shared" si="19"/>
        <v>-6.0533158403002073E-2</v>
      </c>
    </row>
    <row r="138" spans="1:23" x14ac:dyDescent="0.3">
      <c r="A138" s="45" t="s">
        <v>376</v>
      </c>
      <c r="B138" s="46">
        <v>45016</v>
      </c>
      <c r="C138" s="47">
        <v>45028</v>
      </c>
      <c r="D138" s="48">
        <f t="shared" si="20"/>
        <v>12</v>
      </c>
      <c r="E138" s="48" t="str">
        <f>TEXT(Data!B138,"MMM-YYYY")</f>
        <v>Mar-2023</v>
      </c>
      <c r="F138" s="48" t="str">
        <f t="shared" si="16"/>
        <v>Q1-2023</v>
      </c>
      <c r="G138" s="38" t="s">
        <v>16</v>
      </c>
      <c r="H138" s="38" t="s">
        <v>17</v>
      </c>
      <c r="I138" s="38" t="s">
        <v>113</v>
      </c>
      <c r="J138" s="38" t="s">
        <v>62</v>
      </c>
      <c r="K138" s="38" t="s">
        <v>28</v>
      </c>
      <c r="L138" s="38" t="s">
        <v>21</v>
      </c>
      <c r="M138" s="38" t="s">
        <v>42</v>
      </c>
      <c r="N138" s="38" t="s">
        <v>377</v>
      </c>
      <c r="O138" s="48">
        <v>304.22000000000003</v>
      </c>
      <c r="P138" s="49" t="str">
        <f t="shared" si="17"/>
        <v>High</v>
      </c>
      <c r="Q138" s="48">
        <v>393.31</v>
      </c>
      <c r="R138" s="48">
        <v>0.26500000000000001</v>
      </c>
      <c r="S138" s="48">
        <v>15</v>
      </c>
      <c r="T138" s="48">
        <f t="shared" si="14"/>
        <v>3326.2424999999998</v>
      </c>
      <c r="U138" s="38">
        <f t="shared" si="15"/>
        <v>4563.3</v>
      </c>
      <c r="V138" s="48">
        <f t="shared" si="18"/>
        <v>-1237.0575000000003</v>
      </c>
      <c r="W138" s="50">
        <f t="shared" si="19"/>
        <v>-0.3719083921271526</v>
      </c>
    </row>
    <row r="139" spans="1:23" x14ac:dyDescent="0.3">
      <c r="A139" s="39" t="s">
        <v>378</v>
      </c>
      <c r="B139" s="40">
        <v>45616</v>
      </c>
      <c r="C139" s="41">
        <v>45641</v>
      </c>
      <c r="D139" s="42">
        <f t="shared" si="20"/>
        <v>25</v>
      </c>
      <c r="E139" s="42" t="str">
        <f>TEXT(Data!B139,"MMM-YYYY")</f>
        <v>Nov-2024</v>
      </c>
      <c r="F139" s="42" t="str">
        <f t="shared" si="16"/>
        <v>Q4-2024</v>
      </c>
      <c r="G139" s="37" t="s">
        <v>78</v>
      </c>
      <c r="H139" s="37" t="s">
        <v>90</v>
      </c>
      <c r="I139" s="37" t="s">
        <v>217</v>
      </c>
      <c r="J139" s="37" t="s">
        <v>19</v>
      </c>
      <c r="K139" s="37" t="s">
        <v>28</v>
      </c>
      <c r="L139" s="37" t="s">
        <v>41</v>
      </c>
      <c r="M139" s="37" t="s">
        <v>30</v>
      </c>
      <c r="N139" s="37" t="s">
        <v>379</v>
      </c>
      <c r="O139" s="42">
        <v>1203.58</v>
      </c>
      <c r="P139" s="43" t="str">
        <f t="shared" si="17"/>
        <v>High</v>
      </c>
      <c r="Q139" s="42">
        <v>1856.16</v>
      </c>
      <c r="R139" s="42">
        <v>0.129</v>
      </c>
      <c r="S139" s="42">
        <v>22</v>
      </c>
      <c r="T139" s="42">
        <f t="shared" si="14"/>
        <v>28967.387020000002</v>
      </c>
      <c r="U139" s="37">
        <f t="shared" si="15"/>
        <v>26478.76</v>
      </c>
      <c r="V139" s="42">
        <f t="shared" si="18"/>
        <v>2488.6270200000035</v>
      </c>
      <c r="W139" s="44">
        <f t="shared" si="19"/>
        <v>8.591133947572753E-2</v>
      </c>
    </row>
    <row r="140" spans="1:23" x14ac:dyDescent="0.3">
      <c r="A140" s="45" t="s">
        <v>380</v>
      </c>
      <c r="B140" s="46">
        <v>45336</v>
      </c>
      <c r="C140" s="47">
        <v>45336</v>
      </c>
      <c r="D140" s="48">
        <f t="shared" si="20"/>
        <v>0</v>
      </c>
      <c r="E140" s="48" t="str">
        <f>TEXT(Data!B140,"MMM-YYYY")</f>
        <v>Feb-2024</v>
      </c>
      <c r="F140" s="48" t="str">
        <f t="shared" si="16"/>
        <v>Q1-2024</v>
      </c>
      <c r="G140" s="38" t="s">
        <v>45</v>
      </c>
      <c r="H140" s="38" t="s">
        <v>116</v>
      </c>
      <c r="I140" s="38" t="s">
        <v>338</v>
      </c>
      <c r="J140" s="38" t="s">
        <v>19</v>
      </c>
      <c r="K140" s="38" t="s">
        <v>55</v>
      </c>
      <c r="L140" s="38" t="s">
        <v>49</v>
      </c>
      <c r="M140" s="38" t="s">
        <v>81</v>
      </c>
      <c r="N140" s="38" t="s">
        <v>381</v>
      </c>
      <c r="O140" s="48">
        <v>65.930000000000007</v>
      </c>
      <c r="P140" s="49" t="str">
        <f t="shared" si="17"/>
        <v>Medium</v>
      </c>
      <c r="Q140" s="48">
        <v>84.9</v>
      </c>
      <c r="R140" s="48">
        <v>0.25900000000000001</v>
      </c>
      <c r="S140" s="48">
        <v>23</v>
      </c>
      <c r="T140" s="48">
        <f t="shared" si="14"/>
        <v>35027.455319999994</v>
      </c>
      <c r="U140" s="38">
        <f t="shared" si="15"/>
        <v>1516.39</v>
      </c>
      <c r="V140" s="48">
        <f t="shared" si="18"/>
        <v>33511.065319999994</v>
      </c>
      <c r="W140" s="50">
        <f t="shared" si="19"/>
        <v>0.95670853088964847</v>
      </c>
    </row>
    <row r="141" spans="1:23" x14ac:dyDescent="0.3">
      <c r="A141" s="39" t="s">
        <v>382</v>
      </c>
      <c r="B141" s="40">
        <v>45048</v>
      </c>
      <c r="C141" s="41">
        <v>45064</v>
      </c>
      <c r="D141" s="42">
        <f t="shared" si="20"/>
        <v>16</v>
      </c>
      <c r="E141" s="42" t="str">
        <f>TEXT(Data!B141,"MMM-YYYY")</f>
        <v>May-2023</v>
      </c>
      <c r="F141" s="42" t="str">
        <f t="shared" si="16"/>
        <v>Q2-2023</v>
      </c>
      <c r="G141" s="37" t="s">
        <v>45</v>
      </c>
      <c r="H141" s="37" t="s">
        <v>60</v>
      </c>
      <c r="I141" s="37" t="s">
        <v>141</v>
      </c>
      <c r="J141" s="37" t="s">
        <v>62</v>
      </c>
      <c r="K141" s="37" t="s">
        <v>40</v>
      </c>
      <c r="L141" s="37" t="s">
        <v>95</v>
      </c>
      <c r="M141" s="37" t="s">
        <v>64</v>
      </c>
      <c r="N141" s="37" t="s">
        <v>383</v>
      </c>
      <c r="O141" s="42">
        <v>1463.92</v>
      </c>
      <c r="P141" s="43" t="str">
        <f t="shared" si="17"/>
        <v>High</v>
      </c>
      <c r="Q141" s="42">
        <v>2252.2399999999998</v>
      </c>
      <c r="R141" s="42">
        <v>0.11799999999999999</v>
      </c>
      <c r="S141" s="42">
        <v>44</v>
      </c>
      <c r="T141" s="42">
        <f t="shared" si="14"/>
        <v>15179.749199999998</v>
      </c>
      <c r="U141" s="37">
        <f t="shared" si="15"/>
        <v>64412.480000000003</v>
      </c>
      <c r="V141" s="42">
        <f t="shared" si="18"/>
        <v>-49232.730800000005</v>
      </c>
      <c r="W141" s="44">
        <f t="shared" si="19"/>
        <v>-3.2433164837795876</v>
      </c>
    </row>
    <row r="142" spans="1:23" x14ac:dyDescent="0.3">
      <c r="A142" s="45" t="s">
        <v>384</v>
      </c>
      <c r="B142" s="46">
        <v>45649</v>
      </c>
      <c r="C142" s="47">
        <v>45668</v>
      </c>
      <c r="D142" s="48">
        <f t="shared" si="20"/>
        <v>19</v>
      </c>
      <c r="E142" s="48" t="str">
        <f>TEXT(Data!B142,"MMM-YYYY")</f>
        <v>Dec-2024</v>
      </c>
      <c r="F142" s="48" t="str">
        <f t="shared" si="16"/>
        <v>Q4-2024</v>
      </c>
      <c r="G142" s="38" t="s">
        <v>78</v>
      </c>
      <c r="H142" s="38" t="s">
        <v>79</v>
      </c>
      <c r="I142" s="38" t="s">
        <v>80</v>
      </c>
      <c r="J142" s="38" t="s">
        <v>27</v>
      </c>
      <c r="K142" s="38" t="s">
        <v>20</v>
      </c>
      <c r="L142" s="38" t="s">
        <v>95</v>
      </c>
      <c r="M142" s="38" t="s">
        <v>42</v>
      </c>
      <c r="N142" s="38" t="s">
        <v>385</v>
      </c>
      <c r="O142" s="48">
        <v>501.81</v>
      </c>
      <c r="P142" s="49" t="str">
        <f t="shared" si="17"/>
        <v>High</v>
      </c>
      <c r="Q142" s="48">
        <v>921.62</v>
      </c>
      <c r="R142" s="48">
        <v>0.01</v>
      </c>
      <c r="S142" s="48">
        <v>9</v>
      </c>
      <c r="T142" s="48">
        <f t="shared" si="14"/>
        <v>16474.322700000001</v>
      </c>
      <c r="U142" s="38">
        <f t="shared" si="15"/>
        <v>4516.29</v>
      </c>
      <c r="V142" s="48">
        <f t="shared" si="18"/>
        <v>11958.0327</v>
      </c>
      <c r="W142" s="50">
        <f t="shared" si="19"/>
        <v>0.72585883606614066</v>
      </c>
    </row>
    <row r="143" spans="1:23" x14ac:dyDescent="0.3">
      <c r="A143" s="39" t="s">
        <v>386</v>
      </c>
      <c r="B143" s="40">
        <v>45133</v>
      </c>
      <c r="C143" s="41">
        <v>45163</v>
      </c>
      <c r="D143" s="42">
        <f t="shared" si="20"/>
        <v>30</v>
      </c>
      <c r="E143" s="42" t="str">
        <f>TEXT(Data!B143,"MMM-YYYY")</f>
        <v>Jul-2023</v>
      </c>
      <c r="F143" s="42" t="str">
        <f t="shared" si="16"/>
        <v>Q3-2023</v>
      </c>
      <c r="G143" s="37" t="s">
        <v>52</v>
      </c>
      <c r="H143" s="37" t="s">
        <v>122</v>
      </c>
      <c r="I143" s="37" t="s">
        <v>387</v>
      </c>
      <c r="J143" s="37" t="s">
        <v>48</v>
      </c>
      <c r="K143" s="37" t="s">
        <v>20</v>
      </c>
      <c r="L143" s="37" t="s">
        <v>110</v>
      </c>
      <c r="M143" s="37" t="s">
        <v>81</v>
      </c>
      <c r="N143" s="37" t="s">
        <v>388</v>
      </c>
      <c r="O143" s="42">
        <v>1261.48</v>
      </c>
      <c r="P143" s="43" t="str">
        <f t="shared" si="17"/>
        <v>High</v>
      </c>
      <c r="Q143" s="42">
        <v>1643.18</v>
      </c>
      <c r="R143" s="42">
        <v>0.151</v>
      </c>
      <c r="S143" s="42">
        <v>23</v>
      </c>
      <c r="T143" s="42">
        <f t="shared" si="14"/>
        <v>27251.100119999996</v>
      </c>
      <c r="U143" s="37">
        <f t="shared" si="15"/>
        <v>29014.04</v>
      </c>
      <c r="V143" s="42">
        <f t="shared" si="18"/>
        <v>-1762.9398800000054</v>
      </c>
      <c r="W143" s="44">
        <f t="shared" si="19"/>
        <v>-6.4692429745475011E-2</v>
      </c>
    </row>
    <row r="144" spans="1:23" x14ac:dyDescent="0.3">
      <c r="A144" s="45" t="s">
        <v>389</v>
      </c>
      <c r="B144" s="46">
        <v>45458</v>
      </c>
      <c r="C144" s="47">
        <v>45479</v>
      </c>
      <c r="D144" s="48">
        <f t="shared" si="20"/>
        <v>21</v>
      </c>
      <c r="E144" s="48" t="str">
        <f>TEXT(Data!B144,"MMM-YYYY")</f>
        <v>Jun-2024</v>
      </c>
      <c r="F144" s="48" t="str">
        <f t="shared" si="16"/>
        <v>Q2-2024</v>
      </c>
      <c r="G144" s="38" t="s">
        <v>52</v>
      </c>
      <c r="H144" s="38" t="s">
        <v>53</v>
      </c>
      <c r="I144" s="38" t="s">
        <v>54</v>
      </c>
      <c r="J144" s="38" t="s">
        <v>105</v>
      </c>
      <c r="K144" s="38" t="s">
        <v>55</v>
      </c>
      <c r="L144" s="38" t="s">
        <v>49</v>
      </c>
      <c r="M144" s="38" t="s">
        <v>30</v>
      </c>
      <c r="N144" s="38" t="s">
        <v>390</v>
      </c>
      <c r="O144" s="48">
        <v>817.23</v>
      </c>
      <c r="P144" s="49" t="str">
        <f t="shared" si="17"/>
        <v>High</v>
      </c>
      <c r="Q144" s="48">
        <v>1467.17</v>
      </c>
      <c r="R144" s="48">
        <v>0.245</v>
      </c>
      <c r="S144" s="48">
        <v>9</v>
      </c>
      <c r="T144" s="48">
        <f t="shared" si="14"/>
        <v>3655.9817999999996</v>
      </c>
      <c r="U144" s="38">
        <f t="shared" si="15"/>
        <v>7355.07</v>
      </c>
      <c r="V144" s="48">
        <f t="shared" si="18"/>
        <v>-3699.0882000000001</v>
      </c>
      <c r="W144" s="50">
        <f t="shared" si="19"/>
        <v>-1.0117906495048745</v>
      </c>
    </row>
    <row r="145" spans="1:23" x14ac:dyDescent="0.3">
      <c r="A145" s="39" t="s">
        <v>391</v>
      </c>
      <c r="B145" s="40">
        <v>45112</v>
      </c>
      <c r="C145" s="41">
        <v>45121</v>
      </c>
      <c r="D145" s="42">
        <f t="shared" si="20"/>
        <v>9</v>
      </c>
      <c r="E145" s="42" t="str">
        <f>TEXT(Data!B145,"MMM-YYYY")</f>
        <v>Jul-2023</v>
      </c>
      <c r="F145" s="42" t="str">
        <f t="shared" si="16"/>
        <v>Q3-2023</v>
      </c>
      <c r="G145" s="37" t="s">
        <v>52</v>
      </c>
      <c r="H145" s="37" t="s">
        <v>73</v>
      </c>
      <c r="I145" s="37" t="s">
        <v>87</v>
      </c>
      <c r="J145" s="37" t="s">
        <v>105</v>
      </c>
      <c r="K145" s="37" t="s">
        <v>98</v>
      </c>
      <c r="L145" s="37" t="s">
        <v>56</v>
      </c>
      <c r="M145" s="37" t="s">
        <v>35</v>
      </c>
      <c r="N145" s="37" t="s">
        <v>392</v>
      </c>
      <c r="O145" s="42">
        <v>578.85</v>
      </c>
      <c r="P145" s="43" t="str">
        <f t="shared" si="17"/>
        <v>High</v>
      </c>
      <c r="Q145" s="42">
        <v>998.76</v>
      </c>
      <c r="R145" s="42">
        <v>8.2000000000000003E-2</v>
      </c>
      <c r="S145" s="42">
        <v>28</v>
      </c>
      <c r="T145" s="42">
        <f t="shared" si="14"/>
        <v>31331.119680000003</v>
      </c>
      <c r="U145" s="37">
        <f t="shared" si="15"/>
        <v>16207.800000000001</v>
      </c>
      <c r="V145" s="42">
        <f t="shared" si="18"/>
        <v>15123.319680000002</v>
      </c>
      <c r="W145" s="44">
        <f t="shared" si="19"/>
        <v>0.4826932402819254</v>
      </c>
    </row>
    <row r="146" spans="1:23" x14ac:dyDescent="0.3">
      <c r="A146" s="45" t="s">
        <v>393</v>
      </c>
      <c r="B146" s="46">
        <v>45260</v>
      </c>
      <c r="C146" s="47">
        <v>45259</v>
      </c>
      <c r="D146" s="48">
        <f>DATEDIF(C146,B146, "MD")</f>
        <v>1</v>
      </c>
      <c r="E146" s="48" t="str">
        <f>TEXT(Data!B146,"MMM-YYYY")</f>
        <v>Nov-2023</v>
      </c>
      <c r="F146" s="48" t="str">
        <f t="shared" si="16"/>
        <v>Q4-2023</v>
      </c>
      <c r="G146" s="38" t="s">
        <v>16</v>
      </c>
      <c r="H146" s="38" t="s">
        <v>148</v>
      </c>
      <c r="I146" s="38" t="s">
        <v>172</v>
      </c>
      <c r="J146" s="38" t="s">
        <v>62</v>
      </c>
      <c r="K146" s="38" t="s">
        <v>40</v>
      </c>
      <c r="L146" s="38" t="s">
        <v>63</v>
      </c>
      <c r="M146" s="38" t="s">
        <v>57</v>
      </c>
      <c r="N146" s="38" t="s">
        <v>394</v>
      </c>
      <c r="O146" s="48">
        <v>275.56</v>
      </c>
      <c r="P146" s="49" t="str">
        <f t="shared" si="17"/>
        <v>High</v>
      </c>
      <c r="Q146" s="48">
        <v>630.72</v>
      </c>
      <c r="R146" s="48">
        <v>0.107</v>
      </c>
      <c r="S146" s="48">
        <v>23</v>
      </c>
      <c r="T146" s="48">
        <f t="shared" si="14"/>
        <v>42353.882679999995</v>
      </c>
      <c r="U146" s="38">
        <f t="shared" si="15"/>
        <v>6337.88</v>
      </c>
      <c r="V146" s="48">
        <f t="shared" si="18"/>
        <v>36016.002679999998</v>
      </c>
      <c r="W146" s="50">
        <f t="shared" si="19"/>
        <v>0.85035893762361436</v>
      </c>
    </row>
    <row r="147" spans="1:23" x14ac:dyDescent="0.3">
      <c r="A147" s="39" t="s">
        <v>395</v>
      </c>
      <c r="B147" s="40">
        <v>45911</v>
      </c>
      <c r="C147" s="41">
        <v>45928</v>
      </c>
      <c r="D147" s="42">
        <f t="shared" si="20"/>
        <v>17</v>
      </c>
      <c r="E147" s="42" t="str">
        <f>TEXT(Data!B147,"MMM-YYYY")</f>
        <v>Sept-2025</v>
      </c>
      <c r="F147" s="42" t="str">
        <f t="shared" si="16"/>
        <v>Q3-2025</v>
      </c>
      <c r="G147" s="37" t="s">
        <v>16</v>
      </c>
      <c r="H147" s="37" t="s">
        <v>17</v>
      </c>
      <c r="I147" s="37" t="s">
        <v>33</v>
      </c>
      <c r="J147" s="37" t="s">
        <v>39</v>
      </c>
      <c r="K147" s="37" t="s">
        <v>55</v>
      </c>
      <c r="L147" s="37" t="s">
        <v>29</v>
      </c>
      <c r="M147" s="37" t="s">
        <v>57</v>
      </c>
      <c r="N147" s="37" t="s">
        <v>396</v>
      </c>
      <c r="O147" s="42">
        <v>891.46</v>
      </c>
      <c r="P147" s="43" t="str">
        <f t="shared" si="17"/>
        <v>High</v>
      </c>
      <c r="Q147" s="42">
        <v>728.61</v>
      </c>
      <c r="R147" s="42">
        <v>0.185</v>
      </c>
      <c r="S147" s="42">
        <v>6</v>
      </c>
      <c r="T147" s="42">
        <f t="shared" si="14"/>
        <v>49.780199999999994</v>
      </c>
      <c r="U147" s="37">
        <f t="shared" si="15"/>
        <v>5348.76</v>
      </c>
      <c r="V147" s="42">
        <f t="shared" si="18"/>
        <v>-5298.9798000000001</v>
      </c>
      <c r="W147" s="44">
        <f t="shared" si="19"/>
        <v>-106.44753938312824</v>
      </c>
    </row>
    <row r="148" spans="1:23" x14ac:dyDescent="0.3">
      <c r="A148" s="45" t="s">
        <v>397</v>
      </c>
      <c r="B148" s="46">
        <v>45386</v>
      </c>
      <c r="C148" s="47">
        <v>45406</v>
      </c>
      <c r="D148" s="48">
        <f t="shared" si="20"/>
        <v>20</v>
      </c>
      <c r="E148" s="48" t="str">
        <f>TEXT(Data!B148,"MMM-YYYY")</f>
        <v>Apr-2024</v>
      </c>
      <c r="F148" s="48" t="str">
        <f t="shared" si="16"/>
        <v>Q2-2024</v>
      </c>
      <c r="G148" s="38" t="s">
        <v>78</v>
      </c>
      <c r="H148" s="38" t="s">
        <v>79</v>
      </c>
      <c r="I148" s="38" t="s">
        <v>335</v>
      </c>
      <c r="J148" s="38" t="s">
        <v>39</v>
      </c>
      <c r="K148" s="38" t="s">
        <v>98</v>
      </c>
      <c r="L148" s="38" t="s">
        <v>68</v>
      </c>
      <c r="M148" s="38" t="s">
        <v>81</v>
      </c>
      <c r="N148" s="38" t="s">
        <v>398</v>
      </c>
      <c r="O148" s="48">
        <v>683.42</v>
      </c>
      <c r="P148" s="49" t="str">
        <f t="shared" si="17"/>
        <v>High</v>
      </c>
      <c r="Q148" s="48">
        <v>951.51</v>
      </c>
      <c r="R148" s="48">
        <v>0</v>
      </c>
      <c r="S148" s="48">
        <v>14</v>
      </c>
      <c r="T148" s="48">
        <f t="shared" si="14"/>
        <v>31944.079999999998</v>
      </c>
      <c r="U148" s="38">
        <f t="shared" si="15"/>
        <v>9567.8799999999992</v>
      </c>
      <c r="V148" s="48">
        <f t="shared" si="18"/>
        <v>22376.199999999997</v>
      </c>
      <c r="W148" s="50">
        <f t="shared" si="19"/>
        <v>0.7004803393930894</v>
      </c>
    </row>
    <row r="149" spans="1:23" x14ac:dyDescent="0.3">
      <c r="A149" s="39" t="s">
        <v>399</v>
      </c>
      <c r="B149" s="40">
        <v>45183</v>
      </c>
      <c r="C149" s="41">
        <v>45185</v>
      </c>
      <c r="D149" s="42">
        <f t="shared" si="20"/>
        <v>2</v>
      </c>
      <c r="E149" s="42" t="str">
        <f>TEXT(Data!B149,"MMM-YYYY")</f>
        <v>Sept-2023</v>
      </c>
      <c r="F149" s="42" t="str">
        <f t="shared" si="16"/>
        <v>Q3-2023</v>
      </c>
      <c r="G149" s="37" t="s">
        <v>78</v>
      </c>
      <c r="H149" s="37" t="s">
        <v>90</v>
      </c>
      <c r="I149" s="37" t="s">
        <v>138</v>
      </c>
      <c r="J149" s="37" t="s">
        <v>39</v>
      </c>
      <c r="K149" s="37" t="s">
        <v>98</v>
      </c>
      <c r="L149" s="37" t="s">
        <v>56</v>
      </c>
      <c r="M149" s="37" t="s">
        <v>30</v>
      </c>
      <c r="N149" s="37" t="s">
        <v>400</v>
      </c>
      <c r="O149" s="42">
        <v>376.83</v>
      </c>
      <c r="P149" s="43" t="str">
        <f t="shared" si="17"/>
        <v>High</v>
      </c>
      <c r="Q149" s="42">
        <v>732.88</v>
      </c>
      <c r="R149" s="42">
        <v>0.188</v>
      </c>
      <c r="S149" s="42">
        <v>25</v>
      </c>
      <c r="T149" s="42">
        <f t="shared" si="14"/>
        <v>5066.2710000000006</v>
      </c>
      <c r="U149" s="37">
        <f t="shared" si="15"/>
        <v>9420.75</v>
      </c>
      <c r="V149" s="42">
        <f t="shared" si="18"/>
        <v>-4354.4789999999994</v>
      </c>
      <c r="W149" s="44">
        <f t="shared" si="19"/>
        <v>-0.85950376519534755</v>
      </c>
    </row>
    <row r="150" spans="1:23" x14ac:dyDescent="0.3">
      <c r="A150" s="45" t="s">
        <v>401</v>
      </c>
      <c r="B150" s="46">
        <v>45558</v>
      </c>
      <c r="C150" s="47">
        <v>45583</v>
      </c>
      <c r="D150" s="48">
        <f t="shared" si="20"/>
        <v>25</v>
      </c>
      <c r="E150" s="48" t="str">
        <f>TEXT(Data!B150,"MMM-YYYY")</f>
        <v>Sept-2024</v>
      </c>
      <c r="F150" s="48" t="str">
        <f t="shared" si="16"/>
        <v>Q3-2024</v>
      </c>
      <c r="G150" s="38" t="s">
        <v>52</v>
      </c>
      <c r="H150" s="38" t="s">
        <v>53</v>
      </c>
      <c r="I150" s="38" t="s">
        <v>179</v>
      </c>
      <c r="J150" s="38" t="s">
        <v>62</v>
      </c>
      <c r="K150" s="38" t="s">
        <v>28</v>
      </c>
      <c r="L150" s="38" t="s">
        <v>126</v>
      </c>
      <c r="M150" s="38" t="s">
        <v>42</v>
      </c>
      <c r="N150" s="38" t="s">
        <v>402</v>
      </c>
      <c r="O150" s="48">
        <v>1297</v>
      </c>
      <c r="P150" s="49" t="str">
        <f t="shared" si="17"/>
        <v>High</v>
      </c>
      <c r="Q150" s="48">
        <v>2411.52</v>
      </c>
      <c r="R150" s="48">
        <v>2.1000000000000001E-2</v>
      </c>
      <c r="S150" s="48">
        <v>18</v>
      </c>
      <c r="T150" s="48">
        <f t="shared" si="14"/>
        <v>57712.049999999996</v>
      </c>
      <c r="U150" s="38">
        <f t="shared" si="15"/>
        <v>23346</v>
      </c>
      <c r="V150" s="48">
        <f t="shared" si="18"/>
        <v>34366.049999999996</v>
      </c>
      <c r="W150" s="50">
        <f t="shared" si="19"/>
        <v>0.59547442865051581</v>
      </c>
    </row>
    <row r="151" spans="1:23" x14ac:dyDescent="0.3">
      <c r="A151" s="39" t="s">
        <v>403</v>
      </c>
      <c r="B151" s="40">
        <v>45763</v>
      </c>
      <c r="C151" s="41">
        <v>45793</v>
      </c>
      <c r="D151" s="42">
        <f t="shared" si="20"/>
        <v>0</v>
      </c>
      <c r="E151" s="42" t="str">
        <f>TEXT(Data!B151,"MMM-YYYY")</f>
        <v>Apr-2025</v>
      </c>
      <c r="F151" s="42" t="str">
        <f t="shared" si="16"/>
        <v>Q2-2025</v>
      </c>
      <c r="G151" s="37" t="s">
        <v>52</v>
      </c>
      <c r="H151" s="37" t="s">
        <v>53</v>
      </c>
      <c r="I151" s="37" t="s">
        <v>144</v>
      </c>
      <c r="J151" s="37" t="s">
        <v>105</v>
      </c>
      <c r="K151" s="37" t="s">
        <v>55</v>
      </c>
      <c r="L151" s="37" t="s">
        <v>95</v>
      </c>
      <c r="M151" s="37" t="s">
        <v>30</v>
      </c>
      <c r="N151" s="37" t="s">
        <v>404</v>
      </c>
      <c r="O151" s="42">
        <v>763.32</v>
      </c>
      <c r="P151" s="43" t="str">
        <f t="shared" si="17"/>
        <v>High</v>
      </c>
      <c r="Q151" s="42">
        <v>568.29</v>
      </c>
      <c r="R151" s="42">
        <v>0.13100000000000001</v>
      </c>
      <c r="S151" s="42">
        <v>16</v>
      </c>
      <c r="T151" s="42">
        <f t="shared" si="14"/>
        <v>26608.919040000001</v>
      </c>
      <c r="U151" s="37">
        <f t="shared" si="15"/>
        <v>12213.12</v>
      </c>
      <c r="V151" s="42">
        <f t="shared" si="18"/>
        <v>14395.79904</v>
      </c>
      <c r="W151" s="44">
        <f t="shared" si="19"/>
        <v>0.54101404940048248</v>
      </c>
    </row>
    <row r="152" spans="1:23" x14ac:dyDescent="0.3">
      <c r="A152" s="45" t="s">
        <v>405</v>
      </c>
      <c r="B152" s="46">
        <v>45110</v>
      </c>
      <c r="C152" s="47">
        <v>45130</v>
      </c>
      <c r="D152" s="48">
        <f t="shared" si="20"/>
        <v>20</v>
      </c>
      <c r="E152" s="48" t="str">
        <f>TEXT(Data!B152,"MMM-YYYY")</f>
        <v>Jul-2023</v>
      </c>
      <c r="F152" s="48" t="str">
        <f t="shared" si="16"/>
        <v>Q3-2023</v>
      </c>
      <c r="G152" s="38" t="s">
        <v>16</v>
      </c>
      <c r="H152" s="38" t="s">
        <v>148</v>
      </c>
      <c r="I152" s="38" t="s">
        <v>149</v>
      </c>
      <c r="J152" s="38" t="s">
        <v>62</v>
      </c>
      <c r="K152" s="38" t="s">
        <v>55</v>
      </c>
      <c r="L152" s="38" t="s">
        <v>84</v>
      </c>
      <c r="M152" s="38" t="s">
        <v>57</v>
      </c>
      <c r="N152" s="38" t="s">
        <v>406</v>
      </c>
      <c r="O152" s="48">
        <v>1001.96</v>
      </c>
      <c r="P152" s="49" t="str">
        <f t="shared" si="17"/>
        <v>High</v>
      </c>
      <c r="Q152" s="48">
        <v>1254.95</v>
      </c>
      <c r="R152" s="48">
        <v>4.4999999999999998E-2</v>
      </c>
      <c r="S152" s="48">
        <v>18</v>
      </c>
      <c r="T152" s="48">
        <f t="shared" si="14"/>
        <v>517.24709999999993</v>
      </c>
      <c r="U152" s="38">
        <f t="shared" si="15"/>
        <v>18035.28</v>
      </c>
      <c r="V152" s="48">
        <f t="shared" si="18"/>
        <v>-17518.032899999998</v>
      </c>
      <c r="W152" s="50">
        <f t="shared" si="19"/>
        <v>-33.867822361884677</v>
      </c>
    </row>
    <row r="153" spans="1:23" x14ac:dyDescent="0.3">
      <c r="A153" s="39" t="s">
        <v>407</v>
      </c>
      <c r="B153" s="40">
        <v>45267</v>
      </c>
      <c r="C153" s="41">
        <v>45265</v>
      </c>
      <c r="D153" s="42">
        <f>DATEDIF(C153,B153, "MD")</f>
        <v>2</v>
      </c>
      <c r="E153" s="42" t="str">
        <f>TEXT(Data!B153,"MMM-YYYY")</f>
        <v>Dec-2023</v>
      </c>
      <c r="F153" s="42" t="str">
        <f t="shared" si="16"/>
        <v>Q4-2023</v>
      </c>
      <c r="G153" s="37" t="s">
        <v>45</v>
      </c>
      <c r="H153" s="37" t="s">
        <v>46</v>
      </c>
      <c r="I153" s="37" t="s">
        <v>214</v>
      </c>
      <c r="J153" s="37" t="s">
        <v>39</v>
      </c>
      <c r="K153" s="37" t="s">
        <v>40</v>
      </c>
      <c r="L153" s="37" t="s">
        <v>92</v>
      </c>
      <c r="M153" s="37" t="s">
        <v>30</v>
      </c>
      <c r="N153" s="37" t="s">
        <v>408</v>
      </c>
      <c r="O153" s="42">
        <v>1097.5899999999999</v>
      </c>
      <c r="P153" s="43" t="str">
        <f t="shared" si="17"/>
        <v>High</v>
      </c>
      <c r="Q153" s="42">
        <v>845.55</v>
      </c>
      <c r="R153" s="42">
        <v>0.184</v>
      </c>
      <c r="S153" s="42">
        <v>6</v>
      </c>
      <c r="T153" s="42">
        <f t="shared" si="14"/>
        <v>2454.4137600000004</v>
      </c>
      <c r="U153" s="37">
        <f t="shared" si="15"/>
        <v>6585.5399999999991</v>
      </c>
      <c r="V153" s="42">
        <f t="shared" si="18"/>
        <v>-4131.1262399999987</v>
      </c>
      <c r="W153" s="44">
        <f t="shared" si="19"/>
        <v>-1.6831417372757875</v>
      </c>
    </row>
    <row r="154" spans="1:23" x14ac:dyDescent="0.3">
      <c r="A154" s="45" t="s">
        <v>409</v>
      </c>
      <c r="B154" s="46">
        <v>45340</v>
      </c>
      <c r="C154" s="47">
        <v>45355</v>
      </c>
      <c r="D154" s="48">
        <f t="shared" si="20"/>
        <v>15</v>
      </c>
      <c r="E154" s="48" t="str">
        <f>TEXT(Data!B154,"MMM-YYYY")</f>
        <v>Feb-2024</v>
      </c>
      <c r="F154" s="48" t="str">
        <f t="shared" si="16"/>
        <v>Q1-2024</v>
      </c>
      <c r="G154" s="38" t="s">
        <v>16</v>
      </c>
      <c r="H154" s="38" t="s">
        <v>17</v>
      </c>
      <c r="I154" s="38" t="s">
        <v>18</v>
      </c>
      <c r="J154" s="38" t="s">
        <v>27</v>
      </c>
      <c r="K154" s="38" t="s">
        <v>98</v>
      </c>
      <c r="L154" s="38" t="s">
        <v>95</v>
      </c>
      <c r="M154" s="38" t="s">
        <v>30</v>
      </c>
      <c r="N154" s="38" t="s">
        <v>410</v>
      </c>
      <c r="O154" s="48">
        <v>928.68</v>
      </c>
      <c r="P154" s="49" t="str">
        <f t="shared" si="17"/>
        <v>High</v>
      </c>
      <c r="Q154" s="48">
        <v>2145.17</v>
      </c>
      <c r="R154" s="48">
        <v>0.13600000000000001</v>
      </c>
      <c r="S154" s="48">
        <v>16</v>
      </c>
      <c r="T154" s="48">
        <f t="shared" si="14"/>
        <v>5684.1523200000001</v>
      </c>
      <c r="U154" s="38">
        <f t="shared" si="15"/>
        <v>14858.88</v>
      </c>
      <c r="V154" s="48">
        <f t="shared" si="18"/>
        <v>-9174.72768</v>
      </c>
      <c r="W154" s="50">
        <f t="shared" si="19"/>
        <v>-1.6140889904934848</v>
      </c>
    </row>
    <row r="155" spans="1:23" x14ac:dyDescent="0.3">
      <c r="A155" s="39" t="s">
        <v>411</v>
      </c>
      <c r="B155" s="40">
        <v>45230</v>
      </c>
      <c r="C155" s="41">
        <v>45232</v>
      </c>
      <c r="D155" s="42">
        <f t="shared" si="20"/>
        <v>2</v>
      </c>
      <c r="E155" s="42" t="str">
        <f>TEXT(Data!B155,"MMM-YYYY")</f>
        <v>Oct-2023</v>
      </c>
      <c r="F155" s="42" t="str">
        <f t="shared" si="16"/>
        <v>Q4-2023</v>
      </c>
      <c r="G155" s="37" t="s">
        <v>16</v>
      </c>
      <c r="H155" s="37" t="s">
        <v>17</v>
      </c>
      <c r="I155" s="37" t="s">
        <v>18</v>
      </c>
      <c r="J155" s="37" t="s">
        <v>27</v>
      </c>
      <c r="K155" s="37" t="s">
        <v>20</v>
      </c>
      <c r="L155" s="37" t="s">
        <v>68</v>
      </c>
      <c r="M155" s="37" t="s">
        <v>81</v>
      </c>
      <c r="N155" s="37" t="s">
        <v>412</v>
      </c>
      <c r="O155" s="42">
        <v>867.89</v>
      </c>
      <c r="P155" s="43" t="str">
        <f t="shared" si="17"/>
        <v>High</v>
      </c>
      <c r="Q155" s="42">
        <v>1349.94</v>
      </c>
      <c r="R155" s="42">
        <v>0.184</v>
      </c>
      <c r="S155" s="42">
        <v>10</v>
      </c>
      <c r="T155" s="42">
        <f t="shared" si="14"/>
        <v>48.307200000000009</v>
      </c>
      <c r="U155" s="37">
        <f t="shared" si="15"/>
        <v>8678.9</v>
      </c>
      <c r="V155" s="42">
        <f t="shared" si="18"/>
        <v>-8630.5928000000004</v>
      </c>
      <c r="W155" s="44">
        <f t="shared" si="19"/>
        <v>-178.66058889772123</v>
      </c>
    </row>
    <row r="156" spans="1:23" x14ac:dyDescent="0.3">
      <c r="A156" s="45" t="s">
        <v>413</v>
      </c>
      <c r="B156" s="46">
        <v>45511</v>
      </c>
      <c r="C156" s="47">
        <v>45521</v>
      </c>
      <c r="D156" s="48">
        <f t="shared" si="20"/>
        <v>10</v>
      </c>
      <c r="E156" s="48" t="str">
        <f>TEXT(Data!B156,"MMM-YYYY")</f>
        <v>Aug-2024</v>
      </c>
      <c r="F156" s="48" t="str">
        <f t="shared" si="16"/>
        <v>Q3-2024</v>
      </c>
      <c r="G156" s="38" t="s">
        <v>45</v>
      </c>
      <c r="H156" s="38" t="s">
        <v>46</v>
      </c>
      <c r="I156" s="38" t="s">
        <v>47</v>
      </c>
      <c r="J156" s="38" t="s">
        <v>48</v>
      </c>
      <c r="K156" s="38" t="s">
        <v>28</v>
      </c>
      <c r="L156" s="38" t="s">
        <v>95</v>
      </c>
      <c r="M156" s="38" t="s">
        <v>35</v>
      </c>
      <c r="N156" s="38" t="s">
        <v>414</v>
      </c>
      <c r="O156" s="48">
        <v>436.58</v>
      </c>
      <c r="P156" s="49" t="str">
        <f t="shared" si="17"/>
        <v>High</v>
      </c>
      <c r="Q156" s="48">
        <v>527.48</v>
      </c>
      <c r="R156" s="48">
        <v>0.111</v>
      </c>
      <c r="S156" s="48">
        <v>19</v>
      </c>
      <c r="T156" s="48">
        <f t="shared" si="14"/>
        <v>37272.187330000001</v>
      </c>
      <c r="U156" s="38">
        <f t="shared" si="15"/>
        <v>8295.02</v>
      </c>
      <c r="V156" s="48">
        <f t="shared" si="18"/>
        <v>28977.16733</v>
      </c>
      <c r="W156" s="50">
        <f t="shared" si="19"/>
        <v>0.77744745897101064</v>
      </c>
    </row>
    <row r="157" spans="1:23" x14ac:dyDescent="0.3">
      <c r="A157" s="39" t="s">
        <v>415</v>
      </c>
      <c r="B157" s="40">
        <v>45323</v>
      </c>
      <c r="C157" s="41">
        <v>45343</v>
      </c>
      <c r="D157" s="42">
        <f t="shared" si="20"/>
        <v>20</v>
      </c>
      <c r="E157" s="42" t="str">
        <f>TEXT(Data!B157,"MMM-YYYY")</f>
        <v>Feb-2024</v>
      </c>
      <c r="F157" s="42" t="str">
        <f t="shared" si="16"/>
        <v>Q1-2024</v>
      </c>
      <c r="G157" s="37" t="s">
        <v>78</v>
      </c>
      <c r="H157" s="37" t="s">
        <v>90</v>
      </c>
      <c r="I157" s="37" t="s">
        <v>217</v>
      </c>
      <c r="J157" s="37" t="s">
        <v>62</v>
      </c>
      <c r="K157" s="37" t="s">
        <v>40</v>
      </c>
      <c r="L157" s="37" t="s">
        <v>75</v>
      </c>
      <c r="M157" s="37" t="s">
        <v>35</v>
      </c>
      <c r="N157" s="37" t="s">
        <v>416</v>
      </c>
      <c r="O157" s="42">
        <v>656.2</v>
      </c>
      <c r="P157" s="43" t="str">
        <f t="shared" si="17"/>
        <v>High</v>
      </c>
      <c r="Q157" s="42">
        <v>1467.17</v>
      </c>
      <c r="R157" s="42">
        <v>1.7999999999999999E-2</v>
      </c>
      <c r="S157" s="42">
        <v>5</v>
      </c>
      <c r="T157" s="42">
        <f t="shared" si="14"/>
        <v>9391.848</v>
      </c>
      <c r="U157" s="37">
        <f t="shared" si="15"/>
        <v>3281</v>
      </c>
      <c r="V157" s="42">
        <f t="shared" si="18"/>
        <v>6110.848</v>
      </c>
      <c r="W157" s="44">
        <f t="shared" si="19"/>
        <v>0.65065448248310664</v>
      </c>
    </row>
    <row r="158" spans="1:23" x14ac:dyDescent="0.3">
      <c r="A158" s="45" t="s">
        <v>417</v>
      </c>
      <c r="B158" s="46">
        <v>45531</v>
      </c>
      <c r="C158" s="47">
        <v>45553</v>
      </c>
      <c r="D158" s="48">
        <f t="shared" si="20"/>
        <v>22</v>
      </c>
      <c r="E158" s="48" t="str">
        <f>TEXT(Data!B158,"MMM-YYYY")</f>
        <v>Aug-2024</v>
      </c>
      <c r="F158" s="48" t="str">
        <f t="shared" si="16"/>
        <v>Q3-2024</v>
      </c>
      <c r="G158" s="38" t="s">
        <v>45</v>
      </c>
      <c r="H158" s="38" t="s">
        <v>60</v>
      </c>
      <c r="I158" s="38" t="s">
        <v>141</v>
      </c>
      <c r="J158" s="38" t="s">
        <v>48</v>
      </c>
      <c r="K158" s="38" t="s">
        <v>98</v>
      </c>
      <c r="L158" s="38" t="s">
        <v>56</v>
      </c>
      <c r="M158" s="38" t="s">
        <v>22</v>
      </c>
      <c r="N158" s="38" t="s">
        <v>418</v>
      </c>
      <c r="O158" s="48">
        <v>896.75</v>
      </c>
      <c r="P158" s="49" t="str">
        <f t="shared" si="17"/>
        <v>High</v>
      </c>
      <c r="Q158" s="48">
        <v>1651.14</v>
      </c>
      <c r="R158" s="48">
        <v>2.5000000000000001E-2</v>
      </c>
      <c r="S158" s="48">
        <v>15</v>
      </c>
      <c r="T158" s="48">
        <f t="shared" si="14"/>
        <v>20216.283749999999</v>
      </c>
      <c r="U158" s="38">
        <f t="shared" si="15"/>
        <v>13451.25</v>
      </c>
      <c r="V158" s="48">
        <f t="shared" si="18"/>
        <v>6765.0337499999987</v>
      </c>
      <c r="W158" s="50">
        <f t="shared" si="19"/>
        <v>0.3346329045267778</v>
      </c>
    </row>
    <row r="159" spans="1:23" x14ac:dyDescent="0.3">
      <c r="A159" s="39" t="s">
        <v>419</v>
      </c>
      <c r="B159" s="40">
        <v>45703</v>
      </c>
      <c r="C159" s="41">
        <v>45703</v>
      </c>
      <c r="D159" s="42">
        <f t="shared" si="20"/>
        <v>0</v>
      </c>
      <c r="E159" s="42" t="str">
        <f>TEXT(Data!B159,"MMM-YYYY")</f>
        <v>Feb-2025</v>
      </c>
      <c r="F159" s="42" t="str">
        <f t="shared" si="16"/>
        <v>Q1-2025</v>
      </c>
      <c r="G159" s="37" t="s">
        <v>78</v>
      </c>
      <c r="H159" s="37" t="s">
        <v>79</v>
      </c>
      <c r="I159" s="37" t="s">
        <v>335</v>
      </c>
      <c r="J159" s="37" t="s">
        <v>62</v>
      </c>
      <c r="K159" s="37" t="s">
        <v>40</v>
      </c>
      <c r="L159" s="37" t="s">
        <v>49</v>
      </c>
      <c r="M159" s="37" t="s">
        <v>81</v>
      </c>
      <c r="N159" s="37" t="s">
        <v>420</v>
      </c>
      <c r="O159" s="42">
        <v>815.83</v>
      </c>
      <c r="P159" s="43" t="str">
        <f t="shared" si="17"/>
        <v>High</v>
      </c>
      <c r="Q159" s="42">
        <v>1982.18</v>
      </c>
      <c r="R159" s="42">
        <v>0.127</v>
      </c>
      <c r="S159" s="42">
        <v>6</v>
      </c>
      <c r="T159" s="42">
        <f t="shared" si="14"/>
        <v>7100.6851799999995</v>
      </c>
      <c r="U159" s="37">
        <f t="shared" si="15"/>
        <v>4894.9800000000005</v>
      </c>
      <c r="V159" s="42">
        <f t="shared" si="18"/>
        <v>2205.705179999999</v>
      </c>
      <c r="W159" s="44">
        <f t="shared" si="19"/>
        <v>0.31063272403804826</v>
      </c>
    </row>
    <row r="160" spans="1:23" x14ac:dyDescent="0.3">
      <c r="A160" s="45" t="s">
        <v>421</v>
      </c>
      <c r="B160" s="46">
        <v>45870</v>
      </c>
      <c r="C160" s="47">
        <v>45890</v>
      </c>
      <c r="D160" s="48">
        <f t="shared" si="20"/>
        <v>20</v>
      </c>
      <c r="E160" s="48" t="str">
        <f>TEXT(Data!B160,"MMM-YYYY")</f>
        <v>Aug-2025</v>
      </c>
      <c r="F160" s="48" t="str">
        <f t="shared" si="16"/>
        <v>Q3-2025</v>
      </c>
      <c r="G160" s="38" t="s">
        <v>45</v>
      </c>
      <c r="H160" s="38" t="s">
        <v>116</v>
      </c>
      <c r="I160" s="38" t="s">
        <v>162</v>
      </c>
      <c r="J160" s="38" t="s">
        <v>19</v>
      </c>
      <c r="K160" s="38" t="s">
        <v>98</v>
      </c>
      <c r="L160" s="38" t="s">
        <v>34</v>
      </c>
      <c r="M160" s="38" t="s">
        <v>42</v>
      </c>
      <c r="N160" s="38" t="s">
        <v>422</v>
      </c>
      <c r="O160" s="48">
        <v>1220.4100000000001</v>
      </c>
      <c r="P160" s="49" t="str">
        <f t="shared" si="17"/>
        <v>High</v>
      </c>
      <c r="Q160" s="48">
        <v>2552.2199999999998</v>
      </c>
      <c r="R160" s="48">
        <v>0.18099999999999999</v>
      </c>
      <c r="S160" s="48">
        <v>14</v>
      </c>
      <c r="T160" s="48">
        <f t="shared" si="14"/>
        <v>10180.661399999999</v>
      </c>
      <c r="U160" s="38">
        <f t="shared" si="15"/>
        <v>17085.740000000002</v>
      </c>
      <c r="V160" s="48">
        <f t="shared" si="18"/>
        <v>-6905.0786000000026</v>
      </c>
      <c r="W160" s="50">
        <f t="shared" si="19"/>
        <v>-0.6782544206803699</v>
      </c>
    </row>
    <row r="161" spans="1:23" x14ac:dyDescent="0.3">
      <c r="A161" s="39" t="s">
        <v>423</v>
      </c>
      <c r="B161" s="40">
        <v>44977</v>
      </c>
      <c r="C161" s="41">
        <v>44989</v>
      </c>
      <c r="D161" s="42">
        <f t="shared" si="20"/>
        <v>12</v>
      </c>
      <c r="E161" s="42" t="str">
        <f>TEXT(Data!B161,"MMM-YYYY")</f>
        <v>Feb-2023</v>
      </c>
      <c r="F161" s="42" t="str">
        <f t="shared" si="16"/>
        <v>Q1-2023</v>
      </c>
      <c r="G161" s="37" t="s">
        <v>45</v>
      </c>
      <c r="H161" s="37" t="s">
        <v>60</v>
      </c>
      <c r="I161" s="37" t="s">
        <v>141</v>
      </c>
      <c r="J161" s="37" t="s">
        <v>48</v>
      </c>
      <c r="K161" s="37" t="s">
        <v>55</v>
      </c>
      <c r="L161" s="37" t="s">
        <v>110</v>
      </c>
      <c r="M161" s="37" t="s">
        <v>64</v>
      </c>
      <c r="N161" s="37" t="s">
        <v>424</v>
      </c>
      <c r="O161" s="42">
        <v>299.75</v>
      </c>
      <c r="P161" s="43" t="str">
        <f t="shared" si="17"/>
        <v>High</v>
      </c>
      <c r="Q161" s="42">
        <v>523.01</v>
      </c>
      <c r="R161" s="42">
        <v>0.157</v>
      </c>
      <c r="S161" s="42">
        <v>50</v>
      </c>
      <c r="T161" s="42">
        <f t="shared" si="14"/>
        <v>43022.083500000001</v>
      </c>
      <c r="U161" s="37">
        <f t="shared" si="15"/>
        <v>14987.5</v>
      </c>
      <c r="V161" s="42">
        <f t="shared" si="18"/>
        <v>28034.583500000001</v>
      </c>
      <c r="W161" s="44">
        <f t="shared" si="19"/>
        <v>0.65163239943969709</v>
      </c>
    </row>
    <row r="162" spans="1:23" x14ac:dyDescent="0.3">
      <c r="A162" s="45" t="s">
        <v>425</v>
      </c>
      <c r="B162" s="46">
        <v>45595</v>
      </c>
      <c r="C162" s="47">
        <v>45620</v>
      </c>
      <c r="D162" s="48">
        <f t="shared" si="20"/>
        <v>25</v>
      </c>
      <c r="E162" s="48" t="str">
        <f>TEXT(Data!B162,"MMM-YYYY")</f>
        <v>Oct-2024</v>
      </c>
      <c r="F162" s="48" t="str">
        <f t="shared" si="16"/>
        <v>Q4-2024</v>
      </c>
      <c r="G162" s="38" t="s">
        <v>45</v>
      </c>
      <c r="H162" s="38" t="s">
        <v>116</v>
      </c>
      <c r="I162" s="38" t="s">
        <v>117</v>
      </c>
      <c r="J162" s="38" t="s">
        <v>62</v>
      </c>
      <c r="K162" s="38" t="s">
        <v>28</v>
      </c>
      <c r="L162" s="38" t="s">
        <v>63</v>
      </c>
      <c r="M162" s="38" t="s">
        <v>22</v>
      </c>
      <c r="N162" s="38" t="s">
        <v>426</v>
      </c>
      <c r="O162" s="48">
        <v>811.05</v>
      </c>
      <c r="P162" s="49" t="str">
        <f t="shared" si="17"/>
        <v>High</v>
      </c>
      <c r="Q162" s="48">
        <v>1217.71</v>
      </c>
      <c r="R162" s="48">
        <v>7.1999999999999995E-2</v>
      </c>
      <c r="S162" s="48">
        <v>5</v>
      </c>
      <c r="T162" s="48">
        <f t="shared" si="14"/>
        <v>6475.2592000000004</v>
      </c>
      <c r="U162" s="38">
        <f t="shared" si="15"/>
        <v>4055.25</v>
      </c>
      <c r="V162" s="48">
        <f t="shared" si="18"/>
        <v>2420.0092000000004</v>
      </c>
      <c r="W162" s="50">
        <f t="shared" si="19"/>
        <v>0.37373163378540897</v>
      </c>
    </row>
    <row r="163" spans="1:23" x14ac:dyDescent="0.3">
      <c r="A163" s="39" t="s">
        <v>427</v>
      </c>
      <c r="B163" s="40">
        <v>45385</v>
      </c>
      <c r="C163" s="41">
        <v>45389</v>
      </c>
      <c r="D163" s="42">
        <f t="shared" si="20"/>
        <v>4</v>
      </c>
      <c r="E163" s="42" t="str">
        <f>TEXT(Data!B163,"MMM-YYYY")</f>
        <v>Apr-2024</v>
      </c>
      <c r="F163" s="42" t="str">
        <f t="shared" si="16"/>
        <v>Q2-2024</v>
      </c>
      <c r="G163" s="37" t="s">
        <v>52</v>
      </c>
      <c r="H163" s="37" t="s">
        <v>73</v>
      </c>
      <c r="I163" s="37" t="s">
        <v>87</v>
      </c>
      <c r="J163" s="37" t="s">
        <v>39</v>
      </c>
      <c r="K163" s="37" t="s">
        <v>98</v>
      </c>
      <c r="L163" s="37" t="s">
        <v>126</v>
      </c>
      <c r="M163" s="37" t="s">
        <v>42</v>
      </c>
      <c r="N163" s="37" t="s">
        <v>428</v>
      </c>
      <c r="O163" s="42">
        <v>1023.27</v>
      </c>
      <c r="P163" s="43" t="str">
        <f t="shared" si="17"/>
        <v>High</v>
      </c>
      <c r="Q163" s="42">
        <v>1343.64</v>
      </c>
      <c r="R163" s="42">
        <v>0.13300000000000001</v>
      </c>
      <c r="S163" s="42">
        <v>7</v>
      </c>
      <c r="T163" s="42">
        <f t="shared" si="14"/>
        <v>13797.385980000001</v>
      </c>
      <c r="U163" s="37">
        <f t="shared" si="15"/>
        <v>7162.8899999999994</v>
      </c>
      <c r="V163" s="42">
        <f t="shared" si="18"/>
        <v>6634.4959800000015</v>
      </c>
      <c r="W163" s="44">
        <f t="shared" si="19"/>
        <v>0.48085166201895302</v>
      </c>
    </row>
    <row r="164" spans="1:23" x14ac:dyDescent="0.3">
      <c r="A164" s="45" t="s">
        <v>429</v>
      </c>
      <c r="B164" s="46">
        <v>45010</v>
      </c>
      <c r="C164" s="47">
        <v>45011</v>
      </c>
      <c r="D164" s="48">
        <f t="shared" si="20"/>
        <v>1</v>
      </c>
      <c r="E164" s="48" t="str">
        <f>TEXT(Data!B164,"MMM-YYYY")</f>
        <v>Mar-2023</v>
      </c>
      <c r="F164" s="48" t="str">
        <f t="shared" si="16"/>
        <v>Q1-2023</v>
      </c>
      <c r="G164" s="38" t="s">
        <v>45</v>
      </c>
      <c r="H164" s="38" t="s">
        <v>46</v>
      </c>
      <c r="I164" s="38" t="s">
        <v>47</v>
      </c>
      <c r="J164" s="38" t="s">
        <v>62</v>
      </c>
      <c r="K164" s="38" t="s">
        <v>55</v>
      </c>
      <c r="L164" s="38" t="s">
        <v>34</v>
      </c>
      <c r="M164" s="38" t="s">
        <v>64</v>
      </c>
      <c r="N164" s="38" t="s">
        <v>430</v>
      </c>
      <c r="O164" s="48">
        <v>135.12</v>
      </c>
      <c r="P164" s="49" t="str">
        <f t="shared" si="17"/>
        <v>High</v>
      </c>
      <c r="Q164" s="48">
        <v>301.7</v>
      </c>
      <c r="R164" s="48">
        <v>0.14000000000000001</v>
      </c>
      <c r="S164" s="48">
        <v>47</v>
      </c>
      <c r="T164" s="48">
        <f t="shared" si="14"/>
        <v>50207.703000000001</v>
      </c>
      <c r="U164" s="38">
        <f t="shared" si="15"/>
        <v>6350.64</v>
      </c>
      <c r="V164" s="48">
        <f t="shared" si="18"/>
        <v>43857.063000000002</v>
      </c>
      <c r="W164" s="50">
        <f t="shared" si="19"/>
        <v>0.87351263609888707</v>
      </c>
    </row>
    <row r="165" spans="1:23" x14ac:dyDescent="0.3">
      <c r="A165" s="39" t="s">
        <v>431</v>
      </c>
      <c r="B165" s="40">
        <v>45447</v>
      </c>
      <c r="C165" s="41">
        <v>45459</v>
      </c>
      <c r="D165" s="42">
        <f t="shared" si="20"/>
        <v>12</v>
      </c>
      <c r="E165" s="42" t="str">
        <f>TEXT(Data!B165,"MMM-YYYY")</f>
        <v>Jun-2024</v>
      </c>
      <c r="F165" s="42" t="str">
        <f t="shared" si="16"/>
        <v>Q2-2024</v>
      </c>
      <c r="G165" s="37" t="s">
        <v>45</v>
      </c>
      <c r="H165" s="37" t="s">
        <v>116</v>
      </c>
      <c r="I165" s="37" t="s">
        <v>162</v>
      </c>
      <c r="J165" s="37" t="s">
        <v>19</v>
      </c>
      <c r="K165" s="37" t="s">
        <v>20</v>
      </c>
      <c r="L165" s="37" t="s">
        <v>29</v>
      </c>
      <c r="M165" s="37" t="s">
        <v>30</v>
      </c>
      <c r="N165" s="37" t="s">
        <v>432</v>
      </c>
      <c r="O165" s="42">
        <v>918.42</v>
      </c>
      <c r="P165" s="43" t="str">
        <f t="shared" si="17"/>
        <v>High</v>
      </c>
      <c r="Q165" s="42">
        <v>1511.71</v>
      </c>
      <c r="R165" s="42">
        <v>0.02</v>
      </c>
      <c r="S165" s="42">
        <v>8</v>
      </c>
      <c r="T165" s="42">
        <f t="shared" si="14"/>
        <v>10272.6736</v>
      </c>
      <c r="U165" s="37">
        <f t="shared" si="15"/>
        <v>7347.36</v>
      </c>
      <c r="V165" s="42">
        <f t="shared" si="18"/>
        <v>2925.3136000000004</v>
      </c>
      <c r="W165" s="44">
        <f t="shared" si="19"/>
        <v>0.28476652855007489</v>
      </c>
    </row>
    <row r="166" spans="1:23" x14ac:dyDescent="0.3">
      <c r="A166" s="45" t="s">
        <v>433</v>
      </c>
      <c r="B166" s="46">
        <v>44976</v>
      </c>
      <c r="C166" s="47">
        <v>44997</v>
      </c>
      <c r="D166" s="48">
        <f t="shared" si="20"/>
        <v>21</v>
      </c>
      <c r="E166" s="48" t="str">
        <f>TEXT(Data!B166,"MMM-YYYY")</f>
        <v>Feb-2023</v>
      </c>
      <c r="F166" s="48" t="str">
        <f t="shared" si="16"/>
        <v>Q1-2023</v>
      </c>
      <c r="G166" s="38" t="s">
        <v>78</v>
      </c>
      <c r="H166" s="38" t="s">
        <v>79</v>
      </c>
      <c r="I166" s="38" t="s">
        <v>80</v>
      </c>
      <c r="J166" s="38" t="s">
        <v>62</v>
      </c>
      <c r="K166" s="38" t="s">
        <v>98</v>
      </c>
      <c r="L166" s="38" t="s">
        <v>49</v>
      </c>
      <c r="M166" s="38" t="s">
        <v>64</v>
      </c>
      <c r="N166" s="38" t="s">
        <v>434</v>
      </c>
      <c r="O166" s="48">
        <v>1234.81</v>
      </c>
      <c r="P166" s="49" t="str">
        <f t="shared" si="17"/>
        <v>High</v>
      </c>
      <c r="Q166" s="48">
        <v>2055.2399999999998</v>
      </c>
      <c r="R166" s="48">
        <v>5.2999999999999999E-2</v>
      </c>
      <c r="S166" s="48">
        <v>44</v>
      </c>
      <c r="T166" s="48">
        <f t="shared" si="14"/>
        <v>40303.373</v>
      </c>
      <c r="U166" s="38">
        <f t="shared" si="15"/>
        <v>54331.64</v>
      </c>
      <c r="V166" s="48">
        <f t="shared" si="18"/>
        <v>-14028.267</v>
      </c>
      <c r="W166" s="50">
        <f t="shared" si="19"/>
        <v>-0.34806682309195314</v>
      </c>
    </row>
    <row r="167" spans="1:23" x14ac:dyDescent="0.3">
      <c r="A167" s="39" t="s">
        <v>435</v>
      </c>
      <c r="B167" s="40">
        <v>45034</v>
      </c>
      <c r="C167" s="41">
        <v>45064</v>
      </c>
      <c r="D167" s="42">
        <f t="shared" si="20"/>
        <v>0</v>
      </c>
      <c r="E167" s="42" t="str">
        <f>TEXT(Data!B167,"MMM-YYYY")</f>
        <v>Apr-2023</v>
      </c>
      <c r="F167" s="42" t="str">
        <f t="shared" si="16"/>
        <v>Q2-2023</v>
      </c>
      <c r="G167" s="37" t="s">
        <v>45</v>
      </c>
      <c r="H167" s="37" t="s">
        <v>116</v>
      </c>
      <c r="I167" s="37" t="s">
        <v>117</v>
      </c>
      <c r="J167" s="37" t="s">
        <v>39</v>
      </c>
      <c r="K167" s="37" t="s">
        <v>20</v>
      </c>
      <c r="L167" s="37" t="s">
        <v>92</v>
      </c>
      <c r="M167" s="37" t="s">
        <v>57</v>
      </c>
      <c r="N167" s="37" t="s">
        <v>436</v>
      </c>
      <c r="O167" s="42">
        <v>329.03</v>
      </c>
      <c r="P167" s="43" t="str">
        <f t="shared" si="17"/>
        <v>High</v>
      </c>
      <c r="Q167" s="42">
        <v>391.15</v>
      </c>
      <c r="R167" s="42">
        <v>0.19700000000000001</v>
      </c>
      <c r="S167" s="42">
        <v>46</v>
      </c>
      <c r="T167" s="42">
        <f t="shared" si="14"/>
        <v>32735.194359999998</v>
      </c>
      <c r="U167" s="37">
        <f t="shared" si="15"/>
        <v>15135.38</v>
      </c>
      <c r="V167" s="42">
        <f t="shared" si="18"/>
        <v>17599.814359999997</v>
      </c>
      <c r="W167" s="44">
        <f t="shared" si="19"/>
        <v>0.53764196926552166</v>
      </c>
    </row>
    <row r="168" spans="1:23" x14ac:dyDescent="0.3">
      <c r="A168" s="45" t="s">
        <v>437</v>
      </c>
      <c r="B168" s="46">
        <v>45435</v>
      </c>
      <c r="C168" s="47">
        <v>45457</v>
      </c>
      <c r="D168" s="48">
        <f t="shared" si="20"/>
        <v>22</v>
      </c>
      <c r="E168" s="48" t="str">
        <f>TEXT(Data!B168,"MMM-YYYY")</f>
        <v>May-2024</v>
      </c>
      <c r="F168" s="48" t="str">
        <f t="shared" si="16"/>
        <v>Q2-2024</v>
      </c>
      <c r="G168" s="38" t="s">
        <v>78</v>
      </c>
      <c r="H168" s="38" t="s">
        <v>90</v>
      </c>
      <c r="I168" s="38" t="s">
        <v>91</v>
      </c>
      <c r="J168" s="38" t="s">
        <v>62</v>
      </c>
      <c r="K168" s="38" t="s">
        <v>28</v>
      </c>
      <c r="L168" s="38" t="s">
        <v>126</v>
      </c>
      <c r="M168" s="38" t="s">
        <v>64</v>
      </c>
      <c r="N168" s="38" t="s">
        <v>438</v>
      </c>
      <c r="O168" s="48">
        <v>1481.74</v>
      </c>
      <c r="P168" s="49" t="str">
        <f t="shared" si="17"/>
        <v>High</v>
      </c>
      <c r="Q168" s="48">
        <v>1848.97</v>
      </c>
      <c r="R168" s="48">
        <v>0.254</v>
      </c>
      <c r="S168" s="48">
        <v>9</v>
      </c>
      <c r="T168" s="48">
        <f t="shared" si="14"/>
        <v>5308.1555399999997</v>
      </c>
      <c r="U168" s="38">
        <f t="shared" si="15"/>
        <v>13335.66</v>
      </c>
      <c r="V168" s="48">
        <f t="shared" si="18"/>
        <v>-8027.5044600000001</v>
      </c>
      <c r="W168" s="50">
        <f t="shared" si="19"/>
        <v>-1.5122963898680333</v>
      </c>
    </row>
    <row r="169" spans="1:23" x14ac:dyDescent="0.3">
      <c r="A169" s="39" t="s">
        <v>439</v>
      </c>
      <c r="B169" s="40">
        <v>45206</v>
      </c>
      <c r="C169" s="41">
        <v>45222</v>
      </c>
      <c r="D169" s="42">
        <f t="shared" si="20"/>
        <v>16</v>
      </c>
      <c r="E169" s="42" t="str">
        <f>TEXT(Data!B169,"MMM-YYYY")</f>
        <v>Oct-2023</v>
      </c>
      <c r="F169" s="42" t="str">
        <f t="shared" si="16"/>
        <v>Q4-2023</v>
      </c>
      <c r="G169" s="37" t="s">
        <v>45</v>
      </c>
      <c r="H169" s="37" t="s">
        <v>60</v>
      </c>
      <c r="I169" s="37" t="s">
        <v>281</v>
      </c>
      <c r="J169" s="37" t="s">
        <v>48</v>
      </c>
      <c r="K169" s="37" t="s">
        <v>20</v>
      </c>
      <c r="L169" s="37" t="s">
        <v>41</v>
      </c>
      <c r="M169" s="37" t="s">
        <v>64</v>
      </c>
      <c r="N169" s="37" t="s">
        <v>440</v>
      </c>
      <c r="O169" s="42">
        <v>906.81</v>
      </c>
      <c r="P169" s="43" t="str">
        <f t="shared" si="17"/>
        <v>High</v>
      </c>
      <c r="Q169" s="42">
        <v>1395.56</v>
      </c>
      <c r="R169" s="42">
        <v>0.185</v>
      </c>
      <c r="S169" s="42">
        <v>6</v>
      </c>
      <c r="T169" s="42">
        <f t="shared" si="14"/>
        <v>1766.9036999999998</v>
      </c>
      <c r="U169" s="37">
        <f t="shared" si="15"/>
        <v>5440.86</v>
      </c>
      <c r="V169" s="42">
        <f t="shared" si="18"/>
        <v>-3673.9562999999998</v>
      </c>
      <c r="W169" s="44">
        <f t="shared" si="19"/>
        <v>-2.079318923832691</v>
      </c>
    </row>
    <row r="170" spans="1:23" x14ac:dyDescent="0.3">
      <c r="A170" s="45" t="s">
        <v>441</v>
      </c>
      <c r="B170" s="46">
        <v>45574</v>
      </c>
      <c r="C170" s="47">
        <v>45604</v>
      </c>
      <c r="D170" s="48">
        <f t="shared" si="20"/>
        <v>30</v>
      </c>
      <c r="E170" s="48" t="str">
        <f>TEXT(Data!B170,"MMM-YYYY")</f>
        <v>Oct-2024</v>
      </c>
      <c r="F170" s="48" t="str">
        <f t="shared" si="16"/>
        <v>Q4-2024</v>
      </c>
      <c r="G170" s="38" t="s">
        <v>78</v>
      </c>
      <c r="H170" s="38" t="s">
        <v>108</v>
      </c>
      <c r="I170" s="38" t="s">
        <v>228</v>
      </c>
      <c r="J170" s="38" t="s">
        <v>62</v>
      </c>
      <c r="K170" s="38" t="s">
        <v>55</v>
      </c>
      <c r="L170" s="38" t="s">
        <v>29</v>
      </c>
      <c r="M170" s="38" t="s">
        <v>22</v>
      </c>
      <c r="N170" s="38" t="s">
        <v>442</v>
      </c>
      <c r="O170" s="48">
        <v>343.85</v>
      </c>
      <c r="P170" s="49" t="str">
        <f t="shared" si="17"/>
        <v>High</v>
      </c>
      <c r="Q170" s="48">
        <v>538.04</v>
      </c>
      <c r="R170" s="48">
        <v>0.13900000000000001</v>
      </c>
      <c r="S170" s="48">
        <v>5</v>
      </c>
      <c r="T170" s="48">
        <f t="shared" si="14"/>
        <v>8403.5321999999996</v>
      </c>
      <c r="U170" s="38">
        <f t="shared" si="15"/>
        <v>1719.25</v>
      </c>
      <c r="V170" s="48">
        <f t="shared" si="18"/>
        <v>6684.2821999999996</v>
      </c>
      <c r="W170" s="50">
        <f t="shared" si="19"/>
        <v>0.79541340961363838</v>
      </c>
    </row>
    <row r="171" spans="1:23" x14ac:dyDescent="0.3">
      <c r="A171" s="39" t="s">
        <v>443</v>
      </c>
      <c r="B171" s="40">
        <v>45488</v>
      </c>
      <c r="C171" s="41">
        <v>45488</v>
      </c>
      <c r="D171" s="42">
        <f t="shared" si="20"/>
        <v>0</v>
      </c>
      <c r="E171" s="42" t="str">
        <f>TEXT(Data!B171,"MMM-YYYY")</f>
        <v>Jul-2024</v>
      </c>
      <c r="F171" s="42" t="str">
        <f t="shared" si="16"/>
        <v>Q3-2024</v>
      </c>
      <c r="G171" s="37" t="s">
        <v>45</v>
      </c>
      <c r="H171" s="37" t="s">
        <v>46</v>
      </c>
      <c r="I171" s="37" t="s">
        <v>214</v>
      </c>
      <c r="J171" s="37" t="s">
        <v>62</v>
      </c>
      <c r="K171" s="37" t="s">
        <v>40</v>
      </c>
      <c r="L171" s="37" t="s">
        <v>41</v>
      </c>
      <c r="M171" s="37" t="s">
        <v>81</v>
      </c>
      <c r="N171" s="37" t="s">
        <v>444</v>
      </c>
      <c r="O171" s="42">
        <v>801.77</v>
      </c>
      <c r="P171" s="43" t="str">
        <f t="shared" si="17"/>
        <v>High</v>
      </c>
      <c r="Q171" s="42">
        <v>1218.92</v>
      </c>
      <c r="R171" s="42">
        <v>0.254</v>
      </c>
      <c r="S171" s="42">
        <v>16</v>
      </c>
      <c r="T171" s="42">
        <f t="shared" si="14"/>
        <v>18676.97536</v>
      </c>
      <c r="U171" s="37">
        <f t="shared" si="15"/>
        <v>12828.32</v>
      </c>
      <c r="V171" s="42">
        <f t="shared" si="18"/>
        <v>5848.6553600000007</v>
      </c>
      <c r="W171" s="44">
        <f t="shared" si="19"/>
        <v>0.31314788648947495</v>
      </c>
    </row>
    <row r="172" spans="1:23" x14ac:dyDescent="0.3">
      <c r="A172" s="45" t="s">
        <v>445</v>
      </c>
      <c r="B172" s="46">
        <v>45190</v>
      </c>
      <c r="C172" s="47">
        <v>45209</v>
      </c>
      <c r="D172" s="48">
        <f t="shared" si="20"/>
        <v>19</v>
      </c>
      <c r="E172" s="48" t="str">
        <f>TEXT(Data!B172,"MMM-YYYY")</f>
        <v>Sept-2023</v>
      </c>
      <c r="F172" s="48" t="str">
        <f t="shared" si="16"/>
        <v>Q3-2023</v>
      </c>
      <c r="G172" s="38" t="s">
        <v>45</v>
      </c>
      <c r="H172" s="38" t="s">
        <v>46</v>
      </c>
      <c r="I172" s="38" t="s">
        <v>214</v>
      </c>
      <c r="J172" s="38" t="s">
        <v>27</v>
      </c>
      <c r="K172" s="38" t="s">
        <v>28</v>
      </c>
      <c r="L172" s="38" t="s">
        <v>145</v>
      </c>
      <c r="M172" s="38" t="s">
        <v>22</v>
      </c>
      <c r="N172" s="38" t="s">
        <v>446</v>
      </c>
      <c r="O172" s="48">
        <v>845.63</v>
      </c>
      <c r="P172" s="49" t="str">
        <f t="shared" si="17"/>
        <v>High</v>
      </c>
      <c r="Q172" s="48">
        <v>2062.12</v>
      </c>
      <c r="R172" s="48">
        <v>0.13400000000000001</v>
      </c>
      <c r="S172" s="48">
        <v>5</v>
      </c>
      <c r="T172" s="48">
        <f t="shared" si="14"/>
        <v>3691.4982</v>
      </c>
      <c r="U172" s="38">
        <f t="shared" si="15"/>
        <v>4228.1499999999996</v>
      </c>
      <c r="V172" s="48">
        <f t="shared" si="18"/>
        <v>-536.65179999999964</v>
      </c>
      <c r="W172" s="50">
        <f t="shared" si="19"/>
        <v>-0.1453750674996942</v>
      </c>
    </row>
    <row r="173" spans="1:23" x14ac:dyDescent="0.3">
      <c r="A173" s="39" t="s">
        <v>447</v>
      </c>
      <c r="B173" s="40">
        <v>44981</v>
      </c>
      <c r="C173" s="41">
        <v>44994</v>
      </c>
      <c r="D173" s="42">
        <f t="shared" si="20"/>
        <v>13</v>
      </c>
      <c r="E173" s="42" t="str">
        <f>TEXT(Data!B173,"MMM-YYYY")</f>
        <v>Feb-2023</v>
      </c>
      <c r="F173" s="42" t="str">
        <f t="shared" si="16"/>
        <v>Q1-2023</v>
      </c>
      <c r="G173" s="37" t="s">
        <v>52</v>
      </c>
      <c r="H173" s="37" t="s">
        <v>122</v>
      </c>
      <c r="I173" s="37" t="s">
        <v>387</v>
      </c>
      <c r="J173" s="37" t="s">
        <v>105</v>
      </c>
      <c r="K173" s="37" t="s">
        <v>28</v>
      </c>
      <c r="L173" s="37" t="s">
        <v>110</v>
      </c>
      <c r="M173" s="37" t="s">
        <v>22</v>
      </c>
      <c r="N173" s="37" t="s">
        <v>448</v>
      </c>
      <c r="O173" s="42">
        <v>6.85</v>
      </c>
      <c r="P173" s="43" t="str">
        <f t="shared" si="17"/>
        <v>Low</v>
      </c>
      <c r="Q173" s="42">
        <v>10.18</v>
      </c>
      <c r="R173" s="42">
        <v>4.7E-2</v>
      </c>
      <c r="S173" s="42">
        <v>10</v>
      </c>
      <c r="T173" s="42">
        <f t="shared" si="14"/>
        <v>13964.213699999998</v>
      </c>
      <c r="U173" s="37">
        <f t="shared" si="15"/>
        <v>68.5</v>
      </c>
      <c r="V173" s="42">
        <f t="shared" si="18"/>
        <v>13895.713699999998</v>
      </c>
      <c r="W173" s="44">
        <f t="shared" si="19"/>
        <v>0.99509460385871928</v>
      </c>
    </row>
    <row r="174" spans="1:23" x14ac:dyDescent="0.3">
      <c r="A174" s="45" t="s">
        <v>449</v>
      </c>
      <c r="B174" s="46">
        <v>45798</v>
      </c>
      <c r="C174" s="47">
        <v>45796</v>
      </c>
      <c r="D174" s="48">
        <f>DATEDIF(C174,B174, "MD")</f>
        <v>2</v>
      </c>
      <c r="E174" s="48" t="str">
        <f>TEXT(Data!B174,"MMM-YYYY")</f>
        <v>May-2025</v>
      </c>
      <c r="F174" s="48" t="str">
        <f t="shared" si="16"/>
        <v>Q2-2025</v>
      </c>
      <c r="G174" s="38" t="s">
        <v>16</v>
      </c>
      <c r="H174" s="38" t="s">
        <v>148</v>
      </c>
      <c r="I174" s="38" t="s">
        <v>149</v>
      </c>
      <c r="J174" s="38" t="s">
        <v>39</v>
      </c>
      <c r="K174" s="38" t="s">
        <v>55</v>
      </c>
      <c r="L174" s="38" t="s">
        <v>68</v>
      </c>
      <c r="M174" s="38" t="s">
        <v>57</v>
      </c>
      <c r="N174" s="38" t="s">
        <v>450</v>
      </c>
      <c r="O174" s="48">
        <v>1263.8399999999999</v>
      </c>
      <c r="P174" s="49" t="str">
        <f t="shared" si="17"/>
        <v>High</v>
      </c>
      <c r="Q174" s="48">
        <v>2281.7199999999998</v>
      </c>
      <c r="R174" s="48">
        <v>7.8E-2</v>
      </c>
      <c r="S174" s="48">
        <v>15</v>
      </c>
      <c r="T174" s="48">
        <f t="shared" si="14"/>
        <v>36583.530899999998</v>
      </c>
      <c r="U174" s="38">
        <f t="shared" si="15"/>
        <v>18957.599999999999</v>
      </c>
      <c r="V174" s="48">
        <f t="shared" si="18"/>
        <v>17625.930899999999</v>
      </c>
      <c r="W174" s="50">
        <f t="shared" si="19"/>
        <v>0.48179960945213191</v>
      </c>
    </row>
    <row r="175" spans="1:23" x14ac:dyDescent="0.3">
      <c r="A175" s="39" t="s">
        <v>451</v>
      </c>
      <c r="B175" s="40">
        <v>45435</v>
      </c>
      <c r="C175" s="41">
        <v>45446</v>
      </c>
      <c r="D175" s="42">
        <f t="shared" si="20"/>
        <v>11</v>
      </c>
      <c r="E175" s="42" t="str">
        <f>TEXT(Data!B175,"MMM-YYYY")</f>
        <v>May-2024</v>
      </c>
      <c r="F175" s="42" t="str">
        <f t="shared" si="16"/>
        <v>Q2-2024</v>
      </c>
      <c r="G175" s="37" t="s">
        <v>16</v>
      </c>
      <c r="H175" s="37" t="s">
        <v>148</v>
      </c>
      <c r="I175" s="37" t="s">
        <v>149</v>
      </c>
      <c r="J175" s="37" t="s">
        <v>62</v>
      </c>
      <c r="K175" s="37" t="s">
        <v>55</v>
      </c>
      <c r="L175" s="37" t="s">
        <v>84</v>
      </c>
      <c r="M175" s="37" t="s">
        <v>30</v>
      </c>
      <c r="N175" s="37" t="s">
        <v>452</v>
      </c>
      <c r="O175" s="42">
        <v>180.89</v>
      </c>
      <c r="P175" s="43" t="str">
        <f t="shared" si="17"/>
        <v>High</v>
      </c>
      <c r="Q175" s="42">
        <v>249.57</v>
      </c>
      <c r="R175" s="42">
        <v>2.1999999999999999E-2</v>
      </c>
      <c r="S175" s="42">
        <v>8</v>
      </c>
      <c r="T175" s="42">
        <f t="shared" si="14"/>
        <v>6897.4036800000003</v>
      </c>
      <c r="U175" s="37">
        <f t="shared" si="15"/>
        <v>1447.12</v>
      </c>
      <c r="V175" s="42">
        <f t="shared" si="18"/>
        <v>5450.2836800000005</v>
      </c>
      <c r="W175" s="44">
        <f t="shared" si="19"/>
        <v>0.79019351815000627</v>
      </c>
    </row>
    <row r="176" spans="1:23" x14ac:dyDescent="0.3">
      <c r="A176" s="45" t="s">
        <v>453</v>
      </c>
      <c r="B176" s="46">
        <v>45761</v>
      </c>
      <c r="C176" s="47">
        <v>45781</v>
      </c>
      <c r="D176" s="48">
        <f t="shared" si="20"/>
        <v>20</v>
      </c>
      <c r="E176" s="48" t="str">
        <f>TEXT(Data!B176,"MMM-YYYY")</f>
        <v>Apr-2025</v>
      </c>
      <c r="F176" s="48" t="str">
        <f t="shared" si="16"/>
        <v>Q2-2025</v>
      </c>
      <c r="G176" s="38" t="s">
        <v>78</v>
      </c>
      <c r="H176" s="38" t="s">
        <v>108</v>
      </c>
      <c r="I176" s="38" t="s">
        <v>109</v>
      </c>
      <c r="J176" s="38" t="s">
        <v>105</v>
      </c>
      <c r="K176" s="38" t="s">
        <v>40</v>
      </c>
      <c r="L176" s="38" t="s">
        <v>95</v>
      </c>
      <c r="M176" s="38" t="s">
        <v>64</v>
      </c>
      <c r="N176" s="38" t="s">
        <v>454</v>
      </c>
      <c r="O176" s="48">
        <v>1413.87</v>
      </c>
      <c r="P176" s="49" t="str">
        <f t="shared" si="17"/>
        <v>High</v>
      </c>
      <c r="Q176" s="48">
        <v>3275</v>
      </c>
      <c r="R176" s="48">
        <v>0.255</v>
      </c>
      <c r="S176" s="48">
        <v>38</v>
      </c>
      <c r="T176" s="48">
        <f t="shared" si="14"/>
        <v>17694.882399999999</v>
      </c>
      <c r="U176" s="38">
        <f t="shared" si="15"/>
        <v>53727.06</v>
      </c>
      <c r="V176" s="48">
        <f t="shared" si="18"/>
        <v>-36032.177599999995</v>
      </c>
      <c r="W176" s="50">
        <f t="shared" si="19"/>
        <v>-2.0363050053387188</v>
      </c>
    </row>
    <row r="177" spans="1:23" x14ac:dyDescent="0.3">
      <c r="A177" s="39" t="s">
        <v>455</v>
      </c>
      <c r="B177" s="40">
        <v>45165</v>
      </c>
      <c r="C177" s="41">
        <v>45180</v>
      </c>
      <c r="D177" s="42">
        <f t="shared" si="20"/>
        <v>15</v>
      </c>
      <c r="E177" s="42" t="str">
        <f>TEXT(Data!B177,"MMM-YYYY")</f>
        <v>Aug-2023</v>
      </c>
      <c r="F177" s="42" t="str">
        <f t="shared" si="16"/>
        <v>Q3-2023</v>
      </c>
      <c r="G177" s="37" t="s">
        <v>78</v>
      </c>
      <c r="H177" s="37" t="s">
        <v>108</v>
      </c>
      <c r="I177" s="37" t="s">
        <v>152</v>
      </c>
      <c r="J177" s="37" t="s">
        <v>48</v>
      </c>
      <c r="K177" s="37" t="s">
        <v>40</v>
      </c>
      <c r="L177" s="37" t="s">
        <v>126</v>
      </c>
      <c r="M177" s="37" t="s">
        <v>30</v>
      </c>
      <c r="N177" s="37" t="s">
        <v>456</v>
      </c>
      <c r="O177" s="42">
        <v>943.79</v>
      </c>
      <c r="P177" s="43" t="str">
        <f t="shared" si="17"/>
        <v>High</v>
      </c>
      <c r="Q177" s="42">
        <v>1913.76</v>
      </c>
      <c r="R177" s="42">
        <v>9.0999999999999998E-2</v>
      </c>
      <c r="S177" s="42">
        <v>9</v>
      </c>
      <c r="T177" s="42">
        <f t="shared" si="14"/>
        <v>7960.4402400000008</v>
      </c>
      <c r="U177" s="37">
        <f t="shared" si="15"/>
        <v>8494.11</v>
      </c>
      <c r="V177" s="42">
        <f t="shared" si="18"/>
        <v>-533.66975999999977</v>
      </c>
      <c r="W177" s="44">
        <f t="shared" si="19"/>
        <v>-6.7040231935715122E-2</v>
      </c>
    </row>
    <row r="178" spans="1:23" x14ac:dyDescent="0.3">
      <c r="A178" s="45" t="s">
        <v>457</v>
      </c>
      <c r="B178" s="46">
        <v>45325</v>
      </c>
      <c r="C178" s="47">
        <v>45343</v>
      </c>
      <c r="D178" s="48">
        <f t="shared" si="20"/>
        <v>18</v>
      </c>
      <c r="E178" s="48" t="str">
        <f>TEXT(Data!B178,"MMM-YYYY")</f>
        <v>Feb-2024</v>
      </c>
      <c r="F178" s="48" t="str">
        <f t="shared" si="16"/>
        <v>Q1-2024</v>
      </c>
      <c r="G178" s="38" t="s">
        <v>78</v>
      </c>
      <c r="H178" s="38" t="s">
        <v>79</v>
      </c>
      <c r="I178" s="38" t="s">
        <v>335</v>
      </c>
      <c r="J178" s="38" t="s">
        <v>19</v>
      </c>
      <c r="K178" s="38" t="s">
        <v>20</v>
      </c>
      <c r="L178" s="38" t="s">
        <v>92</v>
      </c>
      <c r="M178" s="38" t="s">
        <v>22</v>
      </c>
      <c r="N178" s="38" t="s">
        <v>458</v>
      </c>
      <c r="O178" s="48">
        <v>39.229999999999997</v>
      </c>
      <c r="P178" s="49" t="str">
        <f t="shared" si="17"/>
        <v>Low</v>
      </c>
      <c r="Q178" s="48">
        <v>30.09</v>
      </c>
      <c r="R178" s="48">
        <v>0.17699999999999999</v>
      </c>
      <c r="S178" s="48">
        <v>13</v>
      </c>
      <c r="T178" s="48">
        <f t="shared" si="14"/>
        <v>16533.592659999998</v>
      </c>
      <c r="U178" s="38">
        <f t="shared" si="15"/>
        <v>509.98999999999995</v>
      </c>
      <c r="V178" s="48">
        <f t="shared" si="18"/>
        <v>16023.602659999999</v>
      </c>
      <c r="W178" s="50">
        <f t="shared" si="19"/>
        <v>0.96915431446222655</v>
      </c>
    </row>
    <row r="179" spans="1:23" x14ac:dyDescent="0.3">
      <c r="A179" s="39" t="s">
        <v>459</v>
      </c>
      <c r="B179" s="40">
        <v>45021</v>
      </c>
      <c r="C179" s="41">
        <v>45032</v>
      </c>
      <c r="D179" s="42">
        <f t="shared" si="20"/>
        <v>11</v>
      </c>
      <c r="E179" s="42" t="str">
        <f>TEXT(Data!B179,"MMM-YYYY")</f>
        <v>Apr-2023</v>
      </c>
      <c r="F179" s="42" t="str">
        <f t="shared" si="16"/>
        <v>Q2-2023</v>
      </c>
      <c r="G179" s="37" t="s">
        <v>52</v>
      </c>
      <c r="H179" s="37" t="s">
        <v>53</v>
      </c>
      <c r="I179" s="37" t="s">
        <v>179</v>
      </c>
      <c r="J179" s="37" t="s">
        <v>39</v>
      </c>
      <c r="K179" s="37" t="s">
        <v>28</v>
      </c>
      <c r="L179" s="37" t="s">
        <v>68</v>
      </c>
      <c r="M179" s="37" t="s">
        <v>64</v>
      </c>
      <c r="N179" s="37" t="s">
        <v>460</v>
      </c>
      <c r="O179" s="42">
        <v>213.1</v>
      </c>
      <c r="P179" s="43" t="str">
        <f t="shared" si="17"/>
        <v>High</v>
      </c>
      <c r="Q179" s="42">
        <v>501.31</v>
      </c>
      <c r="R179" s="42">
        <v>5.6000000000000001E-2</v>
      </c>
      <c r="S179" s="42">
        <v>15</v>
      </c>
      <c r="T179" s="42">
        <f t="shared" si="14"/>
        <v>31908.427200000002</v>
      </c>
      <c r="U179" s="37">
        <f t="shared" si="15"/>
        <v>3196.5</v>
      </c>
      <c r="V179" s="42">
        <f t="shared" si="18"/>
        <v>28711.927200000002</v>
      </c>
      <c r="W179" s="44">
        <f t="shared" si="19"/>
        <v>0.89982270263700115</v>
      </c>
    </row>
    <row r="180" spans="1:23" x14ac:dyDescent="0.3">
      <c r="A180" s="45" t="s">
        <v>461</v>
      </c>
      <c r="B180" s="46">
        <v>45890</v>
      </c>
      <c r="C180" s="47">
        <v>45912</v>
      </c>
      <c r="D180" s="48">
        <f t="shared" si="20"/>
        <v>22</v>
      </c>
      <c r="E180" s="48" t="str">
        <f>TEXT(Data!B180,"MMM-YYYY")</f>
        <v>Aug-2025</v>
      </c>
      <c r="F180" s="48" t="str">
        <f t="shared" si="16"/>
        <v>Q3-2025</v>
      </c>
      <c r="G180" s="38" t="s">
        <v>45</v>
      </c>
      <c r="H180" s="38" t="s">
        <v>116</v>
      </c>
      <c r="I180" s="38" t="s">
        <v>117</v>
      </c>
      <c r="J180" s="38" t="s">
        <v>27</v>
      </c>
      <c r="K180" s="38" t="s">
        <v>20</v>
      </c>
      <c r="L180" s="38" t="s">
        <v>56</v>
      </c>
      <c r="M180" s="38" t="s">
        <v>30</v>
      </c>
      <c r="N180" s="38" t="s">
        <v>462</v>
      </c>
      <c r="O180" s="48">
        <v>352.66</v>
      </c>
      <c r="P180" s="49" t="str">
        <f t="shared" si="17"/>
        <v>High</v>
      </c>
      <c r="Q180" s="48">
        <v>411.18</v>
      </c>
      <c r="R180" s="48">
        <v>0.17299999999999999</v>
      </c>
      <c r="S180" s="48">
        <v>13</v>
      </c>
      <c r="T180" s="48">
        <f t="shared" si="14"/>
        <v>26302.966559999997</v>
      </c>
      <c r="U180" s="38">
        <f t="shared" si="15"/>
        <v>4584.58</v>
      </c>
      <c r="V180" s="48">
        <f t="shared" si="18"/>
        <v>21718.386559999999</v>
      </c>
      <c r="W180" s="50">
        <f t="shared" si="19"/>
        <v>0.82570102921501043</v>
      </c>
    </row>
    <row r="181" spans="1:23" x14ac:dyDescent="0.3">
      <c r="A181" s="39" t="s">
        <v>463</v>
      </c>
      <c r="B181" s="40">
        <v>45915</v>
      </c>
      <c r="C181" s="41">
        <v>45918</v>
      </c>
      <c r="D181" s="42">
        <f t="shared" si="20"/>
        <v>3</v>
      </c>
      <c r="E181" s="42" t="str">
        <f>TEXT(Data!B181,"MMM-YYYY")</f>
        <v>Sept-2025</v>
      </c>
      <c r="F181" s="42" t="str">
        <f t="shared" si="16"/>
        <v>Q3-2025</v>
      </c>
      <c r="G181" s="37" t="s">
        <v>52</v>
      </c>
      <c r="H181" s="37" t="s">
        <v>73</v>
      </c>
      <c r="I181" s="37" t="s">
        <v>225</v>
      </c>
      <c r="J181" s="37" t="s">
        <v>39</v>
      </c>
      <c r="K181" s="37" t="s">
        <v>98</v>
      </c>
      <c r="L181" s="37" t="s">
        <v>49</v>
      </c>
      <c r="M181" s="37" t="s">
        <v>81</v>
      </c>
      <c r="N181" s="37" t="s">
        <v>464</v>
      </c>
      <c r="O181" s="42">
        <v>5.5</v>
      </c>
      <c r="P181" s="43" t="str">
        <f t="shared" si="17"/>
        <v>Low</v>
      </c>
      <c r="Q181" s="42">
        <v>5.92</v>
      </c>
      <c r="R181" s="42">
        <v>0.21199999999999999</v>
      </c>
      <c r="S181" s="42">
        <v>4</v>
      </c>
      <c r="T181" s="42">
        <f t="shared" si="14"/>
        <v>593.52160000000003</v>
      </c>
      <c r="U181" s="37">
        <f t="shared" si="15"/>
        <v>22</v>
      </c>
      <c r="V181" s="42">
        <f t="shared" si="18"/>
        <v>571.52160000000003</v>
      </c>
      <c r="W181" s="44">
        <f t="shared" si="19"/>
        <v>0.96293310976382329</v>
      </c>
    </row>
    <row r="182" spans="1:23" x14ac:dyDescent="0.3">
      <c r="A182" s="45" t="s">
        <v>465</v>
      </c>
      <c r="B182" s="46">
        <v>45568</v>
      </c>
      <c r="C182" s="47">
        <v>45576</v>
      </c>
      <c r="D182" s="48">
        <f t="shared" si="20"/>
        <v>8</v>
      </c>
      <c r="E182" s="48" t="str">
        <f>TEXT(Data!B182,"MMM-YYYY")</f>
        <v>Oct-2024</v>
      </c>
      <c r="F182" s="48" t="str">
        <f t="shared" si="16"/>
        <v>Q4-2024</v>
      </c>
      <c r="G182" s="38" t="s">
        <v>45</v>
      </c>
      <c r="H182" s="38" t="s">
        <v>116</v>
      </c>
      <c r="I182" s="38" t="s">
        <v>338</v>
      </c>
      <c r="J182" s="38" t="s">
        <v>105</v>
      </c>
      <c r="K182" s="38" t="s">
        <v>98</v>
      </c>
      <c r="L182" s="38" t="s">
        <v>56</v>
      </c>
      <c r="M182" s="38" t="s">
        <v>42</v>
      </c>
      <c r="N182" s="38" t="s">
        <v>466</v>
      </c>
      <c r="O182" s="48">
        <v>1132.6099999999999</v>
      </c>
      <c r="P182" s="49" t="str">
        <f t="shared" si="17"/>
        <v>High</v>
      </c>
      <c r="Q182" s="48">
        <v>2206.63</v>
      </c>
      <c r="R182" s="48">
        <v>6.3E-2</v>
      </c>
      <c r="S182" s="48">
        <v>20</v>
      </c>
      <c r="T182" s="48">
        <f t="shared" si="14"/>
        <v>48027.621600000006</v>
      </c>
      <c r="U182" s="38">
        <f t="shared" si="15"/>
        <v>22652.199999999997</v>
      </c>
      <c r="V182" s="48">
        <f t="shared" si="18"/>
        <v>25375.421600000009</v>
      </c>
      <c r="W182" s="50">
        <f t="shared" si="19"/>
        <v>0.52835057732694402</v>
      </c>
    </row>
    <row r="183" spans="1:23" x14ac:dyDescent="0.3">
      <c r="A183" s="39" t="s">
        <v>467</v>
      </c>
      <c r="B183" s="40">
        <v>45690</v>
      </c>
      <c r="C183" s="41">
        <v>45720</v>
      </c>
      <c r="D183" s="42">
        <f t="shared" si="20"/>
        <v>2</v>
      </c>
      <c r="E183" s="42" t="str">
        <f>TEXT(Data!B183,"MMM-YYYY")</f>
        <v>Feb-2025</v>
      </c>
      <c r="F183" s="42" t="str">
        <f t="shared" si="16"/>
        <v>Q1-2025</v>
      </c>
      <c r="G183" s="37" t="s">
        <v>45</v>
      </c>
      <c r="H183" s="37" t="s">
        <v>46</v>
      </c>
      <c r="I183" s="37" t="s">
        <v>47</v>
      </c>
      <c r="J183" s="37" t="s">
        <v>27</v>
      </c>
      <c r="K183" s="37" t="s">
        <v>55</v>
      </c>
      <c r="L183" s="37" t="s">
        <v>49</v>
      </c>
      <c r="M183" s="37" t="s">
        <v>81</v>
      </c>
      <c r="N183" s="37" t="s">
        <v>468</v>
      </c>
      <c r="O183" s="42">
        <v>766.59</v>
      </c>
      <c r="P183" s="43" t="str">
        <f t="shared" si="17"/>
        <v>High</v>
      </c>
      <c r="Q183" s="42">
        <v>1912.8</v>
      </c>
      <c r="R183" s="42">
        <v>0.19600000000000001</v>
      </c>
      <c r="S183" s="42">
        <v>5</v>
      </c>
      <c r="T183" s="42">
        <f t="shared" si="14"/>
        <v>7256.5421999999999</v>
      </c>
      <c r="U183" s="37">
        <f t="shared" si="15"/>
        <v>3832.9500000000003</v>
      </c>
      <c r="V183" s="42">
        <f t="shared" si="18"/>
        <v>3423.5921999999996</v>
      </c>
      <c r="W183" s="44">
        <f t="shared" si="19"/>
        <v>0.47179388001078526</v>
      </c>
    </row>
    <row r="184" spans="1:23" x14ac:dyDescent="0.3">
      <c r="A184" s="45" t="s">
        <v>469</v>
      </c>
      <c r="B184" s="46">
        <v>45157</v>
      </c>
      <c r="C184" s="47">
        <v>45161</v>
      </c>
      <c r="D184" s="48">
        <f t="shared" si="20"/>
        <v>4</v>
      </c>
      <c r="E184" s="48" t="str">
        <f>TEXT(Data!B184,"MMM-YYYY")</f>
        <v>Aug-2023</v>
      </c>
      <c r="F184" s="48" t="str">
        <f t="shared" si="16"/>
        <v>Q3-2023</v>
      </c>
      <c r="G184" s="38" t="s">
        <v>16</v>
      </c>
      <c r="H184" s="38" t="s">
        <v>25</v>
      </c>
      <c r="I184" s="38" t="s">
        <v>67</v>
      </c>
      <c r="J184" s="38" t="s">
        <v>62</v>
      </c>
      <c r="K184" s="38" t="s">
        <v>28</v>
      </c>
      <c r="L184" s="38" t="s">
        <v>29</v>
      </c>
      <c r="M184" s="38" t="s">
        <v>64</v>
      </c>
      <c r="N184" s="38" t="s">
        <v>470</v>
      </c>
      <c r="O184" s="48">
        <v>790.63</v>
      </c>
      <c r="P184" s="49" t="str">
        <f t="shared" si="17"/>
        <v>High</v>
      </c>
      <c r="Q184" s="48">
        <v>1382.31</v>
      </c>
      <c r="R184" s="48">
        <v>0.10100000000000001</v>
      </c>
      <c r="S184" s="48">
        <v>7</v>
      </c>
      <c r="T184" s="48">
        <f t="shared" si="14"/>
        <v>12999.63889</v>
      </c>
      <c r="U184" s="38">
        <f t="shared" si="15"/>
        <v>5534.41</v>
      </c>
      <c r="V184" s="48">
        <f t="shared" si="18"/>
        <v>7465.2288900000003</v>
      </c>
      <c r="W184" s="50">
        <f t="shared" si="19"/>
        <v>0.57426432789164961</v>
      </c>
    </row>
    <row r="185" spans="1:23" x14ac:dyDescent="0.3">
      <c r="A185" s="39" t="s">
        <v>471</v>
      </c>
      <c r="B185" s="40">
        <v>45587</v>
      </c>
      <c r="C185" s="41">
        <v>45594</v>
      </c>
      <c r="D185" s="42">
        <f t="shared" si="20"/>
        <v>7</v>
      </c>
      <c r="E185" s="42" t="str">
        <f>TEXT(Data!B185,"MMM-YYYY")</f>
        <v>Oct-2024</v>
      </c>
      <c r="F185" s="42" t="str">
        <f t="shared" si="16"/>
        <v>Q4-2024</v>
      </c>
      <c r="G185" s="37" t="s">
        <v>16</v>
      </c>
      <c r="H185" s="37" t="s">
        <v>25</v>
      </c>
      <c r="I185" s="37" t="s">
        <v>26</v>
      </c>
      <c r="J185" s="37" t="s">
        <v>105</v>
      </c>
      <c r="K185" s="37" t="s">
        <v>55</v>
      </c>
      <c r="L185" s="37" t="s">
        <v>110</v>
      </c>
      <c r="M185" s="37" t="s">
        <v>64</v>
      </c>
      <c r="N185" s="37" t="s">
        <v>472</v>
      </c>
      <c r="O185" s="42">
        <v>1023.06</v>
      </c>
      <c r="P185" s="43" t="str">
        <f t="shared" si="17"/>
        <v>High</v>
      </c>
      <c r="Q185" s="42">
        <v>1355.61</v>
      </c>
      <c r="R185" s="42">
        <v>0.153</v>
      </c>
      <c r="S185" s="42">
        <v>23</v>
      </c>
      <c r="T185" s="42">
        <f t="shared" si="14"/>
        <v>46101.981310000003</v>
      </c>
      <c r="U185" s="37">
        <f t="shared" si="15"/>
        <v>23530.379999999997</v>
      </c>
      <c r="V185" s="42">
        <f t="shared" si="18"/>
        <v>22571.601310000005</v>
      </c>
      <c r="W185" s="44">
        <f t="shared" si="19"/>
        <v>0.4896015457171683</v>
      </c>
    </row>
    <row r="186" spans="1:23" x14ac:dyDescent="0.3">
      <c r="A186" s="45" t="s">
        <v>473</v>
      </c>
      <c r="B186" s="46">
        <v>45099</v>
      </c>
      <c r="C186" s="47">
        <v>45128</v>
      </c>
      <c r="D186" s="48">
        <f t="shared" si="20"/>
        <v>29</v>
      </c>
      <c r="E186" s="48" t="str">
        <f>TEXT(Data!B186,"MMM-YYYY")</f>
        <v>Jun-2023</v>
      </c>
      <c r="F186" s="48" t="str">
        <f t="shared" si="16"/>
        <v>Q2-2023</v>
      </c>
      <c r="G186" s="38" t="s">
        <v>78</v>
      </c>
      <c r="H186" s="38" t="s">
        <v>90</v>
      </c>
      <c r="I186" s="38" t="s">
        <v>138</v>
      </c>
      <c r="J186" s="38" t="s">
        <v>19</v>
      </c>
      <c r="K186" s="38" t="s">
        <v>20</v>
      </c>
      <c r="L186" s="38" t="s">
        <v>29</v>
      </c>
      <c r="M186" s="38" t="s">
        <v>81</v>
      </c>
      <c r="N186" s="38" t="s">
        <v>474</v>
      </c>
      <c r="O186" s="48">
        <v>734.34</v>
      </c>
      <c r="P186" s="49" t="str">
        <f t="shared" si="17"/>
        <v>High</v>
      </c>
      <c r="Q186" s="48">
        <v>887.9</v>
      </c>
      <c r="R186" s="48">
        <v>2.5000000000000001E-2</v>
      </c>
      <c r="S186" s="48">
        <v>12</v>
      </c>
      <c r="T186" s="48">
        <f t="shared" si="14"/>
        <v>1541.5919999999999</v>
      </c>
      <c r="U186" s="38">
        <f t="shared" si="15"/>
        <v>8812.08</v>
      </c>
      <c r="V186" s="48">
        <f t="shared" si="18"/>
        <v>-7270.4880000000003</v>
      </c>
      <c r="W186" s="50">
        <f t="shared" si="19"/>
        <v>-4.7162206342534221</v>
      </c>
    </row>
    <row r="187" spans="1:23" x14ac:dyDescent="0.3">
      <c r="A187" s="39" t="s">
        <v>475</v>
      </c>
      <c r="B187" s="40">
        <v>45670</v>
      </c>
      <c r="C187" s="41">
        <v>45696</v>
      </c>
      <c r="D187" s="42">
        <f t="shared" si="20"/>
        <v>26</v>
      </c>
      <c r="E187" s="42" t="str">
        <f>TEXT(Data!B187,"MMM-YYYY")</f>
        <v>Jan-2025</v>
      </c>
      <c r="F187" s="42" t="str">
        <f t="shared" si="16"/>
        <v>Q1-2025</v>
      </c>
      <c r="G187" s="37" t="s">
        <v>78</v>
      </c>
      <c r="H187" s="37" t="s">
        <v>90</v>
      </c>
      <c r="I187" s="37" t="s">
        <v>217</v>
      </c>
      <c r="J187" s="37" t="s">
        <v>39</v>
      </c>
      <c r="K187" s="37" t="s">
        <v>1364</v>
      </c>
      <c r="L187" s="37" t="s">
        <v>63</v>
      </c>
      <c r="M187" s="37" t="s">
        <v>64</v>
      </c>
      <c r="N187" s="37" t="s">
        <v>476</v>
      </c>
      <c r="O187" s="42">
        <v>594.74</v>
      </c>
      <c r="P187" s="43" t="str">
        <f t="shared" si="17"/>
        <v>High</v>
      </c>
      <c r="Q187" s="42">
        <v>1020.69</v>
      </c>
      <c r="R187" s="42">
        <v>0.21099999999999999</v>
      </c>
      <c r="S187" s="42">
        <v>6</v>
      </c>
      <c r="T187" s="42">
        <f t="shared" si="14"/>
        <v>6319.9846800000005</v>
      </c>
      <c r="U187" s="37">
        <f t="shared" si="15"/>
        <v>3568.44</v>
      </c>
      <c r="V187" s="42">
        <f t="shared" si="18"/>
        <v>2751.5446800000004</v>
      </c>
      <c r="W187" s="44">
        <f t="shared" si="19"/>
        <v>0.43537204903477711</v>
      </c>
    </row>
    <row r="188" spans="1:23" x14ac:dyDescent="0.3">
      <c r="A188" s="45" t="s">
        <v>360</v>
      </c>
      <c r="B188" s="46">
        <v>44955</v>
      </c>
      <c r="C188" s="47">
        <v>44985</v>
      </c>
      <c r="D188" s="48">
        <f t="shared" si="20"/>
        <v>30</v>
      </c>
      <c r="E188" s="48" t="str">
        <f>TEXT(Data!B188,"MMM-YYYY")</f>
        <v>Jan-2023</v>
      </c>
      <c r="F188" s="48" t="str">
        <f t="shared" si="16"/>
        <v>Q1-2023</v>
      </c>
      <c r="G188" s="38" t="s">
        <v>45</v>
      </c>
      <c r="H188" s="38" t="s">
        <v>60</v>
      </c>
      <c r="I188" s="38" t="s">
        <v>61</v>
      </c>
      <c r="J188" s="38" t="s">
        <v>39</v>
      </c>
      <c r="K188" s="38" t="s">
        <v>20</v>
      </c>
      <c r="L188" s="38" t="s">
        <v>56</v>
      </c>
      <c r="M188" s="38" t="s">
        <v>81</v>
      </c>
      <c r="N188" s="38" t="s">
        <v>477</v>
      </c>
      <c r="O188" s="48">
        <v>1262.0999999999999</v>
      </c>
      <c r="P188" s="49" t="str">
        <f t="shared" si="17"/>
        <v>High</v>
      </c>
      <c r="Q188" s="48">
        <v>1395.53</v>
      </c>
      <c r="R188" s="48">
        <v>0.23300000000000001</v>
      </c>
      <c r="S188" s="48">
        <v>25</v>
      </c>
      <c r="T188" s="48">
        <f t="shared" si="14"/>
        <v>51608.553749999999</v>
      </c>
      <c r="U188" s="38">
        <f t="shared" si="15"/>
        <v>31552.499999999996</v>
      </c>
      <c r="V188" s="48">
        <f t="shared" si="18"/>
        <v>20056.053750000003</v>
      </c>
      <c r="W188" s="50">
        <f t="shared" si="19"/>
        <v>0.38861879073679723</v>
      </c>
    </row>
    <row r="189" spans="1:23" x14ac:dyDescent="0.3">
      <c r="A189" s="39" t="s">
        <v>478</v>
      </c>
      <c r="B189" s="40">
        <v>45126</v>
      </c>
      <c r="C189" s="41">
        <v>45138</v>
      </c>
      <c r="D189" s="42">
        <f t="shared" si="20"/>
        <v>12</v>
      </c>
      <c r="E189" s="42" t="str">
        <f>TEXT(Data!B189,"MMM-YYYY")</f>
        <v>Jul-2023</v>
      </c>
      <c r="F189" s="42" t="str">
        <f t="shared" si="16"/>
        <v>Q3-2023</v>
      </c>
      <c r="G189" s="37" t="s">
        <v>52</v>
      </c>
      <c r="H189" s="37" t="s">
        <v>73</v>
      </c>
      <c r="I189" s="37" t="s">
        <v>225</v>
      </c>
      <c r="J189" s="37" t="s">
        <v>19</v>
      </c>
      <c r="K189" s="37" t="s">
        <v>20</v>
      </c>
      <c r="L189" s="37" t="s">
        <v>21</v>
      </c>
      <c r="M189" s="37" t="s">
        <v>64</v>
      </c>
      <c r="N189" s="37" t="s">
        <v>479</v>
      </c>
      <c r="O189" s="42">
        <v>1334.64</v>
      </c>
      <c r="P189" s="43" t="str">
        <f t="shared" si="17"/>
        <v>High</v>
      </c>
      <c r="Q189" s="42">
        <v>2273.42</v>
      </c>
      <c r="R189" s="42">
        <v>0.11799999999999999</v>
      </c>
      <c r="S189" s="42">
        <v>14</v>
      </c>
      <c r="T189" s="42">
        <f t="shared" si="14"/>
        <v>9587.7280800000008</v>
      </c>
      <c r="U189" s="37">
        <f t="shared" si="15"/>
        <v>18684.960000000003</v>
      </c>
      <c r="V189" s="42">
        <f t="shared" si="18"/>
        <v>-9097.231920000002</v>
      </c>
      <c r="W189" s="44">
        <f t="shared" si="19"/>
        <v>-0.94884125249409468</v>
      </c>
    </row>
    <row r="190" spans="1:23" x14ac:dyDescent="0.3">
      <c r="A190" s="45" t="s">
        <v>480</v>
      </c>
      <c r="B190" s="46">
        <v>45431</v>
      </c>
      <c r="C190" s="47">
        <v>45451</v>
      </c>
      <c r="D190" s="48">
        <f t="shared" si="20"/>
        <v>20</v>
      </c>
      <c r="E190" s="48" t="str">
        <f>TEXT(Data!B190,"MMM-YYYY")</f>
        <v>May-2024</v>
      </c>
      <c r="F190" s="48" t="str">
        <f t="shared" si="16"/>
        <v>Q2-2024</v>
      </c>
      <c r="G190" s="38" t="s">
        <v>52</v>
      </c>
      <c r="H190" s="38" t="s">
        <v>73</v>
      </c>
      <c r="I190" s="38" t="s">
        <v>87</v>
      </c>
      <c r="J190" s="38" t="s">
        <v>62</v>
      </c>
      <c r="K190" s="38" t="s">
        <v>20</v>
      </c>
      <c r="L190" s="38" t="s">
        <v>63</v>
      </c>
      <c r="M190" s="38" t="s">
        <v>64</v>
      </c>
      <c r="N190" s="38" t="s">
        <v>481</v>
      </c>
      <c r="O190" s="48">
        <v>1075.9000000000001</v>
      </c>
      <c r="P190" s="49" t="str">
        <f t="shared" si="17"/>
        <v>High</v>
      </c>
      <c r="Q190" s="48">
        <v>1242.1500000000001</v>
      </c>
      <c r="R190" s="48">
        <v>1.2E-2</v>
      </c>
      <c r="S190" s="48">
        <v>7</v>
      </c>
      <c r="T190" s="48">
        <f t="shared" si="14"/>
        <v>2200.4637200000002</v>
      </c>
      <c r="U190" s="38">
        <f t="shared" si="15"/>
        <v>7531.3000000000011</v>
      </c>
      <c r="V190" s="48">
        <f t="shared" si="18"/>
        <v>-5330.8362800000014</v>
      </c>
      <c r="W190" s="50">
        <f t="shared" si="19"/>
        <v>-2.4225967606500691</v>
      </c>
    </row>
    <row r="191" spans="1:23" x14ac:dyDescent="0.3">
      <c r="A191" s="39" t="s">
        <v>482</v>
      </c>
      <c r="B191" s="40">
        <v>45325</v>
      </c>
      <c r="C191" s="41">
        <v>45341</v>
      </c>
      <c r="D191" s="42">
        <f t="shared" si="20"/>
        <v>16</v>
      </c>
      <c r="E191" s="42" t="str">
        <f>TEXT(Data!B191,"MMM-YYYY")</f>
        <v>Feb-2024</v>
      </c>
      <c r="F191" s="42" t="str">
        <f t="shared" si="16"/>
        <v>Q1-2024</v>
      </c>
      <c r="G191" s="37" t="s">
        <v>45</v>
      </c>
      <c r="H191" s="37" t="s">
        <v>116</v>
      </c>
      <c r="I191" s="37" t="s">
        <v>117</v>
      </c>
      <c r="J191" s="37" t="s">
        <v>62</v>
      </c>
      <c r="K191" s="37" t="s">
        <v>28</v>
      </c>
      <c r="L191" s="37" t="s">
        <v>92</v>
      </c>
      <c r="M191" s="37" t="s">
        <v>57</v>
      </c>
      <c r="N191" s="37" t="s">
        <v>483</v>
      </c>
      <c r="O191" s="42">
        <v>993.75</v>
      </c>
      <c r="P191" s="43" t="str">
        <f t="shared" si="17"/>
        <v>High</v>
      </c>
      <c r="Q191" s="42">
        <v>1310.29</v>
      </c>
      <c r="R191" s="42">
        <v>0.215</v>
      </c>
      <c r="S191" s="42">
        <v>19</v>
      </c>
      <c r="T191" s="42">
        <f t="shared" si="14"/>
        <v>18590.205150000002</v>
      </c>
      <c r="U191" s="37">
        <f t="shared" si="15"/>
        <v>18881.25</v>
      </c>
      <c r="V191" s="42">
        <f t="shared" si="18"/>
        <v>-291.04484999999841</v>
      </c>
      <c r="W191" s="44">
        <f t="shared" si="19"/>
        <v>-1.5655817009636301E-2</v>
      </c>
    </row>
    <row r="192" spans="1:23" x14ac:dyDescent="0.3">
      <c r="A192" s="45" t="s">
        <v>484</v>
      </c>
      <c r="B192" s="46">
        <v>45146</v>
      </c>
      <c r="C192" s="47">
        <v>45160</v>
      </c>
      <c r="D192" s="48">
        <f t="shared" si="20"/>
        <v>14</v>
      </c>
      <c r="E192" s="48" t="str">
        <f>TEXT(Data!B192,"MMM-YYYY")</f>
        <v>Aug-2023</v>
      </c>
      <c r="F192" s="48" t="str">
        <f t="shared" si="16"/>
        <v>Q3-2023</v>
      </c>
      <c r="G192" s="38" t="s">
        <v>78</v>
      </c>
      <c r="H192" s="38" t="s">
        <v>108</v>
      </c>
      <c r="I192" s="38" t="s">
        <v>109</v>
      </c>
      <c r="J192" s="38" t="s">
        <v>39</v>
      </c>
      <c r="K192" s="38" t="s">
        <v>98</v>
      </c>
      <c r="L192" s="38" t="s">
        <v>126</v>
      </c>
      <c r="M192" s="38" t="s">
        <v>64</v>
      </c>
      <c r="N192" s="38" t="s">
        <v>485</v>
      </c>
      <c r="O192" s="48">
        <v>446.69</v>
      </c>
      <c r="P192" s="49" t="str">
        <f t="shared" si="17"/>
        <v>High</v>
      </c>
      <c r="Q192" s="48">
        <v>967.25</v>
      </c>
      <c r="R192" s="48">
        <v>9.4E-2</v>
      </c>
      <c r="S192" s="48">
        <v>10</v>
      </c>
      <c r="T192" s="48">
        <f t="shared" si="14"/>
        <v>3143.4576000000002</v>
      </c>
      <c r="U192" s="38">
        <f t="shared" si="15"/>
        <v>4466.8999999999996</v>
      </c>
      <c r="V192" s="48">
        <f t="shared" si="18"/>
        <v>-1323.4423999999995</v>
      </c>
      <c r="W192" s="50">
        <f t="shared" si="19"/>
        <v>-0.42101487228585471</v>
      </c>
    </row>
    <row r="193" spans="1:23" x14ac:dyDescent="0.3">
      <c r="A193" s="39" t="s">
        <v>486</v>
      </c>
      <c r="B193" s="40">
        <v>45516</v>
      </c>
      <c r="C193" s="41">
        <v>45538</v>
      </c>
      <c r="D193" s="42">
        <f t="shared" si="20"/>
        <v>22</v>
      </c>
      <c r="E193" s="42" t="str">
        <f>TEXT(Data!B193,"MMM-YYYY")</f>
        <v>Aug-2024</v>
      </c>
      <c r="F193" s="42" t="str">
        <f t="shared" si="16"/>
        <v>Q3-2024</v>
      </c>
      <c r="G193" s="37" t="s">
        <v>52</v>
      </c>
      <c r="H193" s="37" t="s">
        <v>122</v>
      </c>
      <c r="I193" s="37" t="s">
        <v>326</v>
      </c>
      <c r="J193" s="37" t="s">
        <v>48</v>
      </c>
      <c r="K193" s="37" t="s">
        <v>55</v>
      </c>
      <c r="L193" s="37" t="s">
        <v>34</v>
      </c>
      <c r="M193" s="37" t="s">
        <v>57</v>
      </c>
      <c r="N193" s="37" t="s">
        <v>487</v>
      </c>
      <c r="O193" s="42">
        <v>797.8</v>
      </c>
      <c r="P193" s="43" t="str">
        <f t="shared" si="17"/>
        <v>High</v>
      </c>
      <c r="Q193" s="42">
        <v>886.22</v>
      </c>
      <c r="R193" s="42">
        <v>0.23599999999999999</v>
      </c>
      <c r="S193" s="42">
        <v>36</v>
      </c>
      <c r="T193" s="42">
        <f t="shared" ref="T193:T256" si="21">(Q219*S193)*(1-R193)</f>
        <v>13882.919040000001</v>
      </c>
      <c r="U193" s="37">
        <f t="shared" ref="U193:U256" si="22">(O193*S193)</f>
        <v>28720.799999999999</v>
      </c>
      <c r="V193" s="42">
        <f t="shared" si="18"/>
        <v>-14837.880959999999</v>
      </c>
      <c r="W193" s="44">
        <f t="shared" si="19"/>
        <v>-1.06878682482038</v>
      </c>
    </row>
    <row r="194" spans="1:23" x14ac:dyDescent="0.3">
      <c r="A194" s="45" t="s">
        <v>488</v>
      </c>
      <c r="B194" s="46">
        <v>45214</v>
      </c>
      <c r="C194" s="47">
        <v>45243</v>
      </c>
      <c r="D194" s="48">
        <f t="shared" si="20"/>
        <v>29</v>
      </c>
      <c r="E194" s="48" t="str">
        <f>TEXT(Data!B194,"MMM-YYYY")</f>
        <v>Oct-2023</v>
      </c>
      <c r="F194" s="48" t="str">
        <f t="shared" ref="F194:F257" si="23">"Q"&amp;ROUNDUP(MONTH(B194)/3,0)&amp;"-"&amp;YEAR(B194)</f>
        <v>Q4-2023</v>
      </c>
      <c r="G194" s="38" t="s">
        <v>45</v>
      </c>
      <c r="H194" s="38" t="s">
        <v>116</v>
      </c>
      <c r="I194" s="38" t="s">
        <v>117</v>
      </c>
      <c r="J194" s="38" t="s">
        <v>39</v>
      </c>
      <c r="K194" s="38" t="s">
        <v>55</v>
      </c>
      <c r="L194" s="38" t="s">
        <v>29</v>
      </c>
      <c r="M194" s="38" t="s">
        <v>30</v>
      </c>
      <c r="N194" s="38" t="s">
        <v>489</v>
      </c>
      <c r="O194" s="48">
        <v>986.44</v>
      </c>
      <c r="P194" s="49" t="str">
        <f t="shared" ref="P194:P257" si="24">IF(Q194&lt;50, "Low", IF(Q194&lt;200, "Medium", "High"))</f>
        <v>High</v>
      </c>
      <c r="Q194" s="48">
        <v>790.61</v>
      </c>
      <c r="R194" s="48">
        <v>7.1999999999999995E-2</v>
      </c>
      <c r="S194" s="48">
        <v>6</v>
      </c>
      <c r="T194" s="48">
        <f t="shared" si="21"/>
        <v>5219.7772800000002</v>
      </c>
      <c r="U194" s="38">
        <f t="shared" si="22"/>
        <v>5918.64</v>
      </c>
      <c r="V194" s="48">
        <f t="shared" ref="V194:V257" si="25">(T194-U194)</f>
        <v>-698.86272000000008</v>
      </c>
      <c r="W194" s="50">
        <f t="shared" ref="W194:W257" si="26">IF(T194=0, 0, V194/T194)</f>
        <v>-0.13388745965804888</v>
      </c>
    </row>
    <row r="195" spans="1:23" x14ac:dyDescent="0.3">
      <c r="A195" s="39" t="s">
        <v>490</v>
      </c>
      <c r="B195" s="40">
        <v>45050</v>
      </c>
      <c r="C195" s="41">
        <v>45072</v>
      </c>
      <c r="D195" s="42">
        <f t="shared" ref="D195:D258" si="27">DATEDIF(B195,C195, "MD")</f>
        <v>22</v>
      </c>
      <c r="E195" s="42" t="str">
        <f>TEXT(Data!B195,"MMM-YYYY")</f>
        <v>May-2023</v>
      </c>
      <c r="F195" s="42" t="str">
        <f t="shared" si="23"/>
        <v>Q2-2023</v>
      </c>
      <c r="G195" s="37" t="s">
        <v>52</v>
      </c>
      <c r="H195" s="37" t="s">
        <v>122</v>
      </c>
      <c r="I195" s="37" t="s">
        <v>167</v>
      </c>
      <c r="J195" s="37" t="s">
        <v>105</v>
      </c>
      <c r="K195" s="37" t="s">
        <v>28</v>
      </c>
      <c r="L195" s="37" t="s">
        <v>29</v>
      </c>
      <c r="M195" s="37" t="s">
        <v>35</v>
      </c>
      <c r="N195" s="37" t="s">
        <v>491</v>
      </c>
      <c r="O195" s="42">
        <v>249.71</v>
      </c>
      <c r="P195" s="43" t="str">
        <f t="shared" si="24"/>
        <v>High</v>
      </c>
      <c r="Q195" s="42">
        <v>361.33</v>
      </c>
      <c r="R195" s="42">
        <v>9.4E-2</v>
      </c>
      <c r="S195" s="42">
        <v>12</v>
      </c>
      <c r="T195" s="42">
        <f t="shared" si="21"/>
        <v>14139.90576</v>
      </c>
      <c r="U195" s="37">
        <f t="shared" si="22"/>
        <v>2996.52</v>
      </c>
      <c r="V195" s="42">
        <f t="shared" si="25"/>
        <v>11143.385759999999</v>
      </c>
      <c r="W195" s="44">
        <f t="shared" si="26"/>
        <v>0.7880806243789279</v>
      </c>
    </row>
    <row r="196" spans="1:23" x14ac:dyDescent="0.3">
      <c r="A196" s="45" t="s">
        <v>492</v>
      </c>
      <c r="B196" s="46">
        <v>45557</v>
      </c>
      <c r="C196" s="47">
        <v>45566</v>
      </c>
      <c r="D196" s="48">
        <f t="shared" si="27"/>
        <v>9</v>
      </c>
      <c r="E196" s="48" t="str">
        <f>TEXT(Data!B196,"MMM-YYYY")</f>
        <v>Sept-2024</v>
      </c>
      <c r="F196" s="48" t="str">
        <f t="shared" si="23"/>
        <v>Q3-2024</v>
      </c>
      <c r="G196" s="38" t="s">
        <v>52</v>
      </c>
      <c r="H196" s="38" t="s">
        <v>73</v>
      </c>
      <c r="I196" s="38" t="s">
        <v>74</v>
      </c>
      <c r="J196" s="38" t="s">
        <v>39</v>
      </c>
      <c r="K196" s="38" t="s">
        <v>28</v>
      </c>
      <c r="L196" s="38" t="s">
        <v>95</v>
      </c>
      <c r="M196" s="38" t="s">
        <v>64</v>
      </c>
      <c r="N196" s="38" t="s">
        <v>493</v>
      </c>
      <c r="O196" s="48">
        <v>1378.8</v>
      </c>
      <c r="P196" s="49" t="str">
        <f t="shared" si="24"/>
        <v>High</v>
      </c>
      <c r="Q196" s="48">
        <v>1952.04</v>
      </c>
      <c r="R196" s="48">
        <v>0.159</v>
      </c>
      <c r="S196" s="48">
        <v>19</v>
      </c>
      <c r="T196" s="48">
        <f t="shared" si="21"/>
        <v>3645.6088500000001</v>
      </c>
      <c r="U196" s="38">
        <f t="shared" si="22"/>
        <v>26197.200000000001</v>
      </c>
      <c r="V196" s="48">
        <f t="shared" si="25"/>
        <v>-22551.59115</v>
      </c>
      <c r="W196" s="50">
        <f t="shared" si="26"/>
        <v>-6.1859601723317077</v>
      </c>
    </row>
    <row r="197" spans="1:23" x14ac:dyDescent="0.3">
      <c r="A197" s="39" t="s">
        <v>494</v>
      </c>
      <c r="B197" s="40">
        <v>45588</v>
      </c>
      <c r="C197" s="41">
        <v>45610</v>
      </c>
      <c r="D197" s="42">
        <f t="shared" si="27"/>
        <v>22</v>
      </c>
      <c r="E197" s="42" t="str">
        <f>TEXT(Data!B197,"MMM-YYYY")</f>
        <v>Oct-2024</v>
      </c>
      <c r="F197" s="42" t="str">
        <f t="shared" si="23"/>
        <v>Q4-2024</v>
      </c>
      <c r="G197" s="37" t="s">
        <v>45</v>
      </c>
      <c r="H197" s="37" t="s">
        <v>46</v>
      </c>
      <c r="I197" s="37" t="s">
        <v>47</v>
      </c>
      <c r="J197" s="37" t="s">
        <v>39</v>
      </c>
      <c r="K197" s="37" t="s">
        <v>98</v>
      </c>
      <c r="L197" s="37" t="s">
        <v>56</v>
      </c>
      <c r="M197" s="37" t="s">
        <v>42</v>
      </c>
      <c r="N197" s="37" t="s">
        <v>495</v>
      </c>
      <c r="O197" s="42">
        <v>1406.4</v>
      </c>
      <c r="P197" s="43" t="str">
        <f t="shared" si="24"/>
        <v>High</v>
      </c>
      <c r="Q197" s="42">
        <v>1564.76</v>
      </c>
      <c r="R197" s="42">
        <v>0.185</v>
      </c>
      <c r="S197" s="42">
        <v>17</v>
      </c>
      <c r="T197" s="42">
        <f t="shared" si="21"/>
        <v>6879.2846</v>
      </c>
      <c r="U197" s="37">
        <f t="shared" si="22"/>
        <v>23908.800000000003</v>
      </c>
      <c r="V197" s="42">
        <f t="shared" si="25"/>
        <v>-17029.515400000004</v>
      </c>
      <c r="W197" s="44">
        <f t="shared" si="26"/>
        <v>-2.4754776681284567</v>
      </c>
    </row>
    <row r="198" spans="1:23" x14ac:dyDescent="0.3">
      <c r="A198" s="45" t="s">
        <v>496</v>
      </c>
      <c r="B198" s="46">
        <v>45333</v>
      </c>
      <c r="C198" s="47">
        <v>45354</v>
      </c>
      <c r="D198" s="48">
        <f t="shared" si="27"/>
        <v>21</v>
      </c>
      <c r="E198" s="48" t="str">
        <f>TEXT(Data!B198,"MMM-YYYY")</f>
        <v>Feb-2024</v>
      </c>
      <c r="F198" s="48" t="str">
        <f t="shared" si="23"/>
        <v>Q1-2024</v>
      </c>
      <c r="G198" s="38" t="s">
        <v>16</v>
      </c>
      <c r="H198" s="38" t="s">
        <v>17</v>
      </c>
      <c r="I198" s="38" t="s">
        <v>18</v>
      </c>
      <c r="J198" s="38" t="s">
        <v>105</v>
      </c>
      <c r="K198" s="38" t="s">
        <v>28</v>
      </c>
      <c r="L198" s="38" t="s">
        <v>56</v>
      </c>
      <c r="M198" s="38" t="s">
        <v>42</v>
      </c>
      <c r="N198" s="38" t="s">
        <v>497</v>
      </c>
      <c r="O198" s="48">
        <v>516.86</v>
      </c>
      <c r="P198" s="49" t="str">
        <f t="shared" si="24"/>
        <v>High</v>
      </c>
      <c r="Q198" s="48">
        <v>852.54</v>
      </c>
      <c r="R198" s="48">
        <v>5.0999999999999997E-2</v>
      </c>
      <c r="S198" s="48">
        <v>14</v>
      </c>
      <c r="T198" s="48">
        <f t="shared" si="21"/>
        <v>39076.783199999991</v>
      </c>
      <c r="U198" s="38">
        <f t="shared" si="22"/>
        <v>7236.04</v>
      </c>
      <c r="V198" s="48">
        <f t="shared" si="25"/>
        <v>31840.74319999999</v>
      </c>
      <c r="W198" s="50">
        <f t="shared" si="26"/>
        <v>0.81482508519278518</v>
      </c>
    </row>
    <row r="199" spans="1:23" x14ac:dyDescent="0.3">
      <c r="A199" s="39" t="s">
        <v>498</v>
      </c>
      <c r="B199" s="40">
        <v>44956</v>
      </c>
      <c r="C199" s="41">
        <v>44978</v>
      </c>
      <c r="D199" s="42">
        <f t="shared" si="27"/>
        <v>22</v>
      </c>
      <c r="E199" s="42" t="str">
        <f>TEXT(Data!B199,"MMM-YYYY")</f>
        <v>Jan-2023</v>
      </c>
      <c r="F199" s="42" t="str">
        <f t="shared" si="23"/>
        <v>Q1-2023</v>
      </c>
      <c r="G199" s="37" t="s">
        <v>78</v>
      </c>
      <c r="H199" s="37" t="s">
        <v>79</v>
      </c>
      <c r="I199" s="37" t="s">
        <v>159</v>
      </c>
      <c r="J199" s="37" t="s">
        <v>62</v>
      </c>
      <c r="K199" s="37" t="s">
        <v>40</v>
      </c>
      <c r="L199" s="37" t="s">
        <v>41</v>
      </c>
      <c r="M199" s="37" t="s">
        <v>35</v>
      </c>
      <c r="N199" s="37" t="s">
        <v>499</v>
      </c>
      <c r="O199" s="42">
        <v>1142.8800000000001</v>
      </c>
      <c r="P199" s="43" t="str">
        <f t="shared" si="24"/>
        <v>High</v>
      </c>
      <c r="Q199" s="42">
        <v>1465.29</v>
      </c>
      <c r="R199" s="42">
        <v>0.186</v>
      </c>
      <c r="S199" s="42">
        <v>7</v>
      </c>
      <c r="T199" s="42">
        <f t="shared" si="21"/>
        <v>6200.5636000000013</v>
      </c>
      <c r="U199" s="37">
        <f t="shared" si="22"/>
        <v>8000.1600000000008</v>
      </c>
      <c r="V199" s="42">
        <f t="shared" si="25"/>
        <v>-1799.5963999999994</v>
      </c>
      <c r="W199" s="44">
        <f t="shared" si="26"/>
        <v>-0.29023110092766391</v>
      </c>
    </row>
    <row r="200" spans="1:23" x14ac:dyDescent="0.3">
      <c r="A200" s="45" t="s">
        <v>500</v>
      </c>
      <c r="B200" s="46">
        <v>45030</v>
      </c>
      <c r="C200" s="47">
        <v>45059</v>
      </c>
      <c r="D200" s="48">
        <f t="shared" si="27"/>
        <v>29</v>
      </c>
      <c r="E200" s="48" t="str">
        <f>TEXT(Data!B200,"MMM-YYYY")</f>
        <v>Apr-2023</v>
      </c>
      <c r="F200" s="48" t="str">
        <f t="shared" si="23"/>
        <v>Q2-2023</v>
      </c>
      <c r="G200" s="38" t="s">
        <v>78</v>
      </c>
      <c r="H200" s="38" t="s">
        <v>79</v>
      </c>
      <c r="I200" s="38" t="s">
        <v>335</v>
      </c>
      <c r="J200" s="38" t="s">
        <v>48</v>
      </c>
      <c r="K200" s="38" t="s">
        <v>98</v>
      </c>
      <c r="L200" s="38" t="s">
        <v>29</v>
      </c>
      <c r="M200" s="38" t="s">
        <v>30</v>
      </c>
      <c r="N200" s="38" t="s">
        <v>501</v>
      </c>
      <c r="O200" s="48">
        <v>1320.33</v>
      </c>
      <c r="P200" s="49" t="str">
        <f t="shared" si="24"/>
        <v>High</v>
      </c>
      <c r="Q200" s="48">
        <v>2645.23</v>
      </c>
      <c r="R200" s="48">
        <v>0.155</v>
      </c>
      <c r="S200" s="48">
        <v>25</v>
      </c>
      <c r="T200" s="48">
        <f t="shared" si="21"/>
        <v>53428.293749999997</v>
      </c>
      <c r="U200" s="38">
        <f t="shared" si="22"/>
        <v>33008.25</v>
      </c>
      <c r="V200" s="48">
        <f t="shared" si="25"/>
        <v>20420.043749999997</v>
      </c>
      <c r="W200" s="50">
        <f t="shared" si="26"/>
        <v>0.38219531856189959</v>
      </c>
    </row>
    <row r="201" spans="1:23" x14ac:dyDescent="0.3">
      <c r="A201" s="39" t="s">
        <v>502</v>
      </c>
      <c r="B201" s="40">
        <v>44939</v>
      </c>
      <c r="C201" s="41">
        <v>44945</v>
      </c>
      <c r="D201" s="42">
        <f t="shared" si="27"/>
        <v>6</v>
      </c>
      <c r="E201" s="42" t="str">
        <f>TEXT(Data!B201,"MMM-YYYY")</f>
        <v>Jan-2023</v>
      </c>
      <c r="F201" s="42" t="str">
        <f t="shared" si="23"/>
        <v>Q1-2023</v>
      </c>
      <c r="G201" s="37" t="s">
        <v>52</v>
      </c>
      <c r="H201" s="37" t="s">
        <v>122</v>
      </c>
      <c r="I201" s="37" t="s">
        <v>123</v>
      </c>
      <c r="J201" s="37" t="s">
        <v>19</v>
      </c>
      <c r="K201" s="37" t="s">
        <v>98</v>
      </c>
      <c r="L201" s="37" t="s">
        <v>92</v>
      </c>
      <c r="M201" s="37" t="s">
        <v>42</v>
      </c>
      <c r="N201" s="37" t="s">
        <v>503</v>
      </c>
      <c r="O201" s="42">
        <v>833.57</v>
      </c>
      <c r="P201" s="43" t="str">
        <f t="shared" si="24"/>
        <v>High</v>
      </c>
      <c r="Q201" s="42">
        <v>881.57</v>
      </c>
      <c r="R201" s="42">
        <v>5.7000000000000002E-2</v>
      </c>
      <c r="S201" s="42">
        <v>18</v>
      </c>
      <c r="T201" s="42">
        <f t="shared" si="21"/>
        <v>45796.021740000004</v>
      </c>
      <c r="U201" s="37">
        <f t="shared" si="22"/>
        <v>15004.26</v>
      </c>
      <c r="V201" s="42">
        <f t="shared" si="25"/>
        <v>30791.761740000002</v>
      </c>
      <c r="W201" s="44">
        <f t="shared" si="26"/>
        <v>0.67236761120464961</v>
      </c>
    </row>
    <row r="202" spans="1:23" x14ac:dyDescent="0.3">
      <c r="A202" s="45" t="s">
        <v>504</v>
      </c>
      <c r="B202" s="46">
        <v>45303</v>
      </c>
      <c r="C202" s="47">
        <v>45320</v>
      </c>
      <c r="D202" s="48">
        <f t="shared" si="27"/>
        <v>17</v>
      </c>
      <c r="E202" s="48" t="str">
        <f>TEXT(Data!B202,"MMM-YYYY")</f>
        <v>Jan-2024</v>
      </c>
      <c r="F202" s="48" t="str">
        <f t="shared" si="23"/>
        <v>Q1-2024</v>
      </c>
      <c r="G202" s="38" t="s">
        <v>52</v>
      </c>
      <c r="H202" s="38" t="s">
        <v>122</v>
      </c>
      <c r="I202" s="38" t="s">
        <v>123</v>
      </c>
      <c r="J202" s="38" t="s">
        <v>27</v>
      </c>
      <c r="K202" s="38" t="s">
        <v>55</v>
      </c>
      <c r="L202" s="38" t="s">
        <v>75</v>
      </c>
      <c r="M202" s="38" t="s">
        <v>30</v>
      </c>
      <c r="N202" s="38" t="s">
        <v>505</v>
      </c>
      <c r="O202" s="48">
        <v>493.76</v>
      </c>
      <c r="P202" s="49" t="str">
        <f t="shared" si="24"/>
        <v>High</v>
      </c>
      <c r="Q202" s="48">
        <v>625.04</v>
      </c>
      <c r="R202" s="48">
        <v>0.25800000000000001</v>
      </c>
      <c r="S202" s="48">
        <v>10</v>
      </c>
      <c r="T202" s="48">
        <f t="shared" si="21"/>
        <v>11002.004999999999</v>
      </c>
      <c r="U202" s="38">
        <f t="shared" si="22"/>
        <v>4937.6000000000004</v>
      </c>
      <c r="V202" s="48">
        <f t="shared" si="25"/>
        <v>6064.4049999999988</v>
      </c>
      <c r="W202" s="50">
        <f t="shared" si="26"/>
        <v>0.55120907507313432</v>
      </c>
    </row>
    <row r="203" spans="1:23" x14ac:dyDescent="0.3">
      <c r="A203" s="39" t="s">
        <v>506</v>
      </c>
      <c r="B203" s="40">
        <v>45153</v>
      </c>
      <c r="C203" s="41">
        <v>45176</v>
      </c>
      <c r="D203" s="42">
        <f t="shared" si="27"/>
        <v>23</v>
      </c>
      <c r="E203" s="42" t="str">
        <f>TEXT(Data!B203,"MMM-YYYY")</f>
        <v>Aug-2023</v>
      </c>
      <c r="F203" s="42" t="str">
        <f t="shared" si="23"/>
        <v>Q3-2023</v>
      </c>
      <c r="G203" s="37" t="s">
        <v>52</v>
      </c>
      <c r="H203" s="37" t="s">
        <v>122</v>
      </c>
      <c r="I203" s="37" t="s">
        <v>387</v>
      </c>
      <c r="J203" s="37" t="s">
        <v>105</v>
      </c>
      <c r="K203" s="37" t="s">
        <v>28</v>
      </c>
      <c r="L203" s="37" t="s">
        <v>95</v>
      </c>
      <c r="M203" s="37" t="s">
        <v>42</v>
      </c>
      <c r="N203" s="37" t="s">
        <v>507</v>
      </c>
      <c r="O203" s="42">
        <v>590.33000000000004</v>
      </c>
      <c r="P203" s="43" t="str">
        <f t="shared" si="24"/>
        <v>High</v>
      </c>
      <c r="Q203" s="42">
        <v>973.04</v>
      </c>
      <c r="R203" s="42">
        <v>0</v>
      </c>
      <c r="S203" s="42">
        <v>26</v>
      </c>
      <c r="T203" s="42">
        <f t="shared" si="21"/>
        <v>37877.06</v>
      </c>
      <c r="U203" s="37">
        <f t="shared" si="22"/>
        <v>15348.580000000002</v>
      </c>
      <c r="V203" s="42">
        <f t="shared" si="25"/>
        <v>22528.479999999996</v>
      </c>
      <c r="W203" s="44">
        <f t="shared" si="26"/>
        <v>0.59477900343902079</v>
      </c>
    </row>
    <row r="204" spans="1:23" x14ac:dyDescent="0.3">
      <c r="A204" s="45" t="s">
        <v>508</v>
      </c>
      <c r="B204" s="46">
        <v>44946</v>
      </c>
      <c r="C204" s="47">
        <v>44960</v>
      </c>
      <c r="D204" s="48">
        <f t="shared" si="27"/>
        <v>14</v>
      </c>
      <c r="E204" s="48" t="str">
        <f>TEXT(Data!B204,"MMM-YYYY")</f>
        <v>Jan-2023</v>
      </c>
      <c r="F204" s="48" t="str">
        <f t="shared" si="23"/>
        <v>Q1-2023</v>
      </c>
      <c r="G204" s="38" t="s">
        <v>16</v>
      </c>
      <c r="H204" s="38" t="s">
        <v>17</v>
      </c>
      <c r="I204" s="38" t="s">
        <v>18</v>
      </c>
      <c r="J204" s="38" t="s">
        <v>19</v>
      </c>
      <c r="K204" s="38" t="s">
        <v>20</v>
      </c>
      <c r="L204" s="38" t="s">
        <v>110</v>
      </c>
      <c r="M204" s="38" t="s">
        <v>35</v>
      </c>
      <c r="N204" s="38" t="s">
        <v>509</v>
      </c>
      <c r="O204" s="48">
        <v>884.36</v>
      </c>
      <c r="P204" s="49" t="str">
        <f t="shared" si="24"/>
        <v>High</v>
      </c>
      <c r="Q204" s="48">
        <v>1545.34</v>
      </c>
      <c r="R204" s="48">
        <v>0.24299999999999999</v>
      </c>
      <c r="S204" s="48">
        <v>41</v>
      </c>
      <c r="T204" s="48">
        <f t="shared" si="21"/>
        <v>28497.86303</v>
      </c>
      <c r="U204" s="38">
        <f t="shared" si="22"/>
        <v>36258.76</v>
      </c>
      <c r="V204" s="48">
        <f t="shared" si="25"/>
        <v>-7760.8969700000016</v>
      </c>
      <c r="W204" s="50">
        <f t="shared" si="26"/>
        <v>-0.27233259426610423</v>
      </c>
    </row>
    <row r="205" spans="1:23" x14ac:dyDescent="0.3">
      <c r="A205" s="39" t="s">
        <v>510</v>
      </c>
      <c r="B205" s="40">
        <v>45692</v>
      </c>
      <c r="C205" s="41">
        <v>45713</v>
      </c>
      <c r="D205" s="42">
        <f t="shared" si="27"/>
        <v>21</v>
      </c>
      <c r="E205" s="42" t="str">
        <f>TEXT(Data!B205,"MMM-YYYY")</f>
        <v>Feb-2025</v>
      </c>
      <c r="F205" s="42" t="str">
        <f t="shared" si="23"/>
        <v>Q1-2025</v>
      </c>
      <c r="G205" s="37" t="s">
        <v>78</v>
      </c>
      <c r="H205" s="37" t="s">
        <v>108</v>
      </c>
      <c r="I205" s="37" t="s">
        <v>109</v>
      </c>
      <c r="J205" s="37" t="s">
        <v>19</v>
      </c>
      <c r="K205" s="37" t="s">
        <v>40</v>
      </c>
      <c r="L205" s="37" t="s">
        <v>145</v>
      </c>
      <c r="M205" s="37" t="s">
        <v>64</v>
      </c>
      <c r="N205" s="37" t="s">
        <v>511</v>
      </c>
      <c r="O205" s="42">
        <v>1016.32</v>
      </c>
      <c r="P205" s="43" t="str">
        <f t="shared" si="24"/>
        <v>High</v>
      </c>
      <c r="Q205" s="42">
        <v>2253.42</v>
      </c>
      <c r="R205" s="42">
        <v>5.5E-2</v>
      </c>
      <c r="S205" s="42">
        <v>12</v>
      </c>
      <c r="T205" s="42">
        <f t="shared" si="21"/>
        <v>554.97959999999989</v>
      </c>
      <c r="U205" s="37">
        <f t="shared" si="22"/>
        <v>12195.84</v>
      </c>
      <c r="V205" s="42">
        <f t="shared" si="25"/>
        <v>-11640.8604</v>
      </c>
      <c r="W205" s="44">
        <f t="shared" si="26"/>
        <v>-20.97529422703105</v>
      </c>
    </row>
    <row r="206" spans="1:23" x14ac:dyDescent="0.3">
      <c r="A206" s="45" t="s">
        <v>512</v>
      </c>
      <c r="B206" s="46">
        <v>45035</v>
      </c>
      <c r="C206" s="47">
        <v>45044</v>
      </c>
      <c r="D206" s="48">
        <f t="shared" si="27"/>
        <v>9</v>
      </c>
      <c r="E206" s="48" t="str">
        <f>TEXT(Data!B206,"MMM-YYYY")</f>
        <v>Apr-2023</v>
      </c>
      <c r="F206" s="48" t="str">
        <f t="shared" si="23"/>
        <v>Q2-2023</v>
      </c>
      <c r="G206" s="38" t="s">
        <v>78</v>
      </c>
      <c r="H206" s="38" t="s">
        <v>79</v>
      </c>
      <c r="I206" s="38" t="s">
        <v>80</v>
      </c>
      <c r="J206" s="38" t="s">
        <v>27</v>
      </c>
      <c r="K206" s="38" t="s">
        <v>28</v>
      </c>
      <c r="L206" s="38" t="s">
        <v>63</v>
      </c>
      <c r="M206" s="38" t="s">
        <v>64</v>
      </c>
      <c r="N206" s="38" t="s">
        <v>513</v>
      </c>
      <c r="O206" s="48">
        <v>1178.42</v>
      </c>
      <c r="P206" s="49" t="str">
        <f t="shared" si="24"/>
        <v>High</v>
      </c>
      <c r="Q206" s="48">
        <v>2446.56</v>
      </c>
      <c r="R206" s="48">
        <v>2.9000000000000001E-2</v>
      </c>
      <c r="S206" s="48">
        <v>11</v>
      </c>
      <c r="T206" s="48">
        <f t="shared" si="21"/>
        <v>9957.7894899999992</v>
      </c>
      <c r="U206" s="38">
        <f t="shared" si="22"/>
        <v>12962.62</v>
      </c>
      <c r="V206" s="48">
        <f t="shared" si="25"/>
        <v>-3004.8305100000016</v>
      </c>
      <c r="W206" s="50">
        <f t="shared" si="26"/>
        <v>-0.30175678176542792</v>
      </c>
    </row>
    <row r="207" spans="1:23" x14ac:dyDescent="0.3">
      <c r="A207" s="39" t="s">
        <v>514</v>
      </c>
      <c r="B207" s="40">
        <v>45109</v>
      </c>
      <c r="C207" s="41">
        <v>45139</v>
      </c>
      <c r="D207" s="42">
        <f t="shared" si="27"/>
        <v>30</v>
      </c>
      <c r="E207" s="42" t="str">
        <f>TEXT(Data!B207,"MMM-YYYY")</f>
        <v>Jul-2023</v>
      </c>
      <c r="F207" s="42" t="str">
        <f t="shared" si="23"/>
        <v>Q3-2023</v>
      </c>
      <c r="G207" s="37" t="s">
        <v>78</v>
      </c>
      <c r="H207" s="37" t="s">
        <v>108</v>
      </c>
      <c r="I207" s="37" t="s">
        <v>109</v>
      </c>
      <c r="J207" s="37" t="s">
        <v>62</v>
      </c>
      <c r="K207" s="37" t="s">
        <v>20</v>
      </c>
      <c r="L207" s="37" t="s">
        <v>56</v>
      </c>
      <c r="M207" s="37" t="s">
        <v>22</v>
      </c>
      <c r="N207" s="37" t="s">
        <v>515</v>
      </c>
      <c r="O207" s="42">
        <v>137.46</v>
      </c>
      <c r="P207" s="43" t="str">
        <f t="shared" si="24"/>
        <v>Medium</v>
      </c>
      <c r="Q207" s="42">
        <v>188.3</v>
      </c>
      <c r="R207" s="42">
        <v>3.7999999999999999E-2</v>
      </c>
      <c r="S207" s="42">
        <v>37</v>
      </c>
      <c r="T207" s="42">
        <f t="shared" si="21"/>
        <v>11596.169260000001</v>
      </c>
      <c r="U207" s="37">
        <f t="shared" si="22"/>
        <v>5086.0200000000004</v>
      </c>
      <c r="V207" s="42">
        <f t="shared" si="25"/>
        <v>6510.1492600000001</v>
      </c>
      <c r="W207" s="44">
        <f t="shared" si="26"/>
        <v>0.56140516010370822</v>
      </c>
    </row>
    <row r="208" spans="1:23" x14ac:dyDescent="0.3">
      <c r="A208" s="45" t="s">
        <v>516</v>
      </c>
      <c r="B208" s="46">
        <v>45678</v>
      </c>
      <c r="C208" s="47">
        <v>45702</v>
      </c>
      <c r="D208" s="48">
        <f t="shared" si="27"/>
        <v>24</v>
      </c>
      <c r="E208" s="48" t="str">
        <f>TEXT(Data!B208,"MMM-YYYY")</f>
        <v>Jan-2025</v>
      </c>
      <c r="F208" s="48" t="str">
        <f t="shared" si="23"/>
        <v>Q1-2025</v>
      </c>
      <c r="G208" s="38" t="s">
        <v>16</v>
      </c>
      <c r="H208" s="38" t="s">
        <v>17</v>
      </c>
      <c r="I208" s="38" t="s">
        <v>33</v>
      </c>
      <c r="J208" s="38" t="s">
        <v>62</v>
      </c>
      <c r="K208" s="38" t="s">
        <v>20</v>
      </c>
      <c r="L208" s="38" t="s">
        <v>29</v>
      </c>
      <c r="M208" s="38" t="s">
        <v>81</v>
      </c>
      <c r="N208" s="38" t="s">
        <v>517</v>
      </c>
      <c r="O208" s="48">
        <v>1030.44</v>
      </c>
      <c r="P208" s="49" t="str">
        <f t="shared" si="24"/>
        <v>High</v>
      </c>
      <c r="Q208" s="48">
        <v>2562.84</v>
      </c>
      <c r="R208" s="48">
        <v>0.14799999999999999</v>
      </c>
      <c r="S208" s="48">
        <v>13</v>
      </c>
      <c r="T208" s="48">
        <f t="shared" si="21"/>
        <v>4496.5237200000001</v>
      </c>
      <c r="U208" s="38">
        <f t="shared" si="22"/>
        <v>13395.720000000001</v>
      </c>
      <c r="V208" s="48">
        <f t="shared" si="25"/>
        <v>-8899.1962800000001</v>
      </c>
      <c r="W208" s="50">
        <f t="shared" si="26"/>
        <v>-1.9791280629561541</v>
      </c>
    </row>
    <row r="209" spans="1:23" x14ac:dyDescent="0.3">
      <c r="A209" s="39" t="s">
        <v>518</v>
      </c>
      <c r="B209" s="40">
        <v>45545</v>
      </c>
      <c r="C209" s="41">
        <v>45572</v>
      </c>
      <c r="D209" s="42">
        <f t="shared" si="27"/>
        <v>27</v>
      </c>
      <c r="E209" s="42" t="str">
        <f>TEXT(Data!B209,"MMM-YYYY")</f>
        <v>Sept-2024</v>
      </c>
      <c r="F209" s="42" t="str">
        <f t="shared" si="23"/>
        <v>Q3-2024</v>
      </c>
      <c r="G209" s="37" t="s">
        <v>16</v>
      </c>
      <c r="H209" s="37" t="s">
        <v>17</v>
      </c>
      <c r="I209" s="37" t="s">
        <v>18</v>
      </c>
      <c r="J209" s="37" t="s">
        <v>48</v>
      </c>
      <c r="K209" s="37" t="s">
        <v>20</v>
      </c>
      <c r="L209" s="37" t="s">
        <v>49</v>
      </c>
      <c r="M209" s="37" t="s">
        <v>30</v>
      </c>
      <c r="N209" s="37" t="s">
        <v>519</v>
      </c>
      <c r="O209" s="42">
        <v>1248.3900000000001</v>
      </c>
      <c r="P209" s="43" t="str">
        <f t="shared" si="24"/>
        <v>High</v>
      </c>
      <c r="Q209" s="42">
        <v>1805.11</v>
      </c>
      <c r="R209" s="42">
        <v>0.20300000000000001</v>
      </c>
      <c r="S209" s="42">
        <v>11</v>
      </c>
      <c r="T209" s="42">
        <f t="shared" si="21"/>
        <v>13931.376689999999</v>
      </c>
      <c r="U209" s="37">
        <f t="shared" si="22"/>
        <v>13732.29</v>
      </c>
      <c r="V209" s="42">
        <f t="shared" si="25"/>
        <v>199.08668999999827</v>
      </c>
      <c r="W209" s="44">
        <f t="shared" si="26"/>
        <v>1.4290525224467122E-2</v>
      </c>
    </row>
    <row r="210" spans="1:23" x14ac:dyDescent="0.3">
      <c r="A210" s="45" t="s">
        <v>520</v>
      </c>
      <c r="B210" s="46">
        <v>45859</v>
      </c>
      <c r="C210" s="47">
        <v>45876</v>
      </c>
      <c r="D210" s="48">
        <f t="shared" si="27"/>
        <v>17</v>
      </c>
      <c r="E210" s="48" t="str">
        <f>TEXT(Data!B210,"MMM-YYYY")</f>
        <v>Jul-2025</v>
      </c>
      <c r="F210" s="48" t="str">
        <f t="shared" si="23"/>
        <v>Q3-2025</v>
      </c>
      <c r="G210" s="38" t="s">
        <v>16</v>
      </c>
      <c r="H210" s="38" t="s">
        <v>25</v>
      </c>
      <c r="I210" s="38" t="s">
        <v>38</v>
      </c>
      <c r="J210" s="38" t="s">
        <v>105</v>
      </c>
      <c r="K210" s="38" t="s">
        <v>98</v>
      </c>
      <c r="L210" s="38" t="s">
        <v>110</v>
      </c>
      <c r="M210" s="38" t="s">
        <v>81</v>
      </c>
      <c r="N210" s="38" t="s">
        <v>521</v>
      </c>
      <c r="O210" s="48">
        <v>1204.95</v>
      </c>
      <c r="P210" s="49" t="str">
        <f t="shared" si="24"/>
        <v>High</v>
      </c>
      <c r="Q210" s="48">
        <v>2065.73</v>
      </c>
      <c r="R210" s="48">
        <v>0.13600000000000001</v>
      </c>
      <c r="S210" s="48">
        <v>10</v>
      </c>
      <c r="T210" s="48">
        <f t="shared" si="21"/>
        <v>12379.392</v>
      </c>
      <c r="U210" s="38">
        <f t="shared" si="22"/>
        <v>12049.5</v>
      </c>
      <c r="V210" s="48">
        <f t="shared" si="25"/>
        <v>329.89199999999983</v>
      </c>
      <c r="W210" s="50">
        <f t="shared" si="26"/>
        <v>2.6648481605558643E-2</v>
      </c>
    </row>
    <row r="211" spans="1:23" x14ac:dyDescent="0.3">
      <c r="A211" s="39" t="s">
        <v>522</v>
      </c>
      <c r="B211" s="40">
        <v>45567</v>
      </c>
      <c r="C211" s="41">
        <v>45588</v>
      </c>
      <c r="D211" s="42">
        <f t="shared" si="27"/>
        <v>21</v>
      </c>
      <c r="E211" s="42" t="str">
        <f>TEXT(Data!B211,"MMM-YYYY")</f>
        <v>Oct-2024</v>
      </c>
      <c r="F211" s="42" t="str">
        <f t="shared" si="23"/>
        <v>Q4-2024</v>
      </c>
      <c r="G211" s="37" t="s">
        <v>16</v>
      </c>
      <c r="H211" s="37" t="s">
        <v>148</v>
      </c>
      <c r="I211" s="37" t="s">
        <v>172</v>
      </c>
      <c r="J211" s="37" t="s">
        <v>19</v>
      </c>
      <c r="K211" s="37" t="s">
        <v>40</v>
      </c>
      <c r="L211" s="37" t="s">
        <v>75</v>
      </c>
      <c r="M211" s="37" t="s">
        <v>22</v>
      </c>
      <c r="N211" s="37" t="s">
        <v>523</v>
      </c>
      <c r="O211" s="42">
        <v>1095.6099999999999</v>
      </c>
      <c r="P211" s="43" t="str">
        <f t="shared" si="24"/>
        <v>High</v>
      </c>
      <c r="Q211" s="42">
        <v>2366.5100000000002</v>
      </c>
      <c r="R211" s="42">
        <v>0.152</v>
      </c>
      <c r="S211" s="42">
        <v>9</v>
      </c>
      <c r="T211" s="42">
        <f t="shared" si="21"/>
        <v>13476.28032</v>
      </c>
      <c r="U211" s="37">
        <f t="shared" si="22"/>
        <v>9860.49</v>
      </c>
      <c r="V211" s="42">
        <f t="shared" si="25"/>
        <v>3615.7903200000001</v>
      </c>
      <c r="W211" s="44">
        <f t="shared" si="26"/>
        <v>0.26830774027710341</v>
      </c>
    </row>
    <row r="212" spans="1:23" x14ac:dyDescent="0.3">
      <c r="A212" s="45" t="s">
        <v>524</v>
      </c>
      <c r="B212" s="46">
        <v>45852</v>
      </c>
      <c r="C212" s="47">
        <v>45873</v>
      </c>
      <c r="D212" s="48">
        <f t="shared" si="27"/>
        <v>21</v>
      </c>
      <c r="E212" s="48" t="str">
        <f>TEXT(Data!B212,"MMM-YYYY")</f>
        <v>Jul-2025</v>
      </c>
      <c r="F212" s="48" t="str">
        <f t="shared" si="23"/>
        <v>Q3-2025</v>
      </c>
      <c r="G212" s="38" t="s">
        <v>52</v>
      </c>
      <c r="H212" s="38" t="s">
        <v>53</v>
      </c>
      <c r="I212" s="38" t="s">
        <v>144</v>
      </c>
      <c r="J212" s="38" t="s">
        <v>48</v>
      </c>
      <c r="K212" s="38" t="s">
        <v>28</v>
      </c>
      <c r="L212" s="38" t="s">
        <v>92</v>
      </c>
      <c r="M212" s="38" t="s">
        <v>64</v>
      </c>
      <c r="N212" s="38" t="s">
        <v>525</v>
      </c>
      <c r="O212" s="48">
        <v>90.3</v>
      </c>
      <c r="P212" s="49" t="str">
        <f t="shared" si="24"/>
        <v>Medium</v>
      </c>
      <c r="Q212" s="48">
        <v>131.76</v>
      </c>
      <c r="R212" s="48">
        <v>0.10199999999999999</v>
      </c>
      <c r="S212" s="48">
        <v>15</v>
      </c>
      <c r="T212" s="48">
        <f t="shared" si="21"/>
        <v>37144.063799999996</v>
      </c>
      <c r="U212" s="38">
        <f t="shared" si="22"/>
        <v>1354.5</v>
      </c>
      <c r="V212" s="48">
        <f t="shared" si="25"/>
        <v>35789.563799999996</v>
      </c>
      <c r="W212" s="50">
        <f t="shared" si="26"/>
        <v>0.96353387697982573</v>
      </c>
    </row>
    <row r="213" spans="1:23" x14ac:dyDescent="0.3">
      <c r="A213" s="39" t="s">
        <v>526</v>
      </c>
      <c r="B213" s="40">
        <v>45544</v>
      </c>
      <c r="C213" s="41">
        <v>45566</v>
      </c>
      <c r="D213" s="42">
        <f t="shared" si="27"/>
        <v>22</v>
      </c>
      <c r="E213" s="42" t="str">
        <f>TEXT(Data!B213,"MMM-YYYY")</f>
        <v>Sept-2024</v>
      </c>
      <c r="F213" s="42" t="str">
        <f t="shared" si="23"/>
        <v>Q3-2024</v>
      </c>
      <c r="G213" s="37" t="s">
        <v>45</v>
      </c>
      <c r="H213" s="37" t="s">
        <v>116</v>
      </c>
      <c r="I213" s="37" t="s">
        <v>117</v>
      </c>
      <c r="J213" s="37" t="s">
        <v>48</v>
      </c>
      <c r="K213" s="37" t="s">
        <v>98</v>
      </c>
      <c r="L213" s="37" t="s">
        <v>49</v>
      </c>
      <c r="M213" s="37" t="s">
        <v>30</v>
      </c>
      <c r="N213" s="37" t="s">
        <v>527</v>
      </c>
      <c r="O213" s="42">
        <v>1166.18</v>
      </c>
      <c r="P213" s="43" t="str">
        <f t="shared" si="24"/>
        <v>High</v>
      </c>
      <c r="Q213" s="42">
        <v>1335.02</v>
      </c>
      <c r="R213" s="42">
        <v>0.128</v>
      </c>
      <c r="S213" s="42">
        <v>6</v>
      </c>
      <c r="T213" s="42">
        <f t="shared" si="21"/>
        <v>4571.46</v>
      </c>
      <c r="U213" s="37">
        <f t="shared" si="22"/>
        <v>6997.08</v>
      </c>
      <c r="V213" s="42">
        <f t="shared" si="25"/>
        <v>-2425.62</v>
      </c>
      <c r="W213" s="44">
        <f t="shared" si="26"/>
        <v>-0.53060072712000106</v>
      </c>
    </row>
    <row r="214" spans="1:23" x14ac:dyDescent="0.3">
      <c r="A214" s="45" t="s">
        <v>528</v>
      </c>
      <c r="B214" s="46">
        <v>45686</v>
      </c>
      <c r="C214" s="47">
        <v>45694</v>
      </c>
      <c r="D214" s="48">
        <f t="shared" si="27"/>
        <v>8</v>
      </c>
      <c r="E214" s="48" t="str">
        <f>TEXT(Data!B214,"MMM-YYYY")</f>
        <v>Jan-2025</v>
      </c>
      <c r="F214" s="48" t="str">
        <f t="shared" si="23"/>
        <v>Q1-2025</v>
      </c>
      <c r="G214" s="38" t="s">
        <v>16</v>
      </c>
      <c r="H214" s="38" t="s">
        <v>17</v>
      </c>
      <c r="I214" s="38" t="s">
        <v>18</v>
      </c>
      <c r="J214" s="38" t="s">
        <v>27</v>
      </c>
      <c r="K214" s="38" t="s">
        <v>20</v>
      </c>
      <c r="L214" s="38" t="s">
        <v>56</v>
      </c>
      <c r="M214" s="38" t="s">
        <v>42</v>
      </c>
      <c r="N214" s="38" t="s">
        <v>529</v>
      </c>
      <c r="O214" s="48">
        <v>1445.27</v>
      </c>
      <c r="P214" s="49" t="str">
        <f t="shared" si="24"/>
        <v>High</v>
      </c>
      <c r="Q214" s="48">
        <v>2691.45</v>
      </c>
      <c r="R214" s="48">
        <v>0</v>
      </c>
      <c r="S214" s="48">
        <v>9</v>
      </c>
      <c r="T214" s="48">
        <f t="shared" si="21"/>
        <v>2326.6799999999998</v>
      </c>
      <c r="U214" s="38">
        <f t="shared" si="22"/>
        <v>13007.43</v>
      </c>
      <c r="V214" s="48">
        <f t="shared" si="25"/>
        <v>-10680.75</v>
      </c>
      <c r="W214" s="50">
        <f t="shared" si="26"/>
        <v>-4.5905539223270928</v>
      </c>
    </row>
    <row r="215" spans="1:23" x14ac:dyDescent="0.3">
      <c r="A215" s="39" t="s">
        <v>530</v>
      </c>
      <c r="B215" s="40">
        <v>45240</v>
      </c>
      <c r="C215" s="41">
        <v>45258</v>
      </c>
      <c r="D215" s="42">
        <f t="shared" si="27"/>
        <v>18</v>
      </c>
      <c r="E215" s="42" t="str">
        <f>TEXT(Data!B215,"MMM-YYYY")</f>
        <v>Nov-2023</v>
      </c>
      <c r="F215" s="42" t="str">
        <f t="shared" si="23"/>
        <v>Q4-2023</v>
      </c>
      <c r="G215" s="37" t="s">
        <v>52</v>
      </c>
      <c r="H215" s="37" t="s">
        <v>73</v>
      </c>
      <c r="I215" s="37" t="s">
        <v>87</v>
      </c>
      <c r="J215" s="37" t="s">
        <v>27</v>
      </c>
      <c r="K215" s="37" t="s">
        <v>40</v>
      </c>
      <c r="L215" s="37" t="s">
        <v>49</v>
      </c>
      <c r="M215" s="37" t="s">
        <v>81</v>
      </c>
      <c r="N215" s="37" t="s">
        <v>531</v>
      </c>
      <c r="O215" s="42">
        <v>388.51</v>
      </c>
      <c r="P215" s="43" t="str">
        <f t="shared" si="24"/>
        <v>High</v>
      </c>
      <c r="Q215" s="42">
        <v>776.46</v>
      </c>
      <c r="R215" s="42">
        <v>0.157</v>
      </c>
      <c r="S215" s="42">
        <v>12</v>
      </c>
      <c r="T215" s="42">
        <f t="shared" si="21"/>
        <v>6137.98416</v>
      </c>
      <c r="U215" s="37">
        <f t="shared" si="22"/>
        <v>4662.12</v>
      </c>
      <c r="V215" s="42">
        <f t="shared" si="25"/>
        <v>1475.8641600000001</v>
      </c>
      <c r="W215" s="44">
        <f t="shared" si="26"/>
        <v>0.24044769773403912</v>
      </c>
    </row>
    <row r="216" spans="1:23" x14ac:dyDescent="0.3">
      <c r="A216" s="45" t="s">
        <v>532</v>
      </c>
      <c r="B216" s="46">
        <v>45351</v>
      </c>
      <c r="C216" s="47">
        <v>45381</v>
      </c>
      <c r="D216" s="48">
        <f t="shared" si="27"/>
        <v>1</v>
      </c>
      <c r="E216" s="48" t="str">
        <f>TEXT(Data!B216,"MMM-YYYY")</f>
        <v>Feb-2024</v>
      </c>
      <c r="F216" s="48" t="str">
        <f t="shared" si="23"/>
        <v>Q1-2024</v>
      </c>
      <c r="G216" s="38" t="s">
        <v>45</v>
      </c>
      <c r="H216" s="38" t="s">
        <v>46</v>
      </c>
      <c r="I216" s="38" t="s">
        <v>231</v>
      </c>
      <c r="J216" s="38" t="s">
        <v>62</v>
      </c>
      <c r="K216" s="38" t="s">
        <v>98</v>
      </c>
      <c r="L216" s="38" t="s">
        <v>34</v>
      </c>
      <c r="M216" s="38" t="s">
        <v>35</v>
      </c>
      <c r="N216" s="38" t="s">
        <v>533</v>
      </c>
      <c r="O216" s="48">
        <v>231.11</v>
      </c>
      <c r="P216" s="49" t="str">
        <f t="shared" si="24"/>
        <v>High</v>
      </c>
      <c r="Q216" s="48">
        <v>318.17</v>
      </c>
      <c r="R216" s="48">
        <v>0.20100000000000001</v>
      </c>
      <c r="S216" s="48">
        <v>60</v>
      </c>
      <c r="T216" s="48">
        <f t="shared" si="21"/>
        <v>64128.8586</v>
      </c>
      <c r="U216" s="38">
        <f t="shared" si="22"/>
        <v>13866.6</v>
      </c>
      <c r="V216" s="48">
        <f t="shared" si="25"/>
        <v>50262.258600000001</v>
      </c>
      <c r="W216" s="50">
        <f t="shared" si="26"/>
        <v>0.7837697363913475</v>
      </c>
    </row>
    <row r="217" spans="1:23" x14ac:dyDescent="0.3">
      <c r="A217" s="39" t="s">
        <v>534</v>
      </c>
      <c r="B217" s="40">
        <v>45280</v>
      </c>
      <c r="C217" s="41">
        <v>45305</v>
      </c>
      <c r="D217" s="42">
        <f t="shared" si="27"/>
        <v>25</v>
      </c>
      <c r="E217" s="42" t="str">
        <f>TEXT(Data!B217,"MMM-YYYY")</f>
        <v>Dec-2023</v>
      </c>
      <c r="F217" s="42" t="str">
        <f t="shared" si="23"/>
        <v>Q4-2023</v>
      </c>
      <c r="G217" s="37" t="s">
        <v>45</v>
      </c>
      <c r="H217" s="37" t="s">
        <v>60</v>
      </c>
      <c r="I217" s="37" t="s">
        <v>220</v>
      </c>
      <c r="J217" s="37" t="s">
        <v>39</v>
      </c>
      <c r="K217" s="37" t="s">
        <v>40</v>
      </c>
      <c r="L217" s="37" t="s">
        <v>49</v>
      </c>
      <c r="M217" s="37" t="s">
        <v>64</v>
      </c>
      <c r="N217" s="37" t="s">
        <v>535</v>
      </c>
      <c r="O217" s="42">
        <v>1085.6099999999999</v>
      </c>
      <c r="P217" s="43" t="str">
        <f t="shared" si="24"/>
        <v>High</v>
      </c>
      <c r="Q217" s="42">
        <v>1246.4100000000001</v>
      </c>
      <c r="R217" s="42">
        <v>0.113</v>
      </c>
      <c r="S217" s="42">
        <v>7</v>
      </c>
      <c r="T217" s="42">
        <f t="shared" si="21"/>
        <v>11133.23372</v>
      </c>
      <c r="U217" s="37">
        <f t="shared" si="22"/>
        <v>7599.2699999999995</v>
      </c>
      <c r="V217" s="42">
        <f t="shared" si="25"/>
        <v>3533.9637200000006</v>
      </c>
      <c r="W217" s="44">
        <f t="shared" si="26"/>
        <v>0.31742473111397151</v>
      </c>
    </row>
    <row r="218" spans="1:23" x14ac:dyDescent="0.3">
      <c r="A218" s="45" t="s">
        <v>536</v>
      </c>
      <c r="B218" s="46">
        <v>44948</v>
      </c>
      <c r="C218" s="47">
        <v>44947</v>
      </c>
      <c r="D218" s="48">
        <f>DATEDIF(C218,B218, "MD")</f>
        <v>1</v>
      </c>
      <c r="E218" s="48" t="str">
        <f>TEXT(Data!B218,"MMM-YYYY")</f>
        <v>Jan-2023</v>
      </c>
      <c r="F218" s="48" t="str">
        <f t="shared" si="23"/>
        <v>Q1-2023</v>
      </c>
      <c r="G218" s="38" t="s">
        <v>78</v>
      </c>
      <c r="H218" s="38" t="s">
        <v>79</v>
      </c>
      <c r="I218" s="38" t="s">
        <v>159</v>
      </c>
      <c r="J218" s="38" t="s">
        <v>19</v>
      </c>
      <c r="K218" s="38" t="s">
        <v>98</v>
      </c>
      <c r="L218" s="38" t="s">
        <v>84</v>
      </c>
      <c r="M218" s="38" t="s">
        <v>64</v>
      </c>
      <c r="N218" s="38" t="s">
        <v>537</v>
      </c>
      <c r="O218" s="48">
        <v>150.86000000000001</v>
      </c>
      <c r="P218" s="49" t="str">
        <f t="shared" si="24"/>
        <v>High</v>
      </c>
      <c r="Q218" s="48">
        <v>346.96</v>
      </c>
      <c r="R218" s="48">
        <v>0.19600000000000001</v>
      </c>
      <c r="S218" s="48">
        <v>8</v>
      </c>
      <c r="T218" s="48">
        <f t="shared" si="21"/>
        <v>789.46368000000007</v>
      </c>
      <c r="U218" s="38">
        <f t="shared" si="22"/>
        <v>1206.8800000000001</v>
      </c>
      <c r="V218" s="48">
        <f t="shared" si="25"/>
        <v>-417.41632000000004</v>
      </c>
      <c r="W218" s="50">
        <f t="shared" si="26"/>
        <v>-0.52873403878440617</v>
      </c>
    </row>
    <row r="219" spans="1:23" x14ac:dyDescent="0.3">
      <c r="A219" s="39" t="s">
        <v>538</v>
      </c>
      <c r="B219" s="40">
        <v>45576</v>
      </c>
      <c r="C219" s="41">
        <v>45605</v>
      </c>
      <c r="D219" s="42">
        <f t="shared" si="27"/>
        <v>29</v>
      </c>
      <c r="E219" s="42" t="str">
        <f>TEXT(Data!B219,"MMM-YYYY")</f>
        <v>Oct-2024</v>
      </c>
      <c r="F219" s="42" t="str">
        <f t="shared" si="23"/>
        <v>Q4-2024</v>
      </c>
      <c r="G219" s="37" t="s">
        <v>45</v>
      </c>
      <c r="H219" s="37" t="s">
        <v>116</v>
      </c>
      <c r="I219" s="37" t="s">
        <v>162</v>
      </c>
      <c r="J219" s="37" t="s">
        <v>39</v>
      </c>
      <c r="K219" s="37" t="s">
        <v>28</v>
      </c>
      <c r="L219" s="37" t="s">
        <v>84</v>
      </c>
      <c r="M219" s="37" t="s">
        <v>30</v>
      </c>
      <c r="N219" s="37" t="s">
        <v>539</v>
      </c>
      <c r="O219" s="42">
        <v>391.64</v>
      </c>
      <c r="P219" s="43" t="str">
        <f t="shared" si="24"/>
        <v>High</v>
      </c>
      <c r="Q219" s="42">
        <v>504.76</v>
      </c>
      <c r="R219" s="42">
        <v>4.0000000000000001E-3</v>
      </c>
      <c r="S219" s="42">
        <v>13</v>
      </c>
      <c r="T219" s="42">
        <f t="shared" si="21"/>
        <v>12014.83764</v>
      </c>
      <c r="U219" s="37">
        <f t="shared" si="22"/>
        <v>5091.32</v>
      </c>
      <c r="V219" s="42">
        <f t="shared" si="25"/>
        <v>6923.51764</v>
      </c>
      <c r="W219" s="44">
        <f t="shared" si="26"/>
        <v>0.57624729084562143</v>
      </c>
    </row>
    <row r="220" spans="1:23" x14ac:dyDescent="0.3">
      <c r="A220" s="45" t="s">
        <v>540</v>
      </c>
      <c r="B220" s="46">
        <v>45554</v>
      </c>
      <c r="C220" s="47">
        <v>45579</v>
      </c>
      <c r="D220" s="48">
        <f t="shared" si="27"/>
        <v>25</v>
      </c>
      <c r="E220" s="48" t="str">
        <f>TEXT(Data!B220,"MMM-YYYY")</f>
        <v>Sept-2024</v>
      </c>
      <c r="F220" s="48" t="str">
        <f t="shared" si="23"/>
        <v>Q3-2024</v>
      </c>
      <c r="G220" s="38" t="s">
        <v>52</v>
      </c>
      <c r="H220" s="38" t="s">
        <v>73</v>
      </c>
      <c r="I220" s="38" t="s">
        <v>225</v>
      </c>
      <c r="J220" s="38" t="s">
        <v>62</v>
      </c>
      <c r="K220" s="38" t="s">
        <v>20</v>
      </c>
      <c r="L220" s="38" t="s">
        <v>95</v>
      </c>
      <c r="M220" s="38" t="s">
        <v>30</v>
      </c>
      <c r="N220" s="38" t="s">
        <v>541</v>
      </c>
      <c r="O220" s="48">
        <v>386.96</v>
      </c>
      <c r="P220" s="49" t="str">
        <f t="shared" si="24"/>
        <v>High</v>
      </c>
      <c r="Q220" s="48">
        <v>937.46</v>
      </c>
      <c r="R220" s="48">
        <v>0.26600000000000001</v>
      </c>
      <c r="S220" s="48">
        <v>41</v>
      </c>
      <c r="T220" s="48">
        <f t="shared" si="21"/>
        <v>4570.6767199999995</v>
      </c>
      <c r="U220" s="38">
        <f t="shared" si="22"/>
        <v>15865.359999999999</v>
      </c>
      <c r="V220" s="48">
        <f t="shared" si="25"/>
        <v>-11294.683279999999</v>
      </c>
      <c r="W220" s="50">
        <f t="shared" si="26"/>
        <v>-2.4711183861631763</v>
      </c>
    </row>
    <row r="221" spans="1:23" x14ac:dyDescent="0.3">
      <c r="A221" s="39" t="s">
        <v>542</v>
      </c>
      <c r="B221" s="40">
        <v>45894</v>
      </c>
      <c r="C221" s="41">
        <v>45924</v>
      </c>
      <c r="D221" s="42">
        <f t="shared" si="27"/>
        <v>30</v>
      </c>
      <c r="E221" s="42" t="str">
        <f>TEXT(Data!B221,"MMM-YYYY")</f>
        <v>Aug-2025</v>
      </c>
      <c r="F221" s="42" t="str">
        <f t="shared" si="23"/>
        <v>Q3-2025</v>
      </c>
      <c r="G221" s="37" t="s">
        <v>16</v>
      </c>
      <c r="H221" s="37" t="s">
        <v>17</v>
      </c>
      <c r="I221" s="37" t="s">
        <v>33</v>
      </c>
      <c r="J221" s="37" t="s">
        <v>48</v>
      </c>
      <c r="K221" s="37" t="s">
        <v>98</v>
      </c>
      <c r="L221" s="37" t="s">
        <v>56</v>
      </c>
      <c r="M221" s="37" t="s">
        <v>22</v>
      </c>
      <c r="N221" s="37" t="s">
        <v>543</v>
      </c>
      <c r="O221" s="42">
        <v>589.14</v>
      </c>
      <c r="P221" s="43" t="str">
        <f t="shared" si="24"/>
        <v>High</v>
      </c>
      <c r="Q221" s="42">
        <v>1300.58</v>
      </c>
      <c r="R221" s="42">
        <v>5.5E-2</v>
      </c>
      <c r="S221" s="42">
        <v>11</v>
      </c>
      <c r="T221" s="42">
        <f t="shared" si="21"/>
        <v>22977.108</v>
      </c>
      <c r="U221" s="37">
        <f t="shared" si="22"/>
        <v>6480.54</v>
      </c>
      <c r="V221" s="42">
        <f t="shared" si="25"/>
        <v>16496.567999999999</v>
      </c>
      <c r="W221" s="44">
        <f t="shared" si="26"/>
        <v>0.71795667235406646</v>
      </c>
    </row>
    <row r="222" spans="1:23" x14ac:dyDescent="0.3">
      <c r="A222" s="45" t="s">
        <v>544</v>
      </c>
      <c r="B222" s="46">
        <v>45194</v>
      </c>
      <c r="C222" s="47">
        <v>45201</v>
      </c>
      <c r="D222" s="48">
        <f t="shared" si="27"/>
        <v>7</v>
      </c>
      <c r="E222" s="48" t="str">
        <f>TEXT(Data!B222,"MMM-YYYY")</f>
        <v>Sept-2023</v>
      </c>
      <c r="F222" s="48" t="str">
        <f t="shared" si="23"/>
        <v>Q3-2023</v>
      </c>
      <c r="G222" s="38" t="s">
        <v>52</v>
      </c>
      <c r="H222" s="38" t="s">
        <v>122</v>
      </c>
      <c r="I222" s="38" t="s">
        <v>387</v>
      </c>
      <c r="J222" s="38" t="s">
        <v>27</v>
      </c>
      <c r="K222" s="38" t="s">
        <v>40</v>
      </c>
      <c r="L222" s="38" t="s">
        <v>34</v>
      </c>
      <c r="M222" s="38" t="s">
        <v>81</v>
      </c>
      <c r="N222" s="38" t="s">
        <v>545</v>
      </c>
      <c r="O222" s="48">
        <v>145.58000000000001</v>
      </c>
      <c r="P222" s="49" t="str">
        <f t="shared" si="24"/>
        <v>High</v>
      </c>
      <c r="Q222" s="48">
        <v>228.15</v>
      </c>
      <c r="R222" s="48">
        <v>0.20399999999999999</v>
      </c>
      <c r="S222" s="48">
        <v>5</v>
      </c>
      <c r="T222" s="48">
        <f t="shared" si="21"/>
        <v>158.16520000000003</v>
      </c>
      <c r="U222" s="38">
        <f t="shared" si="22"/>
        <v>727.90000000000009</v>
      </c>
      <c r="V222" s="48">
        <f t="shared" si="25"/>
        <v>-569.73480000000006</v>
      </c>
      <c r="W222" s="50">
        <f t="shared" si="26"/>
        <v>-3.602150156924532</v>
      </c>
    </row>
    <row r="223" spans="1:23" x14ac:dyDescent="0.3">
      <c r="A223" s="39" t="s">
        <v>546</v>
      </c>
      <c r="B223" s="40">
        <v>45164</v>
      </c>
      <c r="C223" s="41">
        <v>45179</v>
      </c>
      <c r="D223" s="42">
        <f t="shared" si="27"/>
        <v>15</v>
      </c>
      <c r="E223" s="42" t="str">
        <f>TEXT(Data!B223,"MMM-YYYY")</f>
        <v>Aug-2023</v>
      </c>
      <c r="F223" s="42" t="str">
        <f t="shared" si="23"/>
        <v>Q3-2023</v>
      </c>
      <c r="G223" s="37" t="s">
        <v>16</v>
      </c>
      <c r="H223" s="37" t="s">
        <v>148</v>
      </c>
      <c r="I223" s="37" t="s">
        <v>258</v>
      </c>
      <c r="J223" s="37" t="s">
        <v>39</v>
      </c>
      <c r="K223" s="37" t="s">
        <v>98</v>
      </c>
      <c r="L223" s="37" t="s">
        <v>126</v>
      </c>
      <c r="M223" s="37" t="s">
        <v>22</v>
      </c>
      <c r="N223" s="37" t="s">
        <v>547</v>
      </c>
      <c r="O223" s="42">
        <v>241.14</v>
      </c>
      <c r="P223" s="43" t="str">
        <f t="shared" si="24"/>
        <v>High</v>
      </c>
      <c r="Q223" s="42">
        <v>496.52</v>
      </c>
      <c r="R223" s="42">
        <v>9.2999999999999999E-2</v>
      </c>
      <c r="S223" s="42">
        <v>10</v>
      </c>
      <c r="T223" s="42">
        <f t="shared" si="21"/>
        <v>9151.630000000001</v>
      </c>
      <c r="U223" s="37">
        <f t="shared" si="22"/>
        <v>2411.3999999999996</v>
      </c>
      <c r="V223" s="42">
        <f t="shared" si="25"/>
        <v>6740.2300000000014</v>
      </c>
      <c r="W223" s="44">
        <f t="shared" si="26"/>
        <v>0.73650595576962796</v>
      </c>
    </row>
    <row r="224" spans="1:23" x14ac:dyDescent="0.3">
      <c r="A224" s="45" t="s">
        <v>548</v>
      </c>
      <c r="B224" s="46">
        <v>45854</v>
      </c>
      <c r="C224" s="47">
        <v>45855</v>
      </c>
      <c r="D224" s="48">
        <f t="shared" si="27"/>
        <v>1</v>
      </c>
      <c r="E224" s="48" t="str">
        <f>TEXT(Data!B224,"MMM-YYYY")</f>
        <v>Jul-2025</v>
      </c>
      <c r="F224" s="48" t="str">
        <f t="shared" si="23"/>
        <v>Q3-2025</v>
      </c>
      <c r="G224" s="38" t="s">
        <v>16</v>
      </c>
      <c r="H224" s="38" t="s">
        <v>148</v>
      </c>
      <c r="I224" s="38" t="s">
        <v>172</v>
      </c>
      <c r="J224" s="38" t="s">
        <v>62</v>
      </c>
      <c r="K224" s="38" t="s">
        <v>55</v>
      </c>
      <c r="L224" s="38" t="s">
        <v>56</v>
      </c>
      <c r="M224" s="38" t="s">
        <v>35</v>
      </c>
      <c r="N224" s="38" t="s">
        <v>549</v>
      </c>
      <c r="O224" s="48">
        <v>1198.9000000000001</v>
      </c>
      <c r="P224" s="49" t="str">
        <f t="shared" si="24"/>
        <v>High</v>
      </c>
      <c r="Q224" s="48">
        <v>2941.2</v>
      </c>
      <c r="R224" s="48">
        <v>5.0999999999999997E-2</v>
      </c>
      <c r="S224" s="48">
        <v>24</v>
      </c>
      <c r="T224" s="48">
        <f t="shared" si="21"/>
        <v>37663.304640000002</v>
      </c>
      <c r="U224" s="38">
        <f t="shared" si="22"/>
        <v>28773.600000000002</v>
      </c>
      <c r="V224" s="48">
        <f t="shared" si="25"/>
        <v>8889.7046399999999</v>
      </c>
      <c r="W224" s="50">
        <f t="shared" si="26"/>
        <v>0.23603092519286697</v>
      </c>
    </row>
    <row r="225" spans="1:23" x14ac:dyDescent="0.3">
      <c r="A225" s="39" t="s">
        <v>550</v>
      </c>
      <c r="B225" s="40">
        <v>45035</v>
      </c>
      <c r="C225" s="41">
        <v>45053</v>
      </c>
      <c r="D225" s="42">
        <f t="shared" si="27"/>
        <v>18</v>
      </c>
      <c r="E225" s="42" t="str">
        <f>TEXT(Data!B225,"MMM-YYYY")</f>
        <v>Apr-2023</v>
      </c>
      <c r="F225" s="42" t="str">
        <f t="shared" si="23"/>
        <v>Q2-2023</v>
      </c>
      <c r="G225" s="37" t="s">
        <v>78</v>
      </c>
      <c r="H225" s="37" t="s">
        <v>108</v>
      </c>
      <c r="I225" s="37" t="s">
        <v>109</v>
      </c>
      <c r="J225" s="37" t="s">
        <v>105</v>
      </c>
      <c r="K225" s="37" t="s">
        <v>20</v>
      </c>
      <c r="L225" s="37" t="s">
        <v>126</v>
      </c>
      <c r="M225" s="37" t="s">
        <v>57</v>
      </c>
      <c r="N225" s="37" t="s">
        <v>551</v>
      </c>
      <c r="O225" s="42">
        <v>1089.1500000000001</v>
      </c>
      <c r="P225" s="43" t="str">
        <f t="shared" si="24"/>
        <v>High</v>
      </c>
      <c r="Q225" s="42">
        <v>1088.2</v>
      </c>
      <c r="R225" s="42">
        <v>5.0999999999999997E-2</v>
      </c>
      <c r="S225" s="42">
        <v>15</v>
      </c>
      <c r="T225" s="42">
        <f t="shared" si="21"/>
        <v>14458.4895</v>
      </c>
      <c r="U225" s="37">
        <f t="shared" si="22"/>
        <v>16337.250000000002</v>
      </c>
      <c r="V225" s="42">
        <f t="shared" si="25"/>
        <v>-1878.7605000000021</v>
      </c>
      <c r="W225" s="44">
        <f t="shared" si="26"/>
        <v>-0.12994168581718044</v>
      </c>
    </row>
    <row r="226" spans="1:23" x14ac:dyDescent="0.3">
      <c r="A226" s="45" t="s">
        <v>552</v>
      </c>
      <c r="B226" s="46">
        <v>45279</v>
      </c>
      <c r="C226" s="47">
        <v>45280</v>
      </c>
      <c r="D226" s="48">
        <f t="shared" si="27"/>
        <v>1</v>
      </c>
      <c r="E226" s="48" t="str">
        <f>TEXT(Data!B226,"MMM-YYYY")</f>
        <v>Dec-2023</v>
      </c>
      <c r="F226" s="48" t="str">
        <f t="shared" si="23"/>
        <v>Q4-2023</v>
      </c>
      <c r="G226" s="38" t="s">
        <v>52</v>
      </c>
      <c r="H226" s="38" t="s">
        <v>73</v>
      </c>
      <c r="I226" s="38" t="s">
        <v>225</v>
      </c>
      <c r="J226" s="38" t="s">
        <v>48</v>
      </c>
      <c r="K226" s="38" t="s">
        <v>55</v>
      </c>
      <c r="L226" s="38" t="s">
        <v>29</v>
      </c>
      <c r="M226" s="38" t="s">
        <v>42</v>
      </c>
      <c r="N226" s="38" t="s">
        <v>553</v>
      </c>
      <c r="O226" s="48">
        <v>1080.43</v>
      </c>
      <c r="P226" s="49" t="str">
        <f t="shared" si="24"/>
        <v>High</v>
      </c>
      <c r="Q226" s="48">
        <v>2529.15</v>
      </c>
      <c r="R226" s="48">
        <v>0.14699999999999999</v>
      </c>
      <c r="S226" s="48">
        <v>10</v>
      </c>
      <c r="T226" s="48">
        <f t="shared" si="21"/>
        <v>7783.1984999999995</v>
      </c>
      <c r="U226" s="38">
        <f t="shared" si="22"/>
        <v>10804.300000000001</v>
      </c>
      <c r="V226" s="48">
        <f t="shared" si="25"/>
        <v>-3021.1015000000016</v>
      </c>
      <c r="W226" s="50">
        <f t="shared" si="26"/>
        <v>-0.38815680982567796</v>
      </c>
    </row>
    <row r="227" spans="1:23" x14ac:dyDescent="0.3">
      <c r="A227" s="39" t="s">
        <v>554</v>
      </c>
      <c r="B227" s="40">
        <v>45137</v>
      </c>
      <c r="C227" s="41">
        <v>45145</v>
      </c>
      <c r="D227" s="42">
        <f t="shared" si="27"/>
        <v>8</v>
      </c>
      <c r="E227" s="42" t="str">
        <f>TEXT(Data!B227,"MMM-YYYY")</f>
        <v>Jul-2023</v>
      </c>
      <c r="F227" s="42" t="str">
        <f t="shared" si="23"/>
        <v>Q3-2023</v>
      </c>
      <c r="G227" s="37" t="s">
        <v>45</v>
      </c>
      <c r="H227" s="37" t="s">
        <v>46</v>
      </c>
      <c r="I227" s="37" t="s">
        <v>231</v>
      </c>
      <c r="J227" s="37" t="s">
        <v>27</v>
      </c>
      <c r="K227" s="37" t="s">
        <v>40</v>
      </c>
      <c r="L227" s="37" t="s">
        <v>75</v>
      </c>
      <c r="M227" s="37" t="s">
        <v>35</v>
      </c>
      <c r="N227" s="37" t="s">
        <v>555</v>
      </c>
      <c r="O227" s="42">
        <v>1352.44</v>
      </c>
      <c r="P227" s="43" t="str">
        <f t="shared" si="24"/>
        <v>High</v>
      </c>
      <c r="Q227" s="42">
        <v>2698.01</v>
      </c>
      <c r="R227" s="42">
        <v>0.13100000000000001</v>
      </c>
      <c r="S227" s="42">
        <v>13</v>
      </c>
      <c r="T227" s="42">
        <f t="shared" si="21"/>
        <v>9209.201430000001</v>
      </c>
      <c r="U227" s="37">
        <f t="shared" si="22"/>
        <v>17581.72</v>
      </c>
      <c r="V227" s="42">
        <f t="shared" si="25"/>
        <v>-8372.5185700000002</v>
      </c>
      <c r="W227" s="44">
        <f t="shared" si="26"/>
        <v>-0.90914707791335603</v>
      </c>
    </row>
    <row r="228" spans="1:23" x14ac:dyDescent="0.3">
      <c r="A228" s="45" t="s">
        <v>556</v>
      </c>
      <c r="B228" s="46">
        <v>45203</v>
      </c>
      <c r="C228" s="47">
        <v>45228</v>
      </c>
      <c r="D228" s="48">
        <f t="shared" si="27"/>
        <v>25</v>
      </c>
      <c r="E228" s="48" t="str">
        <f>TEXT(Data!B228,"MMM-YYYY")</f>
        <v>Oct-2023</v>
      </c>
      <c r="F228" s="48" t="str">
        <f t="shared" si="23"/>
        <v>Q4-2023</v>
      </c>
      <c r="G228" s="38" t="s">
        <v>52</v>
      </c>
      <c r="H228" s="38" t="s">
        <v>122</v>
      </c>
      <c r="I228" s="38" t="s">
        <v>167</v>
      </c>
      <c r="J228" s="38" t="s">
        <v>62</v>
      </c>
      <c r="K228" s="38" t="s">
        <v>55</v>
      </c>
      <c r="L228" s="38" t="s">
        <v>68</v>
      </c>
      <c r="M228" s="38" t="s">
        <v>81</v>
      </c>
      <c r="N228" s="38" t="s">
        <v>557</v>
      </c>
      <c r="O228" s="48">
        <v>1239.8399999999999</v>
      </c>
      <c r="P228" s="49" t="str">
        <f t="shared" si="24"/>
        <v>High</v>
      </c>
      <c r="Q228" s="48">
        <v>1482.75</v>
      </c>
      <c r="R228" s="48">
        <v>6.7000000000000004E-2</v>
      </c>
      <c r="S228" s="48">
        <v>4</v>
      </c>
      <c r="T228" s="48">
        <f t="shared" si="21"/>
        <v>6770.0719200000003</v>
      </c>
      <c r="U228" s="38">
        <f t="shared" si="22"/>
        <v>4959.3599999999997</v>
      </c>
      <c r="V228" s="48">
        <f t="shared" si="25"/>
        <v>1810.7119200000006</v>
      </c>
      <c r="W228" s="50">
        <f t="shared" si="26"/>
        <v>0.26745829902498297</v>
      </c>
    </row>
    <row r="229" spans="1:23" x14ac:dyDescent="0.3">
      <c r="A229" s="39" t="s">
        <v>558</v>
      </c>
      <c r="B229" s="40">
        <v>45879</v>
      </c>
      <c r="C229" s="41">
        <v>45899</v>
      </c>
      <c r="D229" s="42">
        <f t="shared" si="27"/>
        <v>20</v>
      </c>
      <c r="E229" s="42" t="str">
        <f>TEXT(Data!B229,"MMM-YYYY")</f>
        <v>Aug-2025</v>
      </c>
      <c r="F229" s="42" t="str">
        <f t="shared" si="23"/>
        <v>Q3-2025</v>
      </c>
      <c r="G229" s="37" t="s">
        <v>52</v>
      </c>
      <c r="H229" s="37" t="s">
        <v>122</v>
      </c>
      <c r="I229" s="37" t="s">
        <v>167</v>
      </c>
      <c r="J229" s="37" t="s">
        <v>19</v>
      </c>
      <c r="K229" s="37" t="s">
        <v>40</v>
      </c>
      <c r="L229" s="37" t="s">
        <v>95</v>
      </c>
      <c r="M229" s="37" t="s">
        <v>30</v>
      </c>
      <c r="N229" s="37" t="s">
        <v>559</v>
      </c>
      <c r="O229" s="42">
        <v>933.29</v>
      </c>
      <c r="P229" s="43" t="str">
        <f t="shared" si="24"/>
        <v>High</v>
      </c>
      <c r="Q229" s="42">
        <v>1456.81</v>
      </c>
      <c r="R229" s="42">
        <v>0.123</v>
      </c>
      <c r="S229" s="42">
        <v>13</v>
      </c>
      <c r="T229" s="42">
        <f t="shared" si="21"/>
        <v>8652.4469199999985</v>
      </c>
      <c r="U229" s="37">
        <f t="shared" si="22"/>
        <v>12132.77</v>
      </c>
      <c r="V229" s="42">
        <f t="shared" si="25"/>
        <v>-3480.3230800000019</v>
      </c>
      <c r="W229" s="44">
        <f t="shared" si="26"/>
        <v>-0.4022357042093247</v>
      </c>
    </row>
    <row r="230" spans="1:23" x14ac:dyDescent="0.3">
      <c r="A230" s="45" t="s">
        <v>560</v>
      </c>
      <c r="B230" s="46">
        <v>44992</v>
      </c>
      <c r="C230" s="47">
        <v>45017</v>
      </c>
      <c r="D230" s="48">
        <f t="shared" si="27"/>
        <v>25</v>
      </c>
      <c r="E230" s="48" t="str">
        <f>TEXT(Data!B230,"MMM-YYYY")</f>
        <v>Mar-2023</v>
      </c>
      <c r="F230" s="48" t="str">
        <f t="shared" si="23"/>
        <v>Q1-2023</v>
      </c>
      <c r="G230" s="38" t="s">
        <v>16</v>
      </c>
      <c r="H230" s="38" t="s">
        <v>17</v>
      </c>
      <c r="I230" s="38" t="s">
        <v>33</v>
      </c>
      <c r="J230" s="38" t="s">
        <v>48</v>
      </c>
      <c r="K230" s="38" t="s">
        <v>40</v>
      </c>
      <c r="L230" s="38" t="s">
        <v>145</v>
      </c>
      <c r="M230" s="38" t="s">
        <v>30</v>
      </c>
      <c r="N230" s="38" t="s">
        <v>561</v>
      </c>
      <c r="O230" s="48">
        <v>1024.0999999999999</v>
      </c>
      <c r="P230" s="49" t="str">
        <f t="shared" si="24"/>
        <v>High</v>
      </c>
      <c r="Q230" s="48">
        <v>918.19</v>
      </c>
      <c r="R230" s="48">
        <v>0.189</v>
      </c>
      <c r="S230" s="48">
        <v>10</v>
      </c>
      <c r="T230" s="48">
        <f t="shared" si="21"/>
        <v>13522.938400000001</v>
      </c>
      <c r="U230" s="38">
        <f t="shared" si="22"/>
        <v>10241</v>
      </c>
      <c r="V230" s="48">
        <f t="shared" si="25"/>
        <v>3281.9384000000009</v>
      </c>
      <c r="W230" s="50">
        <f t="shared" si="26"/>
        <v>0.24269417658517181</v>
      </c>
    </row>
    <row r="231" spans="1:23" x14ac:dyDescent="0.3">
      <c r="A231" s="39" t="s">
        <v>562</v>
      </c>
      <c r="B231" s="40">
        <v>45069</v>
      </c>
      <c r="C231" s="41">
        <v>45087</v>
      </c>
      <c r="D231" s="42">
        <f t="shared" si="27"/>
        <v>18</v>
      </c>
      <c r="E231" s="42" t="str">
        <f>TEXT(Data!B231,"MMM-YYYY")</f>
        <v>May-2023</v>
      </c>
      <c r="F231" s="42" t="str">
        <f t="shared" si="23"/>
        <v>Q2-2023</v>
      </c>
      <c r="G231" s="37" t="s">
        <v>45</v>
      </c>
      <c r="H231" s="37" t="s">
        <v>116</v>
      </c>
      <c r="I231" s="37" t="s">
        <v>162</v>
      </c>
      <c r="J231" s="37" t="s">
        <v>19</v>
      </c>
      <c r="K231" s="37" t="s">
        <v>55</v>
      </c>
      <c r="L231" s="37" t="s">
        <v>63</v>
      </c>
      <c r="M231" s="37" t="s">
        <v>22</v>
      </c>
      <c r="N231" s="37" t="s">
        <v>563</v>
      </c>
      <c r="O231" s="42">
        <v>54.62</v>
      </c>
      <c r="P231" s="43" t="str">
        <f t="shared" si="24"/>
        <v>Low</v>
      </c>
      <c r="Q231" s="42">
        <v>48.94</v>
      </c>
      <c r="R231" s="42">
        <v>0.14799999999999999</v>
      </c>
      <c r="S231" s="42">
        <v>16</v>
      </c>
      <c r="T231" s="42">
        <f t="shared" si="21"/>
        <v>34932.681600000004</v>
      </c>
      <c r="U231" s="37">
        <f t="shared" si="22"/>
        <v>873.92</v>
      </c>
      <c r="V231" s="42">
        <f t="shared" si="25"/>
        <v>34058.761600000005</v>
      </c>
      <c r="W231" s="44">
        <f t="shared" si="26"/>
        <v>0.9749827393726338</v>
      </c>
    </row>
    <row r="232" spans="1:23" x14ac:dyDescent="0.3">
      <c r="A232" s="45" t="s">
        <v>564</v>
      </c>
      <c r="B232" s="46">
        <v>45771</v>
      </c>
      <c r="C232" s="47">
        <v>45783</v>
      </c>
      <c r="D232" s="48">
        <f t="shared" si="27"/>
        <v>12</v>
      </c>
      <c r="E232" s="48" t="str">
        <f>TEXT(Data!B232,"MMM-YYYY")</f>
        <v>Apr-2025</v>
      </c>
      <c r="F232" s="48" t="str">
        <f t="shared" si="23"/>
        <v>Q2-2025</v>
      </c>
      <c r="G232" s="38" t="s">
        <v>52</v>
      </c>
      <c r="H232" s="38" t="s">
        <v>73</v>
      </c>
      <c r="I232" s="38" t="s">
        <v>87</v>
      </c>
      <c r="J232" s="38" t="s">
        <v>48</v>
      </c>
      <c r="K232" s="38" t="s">
        <v>28</v>
      </c>
      <c r="L232" s="38" t="s">
        <v>21</v>
      </c>
      <c r="M232" s="38" t="s">
        <v>42</v>
      </c>
      <c r="N232" s="38" t="s">
        <v>565</v>
      </c>
      <c r="O232" s="48">
        <v>394.13</v>
      </c>
      <c r="P232" s="49" t="str">
        <f t="shared" si="24"/>
        <v>High</v>
      </c>
      <c r="Q232" s="48">
        <v>932.29</v>
      </c>
      <c r="R232" s="48">
        <v>0.109</v>
      </c>
      <c r="S232" s="48">
        <v>7</v>
      </c>
      <c r="T232" s="48">
        <f t="shared" si="21"/>
        <v>4648.9350599999998</v>
      </c>
      <c r="U232" s="38">
        <f t="shared" si="22"/>
        <v>2758.91</v>
      </c>
      <c r="V232" s="48">
        <f t="shared" si="25"/>
        <v>1890.0250599999999</v>
      </c>
      <c r="W232" s="50">
        <f t="shared" si="26"/>
        <v>0.40655010999443819</v>
      </c>
    </row>
    <row r="233" spans="1:23" x14ac:dyDescent="0.3">
      <c r="A233" s="39" t="s">
        <v>566</v>
      </c>
      <c r="B233" s="40">
        <v>45538</v>
      </c>
      <c r="C233" s="41">
        <v>45543</v>
      </c>
      <c r="D233" s="42">
        <f t="shared" si="27"/>
        <v>5</v>
      </c>
      <c r="E233" s="42" t="str">
        <f>TEXT(Data!B233,"MMM-YYYY")</f>
        <v>Sept-2024</v>
      </c>
      <c r="F233" s="42" t="str">
        <f t="shared" si="23"/>
        <v>Q3-2024</v>
      </c>
      <c r="G233" s="37" t="s">
        <v>16</v>
      </c>
      <c r="H233" s="37" t="s">
        <v>25</v>
      </c>
      <c r="I233" s="37" t="s">
        <v>38</v>
      </c>
      <c r="J233" s="37" t="s">
        <v>62</v>
      </c>
      <c r="K233" s="37" t="s">
        <v>98</v>
      </c>
      <c r="L233" s="37" t="s">
        <v>95</v>
      </c>
      <c r="M233" s="37" t="s">
        <v>30</v>
      </c>
      <c r="N233" s="37" t="s">
        <v>567</v>
      </c>
      <c r="O233" s="42">
        <v>197.63</v>
      </c>
      <c r="P233" s="43" t="str">
        <f t="shared" si="24"/>
        <v>High</v>
      </c>
      <c r="Q233" s="42">
        <v>325.79000000000002</v>
      </c>
      <c r="R233" s="42">
        <v>0.11600000000000001</v>
      </c>
      <c r="S233" s="42">
        <v>10</v>
      </c>
      <c r="T233" s="42">
        <f t="shared" si="21"/>
        <v>6081.4780000000001</v>
      </c>
      <c r="U233" s="37">
        <f t="shared" si="22"/>
        <v>1976.3</v>
      </c>
      <c r="V233" s="42">
        <f t="shared" si="25"/>
        <v>4105.1779999999999</v>
      </c>
      <c r="W233" s="44">
        <f t="shared" si="26"/>
        <v>0.67502965561990025</v>
      </c>
    </row>
    <row r="234" spans="1:23" x14ac:dyDescent="0.3">
      <c r="A234" s="45" t="s">
        <v>568</v>
      </c>
      <c r="B234" s="46">
        <v>45540</v>
      </c>
      <c r="C234" s="47">
        <v>45560</v>
      </c>
      <c r="D234" s="48">
        <f t="shared" si="27"/>
        <v>20</v>
      </c>
      <c r="E234" s="48" t="str">
        <f>TEXT(Data!B234,"MMM-YYYY")</f>
        <v>Sept-2024</v>
      </c>
      <c r="F234" s="48" t="str">
        <f t="shared" si="23"/>
        <v>Q3-2024</v>
      </c>
      <c r="G234" s="38" t="s">
        <v>45</v>
      </c>
      <c r="H234" s="38" t="s">
        <v>46</v>
      </c>
      <c r="I234" s="38" t="s">
        <v>47</v>
      </c>
      <c r="J234" s="38" t="s">
        <v>105</v>
      </c>
      <c r="K234" s="38" t="s">
        <v>55</v>
      </c>
      <c r="L234" s="38" t="s">
        <v>145</v>
      </c>
      <c r="M234" s="38" t="s">
        <v>64</v>
      </c>
      <c r="N234" s="38" t="s">
        <v>569</v>
      </c>
      <c r="O234" s="48">
        <v>195.54</v>
      </c>
      <c r="P234" s="49" t="str">
        <f t="shared" si="24"/>
        <v>High</v>
      </c>
      <c r="Q234" s="48">
        <v>405.97</v>
      </c>
      <c r="R234" s="48">
        <v>0.187</v>
      </c>
      <c r="S234" s="48">
        <v>16</v>
      </c>
      <c r="T234" s="48">
        <f t="shared" si="21"/>
        <v>7155.3105599999999</v>
      </c>
      <c r="U234" s="38">
        <f t="shared" si="22"/>
        <v>3128.64</v>
      </c>
      <c r="V234" s="48">
        <f t="shared" si="25"/>
        <v>4026.67056</v>
      </c>
      <c r="W234" s="50">
        <f t="shared" si="26"/>
        <v>0.56275273116866642</v>
      </c>
    </row>
    <row r="235" spans="1:23" x14ac:dyDescent="0.3">
      <c r="A235" s="39" t="s">
        <v>570</v>
      </c>
      <c r="B235" s="40">
        <v>44999</v>
      </c>
      <c r="C235" s="41">
        <v>45015</v>
      </c>
      <c r="D235" s="42">
        <f t="shared" si="27"/>
        <v>16</v>
      </c>
      <c r="E235" s="42" t="str">
        <f>TEXT(Data!B235,"MMM-YYYY")</f>
        <v>Mar-2023</v>
      </c>
      <c r="F235" s="42" t="str">
        <f t="shared" si="23"/>
        <v>Q1-2023</v>
      </c>
      <c r="G235" s="37" t="s">
        <v>16</v>
      </c>
      <c r="H235" s="37" t="s">
        <v>148</v>
      </c>
      <c r="I235" s="37" t="s">
        <v>258</v>
      </c>
      <c r="J235" s="37" t="s">
        <v>48</v>
      </c>
      <c r="K235" s="37" t="s">
        <v>55</v>
      </c>
      <c r="L235" s="37" t="s">
        <v>95</v>
      </c>
      <c r="M235" s="37" t="s">
        <v>22</v>
      </c>
      <c r="N235" s="37" t="s">
        <v>571</v>
      </c>
      <c r="O235" s="42">
        <v>1309.77</v>
      </c>
      <c r="P235" s="43" t="str">
        <f t="shared" si="24"/>
        <v>High</v>
      </c>
      <c r="Q235" s="42">
        <v>1589.07</v>
      </c>
      <c r="R235" s="42">
        <v>0.10199999999999999</v>
      </c>
      <c r="S235" s="42">
        <v>10</v>
      </c>
      <c r="T235" s="42">
        <f t="shared" si="21"/>
        <v>18572.525799999999</v>
      </c>
      <c r="U235" s="37">
        <f t="shared" si="22"/>
        <v>13097.7</v>
      </c>
      <c r="V235" s="42">
        <f t="shared" si="25"/>
        <v>5474.8257999999987</v>
      </c>
      <c r="W235" s="44">
        <f t="shared" si="26"/>
        <v>0.29478089619883574</v>
      </c>
    </row>
    <row r="236" spans="1:23" x14ac:dyDescent="0.3">
      <c r="A236" s="45" t="s">
        <v>572</v>
      </c>
      <c r="B236" s="46">
        <v>45302</v>
      </c>
      <c r="C236" s="47">
        <v>45324</v>
      </c>
      <c r="D236" s="48">
        <f t="shared" si="27"/>
        <v>22</v>
      </c>
      <c r="E236" s="48" t="str">
        <f>TEXT(Data!B236,"MMM-YYYY")</f>
        <v>Jan-2024</v>
      </c>
      <c r="F236" s="48" t="str">
        <f t="shared" si="23"/>
        <v>Q1-2024</v>
      </c>
      <c r="G236" s="38" t="s">
        <v>45</v>
      </c>
      <c r="H236" s="38" t="s">
        <v>46</v>
      </c>
      <c r="I236" s="38" t="s">
        <v>231</v>
      </c>
      <c r="J236" s="38" t="s">
        <v>62</v>
      </c>
      <c r="K236" s="38" t="s">
        <v>28</v>
      </c>
      <c r="L236" s="38" t="s">
        <v>1364</v>
      </c>
      <c r="M236" s="38" t="s">
        <v>30</v>
      </c>
      <c r="N236" s="38" t="s">
        <v>573</v>
      </c>
      <c r="O236" s="48">
        <v>1237.68</v>
      </c>
      <c r="P236" s="49" t="str">
        <f t="shared" si="24"/>
        <v>High</v>
      </c>
      <c r="Q236" s="48">
        <v>1432.8</v>
      </c>
      <c r="R236" s="48">
        <v>6.8000000000000005E-2</v>
      </c>
      <c r="S236" s="48">
        <v>13</v>
      </c>
      <c r="T236" s="48">
        <f t="shared" si="21"/>
        <v>31218.691400000003</v>
      </c>
      <c r="U236" s="38">
        <f t="shared" si="22"/>
        <v>16089.84</v>
      </c>
      <c r="V236" s="48">
        <f t="shared" si="25"/>
        <v>15128.851400000003</v>
      </c>
      <c r="W236" s="50">
        <f t="shared" si="26"/>
        <v>0.48460876230065175</v>
      </c>
    </row>
    <row r="237" spans="1:23" x14ac:dyDescent="0.3">
      <c r="A237" s="39" t="s">
        <v>574</v>
      </c>
      <c r="B237" s="40">
        <v>45548</v>
      </c>
      <c r="C237" s="41">
        <v>45567</v>
      </c>
      <c r="D237" s="42">
        <f t="shared" si="27"/>
        <v>19</v>
      </c>
      <c r="E237" s="42" t="str">
        <f>TEXT(Data!B237,"MMM-YYYY")</f>
        <v>Sept-2024</v>
      </c>
      <c r="F237" s="42" t="str">
        <f t="shared" si="23"/>
        <v>Q3-2024</v>
      </c>
      <c r="G237" s="37" t="s">
        <v>16</v>
      </c>
      <c r="H237" s="37" t="s">
        <v>17</v>
      </c>
      <c r="I237" s="37" t="s">
        <v>113</v>
      </c>
      <c r="J237" s="37" t="s">
        <v>62</v>
      </c>
      <c r="K237" s="37" t="s">
        <v>20</v>
      </c>
      <c r="L237" s="37" t="s">
        <v>110</v>
      </c>
      <c r="M237" s="37" t="s">
        <v>42</v>
      </c>
      <c r="N237" s="37" t="s">
        <v>575</v>
      </c>
      <c r="O237" s="42">
        <v>1338.99</v>
      </c>
      <c r="P237" s="43" t="str">
        <f t="shared" si="24"/>
        <v>High</v>
      </c>
      <c r="Q237" s="42">
        <v>1765.76</v>
      </c>
      <c r="R237" s="42">
        <v>0.126</v>
      </c>
      <c r="S237" s="42">
        <v>24</v>
      </c>
      <c r="T237" s="42">
        <f t="shared" si="21"/>
        <v>21901.880639999999</v>
      </c>
      <c r="U237" s="37">
        <f t="shared" si="22"/>
        <v>32135.760000000002</v>
      </c>
      <c r="V237" s="42">
        <f t="shared" si="25"/>
        <v>-10233.879360000003</v>
      </c>
      <c r="W237" s="44">
        <f t="shared" si="26"/>
        <v>-0.46726030189889678</v>
      </c>
    </row>
    <row r="238" spans="1:23" x14ac:dyDescent="0.3">
      <c r="A238" s="45" t="s">
        <v>576</v>
      </c>
      <c r="B238" s="46">
        <v>45855</v>
      </c>
      <c r="C238" s="47">
        <v>45861</v>
      </c>
      <c r="D238" s="48">
        <f t="shared" si="27"/>
        <v>6</v>
      </c>
      <c r="E238" s="48" t="str">
        <f>TEXT(Data!B238,"MMM-YYYY")</f>
        <v>Jul-2025</v>
      </c>
      <c r="F238" s="48" t="str">
        <f t="shared" si="23"/>
        <v>Q3-2025</v>
      </c>
      <c r="G238" s="38" t="s">
        <v>52</v>
      </c>
      <c r="H238" s="38" t="s">
        <v>53</v>
      </c>
      <c r="I238" s="38" t="s">
        <v>179</v>
      </c>
      <c r="J238" s="38" t="s">
        <v>48</v>
      </c>
      <c r="K238" s="38" t="s">
        <v>28</v>
      </c>
      <c r="L238" s="38" t="s">
        <v>92</v>
      </c>
      <c r="M238" s="38" t="s">
        <v>22</v>
      </c>
      <c r="N238" s="38" t="s">
        <v>577</v>
      </c>
      <c r="O238" s="48">
        <v>1364.89</v>
      </c>
      <c r="P238" s="49" t="str">
        <f t="shared" si="24"/>
        <v>High</v>
      </c>
      <c r="Q238" s="48">
        <v>2757.54</v>
      </c>
      <c r="R238" s="48">
        <v>0.17199999999999999</v>
      </c>
      <c r="S238" s="48">
        <v>61</v>
      </c>
      <c r="T238" s="48">
        <f t="shared" si="21"/>
        <v>5002.3123200000009</v>
      </c>
      <c r="U238" s="38">
        <f t="shared" si="22"/>
        <v>83258.290000000008</v>
      </c>
      <c r="V238" s="48">
        <f t="shared" si="25"/>
        <v>-78255.977680000011</v>
      </c>
      <c r="W238" s="50">
        <f t="shared" si="26"/>
        <v>-15.643960767327698</v>
      </c>
    </row>
    <row r="239" spans="1:23" x14ac:dyDescent="0.3">
      <c r="A239" s="39" t="s">
        <v>578</v>
      </c>
      <c r="B239" s="40">
        <v>45258</v>
      </c>
      <c r="C239" s="41">
        <v>45267</v>
      </c>
      <c r="D239" s="42">
        <f t="shared" si="27"/>
        <v>9</v>
      </c>
      <c r="E239" s="42" t="str">
        <f>TEXT(Data!B239,"MMM-YYYY")</f>
        <v>Nov-2023</v>
      </c>
      <c r="F239" s="42" t="str">
        <f t="shared" si="23"/>
        <v>Q4-2023</v>
      </c>
      <c r="G239" s="37" t="s">
        <v>45</v>
      </c>
      <c r="H239" s="37" t="s">
        <v>60</v>
      </c>
      <c r="I239" s="37" t="s">
        <v>141</v>
      </c>
      <c r="J239" s="37" t="s">
        <v>105</v>
      </c>
      <c r="K239" s="37" t="s">
        <v>40</v>
      </c>
      <c r="L239" s="37" t="s">
        <v>49</v>
      </c>
      <c r="M239" s="37" t="s">
        <v>42</v>
      </c>
      <c r="N239" s="37" t="s">
        <v>579</v>
      </c>
      <c r="O239" s="42">
        <v>699.33</v>
      </c>
      <c r="P239" s="43" t="str">
        <f t="shared" si="24"/>
        <v>High</v>
      </c>
      <c r="Q239" s="42">
        <v>873.75</v>
      </c>
      <c r="R239" s="42">
        <v>0.23499999999999999</v>
      </c>
      <c r="S239" s="42">
        <v>10</v>
      </c>
      <c r="T239" s="42">
        <f t="shared" si="21"/>
        <v>15275.5965</v>
      </c>
      <c r="U239" s="37">
        <f t="shared" si="22"/>
        <v>6993.3</v>
      </c>
      <c r="V239" s="42">
        <f t="shared" si="25"/>
        <v>8282.2965000000004</v>
      </c>
      <c r="W239" s="44">
        <f t="shared" si="26"/>
        <v>0.5421913638527962</v>
      </c>
    </row>
    <row r="240" spans="1:23" x14ac:dyDescent="0.3">
      <c r="A240" s="45" t="s">
        <v>580</v>
      </c>
      <c r="B240" s="46">
        <v>45381</v>
      </c>
      <c r="C240" s="47">
        <v>45406</v>
      </c>
      <c r="D240" s="48">
        <f t="shared" si="27"/>
        <v>25</v>
      </c>
      <c r="E240" s="48" t="str">
        <f>TEXT(Data!B240,"MMM-YYYY")</f>
        <v>Mar-2024</v>
      </c>
      <c r="F240" s="48" t="str">
        <f t="shared" si="23"/>
        <v>Q1-2024</v>
      </c>
      <c r="G240" s="38" t="s">
        <v>52</v>
      </c>
      <c r="H240" s="38" t="s">
        <v>122</v>
      </c>
      <c r="I240" s="38" t="s">
        <v>326</v>
      </c>
      <c r="J240" s="38" t="s">
        <v>39</v>
      </c>
      <c r="K240" s="38" t="s">
        <v>28</v>
      </c>
      <c r="L240" s="38" t="s">
        <v>41</v>
      </c>
      <c r="M240" s="38" t="s">
        <v>57</v>
      </c>
      <c r="N240" s="38" t="s">
        <v>581</v>
      </c>
      <c r="O240" s="48">
        <v>160.82</v>
      </c>
      <c r="P240" s="49" t="str">
        <f t="shared" si="24"/>
        <v>High</v>
      </c>
      <c r="Q240" s="48">
        <v>258.52</v>
      </c>
      <c r="R240" s="48">
        <v>0.13</v>
      </c>
      <c r="S240" s="48">
        <v>17</v>
      </c>
      <c r="T240" s="48">
        <f t="shared" si="21"/>
        <v>13631.647199999999</v>
      </c>
      <c r="U240" s="38">
        <f t="shared" si="22"/>
        <v>2733.94</v>
      </c>
      <c r="V240" s="48">
        <f t="shared" si="25"/>
        <v>10897.707199999999</v>
      </c>
      <c r="W240" s="50">
        <f t="shared" si="26"/>
        <v>0.79944169916604058</v>
      </c>
    </row>
    <row r="241" spans="1:23" x14ac:dyDescent="0.3">
      <c r="A241" s="39" t="s">
        <v>582</v>
      </c>
      <c r="B241" s="40">
        <v>45188</v>
      </c>
      <c r="C241" s="41">
        <v>45207</v>
      </c>
      <c r="D241" s="42">
        <f t="shared" si="27"/>
        <v>19</v>
      </c>
      <c r="E241" s="42" t="str">
        <f>TEXT(Data!B241,"MMM-YYYY")</f>
        <v>Sept-2023</v>
      </c>
      <c r="F241" s="42" t="str">
        <f t="shared" si="23"/>
        <v>Q3-2023</v>
      </c>
      <c r="G241" s="37" t="s">
        <v>45</v>
      </c>
      <c r="H241" s="37" t="s">
        <v>60</v>
      </c>
      <c r="I241" s="37" t="s">
        <v>61</v>
      </c>
      <c r="J241" s="37" t="s">
        <v>27</v>
      </c>
      <c r="K241" s="37" t="s">
        <v>98</v>
      </c>
      <c r="L241" s="37" t="s">
        <v>29</v>
      </c>
      <c r="M241" s="37" t="s">
        <v>30</v>
      </c>
      <c r="N241" s="37" t="s">
        <v>583</v>
      </c>
      <c r="O241" s="42">
        <v>385.32</v>
      </c>
      <c r="P241" s="43" t="str">
        <f t="shared" si="24"/>
        <v>High</v>
      </c>
      <c r="Q241" s="42">
        <v>606.76</v>
      </c>
      <c r="R241" s="42">
        <v>8.5999999999999993E-2</v>
      </c>
      <c r="S241" s="42">
        <v>8</v>
      </c>
      <c r="T241" s="42">
        <f t="shared" si="21"/>
        <v>18307.712480000002</v>
      </c>
      <c r="U241" s="37">
        <f t="shared" si="22"/>
        <v>3082.56</v>
      </c>
      <c r="V241" s="42">
        <f t="shared" si="25"/>
        <v>15225.152480000002</v>
      </c>
      <c r="W241" s="44">
        <f t="shared" si="26"/>
        <v>0.8316250594732959</v>
      </c>
    </row>
    <row r="242" spans="1:23" x14ac:dyDescent="0.3">
      <c r="A242" s="45" t="s">
        <v>584</v>
      </c>
      <c r="B242" s="46">
        <v>45793</v>
      </c>
      <c r="C242" s="47">
        <v>45804</v>
      </c>
      <c r="D242" s="48">
        <f t="shared" si="27"/>
        <v>11</v>
      </c>
      <c r="E242" s="48" t="str">
        <f>TEXT(Data!B242,"MMM-YYYY")</f>
        <v>May-2025</v>
      </c>
      <c r="F242" s="48" t="str">
        <f t="shared" si="23"/>
        <v>Q2-2025</v>
      </c>
      <c r="G242" s="38" t="s">
        <v>45</v>
      </c>
      <c r="H242" s="38" t="s">
        <v>116</v>
      </c>
      <c r="I242" s="38" t="s">
        <v>338</v>
      </c>
      <c r="J242" s="38" t="s">
        <v>105</v>
      </c>
      <c r="K242" s="38" t="s">
        <v>28</v>
      </c>
      <c r="L242" s="38" t="s">
        <v>84</v>
      </c>
      <c r="M242" s="38" t="s">
        <v>42</v>
      </c>
      <c r="N242" s="38" t="s">
        <v>585</v>
      </c>
      <c r="O242" s="48">
        <v>918.12</v>
      </c>
      <c r="P242" s="49" t="str">
        <f t="shared" si="24"/>
        <v>High</v>
      </c>
      <c r="Q242" s="48">
        <v>1337.69</v>
      </c>
      <c r="R242" s="48">
        <v>9.5000000000000001E-2</v>
      </c>
      <c r="S242" s="48">
        <v>8</v>
      </c>
      <c r="T242" s="48">
        <f t="shared" si="21"/>
        <v>17830.4548</v>
      </c>
      <c r="U242" s="38">
        <f t="shared" si="22"/>
        <v>7344.96</v>
      </c>
      <c r="V242" s="48">
        <f t="shared" si="25"/>
        <v>10485.4948</v>
      </c>
      <c r="W242" s="50">
        <f t="shared" si="26"/>
        <v>0.58806659267042372</v>
      </c>
    </row>
    <row r="243" spans="1:23" x14ac:dyDescent="0.3">
      <c r="A243" s="39" t="s">
        <v>586</v>
      </c>
      <c r="B243" s="40">
        <v>45871</v>
      </c>
      <c r="C243" s="41">
        <v>45877</v>
      </c>
      <c r="D243" s="42">
        <f t="shared" si="27"/>
        <v>6</v>
      </c>
      <c r="E243" s="42" t="str">
        <f>TEXT(Data!B243,"MMM-YYYY")</f>
        <v>Aug-2025</v>
      </c>
      <c r="F243" s="42" t="str">
        <f t="shared" si="23"/>
        <v>Q3-2025</v>
      </c>
      <c r="G243" s="37" t="s">
        <v>45</v>
      </c>
      <c r="H243" s="37" t="s">
        <v>46</v>
      </c>
      <c r="I243" s="37" t="s">
        <v>47</v>
      </c>
      <c r="J243" s="37" t="s">
        <v>48</v>
      </c>
      <c r="K243" s="37" t="s">
        <v>98</v>
      </c>
      <c r="L243" s="37" t="s">
        <v>126</v>
      </c>
      <c r="M243" s="37" t="s">
        <v>57</v>
      </c>
      <c r="N243" s="37" t="s">
        <v>587</v>
      </c>
      <c r="O243" s="42">
        <v>1225.94</v>
      </c>
      <c r="P243" s="43" t="str">
        <f t="shared" si="24"/>
        <v>High</v>
      </c>
      <c r="Q243" s="42">
        <v>1793.08</v>
      </c>
      <c r="R243" s="42">
        <v>0.13600000000000001</v>
      </c>
      <c r="S243" s="42">
        <v>22</v>
      </c>
      <c r="T243" s="42">
        <f t="shared" si="21"/>
        <v>9431.7695999999996</v>
      </c>
      <c r="U243" s="37">
        <f t="shared" si="22"/>
        <v>26970.68</v>
      </c>
      <c r="V243" s="42">
        <f t="shared" si="25"/>
        <v>-17538.910400000001</v>
      </c>
      <c r="W243" s="44">
        <f t="shared" si="26"/>
        <v>-1.8595567050323198</v>
      </c>
    </row>
    <row r="244" spans="1:23" x14ac:dyDescent="0.3">
      <c r="A244" s="45" t="s">
        <v>588</v>
      </c>
      <c r="B244" s="46">
        <v>45630</v>
      </c>
      <c r="C244" s="47">
        <v>45638</v>
      </c>
      <c r="D244" s="48">
        <f t="shared" si="27"/>
        <v>8</v>
      </c>
      <c r="E244" s="48" t="str">
        <f>TEXT(Data!B244,"MMM-YYYY")</f>
        <v>Dec-2024</v>
      </c>
      <c r="F244" s="48" t="str">
        <f t="shared" si="23"/>
        <v>Q4-2024</v>
      </c>
      <c r="G244" s="38" t="s">
        <v>78</v>
      </c>
      <c r="H244" s="38" t="s">
        <v>79</v>
      </c>
      <c r="I244" s="38" t="s">
        <v>335</v>
      </c>
      <c r="J244" s="38" t="s">
        <v>105</v>
      </c>
      <c r="K244" s="38" t="s">
        <v>40</v>
      </c>
      <c r="L244" s="38" t="s">
        <v>56</v>
      </c>
      <c r="M244" s="38" t="s">
        <v>30</v>
      </c>
      <c r="N244" s="38" t="s">
        <v>589</v>
      </c>
      <c r="O244" s="48">
        <v>72.06</v>
      </c>
      <c r="P244" s="49" t="str">
        <f t="shared" si="24"/>
        <v>Medium</v>
      </c>
      <c r="Q244" s="48">
        <v>122.74</v>
      </c>
      <c r="R244" s="48">
        <v>0.23799999999999999</v>
      </c>
      <c r="S244" s="48">
        <v>8</v>
      </c>
      <c r="T244" s="48">
        <f t="shared" si="21"/>
        <v>5532.6686399999999</v>
      </c>
      <c r="U244" s="38">
        <f t="shared" si="22"/>
        <v>576.48</v>
      </c>
      <c r="V244" s="48">
        <f t="shared" si="25"/>
        <v>4956.1886400000003</v>
      </c>
      <c r="W244" s="50">
        <f t="shared" si="26"/>
        <v>0.89580435093615152</v>
      </c>
    </row>
    <row r="245" spans="1:23" x14ac:dyDescent="0.3">
      <c r="A245" s="39" t="s">
        <v>590</v>
      </c>
      <c r="B245" s="40">
        <v>45035</v>
      </c>
      <c r="C245" s="41">
        <v>45044</v>
      </c>
      <c r="D245" s="42">
        <f t="shared" si="27"/>
        <v>9</v>
      </c>
      <c r="E245" s="42" t="str">
        <f>TEXT(Data!B245,"MMM-YYYY")</f>
        <v>Apr-2023</v>
      </c>
      <c r="F245" s="42" t="str">
        <f t="shared" si="23"/>
        <v>Q2-2023</v>
      </c>
      <c r="G245" s="37" t="s">
        <v>52</v>
      </c>
      <c r="H245" s="37" t="s">
        <v>73</v>
      </c>
      <c r="I245" s="37" t="s">
        <v>225</v>
      </c>
      <c r="J245" s="37" t="s">
        <v>19</v>
      </c>
      <c r="K245" s="37" t="s">
        <v>55</v>
      </c>
      <c r="L245" s="37" t="s">
        <v>110</v>
      </c>
      <c r="M245" s="37" t="s">
        <v>42</v>
      </c>
      <c r="N245" s="37" t="s">
        <v>591</v>
      </c>
      <c r="O245" s="42">
        <v>1013.54</v>
      </c>
      <c r="P245" s="43" t="str">
        <f t="shared" si="24"/>
        <v>High</v>
      </c>
      <c r="Q245" s="42">
        <v>927.93</v>
      </c>
      <c r="R245" s="42">
        <v>0.17499999999999999</v>
      </c>
      <c r="S245" s="42">
        <v>16</v>
      </c>
      <c r="T245" s="42">
        <f t="shared" si="21"/>
        <v>4411.308</v>
      </c>
      <c r="U245" s="37">
        <f t="shared" si="22"/>
        <v>16216.64</v>
      </c>
      <c r="V245" s="42">
        <f t="shared" si="25"/>
        <v>-11805.331999999999</v>
      </c>
      <c r="W245" s="44">
        <f t="shared" si="26"/>
        <v>-2.6761522886182507</v>
      </c>
    </row>
    <row r="246" spans="1:23" x14ac:dyDescent="0.3">
      <c r="A246" s="45" t="s">
        <v>592</v>
      </c>
      <c r="B246" s="46">
        <v>45357</v>
      </c>
      <c r="C246" s="47">
        <v>45377</v>
      </c>
      <c r="D246" s="48">
        <f t="shared" si="27"/>
        <v>20</v>
      </c>
      <c r="E246" s="48" t="str">
        <f>TEXT(Data!B246,"MMM-YYYY")</f>
        <v>Mar-2024</v>
      </c>
      <c r="F246" s="48" t="str">
        <f t="shared" si="23"/>
        <v>Q1-2024</v>
      </c>
      <c r="G246" s="38" t="s">
        <v>16</v>
      </c>
      <c r="H246" s="38" t="s">
        <v>25</v>
      </c>
      <c r="I246" s="38" t="s">
        <v>26</v>
      </c>
      <c r="J246" s="38" t="s">
        <v>48</v>
      </c>
      <c r="K246" s="38" t="s">
        <v>40</v>
      </c>
      <c r="L246" s="38" t="s">
        <v>34</v>
      </c>
      <c r="M246" s="38" t="s">
        <v>42</v>
      </c>
      <c r="N246" s="38" t="s">
        <v>593</v>
      </c>
      <c r="O246" s="48">
        <v>65.64</v>
      </c>
      <c r="P246" s="49" t="str">
        <f t="shared" si="24"/>
        <v>Medium</v>
      </c>
      <c r="Q246" s="48">
        <v>151.88</v>
      </c>
      <c r="R246" s="48">
        <v>0.16700000000000001</v>
      </c>
      <c r="S246" s="48">
        <v>23</v>
      </c>
      <c r="T246" s="48">
        <f t="shared" si="21"/>
        <v>10322.677609999999</v>
      </c>
      <c r="U246" s="38">
        <f t="shared" si="22"/>
        <v>1509.72</v>
      </c>
      <c r="V246" s="48">
        <f t="shared" si="25"/>
        <v>8812.9576099999995</v>
      </c>
      <c r="W246" s="50">
        <f t="shared" si="26"/>
        <v>0.8537472488206479</v>
      </c>
    </row>
    <row r="247" spans="1:23" x14ac:dyDescent="0.3">
      <c r="A247" s="39" t="s">
        <v>594</v>
      </c>
      <c r="B247" s="40">
        <v>45338</v>
      </c>
      <c r="C247" s="41">
        <v>45355</v>
      </c>
      <c r="D247" s="42">
        <f t="shared" si="27"/>
        <v>17</v>
      </c>
      <c r="E247" s="42" t="str">
        <f>TEXT(Data!B247,"MMM-YYYY")</f>
        <v>Feb-2024</v>
      </c>
      <c r="F247" s="42" t="str">
        <f t="shared" si="23"/>
        <v>Q1-2024</v>
      </c>
      <c r="G247" s="37" t="s">
        <v>52</v>
      </c>
      <c r="H247" s="37" t="s">
        <v>53</v>
      </c>
      <c r="I247" s="37" t="s">
        <v>144</v>
      </c>
      <c r="J247" s="37" t="s">
        <v>39</v>
      </c>
      <c r="K247" s="37" t="s">
        <v>20</v>
      </c>
      <c r="L247" s="37" t="s">
        <v>145</v>
      </c>
      <c r="M247" s="37" t="s">
        <v>57</v>
      </c>
      <c r="N247" s="37" t="s">
        <v>595</v>
      </c>
      <c r="O247" s="42">
        <v>1350.98</v>
      </c>
      <c r="P247" s="43" t="str">
        <f t="shared" si="24"/>
        <v>High</v>
      </c>
      <c r="Q247" s="42">
        <v>2210.4</v>
      </c>
      <c r="R247" s="42">
        <v>0.26300000000000001</v>
      </c>
      <c r="S247" s="42">
        <v>6</v>
      </c>
      <c r="T247" s="42">
        <f t="shared" si="21"/>
        <v>6352.3798799999995</v>
      </c>
      <c r="U247" s="37">
        <f t="shared" si="22"/>
        <v>8105.88</v>
      </c>
      <c r="V247" s="42">
        <f t="shared" si="25"/>
        <v>-1753.5001200000006</v>
      </c>
      <c r="W247" s="44">
        <f t="shared" si="26"/>
        <v>-0.27603829637468102</v>
      </c>
    </row>
    <row r="248" spans="1:23" x14ac:dyDescent="0.3">
      <c r="A248" s="45" t="s">
        <v>596</v>
      </c>
      <c r="B248" s="46">
        <v>45769</v>
      </c>
      <c r="C248" s="47">
        <v>45779</v>
      </c>
      <c r="D248" s="48">
        <f t="shared" si="27"/>
        <v>10</v>
      </c>
      <c r="E248" s="48" t="str">
        <f>TEXT(Data!B248,"MMM-YYYY")</f>
        <v>Apr-2025</v>
      </c>
      <c r="F248" s="48" t="str">
        <f t="shared" si="23"/>
        <v>Q2-2025</v>
      </c>
      <c r="G248" s="38" t="s">
        <v>78</v>
      </c>
      <c r="H248" s="38" t="s">
        <v>79</v>
      </c>
      <c r="I248" s="38" t="s">
        <v>80</v>
      </c>
      <c r="J248" s="38" t="s">
        <v>19</v>
      </c>
      <c r="K248" s="38" t="s">
        <v>40</v>
      </c>
      <c r="L248" s="38" t="s">
        <v>21</v>
      </c>
      <c r="M248" s="38" t="s">
        <v>64</v>
      </c>
      <c r="N248" s="38" t="s">
        <v>597</v>
      </c>
      <c r="O248" s="48">
        <v>20.149999999999999</v>
      </c>
      <c r="P248" s="49" t="str">
        <f t="shared" si="24"/>
        <v>Low</v>
      </c>
      <c r="Q248" s="48">
        <v>39.74</v>
      </c>
      <c r="R248" s="48">
        <v>0.151</v>
      </c>
      <c r="S248" s="48">
        <v>18</v>
      </c>
      <c r="T248" s="48">
        <f t="shared" si="21"/>
        <v>26996.417099999999</v>
      </c>
      <c r="U248" s="38">
        <f t="shared" si="22"/>
        <v>362.7</v>
      </c>
      <c r="V248" s="48">
        <f t="shared" si="25"/>
        <v>26633.717099999998</v>
      </c>
      <c r="W248" s="50">
        <f t="shared" si="26"/>
        <v>0.98656488382675045</v>
      </c>
    </row>
    <row r="249" spans="1:23" x14ac:dyDescent="0.3">
      <c r="A249" s="39" t="s">
        <v>598</v>
      </c>
      <c r="B249" s="40">
        <v>45604</v>
      </c>
      <c r="C249" s="41">
        <v>45604</v>
      </c>
      <c r="D249" s="42">
        <f t="shared" si="27"/>
        <v>0</v>
      </c>
      <c r="E249" s="42" t="str">
        <f>TEXT(Data!B249,"MMM-YYYY")</f>
        <v>Nov-2024</v>
      </c>
      <c r="F249" s="42" t="str">
        <f t="shared" si="23"/>
        <v>Q4-2024</v>
      </c>
      <c r="G249" s="37" t="s">
        <v>16</v>
      </c>
      <c r="H249" s="37" t="s">
        <v>17</v>
      </c>
      <c r="I249" s="37" t="s">
        <v>135</v>
      </c>
      <c r="J249" s="37" t="s">
        <v>105</v>
      </c>
      <c r="K249" s="37" t="s">
        <v>40</v>
      </c>
      <c r="L249" s="37" t="s">
        <v>110</v>
      </c>
      <c r="M249" s="37" t="s">
        <v>35</v>
      </c>
      <c r="N249" s="37" t="s">
        <v>599</v>
      </c>
      <c r="O249" s="42">
        <v>803.28</v>
      </c>
      <c r="P249" s="43" t="str">
        <f t="shared" si="24"/>
        <v>High</v>
      </c>
      <c r="Q249" s="42">
        <v>1009</v>
      </c>
      <c r="R249" s="42">
        <v>0.11</v>
      </c>
      <c r="S249" s="42">
        <v>4</v>
      </c>
      <c r="T249" s="42">
        <f t="shared" si="21"/>
        <v>2237.6023999999998</v>
      </c>
      <c r="U249" s="37">
        <f t="shared" si="22"/>
        <v>3213.12</v>
      </c>
      <c r="V249" s="42">
        <f t="shared" si="25"/>
        <v>-975.51760000000013</v>
      </c>
      <c r="W249" s="44">
        <f t="shared" si="26"/>
        <v>-0.43596556743056775</v>
      </c>
    </row>
    <row r="250" spans="1:23" x14ac:dyDescent="0.3">
      <c r="A250" s="45" t="s">
        <v>600</v>
      </c>
      <c r="B250" s="46">
        <v>45912</v>
      </c>
      <c r="C250" s="47">
        <v>45930</v>
      </c>
      <c r="D250" s="48">
        <f t="shared" si="27"/>
        <v>18</v>
      </c>
      <c r="E250" s="48" t="str">
        <f>TEXT(Data!B250,"MMM-YYYY")</f>
        <v>Sept-2025</v>
      </c>
      <c r="F250" s="48" t="str">
        <f t="shared" si="23"/>
        <v>Q3-2025</v>
      </c>
      <c r="G250" s="38" t="s">
        <v>45</v>
      </c>
      <c r="H250" s="38" t="s">
        <v>46</v>
      </c>
      <c r="I250" s="38" t="s">
        <v>231</v>
      </c>
      <c r="J250" s="38" t="s">
        <v>39</v>
      </c>
      <c r="K250" s="38" t="s">
        <v>40</v>
      </c>
      <c r="L250" s="38" t="s">
        <v>84</v>
      </c>
      <c r="M250" s="38" t="s">
        <v>64</v>
      </c>
      <c r="N250" s="38" t="s">
        <v>601</v>
      </c>
      <c r="O250" s="48">
        <v>1212.99</v>
      </c>
      <c r="P250" s="49" t="str">
        <f t="shared" si="24"/>
        <v>High</v>
      </c>
      <c r="Q250" s="48">
        <v>1653.64</v>
      </c>
      <c r="R250" s="48">
        <v>0.107</v>
      </c>
      <c r="S250" s="48">
        <v>8</v>
      </c>
      <c r="T250" s="48">
        <f t="shared" si="21"/>
        <v>11792.958000000001</v>
      </c>
      <c r="U250" s="38">
        <f t="shared" si="22"/>
        <v>9703.92</v>
      </c>
      <c r="V250" s="48">
        <f t="shared" si="25"/>
        <v>2089.0380000000005</v>
      </c>
      <c r="W250" s="50">
        <f t="shared" si="26"/>
        <v>0.17714283388442495</v>
      </c>
    </row>
    <row r="251" spans="1:23" x14ac:dyDescent="0.3">
      <c r="A251" s="39" t="s">
        <v>602</v>
      </c>
      <c r="B251" s="40">
        <v>45537</v>
      </c>
      <c r="C251" s="41">
        <v>45543</v>
      </c>
      <c r="D251" s="42">
        <f t="shared" si="27"/>
        <v>6</v>
      </c>
      <c r="E251" s="42" t="str">
        <f>TEXT(Data!B251,"MMM-YYYY")</f>
        <v>Sept-2024</v>
      </c>
      <c r="F251" s="42" t="str">
        <f t="shared" si="23"/>
        <v>Q3-2024</v>
      </c>
      <c r="G251" s="37" t="s">
        <v>52</v>
      </c>
      <c r="H251" s="37" t="s">
        <v>122</v>
      </c>
      <c r="I251" s="37" t="s">
        <v>326</v>
      </c>
      <c r="J251" s="37" t="s">
        <v>48</v>
      </c>
      <c r="K251" s="37" t="s">
        <v>98</v>
      </c>
      <c r="L251" s="37" t="s">
        <v>92</v>
      </c>
      <c r="M251" s="37" t="s">
        <v>22</v>
      </c>
      <c r="N251" s="37" t="s">
        <v>603</v>
      </c>
      <c r="O251" s="42">
        <v>462.94</v>
      </c>
      <c r="P251" s="43" t="str">
        <f t="shared" si="24"/>
        <v>High</v>
      </c>
      <c r="Q251" s="42">
        <v>1015.7</v>
      </c>
      <c r="R251" s="42">
        <v>0.14299999999999999</v>
      </c>
      <c r="S251" s="42">
        <v>14</v>
      </c>
      <c r="T251" s="42">
        <f t="shared" si="21"/>
        <v>26961.185719999998</v>
      </c>
      <c r="U251" s="37">
        <f t="shared" si="22"/>
        <v>6481.16</v>
      </c>
      <c r="V251" s="42">
        <f t="shared" si="25"/>
        <v>20480.025719999998</v>
      </c>
      <c r="W251" s="44">
        <f t="shared" si="26"/>
        <v>0.75961146266678359</v>
      </c>
    </row>
    <row r="252" spans="1:23" x14ac:dyDescent="0.3">
      <c r="A252" s="45" t="s">
        <v>604</v>
      </c>
      <c r="B252" s="46">
        <v>44989</v>
      </c>
      <c r="C252" s="47">
        <v>45009</v>
      </c>
      <c r="D252" s="48">
        <f t="shared" si="27"/>
        <v>20</v>
      </c>
      <c r="E252" s="48" t="str">
        <f>TEXT(Data!B252,"MMM-YYYY")</f>
        <v>Mar-2023</v>
      </c>
      <c r="F252" s="48" t="str">
        <f t="shared" si="23"/>
        <v>Q1-2023</v>
      </c>
      <c r="G252" s="38" t="s">
        <v>52</v>
      </c>
      <c r="H252" s="38" t="s">
        <v>53</v>
      </c>
      <c r="I252" s="38" t="s">
        <v>144</v>
      </c>
      <c r="J252" s="38" t="s">
        <v>48</v>
      </c>
      <c r="K252" s="38" t="s">
        <v>55</v>
      </c>
      <c r="L252" s="38" t="s">
        <v>34</v>
      </c>
      <c r="M252" s="38" t="s">
        <v>57</v>
      </c>
      <c r="N252" s="38" t="s">
        <v>605</v>
      </c>
      <c r="O252" s="48">
        <v>481.71</v>
      </c>
      <c r="P252" s="49" t="str">
        <f t="shared" si="24"/>
        <v>High</v>
      </c>
      <c r="Q252" s="48">
        <v>912.45</v>
      </c>
      <c r="R252" s="48">
        <v>0.20300000000000001</v>
      </c>
      <c r="S252" s="48">
        <v>24</v>
      </c>
      <c r="T252" s="48">
        <f t="shared" si="21"/>
        <v>17084.938320000001</v>
      </c>
      <c r="U252" s="38">
        <f t="shared" si="22"/>
        <v>11561.039999999999</v>
      </c>
      <c r="V252" s="48">
        <f t="shared" si="25"/>
        <v>5523.8983200000021</v>
      </c>
      <c r="W252" s="50">
        <f t="shared" si="26"/>
        <v>0.3233197695266834</v>
      </c>
    </row>
    <row r="253" spans="1:23" x14ac:dyDescent="0.3">
      <c r="A253" s="39" t="s">
        <v>606</v>
      </c>
      <c r="B253" s="40">
        <v>45366</v>
      </c>
      <c r="C253" s="41">
        <v>45391</v>
      </c>
      <c r="D253" s="42">
        <f t="shared" si="27"/>
        <v>25</v>
      </c>
      <c r="E253" s="42" t="str">
        <f>TEXT(Data!B253,"MMM-YYYY")</f>
        <v>Mar-2024</v>
      </c>
      <c r="F253" s="42" t="str">
        <f t="shared" si="23"/>
        <v>Q1-2024</v>
      </c>
      <c r="G253" s="37" t="s">
        <v>52</v>
      </c>
      <c r="H253" s="37" t="s">
        <v>53</v>
      </c>
      <c r="I253" s="37" t="s">
        <v>179</v>
      </c>
      <c r="J253" s="37" t="s">
        <v>48</v>
      </c>
      <c r="K253" s="37" t="s">
        <v>28</v>
      </c>
      <c r="L253" s="37" t="s">
        <v>84</v>
      </c>
      <c r="M253" s="37" t="s">
        <v>64</v>
      </c>
      <c r="N253" s="37" t="s">
        <v>607</v>
      </c>
      <c r="O253" s="42">
        <v>648.64</v>
      </c>
      <c r="P253" s="43" t="str">
        <f t="shared" si="24"/>
        <v>High</v>
      </c>
      <c r="Q253" s="42">
        <v>815.19</v>
      </c>
      <c r="R253" s="42">
        <v>0.22500000000000001</v>
      </c>
      <c r="S253" s="42">
        <v>28</v>
      </c>
      <c r="T253" s="42">
        <f t="shared" si="21"/>
        <v>50537.130000000005</v>
      </c>
      <c r="U253" s="37">
        <f t="shared" si="22"/>
        <v>18161.919999999998</v>
      </c>
      <c r="V253" s="42">
        <f t="shared" si="25"/>
        <v>32375.210000000006</v>
      </c>
      <c r="W253" s="44">
        <f t="shared" si="26"/>
        <v>0.64062225140208795</v>
      </c>
    </row>
    <row r="254" spans="1:23" x14ac:dyDescent="0.3">
      <c r="A254" s="45" t="s">
        <v>608</v>
      </c>
      <c r="B254" s="46">
        <v>45502</v>
      </c>
      <c r="C254" s="47">
        <v>45504</v>
      </c>
      <c r="D254" s="48">
        <f t="shared" si="27"/>
        <v>2</v>
      </c>
      <c r="E254" s="48" t="str">
        <f>TEXT(Data!B254,"MMM-YYYY")</f>
        <v>Jul-2024</v>
      </c>
      <c r="F254" s="48" t="str">
        <f t="shared" si="23"/>
        <v>Q3-2024</v>
      </c>
      <c r="G254" s="38" t="s">
        <v>52</v>
      </c>
      <c r="H254" s="38" t="s">
        <v>122</v>
      </c>
      <c r="I254" s="38" t="s">
        <v>387</v>
      </c>
      <c r="J254" s="38" t="s">
        <v>27</v>
      </c>
      <c r="K254" s="38" t="s">
        <v>40</v>
      </c>
      <c r="L254" s="38" t="s">
        <v>34</v>
      </c>
      <c r="M254" s="38" t="s">
        <v>30</v>
      </c>
      <c r="N254" s="38" t="s">
        <v>609</v>
      </c>
      <c r="O254" s="48">
        <v>798.97</v>
      </c>
      <c r="P254" s="49" t="str">
        <f t="shared" si="24"/>
        <v>High</v>
      </c>
      <c r="Q254" s="48">
        <v>1814.06</v>
      </c>
      <c r="R254" s="48">
        <v>0.122</v>
      </c>
      <c r="S254" s="48">
        <v>16</v>
      </c>
      <c r="T254" s="48">
        <f t="shared" si="21"/>
        <v>29033.704000000002</v>
      </c>
      <c r="U254" s="38">
        <f t="shared" si="22"/>
        <v>12783.52</v>
      </c>
      <c r="V254" s="48">
        <f t="shared" si="25"/>
        <v>16250.184000000001</v>
      </c>
      <c r="W254" s="50">
        <f t="shared" si="26"/>
        <v>0.55970068441835741</v>
      </c>
    </row>
    <row r="255" spans="1:23" x14ac:dyDescent="0.3">
      <c r="A255" s="39" t="s">
        <v>610</v>
      </c>
      <c r="B255" s="40">
        <v>45592</v>
      </c>
      <c r="C255" s="41">
        <v>45616</v>
      </c>
      <c r="D255" s="42">
        <f t="shared" si="27"/>
        <v>24</v>
      </c>
      <c r="E255" s="42" t="str">
        <f>TEXT(Data!B255,"MMM-YYYY")</f>
        <v>Oct-2024</v>
      </c>
      <c r="F255" s="42" t="str">
        <f t="shared" si="23"/>
        <v>Q4-2024</v>
      </c>
      <c r="G255" s="37" t="s">
        <v>45</v>
      </c>
      <c r="H255" s="37" t="s">
        <v>46</v>
      </c>
      <c r="I255" s="37" t="s">
        <v>231</v>
      </c>
      <c r="J255" s="37" t="s">
        <v>39</v>
      </c>
      <c r="K255" s="37" t="s">
        <v>28</v>
      </c>
      <c r="L255" s="37" t="s">
        <v>92</v>
      </c>
      <c r="M255" s="37" t="s">
        <v>64</v>
      </c>
      <c r="N255" s="37" t="s">
        <v>611</v>
      </c>
      <c r="O255" s="42">
        <v>317.25</v>
      </c>
      <c r="P255" s="43" t="str">
        <f t="shared" si="24"/>
        <v>High</v>
      </c>
      <c r="Q255" s="42">
        <v>758.92</v>
      </c>
      <c r="R255" s="42">
        <v>5.2999999999999999E-2</v>
      </c>
      <c r="S255" s="42">
        <v>9</v>
      </c>
      <c r="T255" s="42">
        <f t="shared" si="21"/>
        <v>18599.828130000002</v>
      </c>
      <c r="U255" s="37">
        <f t="shared" si="22"/>
        <v>2855.25</v>
      </c>
      <c r="V255" s="42">
        <f t="shared" si="25"/>
        <v>15744.578130000002</v>
      </c>
      <c r="W255" s="44">
        <f t="shared" si="26"/>
        <v>0.84649051700672895</v>
      </c>
    </row>
    <row r="256" spans="1:23" x14ac:dyDescent="0.3">
      <c r="A256" s="45" t="s">
        <v>612</v>
      </c>
      <c r="B256" s="46">
        <v>45411</v>
      </c>
      <c r="C256" s="47">
        <v>45431</v>
      </c>
      <c r="D256" s="48">
        <f t="shared" si="27"/>
        <v>20</v>
      </c>
      <c r="E256" s="48" t="str">
        <f>TEXT(Data!B256,"MMM-YYYY")</f>
        <v>Apr-2024</v>
      </c>
      <c r="F256" s="48" t="str">
        <f t="shared" si="23"/>
        <v>Q2-2024</v>
      </c>
      <c r="G256" s="38" t="s">
        <v>78</v>
      </c>
      <c r="H256" s="38" t="s">
        <v>79</v>
      </c>
      <c r="I256" s="38" t="s">
        <v>335</v>
      </c>
      <c r="J256" s="38" t="s">
        <v>105</v>
      </c>
      <c r="K256" s="38" t="s">
        <v>40</v>
      </c>
      <c r="L256" s="38" t="s">
        <v>21</v>
      </c>
      <c r="M256" s="38" t="s">
        <v>57</v>
      </c>
      <c r="N256" s="38" t="s">
        <v>613</v>
      </c>
      <c r="O256" s="48">
        <v>668.97</v>
      </c>
      <c r="P256" s="49" t="str">
        <f t="shared" si="24"/>
        <v>High</v>
      </c>
      <c r="Q256" s="48">
        <v>1667.44</v>
      </c>
      <c r="R256" s="48">
        <v>3.4000000000000002E-2</v>
      </c>
      <c r="S256" s="48">
        <v>15</v>
      </c>
      <c r="T256" s="48">
        <f t="shared" si="21"/>
        <v>39508.723799999992</v>
      </c>
      <c r="U256" s="38">
        <f t="shared" si="22"/>
        <v>10034.550000000001</v>
      </c>
      <c r="V256" s="48">
        <f t="shared" si="25"/>
        <v>29474.17379999999</v>
      </c>
      <c r="W256" s="50">
        <f t="shared" si="26"/>
        <v>0.74601685311839905</v>
      </c>
    </row>
    <row r="257" spans="1:23" x14ac:dyDescent="0.3">
      <c r="A257" s="39" t="s">
        <v>614</v>
      </c>
      <c r="B257" s="40">
        <v>45204</v>
      </c>
      <c r="C257" s="41">
        <v>45205</v>
      </c>
      <c r="D257" s="42">
        <f t="shared" si="27"/>
        <v>1</v>
      </c>
      <c r="E257" s="42" t="str">
        <f>TEXT(Data!B257,"MMM-YYYY")</f>
        <v>Oct-2023</v>
      </c>
      <c r="F257" s="42" t="str">
        <f t="shared" si="23"/>
        <v>Q4-2023</v>
      </c>
      <c r="G257" s="37" t="s">
        <v>45</v>
      </c>
      <c r="H257" s="37" t="s">
        <v>60</v>
      </c>
      <c r="I257" s="37" t="s">
        <v>61</v>
      </c>
      <c r="J257" s="37" t="s">
        <v>39</v>
      </c>
      <c r="K257" s="37" t="s">
        <v>28</v>
      </c>
      <c r="L257" s="37" t="s">
        <v>34</v>
      </c>
      <c r="M257" s="37" t="s">
        <v>22</v>
      </c>
      <c r="N257" s="37" t="s">
        <v>615</v>
      </c>
      <c r="O257" s="42">
        <v>1470.26</v>
      </c>
      <c r="P257" s="43" t="str">
        <f t="shared" si="24"/>
        <v>High</v>
      </c>
      <c r="Q257" s="42">
        <v>2562.5500000000002</v>
      </c>
      <c r="R257" s="42">
        <v>0.17299999999999999</v>
      </c>
      <c r="S257" s="42">
        <v>9</v>
      </c>
      <c r="T257" s="42">
        <f t="shared" ref="T257:T320" si="28">(Q283*S257)*(1-R257)</f>
        <v>828.33146999999997</v>
      </c>
      <c r="U257" s="37">
        <f t="shared" ref="U257:U320" si="29">(O257*S257)</f>
        <v>13232.34</v>
      </c>
      <c r="V257" s="42">
        <f t="shared" si="25"/>
        <v>-12404.008530000001</v>
      </c>
      <c r="W257" s="44">
        <f t="shared" si="26"/>
        <v>-14.974691870634834</v>
      </c>
    </row>
    <row r="258" spans="1:23" x14ac:dyDescent="0.3">
      <c r="A258" s="45" t="s">
        <v>616</v>
      </c>
      <c r="B258" s="46">
        <v>45035</v>
      </c>
      <c r="C258" s="47">
        <v>45053</v>
      </c>
      <c r="D258" s="48">
        <f t="shared" si="27"/>
        <v>18</v>
      </c>
      <c r="E258" s="48" t="str">
        <f>TEXT(Data!B258,"MMM-YYYY")</f>
        <v>Apr-2023</v>
      </c>
      <c r="F258" s="48" t="str">
        <f t="shared" ref="F258:F321" si="30">"Q"&amp;ROUNDUP(MONTH(B258)/3,0)&amp;"-"&amp;YEAR(B258)</f>
        <v>Q2-2023</v>
      </c>
      <c r="G258" s="38" t="s">
        <v>78</v>
      </c>
      <c r="H258" s="38" t="s">
        <v>108</v>
      </c>
      <c r="I258" s="38" t="s">
        <v>152</v>
      </c>
      <c r="J258" s="38" t="s">
        <v>39</v>
      </c>
      <c r="K258" s="38" t="s">
        <v>98</v>
      </c>
      <c r="L258" s="38" t="s">
        <v>92</v>
      </c>
      <c r="M258" s="38" t="s">
        <v>35</v>
      </c>
      <c r="N258" s="38" t="s">
        <v>617</v>
      </c>
      <c r="O258" s="48">
        <v>516.96</v>
      </c>
      <c r="P258" s="49" t="str">
        <f t="shared" ref="P258:P321" si="31">IF(Q258&lt;50, "Low", IF(Q258&lt;200, "Medium", "High"))</f>
        <v>High</v>
      </c>
      <c r="Q258" s="48">
        <v>745.38</v>
      </c>
      <c r="R258" s="48">
        <v>0.19700000000000001</v>
      </c>
      <c r="S258" s="48">
        <v>4</v>
      </c>
      <c r="T258" s="48">
        <f t="shared" si="28"/>
        <v>3533.4890799999994</v>
      </c>
      <c r="U258" s="38">
        <f t="shared" si="29"/>
        <v>2067.84</v>
      </c>
      <c r="V258" s="48">
        <f t="shared" ref="V258:V321" si="32">(T258-U258)</f>
        <v>1465.6490799999992</v>
      </c>
      <c r="W258" s="50">
        <f t="shared" ref="W258:W321" si="33">IF(T258=0, 0, V258/T258)</f>
        <v>0.41478805985159561</v>
      </c>
    </row>
    <row r="259" spans="1:23" x14ac:dyDescent="0.3">
      <c r="A259" s="39" t="s">
        <v>618</v>
      </c>
      <c r="B259" s="40">
        <v>45835</v>
      </c>
      <c r="C259" s="41">
        <v>45843</v>
      </c>
      <c r="D259" s="42">
        <f t="shared" ref="D259:D321" si="34">DATEDIF(B259,C259, "MD")</f>
        <v>8</v>
      </c>
      <c r="E259" s="42" t="str">
        <f>TEXT(Data!B259,"MMM-YYYY")</f>
        <v>Jun-2025</v>
      </c>
      <c r="F259" s="42" t="str">
        <f t="shared" si="30"/>
        <v>Q2-2025</v>
      </c>
      <c r="G259" s="37" t="s">
        <v>78</v>
      </c>
      <c r="H259" s="37" t="s">
        <v>79</v>
      </c>
      <c r="I259" s="37" t="s">
        <v>159</v>
      </c>
      <c r="J259" s="37" t="s">
        <v>62</v>
      </c>
      <c r="K259" s="37" t="s">
        <v>98</v>
      </c>
      <c r="L259" s="37" t="s">
        <v>41</v>
      </c>
      <c r="M259" s="37" t="s">
        <v>64</v>
      </c>
      <c r="N259" s="37" t="s">
        <v>619</v>
      </c>
      <c r="O259" s="42">
        <v>314.93</v>
      </c>
      <c r="P259" s="43" t="str">
        <f t="shared" si="31"/>
        <v>High</v>
      </c>
      <c r="Q259" s="42">
        <v>687.95</v>
      </c>
      <c r="R259" s="42">
        <v>0.20499999999999999</v>
      </c>
      <c r="S259" s="42">
        <v>8</v>
      </c>
      <c r="T259" s="42">
        <f t="shared" si="28"/>
        <v>9725.3304000000007</v>
      </c>
      <c r="U259" s="37">
        <f t="shared" si="29"/>
        <v>2519.44</v>
      </c>
      <c r="V259" s="42">
        <f t="shared" si="32"/>
        <v>7205.8904000000002</v>
      </c>
      <c r="W259" s="44">
        <f t="shared" si="33"/>
        <v>0.74094042090333501</v>
      </c>
    </row>
    <row r="260" spans="1:23" x14ac:dyDescent="0.3">
      <c r="A260" s="45" t="s">
        <v>620</v>
      </c>
      <c r="B260" s="46">
        <v>45210</v>
      </c>
      <c r="C260" s="47">
        <v>45212</v>
      </c>
      <c r="D260" s="48">
        <f t="shared" si="34"/>
        <v>2</v>
      </c>
      <c r="E260" s="48" t="str">
        <f>TEXT(Data!B260,"MMM-YYYY")</f>
        <v>Oct-2023</v>
      </c>
      <c r="F260" s="48" t="str">
        <f t="shared" si="30"/>
        <v>Q4-2023</v>
      </c>
      <c r="G260" s="38" t="s">
        <v>52</v>
      </c>
      <c r="H260" s="38" t="s">
        <v>73</v>
      </c>
      <c r="I260" s="38" t="s">
        <v>87</v>
      </c>
      <c r="J260" s="38" t="s">
        <v>48</v>
      </c>
      <c r="K260" s="38" t="s">
        <v>55</v>
      </c>
      <c r="L260" s="38" t="s">
        <v>1364</v>
      </c>
      <c r="M260" s="38" t="s">
        <v>81</v>
      </c>
      <c r="N260" s="38" t="s">
        <v>621</v>
      </c>
      <c r="O260" s="48">
        <v>715.94</v>
      </c>
      <c r="P260" s="49" t="str">
        <f t="shared" si="31"/>
        <v>High</v>
      </c>
      <c r="Q260" s="48">
        <v>550.07000000000005</v>
      </c>
      <c r="R260" s="48">
        <v>0.14000000000000001</v>
      </c>
      <c r="S260" s="48">
        <v>16</v>
      </c>
      <c r="T260" s="48">
        <f t="shared" si="28"/>
        <v>10026.7744</v>
      </c>
      <c r="U260" s="38">
        <f t="shared" si="29"/>
        <v>11455.04</v>
      </c>
      <c r="V260" s="48">
        <f t="shared" si="32"/>
        <v>-1428.2656000000006</v>
      </c>
      <c r="W260" s="50">
        <f t="shared" si="33"/>
        <v>-0.14244517159975201</v>
      </c>
    </row>
    <row r="261" spans="1:23" x14ac:dyDescent="0.3">
      <c r="A261" s="39" t="s">
        <v>622</v>
      </c>
      <c r="B261" s="40">
        <v>45066</v>
      </c>
      <c r="C261" s="41">
        <v>45084</v>
      </c>
      <c r="D261" s="42">
        <f t="shared" si="34"/>
        <v>18</v>
      </c>
      <c r="E261" s="42" t="str">
        <f>TEXT(Data!B261,"MMM-YYYY")</f>
        <v>May-2023</v>
      </c>
      <c r="F261" s="42" t="str">
        <f t="shared" si="30"/>
        <v>Q2-2023</v>
      </c>
      <c r="G261" s="37" t="s">
        <v>16</v>
      </c>
      <c r="H261" s="37" t="s">
        <v>25</v>
      </c>
      <c r="I261" s="37" t="s">
        <v>26</v>
      </c>
      <c r="J261" s="37" t="s">
        <v>105</v>
      </c>
      <c r="K261" s="37" t="s">
        <v>55</v>
      </c>
      <c r="L261" s="37" t="s">
        <v>63</v>
      </c>
      <c r="M261" s="37" t="s">
        <v>22</v>
      </c>
      <c r="N261" s="37" t="s">
        <v>623</v>
      </c>
      <c r="O261" s="42">
        <v>1120.06</v>
      </c>
      <c r="P261" s="43" t="str">
        <f t="shared" si="31"/>
        <v>High</v>
      </c>
      <c r="Q261" s="42">
        <v>2068.21</v>
      </c>
      <c r="R261" s="42">
        <v>7.8E-2</v>
      </c>
      <c r="S261" s="42">
        <v>12</v>
      </c>
      <c r="T261" s="42">
        <f t="shared" si="28"/>
        <v>69.481920000000002</v>
      </c>
      <c r="U261" s="37">
        <f t="shared" si="29"/>
        <v>13440.72</v>
      </c>
      <c r="V261" s="42">
        <f t="shared" si="32"/>
        <v>-13371.238079999999</v>
      </c>
      <c r="W261" s="44">
        <f t="shared" si="33"/>
        <v>-192.44197742376721</v>
      </c>
    </row>
    <row r="262" spans="1:23" x14ac:dyDescent="0.3">
      <c r="A262" s="45" t="s">
        <v>624</v>
      </c>
      <c r="B262" s="46">
        <v>45073</v>
      </c>
      <c r="C262" s="47">
        <v>45096</v>
      </c>
      <c r="D262" s="48">
        <f t="shared" si="34"/>
        <v>23</v>
      </c>
      <c r="E262" s="48" t="str">
        <f>TEXT(Data!B262,"MMM-YYYY")</f>
        <v>May-2023</v>
      </c>
      <c r="F262" s="48" t="str">
        <f t="shared" si="30"/>
        <v>Q2-2023</v>
      </c>
      <c r="G262" s="38" t="s">
        <v>78</v>
      </c>
      <c r="H262" s="38" t="s">
        <v>79</v>
      </c>
      <c r="I262" s="38" t="s">
        <v>80</v>
      </c>
      <c r="J262" s="38" t="s">
        <v>27</v>
      </c>
      <c r="K262" s="38" t="s">
        <v>20</v>
      </c>
      <c r="L262" s="38" t="s">
        <v>68</v>
      </c>
      <c r="M262" s="38" t="s">
        <v>81</v>
      </c>
      <c r="N262" s="38" t="s">
        <v>625</v>
      </c>
      <c r="O262" s="48">
        <v>1471.58</v>
      </c>
      <c r="P262" s="49" t="str">
        <f t="shared" si="31"/>
        <v>High</v>
      </c>
      <c r="Q262" s="48">
        <v>2576.65</v>
      </c>
      <c r="R262" s="48">
        <v>4.0000000000000001E-3</v>
      </c>
      <c r="S262" s="48">
        <v>7</v>
      </c>
      <c r="T262" s="48">
        <f t="shared" si="28"/>
        <v>17916.436439999998</v>
      </c>
      <c r="U262" s="38">
        <f t="shared" si="29"/>
        <v>10301.06</v>
      </c>
      <c r="V262" s="48">
        <f t="shared" si="32"/>
        <v>7615.3764399999982</v>
      </c>
      <c r="W262" s="50">
        <f t="shared" si="33"/>
        <v>0.42504972824830334</v>
      </c>
    </row>
    <row r="263" spans="1:23" x14ac:dyDescent="0.3">
      <c r="A263" s="39" t="s">
        <v>626</v>
      </c>
      <c r="B263" s="40">
        <v>45142</v>
      </c>
      <c r="C263" s="41">
        <v>45162</v>
      </c>
      <c r="D263" s="42">
        <f t="shared" si="34"/>
        <v>20</v>
      </c>
      <c r="E263" s="42" t="str">
        <f>TEXT(Data!B263,"MMM-YYYY")</f>
        <v>Aug-2023</v>
      </c>
      <c r="F263" s="42" t="str">
        <f t="shared" si="30"/>
        <v>Q3-2023</v>
      </c>
      <c r="G263" s="37" t="s">
        <v>52</v>
      </c>
      <c r="H263" s="37" t="s">
        <v>73</v>
      </c>
      <c r="I263" s="37" t="s">
        <v>87</v>
      </c>
      <c r="J263" s="37" t="s">
        <v>39</v>
      </c>
      <c r="K263" s="37" t="s">
        <v>98</v>
      </c>
      <c r="L263" s="37" t="s">
        <v>1364</v>
      </c>
      <c r="M263" s="37" t="s">
        <v>35</v>
      </c>
      <c r="N263" s="37" t="s">
        <v>627</v>
      </c>
      <c r="O263" s="42">
        <v>582.88</v>
      </c>
      <c r="P263" s="43" t="str">
        <f t="shared" si="31"/>
        <v>High</v>
      </c>
      <c r="Q263" s="42">
        <v>1044.1400000000001</v>
      </c>
      <c r="R263" s="42">
        <v>0.216</v>
      </c>
      <c r="S263" s="42">
        <v>10</v>
      </c>
      <c r="T263" s="42">
        <f t="shared" si="28"/>
        <v>12481.436800000001</v>
      </c>
      <c r="U263" s="37">
        <f t="shared" si="29"/>
        <v>5828.8</v>
      </c>
      <c r="V263" s="42">
        <f t="shared" si="32"/>
        <v>6652.6368000000011</v>
      </c>
      <c r="W263" s="44">
        <f t="shared" si="33"/>
        <v>0.53300248253470306</v>
      </c>
    </row>
    <row r="264" spans="1:23" x14ac:dyDescent="0.3">
      <c r="A264" s="45" t="s">
        <v>628</v>
      </c>
      <c r="B264" s="46">
        <v>45829</v>
      </c>
      <c r="C264" s="47">
        <v>45835</v>
      </c>
      <c r="D264" s="48">
        <f t="shared" si="34"/>
        <v>6</v>
      </c>
      <c r="E264" s="48" t="str">
        <f>TEXT(Data!B264,"MMM-YYYY")</f>
        <v>Jun-2025</v>
      </c>
      <c r="F264" s="48" t="str">
        <f t="shared" si="30"/>
        <v>Q2-2025</v>
      </c>
      <c r="G264" s="38" t="s">
        <v>16</v>
      </c>
      <c r="H264" s="38" t="s">
        <v>148</v>
      </c>
      <c r="I264" s="38" t="s">
        <v>172</v>
      </c>
      <c r="J264" s="38" t="s">
        <v>105</v>
      </c>
      <c r="K264" s="38" t="s">
        <v>55</v>
      </c>
      <c r="L264" s="38" t="s">
        <v>126</v>
      </c>
      <c r="M264" s="38" t="s">
        <v>42</v>
      </c>
      <c r="N264" s="38" t="s">
        <v>629</v>
      </c>
      <c r="O264" s="48">
        <v>93.91</v>
      </c>
      <c r="P264" s="49" t="str">
        <f t="shared" si="31"/>
        <v>Medium</v>
      </c>
      <c r="Q264" s="48">
        <v>99.04</v>
      </c>
      <c r="R264" s="48">
        <v>5.7000000000000002E-2</v>
      </c>
      <c r="S264" s="48">
        <v>6</v>
      </c>
      <c r="T264" s="48">
        <f t="shared" si="28"/>
        <v>5632.3692599999995</v>
      </c>
      <c r="U264" s="38">
        <f t="shared" si="29"/>
        <v>563.46</v>
      </c>
      <c r="V264" s="48">
        <f t="shared" si="32"/>
        <v>5068.9092599999994</v>
      </c>
      <c r="W264" s="50">
        <f t="shared" si="33"/>
        <v>0.89996039428707486</v>
      </c>
    </row>
    <row r="265" spans="1:23" x14ac:dyDescent="0.3">
      <c r="A265" s="39" t="s">
        <v>630</v>
      </c>
      <c r="B265" s="40">
        <v>45763</v>
      </c>
      <c r="C265" s="41">
        <v>45773</v>
      </c>
      <c r="D265" s="42">
        <f t="shared" si="34"/>
        <v>10</v>
      </c>
      <c r="E265" s="42" t="str">
        <f>TEXT(Data!B265,"MMM-YYYY")</f>
        <v>Apr-2025</v>
      </c>
      <c r="F265" s="42" t="str">
        <f t="shared" si="30"/>
        <v>Q2-2025</v>
      </c>
      <c r="G265" s="37" t="s">
        <v>16</v>
      </c>
      <c r="H265" s="37" t="s">
        <v>25</v>
      </c>
      <c r="I265" s="37" t="s">
        <v>26</v>
      </c>
      <c r="J265" s="37" t="s">
        <v>105</v>
      </c>
      <c r="K265" s="37" t="s">
        <v>40</v>
      </c>
      <c r="L265" s="37" t="s">
        <v>84</v>
      </c>
      <c r="M265" s="37" t="s">
        <v>57</v>
      </c>
      <c r="N265" s="37" t="s">
        <v>631</v>
      </c>
      <c r="O265" s="42">
        <v>1457.44</v>
      </c>
      <c r="P265" s="43" t="str">
        <f t="shared" si="31"/>
        <v>High</v>
      </c>
      <c r="Q265" s="42">
        <v>1996.81</v>
      </c>
      <c r="R265" s="42">
        <v>0.126</v>
      </c>
      <c r="S265" s="42">
        <v>23</v>
      </c>
      <c r="T265" s="42">
        <f t="shared" si="28"/>
        <v>24932.711619999998</v>
      </c>
      <c r="U265" s="37">
        <f t="shared" si="29"/>
        <v>33521.120000000003</v>
      </c>
      <c r="V265" s="42">
        <f t="shared" si="32"/>
        <v>-8588.4083800000044</v>
      </c>
      <c r="W265" s="44">
        <f t="shared" si="33"/>
        <v>-0.3444634707566559</v>
      </c>
    </row>
    <row r="266" spans="1:23" x14ac:dyDescent="0.3">
      <c r="A266" s="45" t="s">
        <v>632</v>
      </c>
      <c r="B266" s="46">
        <v>45902</v>
      </c>
      <c r="C266" s="47">
        <v>45911</v>
      </c>
      <c r="D266" s="48">
        <f t="shared" si="34"/>
        <v>9</v>
      </c>
      <c r="E266" s="48" t="str">
        <f>TEXT(Data!B266,"MMM-YYYY")</f>
        <v>Sept-2025</v>
      </c>
      <c r="F266" s="48" t="str">
        <f t="shared" si="30"/>
        <v>Q3-2025</v>
      </c>
      <c r="G266" s="38" t="s">
        <v>52</v>
      </c>
      <c r="H266" s="38" t="s">
        <v>53</v>
      </c>
      <c r="I266" s="38" t="s">
        <v>54</v>
      </c>
      <c r="J266" s="38" t="s">
        <v>19</v>
      </c>
      <c r="K266" s="38" t="s">
        <v>55</v>
      </c>
      <c r="L266" s="38" t="s">
        <v>110</v>
      </c>
      <c r="M266" s="38" t="s">
        <v>30</v>
      </c>
      <c r="N266" s="38" t="s">
        <v>633</v>
      </c>
      <c r="O266" s="48">
        <v>1207.6300000000001</v>
      </c>
      <c r="P266" s="49" t="str">
        <f t="shared" si="31"/>
        <v>High</v>
      </c>
      <c r="Q266" s="48">
        <v>921.68</v>
      </c>
      <c r="R266" s="48">
        <v>0.19600000000000001</v>
      </c>
      <c r="S266" s="48">
        <v>17</v>
      </c>
      <c r="T266" s="48">
        <f t="shared" si="28"/>
        <v>1617.8811600000001</v>
      </c>
      <c r="U266" s="38">
        <f t="shared" si="29"/>
        <v>20529.710000000003</v>
      </c>
      <c r="V266" s="48">
        <f t="shared" si="32"/>
        <v>-18911.828840000002</v>
      </c>
      <c r="W266" s="50">
        <f t="shared" si="33"/>
        <v>-11.689257102171831</v>
      </c>
    </row>
    <row r="267" spans="1:23" x14ac:dyDescent="0.3">
      <c r="A267" s="39" t="s">
        <v>634</v>
      </c>
      <c r="B267" s="40">
        <v>45573</v>
      </c>
      <c r="C267" s="41">
        <v>45573</v>
      </c>
      <c r="D267" s="42">
        <f t="shared" si="34"/>
        <v>0</v>
      </c>
      <c r="E267" s="42" t="str">
        <f>TEXT(Data!B267,"MMM-YYYY")</f>
        <v>Oct-2024</v>
      </c>
      <c r="F267" s="42" t="str">
        <f t="shared" si="30"/>
        <v>Q4-2024</v>
      </c>
      <c r="G267" s="37" t="s">
        <v>78</v>
      </c>
      <c r="H267" s="37" t="s">
        <v>108</v>
      </c>
      <c r="I267" s="37" t="s">
        <v>152</v>
      </c>
      <c r="J267" s="37" t="s">
        <v>19</v>
      </c>
      <c r="K267" s="37" t="s">
        <v>28</v>
      </c>
      <c r="L267" s="37" t="s">
        <v>63</v>
      </c>
      <c r="M267" s="37" t="s">
        <v>64</v>
      </c>
      <c r="N267" s="37" t="s">
        <v>635</v>
      </c>
      <c r="O267" s="42">
        <v>1108.1099999999999</v>
      </c>
      <c r="P267" s="43" t="str">
        <f t="shared" si="31"/>
        <v>High</v>
      </c>
      <c r="Q267" s="42">
        <v>2503.79</v>
      </c>
      <c r="R267" s="42">
        <v>0.184</v>
      </c>
      <c r="S267" s="42">
        <v>19</v>
      </c>
      <c r="T267" s="42">
        <f t="shared" si="28"/>
        <v>32644.137120000007</v>
      </c>
      <c r="U267" s="37">
        <f t="shared" si="29"/>
        <v>21054.089999999997</v>
      </c>
      <c r="V267" s="42">
        <f t="shared" si="32"/>
        <v>11590.04712000001</v>
      </c>
      <c r="W267" s="44">
        <f t="shared" si="33"/>
        <v>0.35504222633898824</v>
      </c>
    </row>
    <row r="268" spans="1:23" x14ac:dyDescent="0.3">
      <c r="A268" s="45" t="s">
        <v>636</v>
      </c>
      <c r="B268" s="46">
        <v>45053</v>
      </c>
      <c r="C268" s="47">
        <v>45051</v>
      </c>
      <c r="D268" s="48">
        <f>DATEDIF(C268,B268, "MD")</f>
        <v>2</v>
      </c>
      <c r="E268" s="48" t="str">
        <f>TEXT(Data!B268,"MMM-YYYY")</f>
        <v>May-2023</v>
      </c>
      <c r="F268" s="48" t="str">
        <f t="shared" si="30"/>
        <v>Q2-2023</v>
      </c>
      <c r="G268" s="38" t="s">
        <v>16</v>
      </c>
      <c r="H268" s="38" t="s">
        <v>25</v>
      </c>
      <c r="I268" s="38" t="s">
        <v>26</v>
      </c>
      <c r="J268" s="38" t="s">
        <v>39</v>
      </c>
      <c r="K268" s="38" t="s">
        <v>40</v>
      </c>
      <c r="L268" s="38" t="s">
        <v>75</v>
      </c>
      <c r="M268" s="38" t="s">
        <v>22</v>
      </c>
      <c r="N268" s="38" t="s">
        <v>637</v>
      </c>
      <c r="O268" s="48">
        <v>1269.6500000000001</v>
      </c>
      <c r="P268" s="49" t="str">
        <f t="shared" si="31"/>
        <v>High</v>
      </c>
      <c r="Q268" s="48">
        <v>2462.77</v>
      </c>
      <c r="R268" s="48">
        <v>0.107</v>
      </c>
      <c r="S268" s="48">
        <v>8</v>
      </c>
      <c r="T268" s="48">
        <f t="shared" si="28"/>
        <v>3736.3119999999999</v>
      </c>
      <c r="U268" s="38">
        <f t="shared" si="29"/>
        <v>10157.200000000001</v>
      </c>
      <c r="V268" s="48">
        <f t="shared" si="32"/>
        <v>-6420.8880000000008</v>
      </c>
      <c r="W268" s="50">
        <f t="shared" si="33"/>
        <v>-1.7185095891349547</v>
      </c>
    </row>
    <row r="269" spans="1:23" x14ac:dyDescent="0.3">
      <c r="A269" s="39" t="s">
        <v>638</v>
      </c>
      <c r="B269" s="40">
        <v>45284</v>
      </c>
      <c r="C269" s="41">
        <v>45292</v>
      </c>
      <c r="D269" s="42">
        <f t="shared" si="34"/>
        <v>8</v>
      </c>
      <c r="E269" s="42" t="str">
        <f>TEXT(Data!B269,"MMM-YYYY")</f>
        <v>Dec-2023</v>
      </c>
      <c r="F269" s="42" t="str">
        <f t="shared" si="30"/>
        <v>Q4-2023</v>
      </c>
      <c r="G269" s="37" t="s">
        <v>52</v>
      </c>
      <c r="H269" s="37" t="s">
        <v>73</v>
      </c>
      <c r="I269" s="37" t="s">
        <v>74</v>
      </c>
      <c r="J269" s="37" t="s">
        <v>27</v>
      </c>
      <c r="K269" s="37" t="s">
        <v>98</v>
      </c>
      <c r="L269" s="37" t="s">
        <v>21</v>
      </c>
      <c r="M269" s="37" t="s">
        <v>42</v>
      </c>
      <c r="N269" s="37" t="s">
        <v>639</v>
      </c>
      <c r="O269" s="42">
        <v>526.49</v>
      </c>
      <c r="P269" s="43" t="str">
        <f t="shared" si="31"/>
        <v>High</v>
      </c>
      <c r="Q269" s="42">
        <v>496.2</v>
      </c>
      <c r="R269" s="42">
        <v>0</v>
      </c>
      <c r="S269" s="42">
        <v>14</v>
      </c>
      <c r="T269" s="42">
        <f t="shared" si="28"/>
        <v>15054.199999999999</v>
      </c>
      <c r="U269" s="37">
        <f t="shared" si="29"/>
        <v>7370.8600000000006</v>
      </c>
      <c r="V269" s="42">
        <f t="shared" si="32"/>
        <v>7683.3399999999983</v>
      </c>
      <c r="W269" s="44">
        <f t="shared" si="33"/>
        <v>0.51037849902352828</v>
      </c>
    </row>
    <row r="270" spans="1:23" x14ac:dyDescent="0.3">
      <c r="A270" s="45" t="s">
        <v>640</v>
      </c>
      <c r="B270" s="46">
        <v>45301</v>
      </c>
      <c r="C270" s="47">
        <v>45314</v>
      </c>
      <c r="D270" s="48">
        <f t="shared" si="34"/>
        <v>13</v>
      </c>
      <c r="E270" s="48" t="str">
        <f>TEXT(Data!B270,"MMM-YYYY")</f>
        <v>Jan-2024</v>
      </c>
      <c r="F270" s="48" t="str">
        <f t="shared" si="30"/>
        <v>Q1-2024</v>
      </c>
      <c r="G270" s="38" t="s">
        <v>78</v>
      </c>
      <c r="H270" s="38" t="s">
        <v>90</v>
      </c>
      <c r="I270" s="38" t="s">
        <v>91</v>
      </c>
      <c r="J270" s="38" t="s">
        <v>19</v>
      </c>
      <c r="K270" s="38" t="s">
        <v>98</v>
      </c>
      <c r="L270" s="38" t="s">
        <v>75</v>
      </c>
      <c r="M270" s="38" t="s">
        <v>30</v>
      </c>
      <c r="N270" s="38" t="s">
        <v>641</v>
      </c>
      <c r="O270" s="48">
        <v>720</v>
      </c>
      <c r="P270" s="49" t="str">
        <f t="shared" si="31"/>
        <v>High</v>
      </c>
      <c r="Q270" s="48">
        <v>907.59</v>
      </c>
      <c r="R270" s="48">
        <v>0.154</v>
      </c>
      <c r="S270" s="48">
        <v>10</v>
      </c>
      <c r="T270" s="48">
        <f t="shared" si="28"/>
        <v>27872.062200000004</v>
      </c>
      <c r="U270" s="38">
        <f t="shared" si="29"/>
        <v>7200</v>
      </c>
      <c r="V270" s="48">
        <f t="shared" si="32"/>
        <v>20672.062200000004</v>
      </c>
      <c r="W270" s="50">
        <f t="shared" si="33"/>
        <v>0.7416768106954067</v>
      </c>
    </row>
    <row r="271" spans="1:23" x14ac:dyDescent="0.3">
      <c r="A271" s="39" t="s">
        <v>642</v>
      </c>
      <c r="B271" s="40">
        <v>45141</v>
      </c>
      <c r="C271" s="41">
        <v>45152</v>
      </c>
      <c r="D271" s="42">
        <f t="shared" si="34"/>
        <v>11</v>
      </c>
      <c r="E271" s="42" t="str">
        <f>TEXT(Data!B271,"MMM-YYYY")</f>
        <v>Aug-2023</v>
      </c>
      <c r="F271" s="42" t="str">
        <f t="shared" si="30"/>
        <v>Q3-2023</v>
      </c>
      <c r="G271" s="37" t="s">
        <v>52</v>
      </c>
      <c r="H271" s="37" t="s">
        <v>73</v>
      </c>
      <c r="I271" s="37" t="s">
        <v>87</v>
      </c>
      <c r="J271" s="37" t="s">
        <v>19</v>
      </c>
      <c r="K271" s="37" t="s">
        <v>98</v>
      </c>
      <c r="L271" s="37" t="s">
        <v>29</v>
      </c>
      <c r="M271" s="37" t="s">
        <v>81</v>
      </c>
      <c r="N271" s="37" t="s">
        <v>643</v>
      </c>
      <c r="O271" s="42">
        <v>232.73</v>
      </c>
      <c r="P271" s="43" t="str">
        <f t="shared" si="31"/>
        <v>High</v>
      </c>
      <c r="Q271" s="42">
        <v>334.19</v>
      </c>
      <c r="R271" s="42">
        <v>0.13400000000000001</v>
      </c>
      <c r="S271" s="42">
        <v>25</v>
      </c>
      <c r="T271" s="42">
        <f t="shared" si="28"/>
        <v>10046.682500000001</v>
      </c>
      <c r="U271" s="37">
        <f t="shared" si="29"/>
        <v>5818.25</v>
      </c>
      <c r="V271" s="42">
        <f t="shared" si="32"/>
        <v>4228.4325000000008</v>
      </c>
      <c r="W271" s="44">
        <f t="shared" si="33"/>
        <v>0.42087848401698774</v>
      </c>
    </row>
    <row r="272" spans="1:23" x14ac:dyDescent="0.3">
      <c r="A272" s="45" t="s">
        <v>644</v>
      </c>
      <c r="B272" s="46">
        <v>45707</v>
      </c>
      <c r="C272" s="47">
        <v>45725</v>
      </c>
      <c r="D272" s="48">
        <f t="shared" si="34"/>
        <v>18</v>
      </c>
      <c r="E272" s="48" t="str">
        <f>TEXT(Data!B272,"MMM-YYYY")</f>
        <v>Feb-2025</v>
      </c>
      <c r="F272" s="48" t="str">
        <f t="shared" si="30"/>
        <v>Q1-2025</v>
      </c>
      <c r="G272" s="38" t="s">
        <v>45</v>
      </c>
      <c r="H272" s="38" t="s">
        <v>60</v>
      </c>
      <c r="I272" s="38" t="s">
        <v>141</v>
      </c>
      <c r="J272" s="38" t="s">
        <v>62</v>
      </c>
      <c r="K272" s="38" t="s">
        <v>98</v>
      </c>
      <c r="L272" s="38" t="s">
        <v>68</v>
      </c>
      <c r="M272" s="38" t="s">
        <v>64</v>
      </c>
      <c r="N272" s="38" t="s">
        <v>645</v>
      </c>
      <c r="O272" s="48">
        <v>325.87</v>
      </c>
      <c r="P272" s="49" t="str">
        <f t="shared" si="31"/>
        <v>High</v>
      </c>
      <c r="Q272" s="48">
        <v>538.79</v>
      </c>
      <c r="R272" s="48">
        <v>0.17399999999999999</v>
      </c>
      <c r="S272" s="48">
        <v>16</v>
      </c>
      <c r="T272" s="48">
        <f t="shared" si="28"/>
        <v>6753.7724800000005</v>
      </c>
      <c r="U272" s="38">
        <f t="shared" si="29"/>
        <v>5213.92</v>
      </c>
      <c r="V272" s="48">
        <f t="shared" si="32"/>
        <v>1539.8524800000005</v>
      </c>
      <c r="W272" s="50">
        <f t="shared" si="33"/>
        <v>0.22799886797489516</v>
      </c>
    </row>
    <row r="273" spans="1:23" x14ac:dyDescent="0.3">
      <c r="A273" s="39" t="s">
        <v>646</v>
      </c>
      <c r="B273" s="40">
        <v>45382</v>
      </c>
      <c r="C273" s="41">
        <v>45399</v>
      </c>
      <c r="D273" s="42">
        <f t="shared" si="34"/>
        <v>17</v>
      </c>
      <c r="E273" s="42" t="str">
        <f>TEXT(Data!B273,"MMM-YYYY")</f>
        <v>Mar-2024</v>
      </c>
      <c r="F273" s="42" t="str">
        <f t="shared" si="30"/>
        <v>Q1-2024</v>
      </c>
      <c r="G273" s="37" t="s">
        <v>78</v>
      </c>
      <c r="H273" s="37" t="s">
        <v>79</v>
      </c>
      <c r="I273" s="37" t="s">
        <v>335</v>
      </c>
      <c r="J273" s="37" t="s">
        <v>27</v>
      </c>
      <c r="K273" s="37" t="s">
        <v>98</v>
      </c>
      <c r="L273" s="37" t="s">
        <v>92</v>
      </c>
      <c r="M273" s="37" t="s">
        <v>64</v>
      </c>
      <c r="N273" s="37" t="s">
        <v>647</v>
      </c>
      <c r="O273" s="42">
        <v>1025.51</v>
      </c>
      <c r="P273" s="43" t="str">
        <f t="shared" si="31"/>
        <v>High</v>
      </c>
      <c r="Q273" s="42">
        <v>1436.54</v>
      </c>
      <c r="R273" s="42">
        <v>0.13900000000000001</v>
      </c>
      <c r="S273" s="42">
        <v>28</v>
      </c>
      <c r="T273" s="42">
        <f t="shared" si="28"/>
        <v>101.73576</v>
      </c>
      <c r="U273" s="37">
        <f t="shared" si="29"/>
        <v>28714.28</v>
      </c>
      <c r="V273" s="42">
        <f t="shared" si="32"/>
        <v>-28612.544239999999</v>
      </c>
      <c r="W273" s="44">
        <f t="shared" si="33"/>
        <v>-281.24372629643699</v>
      </c>
    </row>
    <row r="274" spans="1:23" x14ac:dyDescent="0.3">
      <c r="A274" s="45" t="s">
        <v>648</v>
      </c>
      <c r="B274" s="46">
        <v>45131</v>
      </c>
      <c r="C274" s="47">
        <v>45151</v>
      </c>
      <c r="D274" s="48">
        <f t="shared" si="34"/>
        <v>20</v>
      </c>
      <c r="E274" s="48" t="str">
        <f>TEXT(Data!B274,"MMM-YYYY")</f>
        <v>Jul-2023</v>
      </c>
      <c r="F274" s="48" t="str">
        <f t="shared" si="30"/>
        <v>Q3-2023</v>
      </c>
      <c r="G274" s="38" t="s">
        <v>52</v>
      </c>
      <c r="H274" s="38" t="s">
        <v>53</v>
      </c>
      <c r="I274" s="38" t="s">
        <v>144</v>
      </c>
      <c r="J274" s="38" t="s">
        <v>27</v>
      </c>
      <c r="K274" s="38" t="s">
        <v>98</v>
      </c>
      <c r="L274" s="38" t="s">
        <v>21</v>
      </c>
      <c r="M274" s="38" t="s">
        <v>64</v>
      </c>
      <c r="N274" s="38" t="s">
        <v>649</v>
      </c>
      <c r="O274" s="48">
        <v>1082.3800000000001</v>
      </c>
      <c r="P274" s="49" t="str">
        <f t="shared" si="31"/>
        <v>High</v>
      </c>
      <c r="Q274" s="48">
        <v>1766.55</v>
      </c>
      <c r="R274" s="48">
        <v>0.16400000000000001</v>
      </c>
      <c r="S274" s="48">
        <v>20</v>
      </c>
      <c r="T274" s="48">
        <f t="shared" si="28"/>
        <v>9651.4527999999991</v>
      </c>
      <c r="U274" s="38">
        <f t="shared" si="29"/>
        <v>21647.600000000002</v>
      </c>
      <c r="V274" s="48">
        <f t="shared" si="32"/>
        <v>-11996.147200000003</v>
      </c>
      <c r="W274" s="50">
        <f t="shared" si="33"/>
        <v>-1.242936938986015</v>
      </c>
    </row>
    <row r="275" spans="1:23" x14ac:dyDescent="0.3">
      <c r="A275" s="39" t="s">
        <v>650</v>
      </c>
      <c r="B275" s="40">
        <v>45367</v>
      </c>
      <c r="C275" s="41">
        <v>45395</v>
      </c>
      <c r="D275" s="42">
        <f t="shared" si="34"/>
        <v>28</v>
      </c>
      <c r="E275" s="42" t="str">
        <f>TEXT(Data!B275,"MMM-YYYY")</f>
        <v>Mar-2024</v>
      </c>
      <c r="F275" s="42" t="str">
        <f t="shared" si="30"/>
        <v>Q1-2024</v>
      </c>
      <c r="G275" s="37" t="s">
        <v>78</v>
      </c>
      <c r="H275" s="37" t="s">
        <v>90</v>
      </c>
      <c r="I275" s="37" t="s">
        <v>217</v>
      </c>
      <c r="J275" s="37" t="s">
        <v>62</v>
      </c>
      <c r="K275" s="37" t="s">
        <v>28</v>
      </c>
      <c r="L275" s="37" t="s">
        <v>95</v>
      </c>
      <c r="M275" s="37" t="s">
        <v>30</v>
      </c>
      <c r="N275" s="37" t="s">
        <v>651</v>
      </c>
      <c r="O275" s="42">
        <v>287.61</v>
      </c>
      <c r="P275" s="43" t="str">
        <f t="shared" si="31"/>
        <v>High</v>
      </c>
      <c r="Q275" s="42">
        <v>628.54</v>
      </c>
      <c r="R275" s="42">
        <v>0.13500000000000001</v>
      </c>
      <c r="S275" s="42">
        <v>21</v>
      </c>
      <c r="T275" s="42">
        <f t="shared" si="28"/>
        <v>25903.83495</v>
      </c>
      <c r="U275" s="37">
        <f t="shared" si="29"/>
        <v>6039.81</v>
      </c>
      <c r="V275" s="42">
        <f t="shared" si="32"/>
        <v>19864.024949999999</v>
      </c>
      <c r="W275" s="44">
        <f t="shared" si="33"/>
        <v>0.76683722654741504</v>
      </c>
    </row>
    <row r="276" spans="1:23" x14ac:dyDescent="0.3">
      <c r="A276" s="45" t="s">
        <v>652</v>
      </c>
      <c r="B276" s="46">
        <v>45316</v>
      </c>
      <c r="C276" s="47">
        <v>45318</v>
      </c>
      <c r="D276" s="48">
        <f t="shared" si="34"/>
        <v>2</v>
      </c>
      <c r="E276" s="48" t="str">
        <f>TEXT(Data!B276,"MMM-YYYY")</f>
        <v>Jan-2024</v>
      </c>
      <c r="F276" s="48" t="str">
        <f t="shared" si="30"/>
        <v>Q1-2024</v>
      </c>
      <c r="G276" s="38" t="s">
        <v>52</v>
      </c>
      <c r="H276" s="38" t="s">
        <v>73</v>
      </c>
      <c r="I276" s="38" t="s">
        <v>74</v>
      </c>
      <c r="J276" s="38" t="s">
        <v>39</v>
      </c>
      <c r="K276" s="38" t="s">
        <v>40</v>
      </c>
      <c r="L276" s="38" t="s">
        <v>126</v>
      </c>
      <c r="M276" s="38" t="s">
        <v>57</v>
      </c>
      <c r="N276" s="38" t="s">
        <v>653</v>
      </c>
      <c r="O276" s="48">
        <v>1410.97</v>
      </c>
      <c r="P276" s="49" t="str">
        <f t="shared" si="31"/>
        <v>High</v>
      </c>
      <c r="Q276" s="48">
        <v>1650.75</v>
      </c>
      <c r="R276" s="48">
        <v>0.13500000000000001</v>
      </c>
      <c r="S276" s="48">
        <v>6</v>
      </c>
      <c r="T276" s="48">
        <f t="shared" si="28"/>
        <v>7059.0227999999997</v>
      </c>
      <c r="U276" s="38">
        <f t="shared" si="29"/>
        <v>8465.82</v>
      </c>
      <c r="V276" s="48">
        <f t="shared" si="32"/>
        <v>-1406.7972</v>
      </c>
      <c r="W276" s="50">
        <f t="shared" si="33"/>
        <v>-0.19929064402511917</v>
      </c>
    </row>
    <row r="277" spans="1:23" x14ac:dyDescent="0.3">
      <c r="A277" s="39" t="s">
        <v>654</v>
      </c>
      <c r="B277" s="40">
        <v>45378</v>
      </c>
      <c r="C277" s="41">
        <v>45393</v>
      </c>
      <c r="D277" s="42">
        <f t="shared" si="34"/>
        <v>15</v>
      </c>
      <c r="E277" s="42" t="str">
        <f>TEXT(Data!B277,"MMM-YYYY")</f>
        <v>Mar-2024</v>
      </c>
      <c r="F277" s="42" t="str">
        <f t="shared" si="30"/>
        <v>Q1-2024</v>
      </c>
      <c r="G277" s="37" t="s">
        <v>52</v>
      </c>
      <c r="H277" s="37" t="s">
        <v>122</v>
      </c>
      <c r="I277" s="37" t="s">
        <v>167</v>
      </c>
      <c r="J277" s="37" t="s">
        <v>62</v>
      </c>
      <c r="K277" s="37" t="s">
        <v>98</v>
      </c>
      <c r="L277" s="37" t="s">
        <v>68</v>
      </c>
      <c r="M277" s="37" t="s">
        <v>35</v>
      </c>
      <c r="N277" s="37" t="s">
        <v>655</v>
      </c>
      <c r="O277" s="42">
        <v>1338.35</v>
      </c>
      <c r="P277" s="43" t="str">
        <f t="shared" si="31"/>
        <v>High</v>
      </c>
      <c r="Q277" s="42">
        <v>2247.14</v>
      </c>
      <c r="R277" s="42">
        <v>0.115</v>
      </c>
      <c r="S277" s="42">
        <v>40</v>
      </c>
      <c r="T277" s="42">
        <f t="shared" si="28"/>
        <v>73316.94</v>
      </c>
      <c r="U277" s="37">
        <f t="shared" si="29"/>
        <v>53534</v>
      </c>
      <c r="V277" s="42">
        <f t="shared" si="32"/>
        <v>19782.940000000002</v>
      </c>
      <c r="W277" s="44">
        <f t="shared" si="33"/>
        <v>0.26982768238827209</v>
      </c>
    </row>
    <row r="278" spans="1:23" x14ac:dyDescent="0.3">
      <c r="A278" s="45" t="s">
        <v>656</v>
      </c>
      <c r="B278" s="46">
        <v>45832</v>
      </c>
      <c r="C278" s="47">
        <v>45852</v>
      </c>
      <c r="D278" s="48">
        <f t="shared" si="34"/>
        <v>20</v>
      </c>
      <c r="E278" s="48" t="str">
        <f>TEXT(Data!B278,"MMM-YYYY")</f>
        <v>Jun-2025</v>
      </c>
      <c r="F278" s="48" t="str">
        <f t="shared" si="30"/>
        <v>Q2-2025</v>
      </c>
      <c r="G278" s="38" t="s">
        <v>78</v>
      </c>
      <c r="H278" s="38" t="s">
        <v>79</v>
      </c>
      <c r="I278" s="38" t="s">
        <v>80</v>
      </c>
      <c r="J278" s="38" t="s">
        <v>19</v>
      </c>
      <c r="K278" s="38" t="s">
        <v>98</v>
      </c>
      <c r="L278" s="38" t="s">
        <v>68</v>
      </c>
      <c r="M278" s="38" t="s">
        <v>81</v>
      </c>
      <c r="N278" s="38" t="s">
        <v>657</v>
      </c>
      <c r="O278" s="48">
        <v>385.08</v>
      </c>
      <c r="P278" s="49" t="str">
        <f t="shared" si="31"/>
        <v>High</v>
      </c>
      <c r="Q278" s="48">
        <v>893.19</v>
      </c>
      <c r="R278" s="48">
        <v>0.151</v>
      </c>
      <c r="S278" s="48">
        <v>8</v>
      </c>
      <c r="T278" s="48">
        <f t="shared" si="28"/>
        <v>6655.0732799999996</v>
      </c>
      <c r="U278" s="38">
        <f t="shared" si="29"/>
        <v>3080.64</v>
      </c>
      <c r="V278" s="48">
        <f t="shared" si="32"/>
        <v>3574.4332799999997</v>
      </c>
      <c r="W278" s="50">
        <f t="shared" si="33"/>
        <v>0.53709901147775185</v>
      </c>
    </row>
    <row r="279" spans="1:23" x14ac:dyDescent="0.3">
      <c r="A279" s="39" t="s">
        <v>658</v>
      </c>
      <c r="B279" s="40">
        <v>45459</v>
      </c>
      <c r="C279" s="41">
        <v>45476</v>
      </c>
      <c r="D279" s="42">
        <f t="shared" si="34"/>
        <v>17</v>
      </c>
      <c r="E279" s="42" t="str">
        <f>TEXT(Data!B279,"MMM-YYYY")</f>
        <v>Jun-2024</v>
      </c>
      <c r="F279" s="42" t="str">
        <f t="shared" si="30"/>
        <v>Q2-2024</v>
      </c>
      <c r="G279" s="37" t="s">
        <v>16</v>
      </c>
      <c r="H279" s="37" t="s">
        <v>148</v>
      </c>
      <c r="I279" s="37" t="s">
        <v>149</v>
      </c>
      <c r="J279" s="37" t="s">
        <v>105</v>
      </c>
      <c r="K279" s="37" t="s">
        <v>40</v>
      </c>
      <c r="L279" s="37" t="s">
        <v>84</v>
      </c>
      <c r="M279" s="37" t="s">
        <v>42</v>
      </c>
      <c r="N279" s="37" t="s">
        <v>659</v>
      </c>
      <c r="O279" s="42">
        <v>1173.83</v>
      </c>
      <c r="P279" s="43" t="str">
        <f t="shared" si="31"/>
        <v>High</v>
      </c>
      <c r="Q279" s="42">
        <v>2328.9</v>
      </c>
      <c r="R279" s="42">
        <v>0.12</v>
      </c>
      <c r="S279" s="42">
        <v>17</v>
      </c>
      <c r="T279" s="42">
        <f t="shared" si="28"/>
        <v>8039.3543999999993</v>
      </c>
      <c r="U279" s="37">
        <f t="shared" si="29"/>
        <v>19955.11</v>
      </c>
      <c r="V279" s="42">
        <f t="shared" si="32"/>
        <v>-11915.7556</v>
      </c>
      <c r="W279" s="44">
        <f t="shared" si="33"/>
        <v>-1.4821781709237749</v>
      </c>
    </row>
    <row r="280" spans="1:23" x14ac:dyDescent="0.3">
      <c r="A280" s="45" t="s">
        <v>660</v>
      </c>
      <c r="B280" s="46">
        <v>45229</v>
      </c>
      <c r="C280" s="47">
        <v>45244</v>
      </c>
      <c r="D280" s="48">
        <f t="shared" si="34"/>
        <v>15</v>
      </c>
      <c r="E280" s="48" t="str">
        <f>TEXT(Data!B280,"MMM-YYYY")</f>
        <v>Oct-2023</v>
      </c>
      <c r="F280" s="48" t="str">
        <f t="shared" si="30"/>
        <v>Q4-2023</v>
      </c>
      <c r="G280" s="38" t="s">
        <v>45</v>
      </c>
      <c r="H280" s="38" t="s">
        <v>60</v>
      </c>
      <c r="I280" s="38" t="s">
        <v>61</v>
      </c>
      <c r="J280" s="38" t="s">
        <v>19</v>
      </c>
      <c r="K280" s="38" t="s">
        <v>28</v>
      </c>
      <c r="L280" s="38" t="s">
        <v>84</v>
      </c>
      <c r="M280" s="38" t="s">
        <v>57</v>
      </c>
      <c r="N280" s="38" t="s">
        <v>661</v>
      </c>
      <c r="O280" s="48">
        <v>953.46</v>
      </c>
      <c r="P280" s="49" t="str">
        <f t="shared" si="31"/>
        <v>High</v>
      </c>
      <c r="Q280" s="48">
        <v>2066.75</v>
      </c>
      <c r="R280" s="48">
        <v>0.13800000000000001</v>
      </c>
      <c r="S280" s="48">
        <v>5</v>
      </c>
      <c r="T280" s="48">
        <f t="shared" si="28"/>
        <v>919.40919999999994</v>
      </c>
      <c r="U280" s="38">
        <f t="shared" si="29"/>
        <v>4767.3</v>
      </c>
      <c r="V280" s="48">
        <f t="shared" si="32"/>
        <v>-3847.8908000000001</v>
      </c>
      <c r="W280" s="50">
        <f t="shared" si="33"/>
        <v>-4.1851776118838062</v>
      </c>
    </row>
    <row r="281" spans="1:23" x14ac:dyDescent="0.3">
      <c r="A281" s="39" t="s">
        <v>662</v>
      </c>
      <c r="B281" s="40">
        <v>45092</v>
      </c>
      <c r="C281" s="41">
        <v>45100</v>
      </c>
      <c r="D281" s="42">
        <f t="shared" si="34"/>
        <v>8</v>
      </c>
      <c r="E281" s="42" t="str">
        <f>TEXT(Data!B281,"MMM-YYYY")</f>
        <v>Jun-2023</v>
      </c>
      <c r="F281" s="42" t="str">
        <f t="shared" si="30"/>
        <v>Q2-2023</v>
      </c>
      <c r="G281" s="37" t="s">
        <v>52</v>
      </c>
      <c r="H281" s="37" t="s">
        <v>122</v>
      </c>
      <c r="I281" s="37" t="s">
        <v>167</v>
      </c>
      <c r="J281" s="37" t="s">
        <v>48</v>
      </c>
      <c r="K281" s="37" t="s">
        <v>55</v>
      </c>
      <c r="L281" s="37" t="s">
        <v>68</v>
      </c>
      <c r="M281" s="37" t="s">
        <v>64</v>
      </c>
      <c r="N281" s="37" t="s">
        <v>663</v>
      </c>
      <c r="O281" s="42">
        <v>1097.0899999999999</v>
      </c>
      <c r="P281" s="43" t="str">
        <f t="shared" si="31"/>
        <v>High</v>
      </c>
      <c r="Q281" s="42">
        <v>2182.31</v>
      </c>
      <c r="R281" s="42">
        <v>0.112</v>
      </c>
      <c r="S281" s="42">
        <v>9</v>
      </c>
      <c r="T281" s="42">
        <f t="shared" si="28"/>
        <v>15941.402639999998</v>
      </c>
      <c r="U281" s="37">
        <f t="shared" si="29"/>
        <v>9873.81</v>
      </c>
      <c r="V281" s="42">
        <f t="shared" si="32"/>
        <v>6067.5926399999989</v>
      </c>
      <c r="W281" s="44">
        <f t="shared" si="33"/>
        <v>0.38061849242646062</v>
      </c>
    </row>
    <row r="282" spans="1:23" x14ac:dyDescent="0.3">
      <c r="A282" s="45" t="s">
        <v>664</v>
      </c>
      <c r="B282" s="46">
        <v>45730</v>
      </c>
      <c r="C282" s="47">
        <v>45745</v>
      </c>
      <c r="D282" s="48">
        <f t="shared" si="34"/>
        <v>15</v>
      </c>
      <c r="E282" s="48" t="str">
        <f>TEXT(Data!B282,"MMM-YYYY")</f>
        <v>Mar-2025</v>
      </c>
      <c r="F282" s="48" t="str">
        <f t="shared" si="30"/>
        <v>Q1-2025</v>
      </c>
      <c r="G282" s="38" t="s">
        <v>45</v>
      </c>
      <c r="H282" s="38" t="s">
        <v>46</v>
      </c>
      <c r="I282" s="38" t="s">
        <v>214</v>
      </c>
      <c r="J282" s="38" t="s">
        <v>39</v>
      </c>
      <c r="K282" s="38" t="s">
        <v>98</v>
      </c>
      <c r="L282" s="38" t="s">
        <v>92</v>
      </c>
      <c r="M282" s="38" t="s">
        <v>35</v>
      </c>
      <c r="N282" s="38" t="s">
        <v>665</v>
      </c>
      <c r="O282" s="48">
        <v>1106.96</v>
      </c>
      <c r="P282" s="49" t="str">
        <f t="shared" si="31"/>
        <v>High</v>
      </c>
      <c r="Q282" s="48">
        <v>2726.62</v>
      </c>
      <c r="R282" s="48">
        <v>0.317</v>
      </c>
      <c r="S282" s="48">
        <v>7</v>
      </c>
      <c r="T282" s="48">
        <f t="shared" si="28"/>
        <v>2643.1280400000001</v>
      </c>
      <c r="U282" s="38">
        <f t="shared" si="29"/>
        <v>7748.72</v>
      </c>
      <c r="V282" s="48">
        <f t="shared" si="32"/>
        <v>-5105.5919599999997</v>
      </c>
      <c r="W282" s="50">
        <f t="shared" si="33"/>
        <v>-1.9316476094741137</v>
      </c>
    </row>
    <row r="283" spans="1:23" x14ac:dyDescent="0.3">
      <c r="A283" s="39" t="s">
        <v>666</v>
      </c>
      <c r="B283" s="40">
        <v>45153</v>
      </c>
      <c r="C283" s="41">
        <v>45163</v>
      </c>
      <c r="D283" s="42">
        <f t="shared" si="34"/>
        <v>10</v>
      </c>
      <c r="E283" s="42" t="str">
        <f>TEXT(Data!B283,"MMM-YYYY")</f>
        <v>Aug-2023</v>
      </c>
      <c r="F283" s="42" t="str">
        <f t="shared" si="30"/>
        <v>Q3-2023</v>
      </c>
      <c r="G283" s="37" t="s">
        <v>16</v>
      </c>
      <c r="H283" s="37" t="s">
        <v>17</v>
      </c>
      <c r="I283" s="37" t="s">
        <v>33</v>
      </c>
      <c r="J283" s="37" t="s">
        <v>62</v>
      </c>
      <c r="K283" s="37" t="s">
        <v>20</v>
      </c>
      <c r="L283" s="37" t="s">
        <v>126</v>
      </c>
      <c r="M283" s="37" t="s">
        <v>42</v>
      </c>
      <c r="N283" s="37" t="s">
        <v>667</v>
      </c>
      <c r="O283" s="42">
        <v>91.85</v>
      </c>
      <c r="P283" s="43" t="str">
        <f t="shared" si="31"/>
        <v>Medium</v>
      </c>
      <c r="Q283" s="42">
        <v>111.29</v>
      </c>
      <c r="R283" s="42">
        <v>0</v>
      </c>
      <c r="S283" s="42">
        <v>6</v>
      </c>
      <c r="T283" s="42">
        <f t="shared" si="28"/>
        <v>1349.6999999999998</v>
      </c>
      <c r="U283" s="37">
        <f t="shared" si="29"/>
        <v>551.09999999999991</v>
      </c>
      <c r="V283" s="42">
        <f t="shared" si="32"/>
        <v>798.59999999999991</v>
      </c>
      <c r="W283" s="44">
        <f t="shared" si="33"/>
        <v>0.59168704156479224</v>
      </c>
    </row>
    <row r="284" spans="1:23" x14ac:dyDescent="0.3">
      <c r="A284" s="45" t="s">
        <v>668</v>
      </c>
      <c r="B284" s="46">
        <v>45794</v>
      </c>
      <c r="C284" s="47">
        <v>45805</v>
      </c>
      <c r="D284" s="48">
        <f t="shared" si="34"/>
        <v>11</v>
      </c>
      <c r="E284" s="48" t="str">
        <f>TEXT(Data!B284,"MMM-YYYY")</f>
        <v>May-2025</v>
      </c>
      <c r="F284" s="48" t="str">
        <f t="shared" si="30"/>
        <v>Q2-2025</v>
      </c>
      <c r="G284" s="38" t="s">
        <v>45</v>
      </c>
      <c r="H284" s="38" t="s">
        <v>60</v>
      </c>
      <c r="I284" s="38" t="s">
        <v>61</v>
      </c>
      <c r="J284" s="38" t="s">
        <v>19</v>
      </c>
      <c r="K284" s="38" t="s">
        <v>55</v>
      </c>
      <c r="L284" s="38" t="s">
        <v>56</v>
      </c>
      <c r="M284" s="38" t="s">
        <v>57</v>
      </c>
      <c r="N284" s="38" t="s">
        <v>669</v>
      </c>
      <c r="O284" s="48">
        <v>623.4</v>
      </c>
      <c r="P284" s="49" t="str">
        <f t="shared" si="31"/>
        <v>High</v>
      </c>
      <c r="Q284" s="48">
        <v>1100.0899999999999</v>
      </c>
      <c r="R284" s="48">
        <v>0.114</v>
      </c>
      <c r="S284" s="48">
        <v>12</v>
      </c>
      <c r="T284" s="48">
        <f t="shared" si="28"/>
        <v>8208.8608800000002</v>
      </c>
      <c r="U284" s="38">
        <f t="shared" si="29"/>
        <v>7480.7999999999993</v>
      </c>
      <c r="V284" s="48">
        <f t="shared" si="32"/>
        <v>728.06088000000091</v>
      </c>
      <c r="W284" s="50">
        <f t="shared" si="33"/>
        <v>8.8692071974790357E-2</v>
      </c>
    </row>
    <row r="285" spans="1:23" x14ac:dyDescent="0.3">
      <c r="A285" s="39" t="s">
        <v>670</v>
      </c>
      <c r="B285" s="40">
        <v>45304</v>
      </c>
      <c r="C285" s="41">
        <v>45327</v>
      </c>
      <c r="D285" s="42">
        <f t="shared" si="34"/>
        <v>23</v>
      </c>
      <c r="E285" s="42" t="str">
        <f>TEXT(Data!B285,"MMM-YYYY")</f>
        <v>Jan-2024</v>
      </c>
      <c r="F285" s="42" t="str">
        <f t="shared" si="30"/>
        <v>Q1-2024</v>
      </c>
      <c r="G285" s="37" t="s">
        <v>78</v>
      </c>
      <c r="H285" s="37" t="s">
        <v>79</v>
      </c>
      <c r="I285" s="37" t="s">
        <v>335</v>
      </c>
      <c r="J285" s="37" t="s">
        <v>27</v>
      </c>
      <c r="K285" s="37" t="s">
        <v>98</v>
      </c>
      <c r="L285" s="37" t="s">
        <v>56</v>
      </c>
      <c r="M285" s="37" t="s">
        <v>57</v>
      </c>
      <c r="N285" s="37" t="s">
        <v>671</v>
      </c>
      <c r="O285" s="42">
        <v>1017.93</v>
      </c>
      <c r="P285" s="43" t="str">
        <f t="shared" si="31"/>
        <v>High</v>
      </c>
      <c r="Q285" s="42">
        <v>1529.14</v>
      </c>
      <c r="R285" s="42">
        <v>0.155</v>
      </c>
      <c r="S285" s="42">
        <v>12</v>
      </c>
      <c r="T285" s="42">
        <f t="shared" si="28"/>
        <v>31932.989400000002</v>
      </c>
      <c r="U285" s="37">
        <f t="shared" si="29"/>
        <v>12215.16</v>
      </c>
      <c r="V285" s="42">
        <f t="shared" si="32"/>
        <v>19717.829400000002</v>
      </c>
      <c r="W285" s="44">
        <f t="shared" si="33"/>
        <v>0.61747521201381794</v>
      </c>
    </row>
    <row r="286" spans="1:23" x14ac:dyDescent="0.3">
      <c r="A286" s="45" t="s">
        <v>672</v>
      </c>
      <c r="B286" s="46">
        <v>45101</v>
      </c>
      <c r="C286" s="47">
        <v>45128</v>
      </c>
      <c r="D286" s="48">
        <f t="shared" si="34"/>
        <v>27</v>
      </c>
      <c r="E286" s="48" t="str">
        <f>TEXT(Data!B286,"MMM-YYYY")</f>
        <v>Jun-2023</v>
      </c>
      <c r="F286" s="48" t="str">
        <f t="shared" si="30"/>
        <v>Q2-2023</v>
      </c>
      <c r="G286" s="38" t="s">
        <v>45</v>
      </c>
      <c r="H286" s="38" t="s">
        <v>46</v>
      </c>
      <c r="I286" s="38" t="s">
        <v>231</v>
      </c>
      <c r="J286" s="38" t="s">
        <v>48</v>
      </c>
      <c r="K286" s="38" t="s">
        <v>40</v>
      </c>
      <c r="L286" s="38" t="s">
        <v>29</v>
      </c>
      <c r="M286" s="38" t="s">
        <v>42</v>
      </c>
      <c r="N286" s="38" t="s">
        <v>673</v>
      </c>
      <c r="O286" s="48">
        <v>554.76</v>
      </c>
      <c r="P286" s="49" t="str">
        <f t="shared" si="31"/>
        <v>High</v>
      </c>
      <c r="Q286" s="48">
        <v>728.69</v>
      </c>
      <c r="R286" s="48">
        <v>0.22</v>
      </c>
      <c r="S286" s="48">
        <v>7</v>
      </c>
      <c r="T286" s="48">
        <f t="shared" si="28"/>
        <v>314.11380000000003</v>
      </c>
      <c r="U286" s="38">
        <f t="shared" si="29"/>
        <v>3883.3199999999997</v>
      </c>
      <c r="V286" s="48">
        <f t="shared" si="32"/>
        <v>-3569.2061999999996</v>
      </c>
      <c r="W286" s="50">
        <f t="shared" si="33"/>
        <v>-11.362780622818862</v>
      </c>
    </row>
    <row r="287" spans="1:23" x14ac:dyDescent="0.3">
      <c r="A287" s="39" t="s">
        <v>674</v>
      </c>
      <c r="B287" s="40">
        <v>45751</v>
      </c>
      <c r="C287" s="41">
        <v>45760</v>
      </c>
      <c r="D287" s="42">
        <f t="shared" si="34"/>
        <v>9</v>
      </c>
      <c r="E287" s="42" t="str">
        <f>TEXT(Data!B287,"MMM-YYYY")</f>
        <v>Apr-2025</v>
      </c>
      <c r="F287" s="42" t="str">
        <f t="shared" si="30"/>
        <v>Q2-2025</v>
      </c>
      <c r="G287" s="37" t="s">
        <v>78</v>
      </c>
      <c r="H287" s="37" t="s">
        <v>79</v>
      </c>
      <c r="I287" s="37" t="s">
        <v>159</v>
      </c>
      <c r="J287" s="37" t="s">
        <v>48</v>
      </c>
      <c r="K287" s="37" t="s">
        <v>40</v>
      </c>
      <c r="L287" s="37" t="s">
        <v>84</v>
      </c>
      <c r="M287" s="37" t="s">
        <v>42</v>
      </c>
      <c r="N287" s="37" t="s">
        <v>675</v>
      </c>
      <c r="O287" s="42">
        <v>7.02</v>
      </c>
      <c r="P287" s="43" t="str">
        <f t="shared" si="31"/>
        <v>Low</v>
      </c>
      <c r="Q287" s="42">
        <v>6.28</v>
      </c>
      <c r="R287" s="42">
        <v>0.13400000000000001</v>
      </c>
      <c r="S287" s="42">
        <v>14</v>
      </c>
      <c r="T287" s="42">
        <f t="shared" si="28"/>
        <v>9999.9964400000008</v>
      </c>
      <c r="U287" s="37">
        <f t="shared" si="29"/>
        <v>98.28</v>
      </c>
      <c r="V287" s="42">
        <f t="shared" si="32"/>
        <v>9901.7164400000001</v>
      </c>
      <c r="W287" s="44">
        <f t="shared" si="33"/>
        <v>0.99017199650123067</v>
      </c>
    </row>
    <row r="288" spans="1:23" x14ac:dyDescent="0.3">
      <c r="A288" s="45" t="s">
        <v>676</v>
      </c>
      <c r="B288" s="46">
        <v>45542</v>
      </c>
      <c r="C288" s="47">
        <v>45542</v>
      </c>
      <c r="D288" s="48">
        <f t="shared" si="34"/>
        <v>0</v>
      </c>
      <c r="E288" s="48" t="str">
        <f>TEXT(Data!B288,"MMM-YYYY")</f>
        <v>Sept-2024</v>
      </c>
      <c r="F288" s="48" t="str">
        <f t="shared" si="30"/>
        <v>Q3-2024</v>
      </c>
      <c r="G288" s="38" t="s">
        <v>45</v>
      </c>
      <c r="H288" s="38" t="s">
        <v>60</v>
      </c>
      <c r="I288" s="38" t="s">
        <v>220</v>
      </c>
      <c r="J288" s="38" t="s">
        <v>27</v>
      </c>
      <c r="K288" s="38" t="s">
        <v>55</v>
      </c>
      <c r="L288" s="38" t="s">
        <v>56</v>
      </c>
      <c r="M288" s="38" t="s">
        <v>35</v>
      </c>
      <c r="N288" s="38" t="s">
        <v>677</v>
      </c>
      <c r="O288" s="48">
        <v>1066.6500000000001</v>
      </c>
      <c r="P288" s="49" t="str">
        <f t="shared" si="31"/>
        <v>High</v>
      </c>
      <c r="Q288" s="48">
        <v>2569.77</v>
      </c>
      <c r="R288" s="48">
        <v>0.13400000000000001</v>
      </c>
      <c r="S288" s="48">
        <v>9</v>
      </c>
      <c r="T288" s="48">
        <f t="shared" si="28"/>
        <v>11640.572819999999</v>
      </c>
      <c r="U288" s="38">
        <f t="shared" si="29"/>
        <v>9599.85</v>
      </c>
      <c r="V288" s="48">
        <f t="shared" si="32"/>
        <v>2040.722819999999</v>
      </c>
      <c r="W288" s="50">
        <f t="shared" si="33"/>
        <v>0.17531120259767416</v>
      </c>
    </row>
    <row r="289" spans="1:23" x14ac:dyDescent="0.3">
      <c r="A289" s="39" t="s">
        <v>678</v>
      </c>
      <c r="B289" s="40">
        <v>45319</v>
      </c>
      <c r="C289" s="41">
        <v>45321</v>
      </c>
      <c r="D289" s="42">
        <f t="shared" si="34"/>
        <v>2</v>
      </c>
      <c r="E289" s="42" t="str">
        <f>TEXT(Data!B289,"MMM-YYYY")</f>
        <v>Jan-2024</v>
      </c>
      <c r="F289" s="42" t="str">
        <f t="shared" si="30"/>
        <v>Q1-2024</v>
      </c>
      <c r="G289" s="37" t="s">
        <v>16</v>
      </c>
      <c r="H289" s="37" t="s">
        <v>148</v>
      </c>
      <c r="I289" s="37" t="s">
        <v>258</v>
      </c>
      <c r="J289" s="37" t="s">
        <v>48</v>
      </c>
      <c r="K289" s="37" t="s">
        <v>98</v>
      </c>
      <c r="L289" s="37" t="s">
        <v>84</v>
      </c>
      <c r="M289" s="37" t="s">
        <v>81</v>
      </c>
      <c r="N289" s="37" t="s">
        <v>679</v>
      </c>
      <c r="O289" s="42">
        <v>798.45</v>
      </c>
      <c r="P289" s="43" t="str">
        <f t="shared" si="31"/>
        <v>High</v>
      </c>
      <c r="Q289" s="42">
        <v>1592.02</v>
      </c>
      <c r="R289" s="42">
        <v>6.6000000000000003E-2</v>
      </c>
      <c r="S289" s="42">
        <v>18</v>
      </c>
      <c r="T289" s="42">
        <f t="shared" si="28"/>
        <v>12473.159039999999</v>
      </c>
      <c r="U289" s="37">
        <f t="shared" si="29"/>
        <v>14372.1</v>
      </c>
      <c r="V289" s="42">
        <f t="shared" si="32"/>
        <v>-1898.9409600000017</v>
      </c>
      <c r="W289" s="44">
        <f t="shared" si="33"/>
        <v>-0.15224218290733843</v>
      </c>
    </row>
    <row r="290" spans="1:23" x14ac:dyDescent="0.3">
      <c r="A290" s="45" t="s">
        <v>680</v>
      </c>
      <c r="B290" s="46">
        <v>45125</v>
      </c>
      <c r="C290" s="47">
        <v>45148</v>
      </c>
      <c r="D290" s="48">
        <f t="shared" si="34"/>
        <v>23</v>
      </c>
      <c r="E290" s="48" t="str">
        <f>TEXT(Data!B290,"MMM-YYYY")</f>
        <v>Jul-2023</v>
      </c>
      <c r="F290" s="48" t="str">
        <f t="shared" si="30"/>
        <v>Q3-2023</v>
      </c>
      <c r="G290" s="38" t="s">
        <v>16</v>
      </c>
      <c r="H290" s="38" t="s">
        <v>148</v>
      </c>
      <c r="I290" s="38" t="s">
        <v>149</v>
      </c>
      <c r="J290" s="38" t="s">
        <v>62</v>
      </c>
      <c r="K290" s="38" t="s">
        <v>20</v>
      </c>
      <c r="L290" s="38" t="s">
        <v>49</v>
      </c>
      <c r="M290" s="38" t="s">
        <v>22</v>
      </c>
      <c r="N290" s="38" t="s">
        <v>681</v>
      </c>
      <c r="O290" s="48">
        <v>1271.56</v>
      </c>
      <c r="P290" s="49" t="str">
        <f t="shared" si="31"/>
        <v>High</v>
      </c>
      <c r="Q290" s="48">
        <v>995.47</v>
      </c>
      <c r="R290" s="48">
        <v>0.192</v>
      </c>
      <c r="S290" s="48">
        <v>13</v>
      </c>
      <c r="T290" s="48">
        <f t="shared" si="28"/>
        <v>7796.3839200000002</v>
      </c>
      <c r="U290" s="38">
        <f t="shared" si="29"/>
        <v>16530.28</v>
      </c>
      <c r="V290" s="48">
        <f t="shared" si="32"/>
        <v>-8733.8960799999986</v>
      </c>
      <c r="W290" s="50">
        <f t="shared" si="33"/>
        <v>-1.1202496143878966</v>
      </c>
    </row>
    <row r="291" spans="1:23" x14ac:dyDescent="0.3">
      <c r="A291" s="39" t="s">
        <v>682</v>
      </c>
      <c r="B291" s="40">
        <v>45897</v>
      </c>
      <c r="C291" s="41">
        <v>45895</v>
      </c>
      <c r="D291" s="42">
        <f>DATEDIF(C291,B291, "MD")</f>
        <v>2</v>
      </c>
      <c r="E291" s="42" t="str">
        <f>TEXT(Data!B291,"MMM-YYYY")</f>
        <v>Aug-2025</v>
      </c>
      <c r="F291" s="42" t="str">
        <f t="shared" si="30"/>
        <v>Q3-2025</v>
      </c>
      <c r="G291" s="37" t="s">
        <v>16</v>
      </c>
      <c r="H291" s="37" t="s">
        <v>25</v>
      </c>
      <c r="I291" s="37" t="s">
        <v>26</v>
      </c>
      <c r="J291" s="37" t="s">
        <v>62</v>
      </c>
      <c r="K291" s="37" t="s">
        <v>20</v>
      </c>
      <c r="L291" s="37" t="s">
        <v>75</v>
      </c>
      <c r="M291" s="37" t="s">
        <v>81</v>
      </c>
      <c r="N291" s="37" t="s">
        <v>683</v>
      </c>
      <c r="O291" s="42">
        <v>521.05999999999995</v>
      </c>
      <c r="P291" s="43" t="str">
        <f t="shared" si="31"/>
        <v>High</v>
      </c>
      <c r="Q291" s="42">
        <v>1240.31</v>
      </c>
      <c r="R291" s="42">
        <v>0.14599999999999999</v>
      </c>
      <c r="S291" s="42">
        <v>18</v>
      </c>
      <c r="T291" s="42">
        <f t="shared" si="28"/>
        <v>7371.4888800000008</v>
      </c>
      <c r="U291" s="37">
        <f t="shared" si="29"/>
        <v>9379.0799999999981</v>
      </c>
      <c r="V291" s="42">
        <f t="shared" si="32"/>
        <v>-2007.5911199999973</v>
      </c>
      <c r="W291" s="44">
        <f t="shared" si="33"/>
        <v>-0.27234540439271437</v>
      </c>
    </row>
    <row r="292" spans="1:23" x14ac:dyDescent="0.3">
      <c r="A292" s="45" t="s">
        <v>684</v>
      </c>
      <c r="B292" s="46">
        <v>45746</v>
      </c>
      <c r="C292" s="47">
        <v>45754</v>
      </c>
      <c r="D292" s="48">
        <f t="shared" si="34"/>
        <v>8</v>
      </c>
      <c r="E292" s="48" t="str">
        <f>TEXT(Data!B292,"MMM-YYYY")</f>
        <v>Mar-2025</v>
      </c>
      <c r="F292" s="48" t="str">
        <f t="shared" si="30"/>
        <v>Q1-2025</v>
      </c>
      <c r="G292" s="38" t="s">
        <v>52</v>
      </c>
      <c r="H292" s="38" t="s">
        <v>73</v>
      </c>
      <c r="I292" s="38" t="s">
        <v>74</v>
      </c>
      <c r="J292" s="38" t="s">
        <v>39</v>
      </c>
      <c r="K292" s="38" t="s">
        <v>98</v>
      </c>
      <c r="L292" s="38" t="s">
        <v>49</v>
      </c>
      <c r="M292" s="38" t="s">
        <v>30</v>
      </c>
      <c r="N292" s="38" t="s">
        <v>685</v>
      </c>
      <c r="O292" s="48">
        <v>71.62</v>
      </c>
      <c r="P292" s="49" t="str">
        <f t="shared" si="31"/>
        <v>Medium</v>
      </c>
      <c r="Q292" s="48">
        <v>118.37</v>
      </c>
      <c r="R292" s="48">
        <v>0.156</v>
      </c>
      <c r="S292" s="48">
        <v>11</v>
      </c>
      <c r="T292" s="48">
        <f t="shared" si="28"/>
        <v>10911.020999999999</v>
      </c>
      <c r="U292" s="38">
        <f t="shared" si="29"/>
        <v>787.82</v>
      </c>
      <c r="V292" s="48">
        <f t="shared" si="32"/>
        <v>10123.200999999999</v>
      </c>
      <c r="W292" s="50">
        <f t="shared" si="33"/>
        <v>0.92779594136973986</v>
      </c>
    </row>
    <row r="293" spans="1:23" x14ac:dyDescent="0.3">
      <c r="A293" s="39" t="s">
        <v>686</v>
      </c>
      <c r="B293" s="40">
        <v>45220</v>
      </c>
      <c r="C293" s="41">
        <v>45239</v>
      </c>
      <c r="D293" s="42">
        <f t="shared" si="34"/>
        <v>19</v>
      </c>
      <c r="E293" s="42" t="str">
        <f>TEXT(Data!B293,"MMM-YYYY")</f>
        <v>Oct-2023</v>
      </c>
      <c r="F293" s="42" t="str">
        <f t="shared" si="30"/>
        <v>Q4-2023</v>
      </c>
      <c r="G293" s="37" t="s">
        <v>78</v>
      </c>
      <c r="H293" s="37" t="s">
        <v>108</v>
      </c>
      <c r="I293" s="37" t="s">
        <v>152</v>
      </c>
      <c r="J293" s="37" t="s">
        <v>39</v>
      </c>
      <c r="K293" s="37" t="s">
        <v>98</v>
      </c>
      <c r="L293" s="37" t="s">
        <v>75</v>
      </c>
      <c r="M293" s="37" t="s">
        <v>81</v>
      </c>
      <c r="N293" s="37" t="s">
        <v>687</v>
      </c>
      <c r="O293" s="42">
        <v>1142.48</v>
      </c>
      <c r="P293" s="43" t="str">
        <f t="shared" si="31"/>
        <v>High</v>
      </c>
      <c r="Q293" s="42">
        <v>2105.5300000000002</v>
      </c>
      <c r="R293" s="42">
        <v>0.20699999999999999</v>
      </c>
      <c r="S293" s="42">
        <v>14</v>
      </c>
      <c r="T293" s="42">
        <f t="shared" si="28"/>
        <v>2525.1498999999999</v>
      </c>
      <c r="U293" s="37">
        <f t="shared" si="29"/>
        <v>15994.720000000001</v>
      </c>
      <c r="V293" s="42">
        <f t="shared" si="32"/>
        <v>-13469.570100000001</v>
      </c>
      <c r="W293" s="44">
        <f t="shared" si="33"/>
        <v>-5.3341665379944381</v>
      </c>
    </row>
    <row r="294" spans="1:23" x14ac:dyDescent="0.3">
      <c r="A294" s="45" t="s">
        <v>688</v>
      </c>
      <c r="B294" s="46">
        <v>45161</v>
      </c>
      <c r="C294" s="47">
        <v>45191</v>
      </c>
      <c r="D294" s="48">
        <f t="shared" si="34"/>
        <v>30</v>
      </c>
      <c r="E294" s="48" t="str">
        <f>TEXT(Data!B294,"MMM-YYYY")</f>
        <v>Aug-2023</v>
      </c>
      <c r="F294" s="48" t="str">
        <f t="shared" si="30"/>
        <v>Q3-2023</v>
      </c>
      <c r="G294" s="38" t="s">
        <v>78</v>
      </c>
      <c r="H294" s="38" t="s">
        <v>108</v>
      </c>
      <c r="I294" s="38" t="s">
        <v>152</v>
      </c>
      <c r="J294" s="38" t="s">
        <v>48</v>
      </c>
      <c r="K294" s="38" t="s">
        <v>55</v>
      </c>
      <c r="L294" s="38" t="s">
        <v>68</v>
      </c>
      <c r="M294" s="38" t="s">
        <v>81</v>
      </c>
      <c r="N294" s="38" t="s">
        <v>689</v>
      </c>
      <c r="O294" s="48">
        <v>209.81</v>
      </c>
      <c r="P294" s="49" t="str">
        <f t="shared" si="31"/>
        <v>High</v>
      </c>
      <c r="Q294" s="48">
        <v>523</v>
      </c>
      <c r="R294" s="48">
        <v>5.8999999999999997E-2</v>
      </c>
      <c r="S294" s="48">
        <v>15</v>
      </c>
      <c r="T294" s="48">
        <f t="shared" si="28"/>
        <v>16636.221300000001</v>
      </c>
      <c r="U294" s="38">
        <f t="shared" si="29"/>
        <v>3147.15</v>
      </c>
      <c r="V294" s="48">
        <f t="shared" si="32"/>
        <v>13489.071300000001</v>
      </c>
      <c r="W294" s="50">
        <f t="shared" si="33"/>
        <v>0.81082543065233215</v>
      </c>
    </row>
    <row r="295" spans="1:23" x14ac:dyDescent="0.3">
      <c r="A295" s="39" t="s">
        <v>690</v>
      </c>
      <c r="B295" s="40">
        <v>45758</v>
      </c>
      <c r="C295" s="41">
        <v>45781</v>
      </c>
      <c r="D295" s="42">
        <f t="shared" si="34"/>
        <v>23</v>
      </c>
      <c r="E295" s="42" t="str">
        <f>TEXT(Data!B295,"MMM-YYYY")</f>
        <v>Apr-2025</v>
      </c>
      <c r="F295" s="42" t="str">
        <f t="shared" si="30"/>
        <v>Q2-2025</v>
      </c>
      <c r="G295" s="37" t="s">
        <v>45</v>
      </c>
      <c r="H295" s="37" t="s">
        <v>46</v>
      </c>
      <c r="I295" s="37" t="s">
        <v>47</v>
      </c>
      <c r="J295" s="37" t="s">
        <v>62</v>
      </c>
      <c r="K295" s="37" t="s">
        <v>28</v>
      </c>
      <c r="L295" s="37" t="s">
        <v>110</v>
      </c>
      <c r="M295" s="37" t="s">
        <v>22</v>
      </c>
      <c r="N295" s="37" t="s">
        <v>691</v>
      </c>
      <c r="O295" s="42">
        <v>786.2</v>
      </c>
      <c r="P295" s="43" t="str">
        <f t="shared" si="31"/>
        <v>High</v>
      </c>
      <c r="Q295" s="42">
        <v>1075.3</v>
      </c>
      <c r="R295" s="42">
        <v>0.08</v>
      </c>
      <c r="S295" s="42">
        <v>9</v>
      </c>
      <c r="T295" s="42">
        <f t="shared" si="28"/>
        <v>20054.987999999998</v>
      </c>
      <c r="U295" s="37">
        <f t="shared" si="29"/>
        <v>7075.8</v>
      </c>
      <c r="V295" s="42">
        <f t="shared" si="32"/>
        <v>12979.187999999998</v>
      </c>
      <c r="W295" s="44">
        <f t="shared" si="33"/>
        <v>0.64718004318925548</v>
      </c>
    </row>
    <row r="296" spans="1:23" x14ac:dyDescent="0.3">
      <c r="A296" s="45" t="s">
        <v>692</v>
      </c>
      <c r="B296" s="46">
        <v>45809</v>
      </c>
      <c r="C296" s="47">
        <v>45835</v>
      </c>
      <c r="D296" s="48">
        <f t="shared" si="34"/>
        <v>26</v>
      </c>
      <c r="E296" s="48" t="str">
        <f>TEXT(Data!B296,"MMM-YYYY")</f>
        <v>Jun-2025</v>
      </c>
      <c r="F296" s="48" t="str">
        <f t="shared" si="30"/>
        <v>Q2-2025</v>
      </c>
      <c r="G296" s="38" t="s">
        <v>78</v>
      </c>
      <c r="H296" s="38" t="s">
        <v>79</v>
      </c>
      <c r="I296" s="38" t="s">
        <v>159</v>
      </c>
      <c r="J296" s="38" t="s">
        <v>48</v>
      </c>
      <c r="K296" s="38" t="s">
        <v>55</v>
      </c>
      <c r="L296" s="38" t="s">
        <v>63</v>
      </c>
      <c r="M296" s="38" t="s">
        <v>57</v>
      </c>
      <c r="N296" s="38" t="s">
        <v>693</v>
      </c>
      <c r="O296" s="48">
        <v>1362.31</v>
      </c>
      <c r="P296" s="49" t="str">
        <f t="shared" si="31"/>
        <v>High</v>
      </c>
      <c r="Q296" s="48">
        <v>3294.57</v>
      </c>
      <c r="R296" s="48">
        <v>0.113</v>
      </c>
      <c r="S296" s="48">
        <v>7</v>
      </c>
      <c r="T296" s="48">
        <f t="shared" si="28"/>
        <v>2693.96092</v>
      </c>
      <c r="U296" s="38">
        <f t="shared" si="29"/>
        <v>9536.17</v>
      </c>
      <c r="V296" s="48">
        <f t="shared" si="32"/>
        <v>-6842.2090800000005</v>
      </c>
      <c r="W296" s="50">
        <f t="shared" si="33"/>
        <v>-2.5398323447097373</v>
      </c>
    </row>
    <row r="297" spans="1:23" x14ac:dyDescent="0.3">
      <c r="A297" s="39" t="s">
        <v>694</v>
      </c>
      <c r="B297" s="40">
        <v>45353</v>
      </c>
      <c r="C297" s="41">
        <v>45367</v>
      </c>
      <c r="D297" s="42">
        <f t="shared" si="34"/>
        <v>14</v>
      </c>
      <c r="E297" s="42" t="str">
        <f>TEXT(Data!B297,"MMM-YYYY")</f>
        <v>Mar-2024</v>
      </c>
      <c r="F297" s="42" t="str">
        <f t="shared" si="30"/>
        <v>Q1-2024</v>
      </c>
      <c r="G297" s="37" t="s">
        <v>52</v>
      </c>
      <c r="H297" s="37" t="s">
        <v>53</v>
      </c>
      <c r="I297" s="37" t="s">
        <v>179</v>
      </c>
      <c r="J297" s="37" t="s">
        <v>39</v>
      </c>
      <c r="K297" s="37" t="s">
        <v>98</v>
      </c>
      <c r="L297" s="37" t="s">
        <v>68</v>
      </c>
      <c r="M297" s="37" t="s">
        <v>30</v>
      </c>
      <c r="N297" s="37" t="s">
        <v>695</v>
      </c>
      <c r="O297" s="42">
        <v>248.24</v>
      </c>
      <c r="P297" s="43" t="str">
        <f t="shared" si="31"/>
        <v>High</v>
      </c>
      <c r="Q297" s="42">
        <v>464.05</v>
      </c>
      <c r="R297" s="42">
        <v>0.16900000000000001</v>
      </c>
      <c r="S297" s="42">
        <v>11</v>
      </c>
      <c r="T297" s="42">
        <f t="shared" si="28"/>
        <v>28786.197329999999</v>
      </c>
      <c r="U297" s="37">
        <f t="shared" si="29"/>
        <v>2730.6400000000003</v>
      </c>
      <c r="V297" s="42">
        <f t="shared" si="32"/>
        <v>26055.55733</v>
      </c>
      <c r="W297" s="44">
        <f t="shared" si="33"/>
        <v>0.90514064887777934</v>
      </c>
    </row>
    <row r="298" spans="1:23" x14ac:dyDescent="0.3">
      <c r="A298" s="45" t="s">
        <v>696</v>
      </c>
      <c r="B298" s="46">
        <v>45097</v>
      </c>
      <c r="C298" s="47">
        <v>45115</v>
      </c>
      <c r="D298" s="48">
        <f t="shared" si="34"/>
        <v>18</v>
      </c>
      <c r="E298" s="48" t="str">
        <f>TEXT(Data!B298,"MMM-YYYY")</f>
        <v>Jun-2023</v>
      </c>
      <c r="F298" s="48" t="str">
        <f t="shared" si="30"/>
        <v>Q2-2023</v>
      </c>
      <c r="G298" s="38" t="s">
        <v>52</v>
      </c>
      <c r="H298" s="38" t="s">
        <v>122</v>
      </c>
      <c r="I298" s="38" t="s">
        <v>326</v>
      </c>
      <c r="J298" s="38" t="s">
        <v>39</v>
      </c>
      <c r="K298" s="38" t="s">
        <v>98</v>
      </c>
      <c r="L298" s="38" t="s">
        <v>84</v>
      </c>
      <c r="M298" s="38" t="s">
        <v>64</v>
      </c>
      <c r="N298" s="38" t="s">
        <v>697</v>
      </c>
      <c r="O298" s="48">
        <v>337</v>
      </c>
      <c r="P298" s="49" t="str">
        <f t="shared" si="31"/>
        <v>High</v>
      </c>
      <c r="Q298" s="48">
        <v>511.03</v>
      </c>
      <c r="R298" s="48">
        <v>0.108</v>
      </c>
      <c r="S298" s="48">
        <v>7</v>
      </c>
      <c r="T298" s="48">
        <f t="shared" si="28"/>
        <v>409.91860000000008</v>
      </c>
      <c r="U298" s="38">
        <f t="shared" si="29"/>
        <v>2359</v>
      </c>
      <c r="V298" s="48">
        <f t="shared" si="32"/>
        <v>-1949.0814</v>
      </c>
      <c r="W298" s="50">
        <f t="shared" si="33"/>
        <v>-4.7548010751402829</v>
      </c>
    </row>
    <row r="299" spans="1:23" x14ac:dyDescent="0.3">
      <c r="A299" s="39" t="s">
        <v>698</v>
      </c>
      <c r="B299" s="40">
        <v>45377</v>
      </c>
      <c r="C299" s="41">
        <v>45387</v>
      </c>
      <c r="D299" s="42">
        <f t="shared" si="34"/>
        <v>10</v>
      </c>
      <c r="E299" s="42" t="str">
        <f>TEXT(Data!B299,"MMM-YYYY")</f>
        <v>Mar-2024</v>
      </c>
      <c r="F299" s="42" t="str">
        <f t="shared" si="30"/>
        <v>Q1-2024</v>
      </c>
      <c r="G299" s="37" t="s">
        <v>52</v>
      </c>
      <c r="H299" s="37" t="s">
        <v>122</v>
      </c>
      <c r="I299" s="37" t="s">
        <v>326</v>
      </c>
      <c r="J299" s="37" t="s">
        <v>48</v>
      </c>
      <c r="K299" s="37" t="s">
        <v>98</v>
      </c>
      <c r="L299" s="37" t="s">
        <v>29</v>
      </c>
      <c r="M299" s="37" t="s">
        <v>64</v>
      </c>
      <c r="N299" s="37" t="s">
        <v>699</v>
      </c>
      <c r="O299" s="42">
        <v>5.66</v>
      </c>
      <c r="P299" s="43" t="str">
        <f t="shared" si="31"/>
        <v>Low</v>
      </c>
      <c r="Q299" s="42">
        <v>4.22</v>
      </c>
      <c r="R299" s="42">
        <v>0.11899999999999999</v>
      </c>
      <c r="S299" s="42">
        <v>18</v>
      </c>
      <c r="T299" s="42">
        <f t="shared" si="28"/>
        <v>39520.356119999997</v>
      </c>
      <c r="U299" s="37">
        <f t="shared" si="29"/>
        <v>101.88</v>
      </c>
      <c r="V299" s="42">
        <f t="shared" si="32"/>
        <v>39418.476119999999</v>
      </c>
      <c r="W299" s="44">
        <f t="shared" si="33"/>
        <v>0.99742208800723742</v>
      </c>
    </row>
    <row r="300" spans="1:23" x14ac:dyDescent="0.3">
      <c r="A300" s="45" t="s">
        <v>700</v>
      </c>
      <c r="B300" s="46">
        <v>45679</v>
      </c>
      <c r="C300" s="47">
        <v>45679</v>
      </c>
      <c r="D300" s="48">
        <f t="shared" si="34"/>
        <v>0</v>
      </c>
      <c r="E300" s="48" t="str">
        <f>TEXT(Data!B300,"MMM-YYYY")</f>
        <v>Jan-2025</v>
      </c>
      <c r="F300" s="48" t="str">
        <f t="shared" si="30"/>
        <v>Q1-2025</v>
      </c>
      <c r="G300" s="38" t="s">
        <v>78</v>
      </c>
      <c r="H300" s="38" t="s">
        <v>90</v>
      </c>
      <c r="I300" s="38" t="s">
        <v>138</v>
      </c>
      <c r="J300" s="38" t="s">
        <v>62</v>
      </c>
      <c r="K300" s="38" t="s">
        <v>28</v>
      </c>
      <c r="L300" s="38" t="s">
        <v>56</v>
      </c>
      <c r="M300" s="38" t="s">
        <v>81</v>
      </c>
      <c r="N300" s="38" t="s">
        <v>701</v>
      </c>
      <c r="O300" s="48">
        <v>591.72</v>
      </c>
      <c r="P300" s="49" t="str">
        <f t="shared" si="31"/>
        <v>High</v>
      </c>
      <c r="Q300" s="48">
        <v>577.24</v>
      </c>
      <c r="R300" s="48">
        <v>0</v>
      </c>
      <c r="S300" s="48">
        <v>22</v>
      </c>
      <c r="T300" s="48">
        <f t="shared" si="28"/>
        <v>20500.48</v>
      </c>
      <c r="U300" s="38">
        <f t="shared" si="29"/>
        <v>13017.84</v>
      </c>
      <c r="V300" s="48">
        <f t="shared" si="32"/>
        <v>7482.6399999999994</v>
      </c>
      <c r="W300" s="50">
        <f t="shared" si="33"/>
        <v>0.36499828296703296</v>
      </c>
    </row>
    <row r="301" spans="1:23" x14ac:dyDescent="0.3">
      <c r="A301" s="39" t="s">
        <v>702</v>
      </c>
      <c r="B301" s="40">
        <v>45787</v>
      </c>
      <c r="C301" s="41">
        <v>45804</v>
      </c>
      <c r="D301" s="42">
        <f t="shared" si="34"/>
        <v>17</v>
      </c>
      <c r="E301" s="42" t="str">
        <f>TEXT(Data!B301,"MMM-YYYY")</f>
        <v>May-2025</v>
      </c>
      <c r="F301" s="42" t="str">
        <f t="shared" si="30"/>
        <v>Q2-2025</v>
      </c>
      <c r="G301" s="37" t="s">
        <v>52</v>
      </c>
      <c r="H301" s="37" t="s">
        <v>53</v>
      </c>
      <c r="I301" s="37" t="s">
        <v>179</v>
      </c>
      <c r="J301" s="37" t="s">
        <v>27</v>
      </c>
      <c r="K301" s="37" t="s">
        <v>98</v>
      </c>
      <c r="L301" s="37" t="s">
        <v>21</v>
      </c>
      <c r="M301" s="37" t="s">
        <v>22</v>
      </c>
      <c r="N301" s="37" t="s">
        <v>703</v>
      </c>
      <c r="O301" s="42">
        <v>862.89</v>
      </c>
      <c r="P301" s="43" t="str">
        <f t="shared" si="31"/>
        <v>High</v>
      </c>
      <c r="Q301" s="42">
        <v>1426.03</v>
      </c>
      <c r="R301" s="42">
        <v>5.6000000000000001E-2</v>
      </c>
      <c r="S301" s="42">
        <v>19</v>
      </c>
      <c r="T301" s="42">
        <f t="shared" si="28"/>
        <v>11111.531359999999</v>
      </c>
      <c r="U301" s="37">
        <f t="shared" si="29"/>
        <v>16394.91</v>
      </c>
      <c r="V301" s="42">
        <f t="shared" si="32"/>
        <v>-5283.3786400000008</v>
      </c>
      <c r="W301" s="44">
        <f t="shared" si="33"/>
        <v>-0.4754860935747745</v>
      </c>
    </row>
    <row r="302" spans="1:23" x14ac:dyDescent="0.3">
      <c r="A302" s="45" t="s">
        <v>704</v>
      </c>
      <c r="B302" s="46">
        <v>45204</v>
      </c>
      <c r="C302" s="47">
        <v>45230</v>
      </c>
      <c r="D302" s="48">
        <f t="shared" si="34"/>
        <v>26</v>
      </c>
      <c r="E302" s="48" t="str">
        <f>TEXT(Data!B302,"MMM-YYYY")</f>
        <v>Oct-2023</v>
      </c>
      <c r="F302" s="48" t="str">
        <f t="shared" si="30"/>
        <v>Q4-2023</v>
      </c>
      <c r="G302" s="38" t="s">
        <v>45</v>
      </c>
      <c r="H302" s="38" t="s">
        <v>116</v>
      </c>
      <c r="I302" s="38" t="s">
        <v>162</v>
      </c>
      <c r="J302" s="38" t="s">
        <v>48</v>
      </c>
      <c r="K302" s="38" t="s">
        <v>1364</v>
      </c>
      <c r="L302" s="38" t="s">
        <v>29</v>
      </c>
      <c r="M302" s="38" t="s">
        <v>30</v>
      </c>
      <c r="N302" s="38" t="s">
        <v>705</v>
      </c>
      <c r="O302" s="48">
        <v>649.91</v>
      </c>
      <c r="P302" s="49" t="str">
        <f t="shared" si="31"/>
        <v>High</v>
      </c>
      <c r="Q302" s="48">
        <v>1360.12</v>
      </c>
      <c r="R302" s="48">
        <v>0.19400000000000001</v>
      </c>
      <c r="S302" s="48">
        <v>9</v>
      </c>
      <c r="T302" s="48">
        <f t="shared" si="28"/>
        <v>10311.923699999999</v>
      </c>
      <c r="U302" s="38">
        <f t="shared" si="29"/>
        <v>5849.19</v>
      </c>
      <c r="V302" s="48">
        <f t="shared" si="32"/>
        <v>4462.7336999999998</v>
      </c>
      <c r="W302" s="50">
        <f t="shared" si="33"/>
        <v>0.43277411953697836</v>
      </c>
    </row>
    <row r="303" spans="1:23" x14ac:dyDescent="0.3">
      <c r="A303" s="39" t="s">
        <v>706</v>
      </c>
      <c r="B303" s="40">
        <v>45125</v>
      </c>
      <c r="C303" s="41">
        <v>45129</v>
      </c>
      <c r="D303" s="42">
        <f t="shared" si="34"/>
        <v>4</v>
      </c>
      <c r="E303" s="42" t="str">
        <f>TEXT(Data!B303,"MMM-YYYY")</f>
        <v>Jul-2023</v>
      </c>
      <c r="F303" s="42" t="str">
        <f t="shared" si="30"/>
        <v>Q3-2023</v>
      </c>
      <c r="G303" s="37" t="s">
        <v>52</v>
      </c>
      <c r="H303" s="37" t="s">
        <v>73</v>
      </c>
      <c r="I303" s="37" t="s">
        <v>74</v>
      </c>
      <c r="J303" s="37" t="s">
        <v>48</v>
      </c>
      <c r="K303" s="37" t="s">
        <v>98</v>
      </c>
      <c r="L303" s="37" t="s">
        <v>84</v>
      </c>
      <c r="M303" s="37" t="s">
        <v>35</v>
      </c>
      <c r="N303" s="37" t="s">
        <v>707</v>
      </c>
      <c r="O303" s="42">
        <v>1269.55</v>
      </c>
      <c r="P303" s="43" t="str">
        <f t="shared" si="31"/>
        <v>High</v>
      </c>
      <c r="Q303" s="42">
        <v>2071.1</v>
      </c>
      <c r="R303" s="42">
        <v>0.129</v>
      </c>
      <c r="S303" s="42">
        <v>22</v>
      </c>
      <c r="T303" s="42">
        <f t="shared" si="28"/>
        <v>18252.954719999998</v>
      </c>
      <c r="U303" s="37">
        <f t="shared" si="29"/>
        <v>27930.1</v>
      </c>
      <c r="V303" s="42">
        <f t="shared" si="32"/>
        <v>-9677.1452800000006</v>
      </c>
      <c r="W303" s="44">
        <f t="shared" si="33"/>
        <v>-0.53016870027057195</v>
      </c>
    </row>
    <row r="304" spans="1:23" x14ac:dyDescent="0.3">
      <c r="A304" s="45" t="s">
        <v>708</v>
      </c>
      <c r="B304" s="46">
        <v>45830</v>
      </c>
      <c r="C304" s="47">
        <v>45846</v>
      </c>
      <c r="D304" s="48">
        <f t="shared" si="34"/>
        <v>16</v>
      </c>
      <c r="E304" s="48" t="str">
        <f>TEXT(Data!B304,"MMM-YYYY")</f>
        <v>Jun-2025</v>
      </c>
      <c r="F304" s="48" t="str">
        <f t="shared" si="30"/>
        <v>Q2-2025</v>
      </c>
      <c r="G304" s="38" t="s">
        <v>78</v>
      </c>
      <c r="H304" s="38" t="s">
        <v>108</v>
      </c>
      <c r="I304" s="38" t="s">
        <v>152</v>
      </c>
      <c r="J304" s="38" t="s">
        <v>27</v>
      </c>
      <c r="K304" s="38" t="s">
        <v>98</v>
      </c>
      <c r="L304" s="38" t="s">
        <v>75</v>
      </c>
      <c r="M304" s="38" t="s">
        <v>42</v>
      </c>
      <c r="N304" s="38" t="s">
        <v>709</v>
      </c>
      <c r="O304" s="48">
        <v>892.73</v>
      </c>
      <c r="P304" s="49" t="str">
        <f t="shared" si="31"/>
        <v>High</v>
      </c>
      <c r="Q304" s="48">
        <v>979.84</v>
      </c>
      <c r="R304" s="48">
        <v>0.17399999999999999</v>
      </c>
      <c r="S304" s="48">
        <v>10</v>
      </c>
      <c r="T304" s="48">
        <f t="shared" si="28"/>
        <v>26053.196400000001</v>
      </c>
      <c r="U304" s="38">
        <f t="shared" si="29"/>
        <v>8927.2999999999993</v>
      </c>
      <c r="V304" s="48">
        <f t="shared" si="32"/>
        <v>17125.896400000001</v>
      </c>
      <c r="W304" s="50">
        <f t="shared" si="33"/>
        <v>0.65734338839129935</v>
      </c>
    </row>
    <row r="305" spans="1:23" x14ac:dyDescent="0.3">
      <c r="A305" s="39" t="s">
        <v>710</v>
      </c>
      <c r="B305" s="40">
        <v>45462</v>
      </c>
      <c r="C305" s="41">
        <v>45463</v>
      </c>
      <c r="D305" s="42">
        <f t="shared" si="34"/>
        <v>1</v>
      </c>
      <c r="E305" s="42" t="str">
        <f>TEXT(Data!B305,"MMM-YYYY")</f>
        <v>Jun-2024</v>
      </c>
      <c r="F305" s="42" t="str">
        <f t="shared" si="30"/>
        <v>Q2-2024</v>
      </c>
      <c r="G305" s="37" t="s">
        <v>16</v>
      </c>
      <c r="H305" s="37" t="s">
        <v>17</v>
      </c>
      <c r="I305" s="37" t="s">
        <v>18</v>
      </c>
      <c r="J305" s="37" t="s">
        <v>62</v>
      </c>
      <c r="K305" s="37" t="s">
        <v>98</v>
      </c>
      <c r="L305" s="37" t="s">
        <v>29</v>
      </c>
      <c r="M305" s="37" t="s">
        <v>57</v>
      </c>
      <c r="N305" s="37" t="s">
        <v>711</v>
      </c>
      <c r="O305" s="42">
        <v>231.63</v>
      </c>
      <c r="P305" s="43" t="str">
        <f t="shared" si="31"/>
        <v>High</v>
      </c>
      <c r="Q305" s="42">
        <v>537.39</v>
      </c>
      <c r="R305" s="42">
        <v>0.08</v>
      </c>
      <c r="S305" s="42">
        <v>12</v>
      </c>
      <c r="T305" s="42">
        <f t="shared" si="28"/>
        <v>2496.5855999999999</v>
      </c>
      <c r="U305" s="37">
        <f t="shared" si="29"/>
        <v>2779.56</v>
      </c>
      <c r="V305" s="42">
        <f t="shared" si="32"/>
        <v>-282.97440000000006</v>
      </c>
      <c r="W305" s="44">
        <f t="shared" si="33"/>
        <v>-0.11334456146827093</v>
      </c>
    </row>
    <row r="306" spans="1:23" x14ac:dyDescent="0.3">
      <c r="A306" s="45" t="s">
        <v>712</v>
      </c>
      <c r="B306" s="46">
        <v>45756</v>
      </c>
      <c r="C306" s="47">
        <v>45759</v>
      </c>
      <c r="D306" s="48">
        <f t="shared" si="34"/>
        <v>3</v>
      </c>
      <c r="E306" s="48" t="str">
        <f>TEXT(Data!B306,"MMM-YYYY")</f>
        <v>Apr-2025</v>
      </c>
      <c r="F306" s="48" t="str">
        <f t="shared" si="30"/>
        <v>Q2-2025</v>
      </c>
      <c r="G306" s="38" t="s">
        <v>78</v>
      </c>
      <c r="H306" s="38" t="s">
        <v>90</v>
      </c>
      <c r="I306" s="38" t="s">
        <v>138</v>
      </c>
      <c r="J306" s="38" t="s">
        <v>62</v>
      </c>
      <c r="K306" s="38" t="s">
        <v>55</v>
      </c>
      <c r="L306" s="38" t="s">
        <v>92</v>
      </c>
      <c r="M306" s="38" t="s">
        <v>64</v>
      </c>
      <c r="N306" s="38" t="s">
        <v>713</v>
      </c>
      <c r="O306" s="48">
        <v>86.68</v>
      </c>
      <c r="P306" s="49" t="str">
        <f t="shared" si="31"/>
        <v>High</v>
      </c>
      <c r="Q306" s="48">
        <v>213.32</v>
      </c>
      <c r="R306" s="48">
        <v>3.7999999999999999E-2</v>
      </c>
      <c r="S306" s="48">
        <v>8</v>
      </c>
      <c r="T306" s="48">
        <f t="shared" si="28"/>
        <v>6818.0403199999992</v>
      </c>
      <c r="U306" s="38">
        <f t="shared" si="29"/>
        <v>693.44</v>
      </c>
      <c r="V306" s="48">
        <f t="shared" si="32"/>
        <v>6124.6003199999996</v>
      </c>
      <c r="W306" s="50">
        <f t="shared" si="33"/>
        <v>0.89829335594190218</v>
      </c>
    </row>
    <row r="307" spans="1:23" x14ac:dyDescent="0.3">
      <c r="A307" s="39" t="s">
        <v>714</v>
      </c>
      <c r="B307" s="40">
        <v>45741</v>
      </c>
      <c r="C307" s="41">
        <v>45742</v>
      </c>
      <c r="D307" s="42">
        <f t="shared" si="34"/>
        <v>1</v>
      </c>
      <c r="E307" s="42" t="str">
        <f>TEXT(Data!B307,"MMM-YYYY")</f>
        <v>Mar-2025</v>
      </c>
      <c r="F307" s="42" t="str">
        <f t="shared" si="30"/>
        <v>Q1-2025</v>
      </c>
      <c r="G307" s="37" t="s">
        <v>16</v>
      </c>
      <c r="H307" s="37" t="s">
        <v>25</v>
      </c>
      <c r="I307" s="37" t="s">
        <v>38</v>
      </c>
      <c r="J307" s="37" t="s">
        <v>27</v>
      </c>
      <c r="K307" s="37" t="s">
        <v>55</v>
      </c>
      <c r="L307" s="37" t="s">
        <v>41</v>
      </c>
      <c r="M307" s="37" t="s">
        <v>81</v>
      </c>
      <c r="N307" s="37" t="s">
        <v>715</v>
      </c>
      <c r="O307" s="42">
        <v>1450.43</v>
      </c>
      <c r="P307" s="43" t="str">
        <f t="shared" si="31"/>
        <v>High</v>
      </c>
      <c r="Q307" s="42">
        <v>1994.67</v>
      </c>
      <c r="R307" s="42">
        <v>0.1</v>
      </c>
      <c r="S307" s="42">
        <v>24</v>
      </c>
      <c r="T307" s="42">
        <f t="shared" si="28"/>
        <v>52560.144000000008</v>
      </c>
      <c r="U307" s="37">
        <f t="shared" si="29"/>
        <v>34810.32</v>
      </c>
      <c r="V307" s="42">
        <f t="shared" si="32"/>
        <v>17749.824000000008</v>
      </c>
      <c r="W307" s="44">
        <f t="shared" si="33"/>
        <v>0.33770501085385163</v>
      </c>
    </row>
    <row r="308" spans="1:23" x14ac:dyDescent="0.3">
      <c r="A308" s="45" t="s">
        <v>716</v>
      </c>
      <c r="B308" s="46">
        <v>45795</v>
      </c>
      <c r="C308" s="47">
        <v>45817</v>
      </c>
      <c r="D308" s="48">
        <f t="shared" si="34"/>
        <v>22</v>
      </c>
      <c r="E308" s="48" t="str">
        <f>TEXT(Data!B308,"MMM-YYYY")</f>
        <v>May-2025</v>
      </c>
      <c r="F308" s="48" t="str">
        <f t="shared" si="30"/>
        <v>Q2-2025</v>
      </c>
      <c r="G308" s="38" t="s">
        <v>52</v>
      </c>
      <c r="H308" s="38" t="s">
        <v>122</v>
      </c>
      <c r="I308" s="38" t="s">
        <v>387</v>
      </c>
      <c r="J308" s="38" t="s">
        <v>48</v>
      </c>
      <c r="K308" s="38" t="s">
        <v>20</v>
      </c>
      <c r="L308" s="38" t="s">
        <v>92</v>
      </c>
      <c r="M308" s="38" t="s">
        <v>35</v>
      </c>
      <c r="N308" s="38" t="s">
        <v>717</v>
      </c>
      <c r="O308" s="48">
        <v>382.96</v>
      </c>
      <c r="P308" s="49" t="str">
        <f t="shared" si="31"/>
        <v>High</v>
      </c>
      <c r="Q308" s="48">
        <v>552.84</v>
      </c>
      <c r="R308" s="48">
        <v>0.17599999999999999</v>
      </c>
      <c r="S308" s="48">
        <v>8</v>
      </c>
      <c r="T308" s="48">
        <f t="shared" si="28"/>
        <v>7609.4092799999999</v>
      </c>
      <c r="U308" s="38">
        <f t="shared" si="29"/>
        <v>3063.68</v>
      </c>
      <c r="V308" s="48">
        <f t="shared" si="32"/>
        <v>4545.7292799999996</v>
      </c>
      <c r="W308" s="50">
        <f t="shared" si="33"/>
        <v>0.59738267620164065</v>
      </c>
    </row>
    <row r="309" spans="1:23" x14ac:dyDescent="0.3">
      <c r="A309" s="39" t="s">
        <v>718</v>
      </c>
      <c r="B309" s="40">
        <v>45679</v>
      </c>
      <c r="C309" s="41">
        <v>45692</v>
      </c>
      <c r="D309" s="42">
        <f t="shared" si="34"/>
        <v>13</v>
      </c>
      <c r="E309" s="42" t="str">
        <f>TEXT(Data!B309,"MMM-YYYY")</f>
        <v>Jan-2025</v>
      </c>
      <c r="F309" s="42" t="str">
        <f t="shared" si="30"/>
        <v>Q1-2025</v>
      </c>
      <c r="G309" s="37" t="s">
        <v>45</v>
      </c>
      <c r="H309" s="37" t="s">
        <v>46</v>
      </c>
      <c r="I309" s="37" t="s">
        <v>214</v>
      </c>
      <c r="J309" s="37" t="s">
        <v>62</v>
      </c>
      <c r="K309" s="37" t="s">
        <v>55</v>
      </c>
      <c r="L309" s="37" t="s">
        <v>49</v>
      </c>
      <c r="M309" s="37" t="s">
        <v>30</v>
      </c>
      <c r="N309" s="37" t="s">
        <v>719</v>
      </c>
      <c r="O309" s="42">
        <v>122.29</v>
      </c>
      <c r="P309" s="43" t="str">
        <f t="shared" si="31"/>
        <v>High</v>
      </c>
      <c r="Q309" s="42">
        <v>224.95</v>
      </c>
      <c r="R309" s="42">
        <v>0.153</v>
      </c>
      <c r="S309" s="42">
        <v>28</v>
      </c>
      <c r="T309" s="42">
        <f t="shared" si="28"/>
        <v>26941.13884</v>
      </c>
      <c r="U309" s="37">
        <f t="shared" si="29"/>
        <v>3424.1200000000003</v>
      </c>
      <c r="V309" s="42">
        <f t="shared" si="32"/>
        <v>23517.018840000001</v>
      </c>
      <c r="W309" s="44">
        <f t="shared" si="33"/>
        <v>0.8729036652705956</v>
      </c>
    </row>
    <row r="310" spans="1:23" x14ac:dyDescent="0.3">
      <c r="A310" s="45" t="s">
        <v>720</v>
      </c>
      <c r="B310" s="46">
        <v>44936</v>
      </c>
      <c r="C310" s="47">
        <v>44955</v>
      </c>
      <c r="D310" s="48">
        <f t="shared" si="34"/>
        <v>19</v>
      </c>
      <c r="E310" s="48" t="str">
        <f>TEXT(Data!B310,"MMM-YYYY")</f>
        <v>Jan-2023</v>
      </c>
      <c r="F310" s="48" t="str">
        <f t="shared" si="30"/>
        <v>Q1-2023</v>
      </c>
      <c r="G310" s="38" t="s">
        <v>78</v>
      </c>
      <c r="H310" s="38" t="s">
        <v>90</v>
      </c>
      <c r="I310" s="38" t="s">
        <v>138</v>
      </c>
      <c r="J310" s="38" t="s">
        <v>39</v>
      </c>
      <c r="K310" s="38" t="s">
        <v>98</v>
      </c>
      <c r="L310" s="38" t="s">
        <v>145</v>
      </c>
      <c r="M310" s="38" t="s">
        <v>57</v>
      </c>
      <c r="N310" s="38" t="s">
        <v>721</v>
      </c>
      <c r="O310" s="48">
        <v>401.66</v>
      </c>
      <c r="P310" s="49" t="str">
        <f t="shared" si="31"/>
        <v>High</v>
      </c>
      <c r="Q310" s="48">
        <v>772.09</v>
      </c>
      <c r="R310" s="48">
        <v>8.8999999999999996E-2</v>
      </c>
      <c r="S310" s="48">
        <v>14</v>
      </c>
      <c r="T310" s="48">
        <f t="shared" si="28"/>
        <v>35096.967360000002</v>
      </c>
      <c r="U310" s="38">
        <f t="shared" si="29"/>
        <v>5623.2400000000007</v>
      </c>
      <c r="V310" s="48">
        <f t="shared" si="32"/>
        <v>29473.727360000001</v>
      </c>
      <c r="W310" s="50">
        <f t="shared" si="33"/>
        <v>0.83977988917615698</v>
      </c>
    </row>
    <row r="311" spans="1:23" x14ac:dyDescent="0.3">
      <c r="A311" s="39" t="s">
        <v>722</v>
      </c>
      <c r="B311" s="40">
        <v>45655</v>
      </c>
      <c r="C311" s="41">
        <v>45669</v>
      </c>
      <c r="D311" s="42">
        <f t="shared" si="34"/>
        <v>14</v>
      </c>
      <c r="E311" s="42" t="str">
        <f>TEXT(Data!B311,"MMM-YYYY")</f>
        <v>Dec-2024</v>
      </c>
      <c r="F311" s="42" t="str">
        <f t="shared" si="30"/>
        <v>Q4-2024</v>
      </c>
      <c r="G311" s="37" t="s">
        <v>78</v>
      </c>
      <c r="H311" s="37" t="s">
        <v>108</v>
      </c>
      <c r="I311" s="37" t="s">
        <v>228</v>
      </c>
      <c r="J311" s="37" t="s">
        <v>19</v>
      </c>
      <c r="K311" s="37" t="s">
        <v>98</v>
      </c>
      <c r="L311" s="37" t="s">
        <v>56</v>
      </c>
      <c r="M311" s="37" t="s">
        <v>64</v>
      </c>
      <c r="N311" s="37" t="s">
        <v>723</v>
      </c>
      <c r="O311" s="42">
        <v>1399.72</v>
      </c>
      <c r="P311" s="43" t="str">
        <f t="shared" si="31"/>
        <v>High</v>
      </c>
      <c r="Q311" s="42">
        <v>3149.21</v>
      </c>
      <c r="R311" s="42">
        <v>0.185</v>
      </c>
      <c r="S311" s="42">
        <v>12</v>
      </c>
      <c r="T311" s="42">
        <f t="shared" si="28"/>
        <v>13444.761599999998</v>
      </c>
      <c r="U311" s="37">
        <f t="shared" si="29"/>
        <v>16796.64</v>
      </c>
      <c r="V311" s="42">
        <f t="shared" si="32"/>
        <v>-3351.8784000000014</v>
      </c>
      <c r="W311" s="44">
        <f t="shared" si="33"/>
        <v>-0.24930738823959525</v>
      </c>
    </row>
    <row r="312" spans="1:23" x14ac:dyDescent="0.3">
      <c r="A312" s="45" t="s">
        <v>724</v>
      </c>
      <c r="B312" s="46">
        <v>45435</v>
      </c>
      <c r="C312" s="47">
        <v>45449</v>
      </c>
      <c r="D312" s="48">
        <f t="shared" si="34"/>
        <v>14</v>
      </c>
      <c r="E312" s="48" t="str">
        <f>TEXT(Data!B312,"MMM-YYYY")</f>
        <v>May-2024</v>
      </c>
      <c r="F312" s="48" t="str">
        <f t="shared" si="30"/>
        <v>Q2-2024</v>
      </c>
      <c r="G312" s="38" t="s">
        <v>52</v>
      </c>
      <c r="H312" s="38" t="s">
        <v>73</v>
      </c>
      <c r="I312" s="38" t="s">
        <v>225</v>
      </c>
      <c r="J312" s="38" t="s">
        <v>39</v>
      </c>
      <c r="K312" s="38" t="s">
        <v>28</v>
      </c>
      <c r="L312" s="38" t="s">
        <v>34</v>
      </c>
      <c r="M312" s="38" t="s">
        <v>35</v>
      </c>
      <c r="N312" s="38" t="s">
        <v>725</v>
      </c>
      <c r="O312" s="48">
        <v>51.13</v>
      </c>
      <c r="P312" s="49" t="str">
        <f t="shared" si="31"/>
        <v>Medium</v>
      </c>
      <c r="Q312" s="48">
        <v>57.53</v>
      </c>
      <c r="R312" s="48">
        <v>4.4999999999999998E-2</v>
      </c>
      <c r="S312" s="48">
        <v>16</v>
      </c>
      <c r="T312" s="48">
        <f t="shared" si="28"/>
        <v>20144.693599999999</v>
      </c>
      <c r="U312" s="38">
        <f t="shared" si="29"/>
        <v>818.08</v>
      </c>
      <c r="V312" s="48">
        <f t="shared" si="32"/>
        <v>19326.613599999997</v>
      </c>
      <c r="W312" s="50">
        <f t="shared" si="33"/>
        <v>0.95938980178879452</v>
      </c>
    </row>
    <row r="313" spans="1:23" x14ac:dyDescent="0.3">
      <c r="A313" s="39" t="s">
        <v>726</v>
      </c>
      <c r="B313" s="40">
        <v>45101</v>
      </c>
      <c r="C313" s="41">
        <v>45099</v>
      </c>
      <c r="D313" s="42">
        <f>DATEDIF(C313,B313, "MD")</f>
        <v>2</v>
      </c>
      <c r="E313" s="42" t="str">
        <f>TEXT(Data!B313,"MMM-YYYY")</f>
        <v>Jun-2023</v>
      </c>
      <c r="F313" s="42" t="str">
        <f t="shared" si="30"/>
        <v>Q2-2023</v>
      </c>
      <c r="G313" s="37" t="s">
        <v>52</v>
      </c>
      <c r="H313" s="37" t="s">
        <v>53</v>
      </c>
      <c r="I313" s="37" t="s">
        <v>54</v>
      </c>
      <c r="J313" s="37" t="s">
        <v>39</v>
      </c>
      <c r="K313" s="37" t="s">
        <v>20</v>
      </c>
      <c r="L313" s="37" t="s">
        <v>110</v>
      </c>
      <c r="M313" s="37" t="s">
        <v>81</v>
      </c>
      <c r="N313" s="37" t="s">
        <v>727</v>
      </c>
      <c r="O313" s="42">
        <v>471.42</v>
      </c>
      <c r="P313" s="43" t="str">
        <f t="shared" si="31"/>
        <v>High</v>
      </c>
      <c r="Q313" s="42">
        <v>824.81</v>
      </c>
      <c r="R313" s="42">
        <v>8.7999999999999995E-2</v>
      </c>
      <c r="S313" s="42">
        <v>15</v>
      </c>
      <c r="T313" s="42">
        <f t="shared" si="28"/>
        <v>6043.0032000000001</v>
      </c>
      <c r="U313" s="37">
        <f t="shared" si="29"/>
        <v>7071.3</v>
      </c>
      <c r="V313" s="42">
        <f t="shared" si="32"/>
        <v>-1028.2968000000001</v>
      </c>
      <c r="W313" s="44">
        <f t="shared" si="33"/>
        <v>-0.17016320626803574</v>
      </c>
    </row>
    <row r="314" spans="1:23" x14ac:dyDescent="0.3">
      <c r="A314" s="45" t="s">
        <v>728</v>
      </c>
      <c r="B314" s="46">
        <v>45600</v>
      </c>
      <c r="C314" s="47">
        <v>45601</v>
      </c>
      <c r="D314" s="48">
        <f t="shared" si="34"/>
        <v>1</v>
      </c>
      <c r="E314" s="48" t="str">
        <f>TEXT(Data!B314,"MMM-YYYY")</f>
        <v>Nov-2024</v>
      </c>
      <c r="F314" s="48" t="str">
        <f t="shared" si="30"/>
        <v>Q4-2024</v>
      </c>
      <c r="G314" s="38" t="s">
        <v>78</v>
      </c>
      <c r="H314" s="38" t="s">
        <v>108</v>
      </c>
      <c r="I314" s="38" t="s">
        <v>152</v>
      </c>
      <c r="J314" s="38" t="s">
        <v>19</v>
      </c>
      <c r="K314" s="38" t="s">
        <v>20</v>
      </c>
      <c r="L314" s="38" t="s">
        <v>110</v>
      </c>
      <c r="M314" s="38" t="s">
        <v>30</v>
      </c>
      <c r="N314" s="38" t="s">
        <v>729</v>
      </c>
      <c r="O314" s="48">
        <v>840.68</v>
      </c>
      <c r="P314" s="49" t="str">
        <f t="shared" si="31"/>
        <v>High</v>
      </c>
      <c r="Q314" s="48">
        <v>1493.53</v>
      </c>
      <c r="R314" s="48">
        <v>0</v>
      </c>
      <c r="S314" s="48">
        <v>27</v>
      </c>
      <c r="T314" s="48">
        <f t="shared" si="28"/>
        <v>35911.89</v>
      </c>
      <c r="U314" s="38">
        <f t="shared" si="29"/>
        <v>22698.359999999997</v>
      </c>
      <c r="V314" s="48">
        <f t="shared" si="32"/>
        <v>13213.530000000002</v>
      </c>
      <c r="W314" s="50">
        <f t="shared" si="33"/>
        <v>0.36794304059184862</v>
      </c>
    </row>
    <row r="315" spans="1:23" x14ac:dyDescent="0.3">
      <c r="A315" s="39" t="s">
        <v>730</v>
      </c>
      <c r="B315" s="40">
        <v>45451</v>
      </c>
      <c r="C315" s="41">
        <v>45467</v>
      </c>
      <c r="D315" s="42">
        <f t="shared" si="34"/>
        <v>16</v>
      </c>
      <c r="E315" s="42" t="str">
        <f>TEXT(Data!B315,"MMM-YYYY")</f>
        <v>Jun-2024</v>
      </c>
      <c r="F315" s="42" t="str">
        <f t="shared" si="30"/>
        <v>Q2-2024</v>
      </c>
      <c r="G315" s="37" t="s">
        <v>16</v>
      </c>
      <c r="H315" s="37" t="s">
        <v>148</v>
      </c>
      <c r="I315" s="37" t="s">
        <v>172</v>
      </c>
      <c r="J315" s="37" t="s">
        <v>27</v>
      </c>
      <c r="K315" s="37" t="s">
        <v>55</v>
      </c>
      <c r="L315" s="37" t="s">
        <v>92</v>
      </c>
      <c r="M315" s="37" t="s">
        <v>64</v>
      </c>
      <c r="N315" s="37" t="s">
        <v>731</v>
      </c>
      <c r="O315" s="42">
        <v>597.85</v>
      </c>
      <c r="P315" s="43" t="str">
        <f t="shared" si="31"/>
        <v>High</v>
      </c>
      <c r="Q315" s="42">
        <v>741.92</v>
      </c>
      <c r="R315" s="42">
        <v>3.1E-2</v>
      </c>
      <c r="S315" s="42">
        <v>7</v>
      </c>
      <c r="T315" s="42">
        <f t="shared" si="28"/>
        <v>11089.255379999999</v>
      </c>
      <c r="U315" s="37">
        <f t="shared" si="29"/>
        <v>4184.95</v>
      </c>
      <c r="V315" s="42">
        <f t="shared" si="32"/>
        <v>6904.3053799999989</v>
      </c>
      <c r="W315" s="44">
        <f t="shared" si="33"/>
        <v>0.62261217217995024</v>
      </c>
    </row>
    <row r="316" spans="1:23" x14ac:dyDescent="0.3">
      <c r="A316" s="45" t="s">
        <v>732</v>
      </c>
      <c r="B316" s="46">
        <v>45809</v>
      </c>
      <c r="C316" s="47">
        <v>45814</v>
      </c>
      <c r="D316" s="48">
        <f t="shared" si="34"/>
        <v>5</v>
      </c>
      <c r="E316" s="48" t="str">
        <f>TEXT(Data!B316,"MMM-YYYY")</f>
        <v>Jun-2025</v>
      </c>
      <c r="F316" s="48" t="str">
        <f t="shared" si="30"/>
        <v>Q2-2025</v>
      </c>
      <c r="G316" s="38" t="s">
        <v>78</v>
      </c>
      <c r="H316" s="38" t="s">
        <v>90</v>
      </c>
      <c r="I316" s="38" t="s">
        <v>217</v>
      </c>
      <c r="J316" s="38" t="s">
        <v>48</v>
      </c>
      <c r="K316" s="38" t="s">
        <v>55</v>
      </c>
      <c r="L316" s="38" t="s">
        <v>41</v>
      </c>
      <c r="M316" s="38" t="s">
        <v>22</v>
      </c>
      <c r="N316" s="38" t="s">
        <v>733</v>
      </c>
      <c r="O316" s="48">
        <v>379.45</v>
      </c>
      <c r="P316" s="49" t="str">
        <f t="shared" si="31"/>
        <v>High</v>
      </c>
      <c r="Q316" s="48">
        <v>742.23</v>
      </c>
      <c r="R316" s="48">
        <v>0.09</v>
      </c>
      <c r="S316" s="48">
        <v>13</v>
      </c>
      <c r="T316" s="48">
        <f t="shared" si="28"/>
        <v>835.19799999999998</v>
      </c>
      <c r="U316" s="38">
        <f t="shared" si="29"/>
        <v>4932.8499999999995</v>
      </c>
      <c r="V316" s="48">
        <f t="shared" si="32"/>
        <v>-4097.6519999999991</v>
      </c>
      <c r="W316" s="50">
        <f t="shared" si="33"/>
        <v>-4.9062042773090919</v>
      </c>
    </row>
    <row r="317" spans="1:23" x14ac:dyDescent="0.3">
      <c r="A317" s="39" t="s">
        <v>734</v>
      </c>
      <c r="B317" s="40">
        <v>45052</v>
      </c>
      <c r="C317" s="41">
        <v>45060</v>
      </c>
      <c r="D317" s="42">
        <f t="shared" si="34"/>
        <v>8</v>
      </c>
      <c r="E317" s="42" t="str">
        <f>TEXT(Data!B317,"MMM-YYYY")</f>
        <v>May-2023</v>
      </c>
      <c r="F317" s="42" t="str">
        <f t="shared" si="30"/>
        <v>Q2-2023</v>
      </c>
      <c r="G317" s="37" t="s">
        <v>45</v>
      </c>
      <c r="H317" s="37" t="s">
        <v>46</v>
      </c>
      <c r="I317" s="37" t="s">
        <v>47</v>
      </c>
      <c r="J317" s="37" t="s">
        <v>105</v>
      </c>
      <c r="K317" s="37" t="s">
        <v>40</v>
      </c>
      <c r="L317" s="37" t="s">
        <v>56</v>
      </c>
      <c r="M317" s="37" t="s">
        <v>42</v>
      </c>
      <c r="N317" s="37" t="s">
        <v>735</v>
      </c>
      <c r="O317" s="42">
        <v>291.18</v>
      </c>
      <c r="P317" s="43" t="str">
        <f t="shared" si="31"/>
        <v>High</v>
      </c>
      <c r="Q317" s="42">
        <v>479.54</v>
      </c>
      <c r="R317" s="42">
        <v>0.14099999999999999</v>
      </c>
      <c r="S317" s="42">
        <v>22</v>
      </c>
      <c r="T317" s="42">
        <f t="shared" si="28"/>
        <v>34451.80992</v>
      </c>
      <c r="U317" s="37">
        <f t="shared" si="29"/>
        <v>6405.96</v>
      </c>
      <c r="V317" s="42">
        <f t="shared" si="32"/>
        <v>28045.849920000001</v>
      </c>
      <c r="W317" s="44">
        <f t="shared" si="33"/>
        <v>0.81406027680765747</v>
      </c>
    </row>
    <row r="318" spans="1:23" x14ac:dyDescent="0.3">
      <c r="A318" s="45" t="s">
        <v>736</v>
      </c>
      <c r="B318" s="46">
        <v>45244</v>
      </c>
      <c r="C318" s="47">
        <v>45260</v>
      </c>
      <c r="D318" s="48">
        <f t="shared" si="34"/>
        <v>16</v>
      </c>
      <c r="E318" s="48" t="str">
        <f>TEXT(Data!B318,"MMM-YYYY")</f>
        <v>Nov-2023</v>
      </c>
      <c r="F318" s="48" t="str">
        <f t="shared" si="30"/>
        <v>Q4-2023</v>
      </c>
      <c r="G318" s="38" t="s">
        <v>52</v>
      </c>
      <c r="H318" s="38" t="s">
        <v>73</v>
      </c>
      <c r="I318" s="38" t="s">
        <v>74</v>
      </c>
      <c r="J318" s="38" t="s">
        <v>105</v>
      </c>
      <c r="K318" s="38" t="s">
        <v>98</v>
      </c>
      <c r="L318" s="38" t="s">
        <v>95</v>
      </c>
      <c r="M318" s="38" t="s">
        <v>35</v>
      </c>
      <c r="N318" s="38" t="s">
        <v>737</v>
      </c>
      <c r="O318" s="48">
        <v>1017.92</v>
      </c>
      <c r="P318" s="49" t="str">
        <f t="shared" si="31"/>
        <v>High</v>
      </c>
      <c r="Q318" s="48">
        <v>1175.25</v>
      </c>
      <c r="R318" s="48">
        <v>7.4999999999999997E-2</v>
      </c>
      <c r="S318" s="48">
        <v>15</v>
      </c>
      <c r="T318" s="48">
        <f t="shared" si="28"/>
        <v>27971.861250000002</v>
      </c>
      <c r="U318" s="38">
        <f t="shared" si="29"/>
        <v>15268.8</v>
      </c>
      <c r="V318" s="48">
        <f t="shared" si="32"/>
        <v>12703.061250000002</v>
      </c>
      <c r="W318" s="50">
        <f t="shared" si="33"/>
        <v>0.45413714648681097</v>
      </c>
    </row>
    <row r="319" spans="1:23" x14ac:dyDescent="0.3">
      <c r="A319" s="39" t="s">
        <v>738</v>
      </c>
      <c r="B319" s="40">
        <v>45748</v>
      </c>
      <c r="C319" s="41">
        <v>45774</v>
      </c>
      <c r="D319" s="42">
        <f t="shared" si="34"/>
        <v>26</v>
      </c>
      <c r="E319" s="42" t="str">
        <f>TEXT(Data!B319,"MMM-YYYY")</f>
        <v>Apr-2025</v>
      </c>
      <c r="F319" s="42" t="str">
        <f t="shared" si="30"/>
        <v>Q2-2025</v>
      </c>
      <c r="G319" s="37" t="s">
        <v>52</v>
      </c>
      <c r="H319" s="37" t="s">
        <v>122</v>
      </c>
      <c r="I319" s="37" t="s">
        <v>167</v>
      </c>
      <c r="J319" s="37" t="s">
        <v>19</v>
      </c>
      <c r="K319" s="37" t="s">
        <v>98</v>
      </c>
      <c r="L319" s="37" t="s">
        <v>34</v>
      </c>
      <c r="M319" s="37" t="s">
        <v>64</v>
      </c>
      <c r="N319" s="37" t="s">
        <v>739</v>
      </c>
      <c r="O319" s="42">
        <v>156.55000000000001</v>
      </c>
      <c r="P319" s="43" t="str">
        <f t="shared" si="31"/>
        <v>High</v>
      </c>
      <c r="Q319" s="42">
        <v>227.45</v>
      </c>
      <c r="R319" s="42">
        <v>1.4E-2</v>
      </c>
      <c r="S319" s="42">
        <v>13</v>
      </c>
      <c r="T319" s="42">
        <f t="shared" si="28"/>
        <v>3129.2583399999999</v>
      </c>
      <c r="U319" s="37">
        <f t="shared" si="29"/>
        <v>2035.15</v>
      </c>
      <c r="V319" s="42">
        <f t="shared" si="32"/>
        <v>1094.1083399999998</v>
      </c>
      <c r="W319" s="44">
        <f t="shared" si="33"/>
        <v>0.34963822769583153</v>
      </c>
    </row>
    <row r="320" spans="1:23" x14ac:dyDescent="0.3">
      <c r="A320" s="45" t="s">
        <v>740</v>
      </c>
      <c r="B320" s="46">
        <v>45008</v>
      </c>
      <c r="C320" s="47">
        <v>45031</v>
      </c>
      <c r="D320" s="48">
        <f t="shared" si="34"/>
        <v>23</v>
      </c>
      <c r="E320" s="48" t="str">
        <f>TEXT(Data!B320,"MMM-YYYY")</f>
        <v>Mar-2023</v>
      </c>
      <c r="F320" s="48" t="str">
        <f t="shared" si="30"/>
        <v>Q1-2023</v>
      </c>
      <c r="G320" s="38" t="s">
        <v>16</v>
      </c>
      <c r="H320" s="38" t="s">
        <v>17</v>
      </c>
      <c r="I320" s="38" t="s">
        <v>113</v>
      </c>
      <c r="J320" s="38" t="s">
        <v>62</v>
      </c>
      <c r="K320" s="38" t="s">
        <v>20</v>
      </c>
      <c r="L320" s="38" t="s">
        <v>21</v>
      </c>
      <c r="M320" s="38" t="s">
        <v>81</v>
      </c>
      <c r="N320" s="38" t="s">
        <v>741</v>
      </c>
      <c r="O320" s="48">
        <v>875.36</v>
      </c>
      <c r="P320" s="49" t="str">
        <f t="shared" si="31"/>
        <v>High</v>
      </c>
      <c r="Q320" s="48">
        <v>1178.6199999999999</v>
      </c>
      <c r="R320" s="48">
        <v>0.151</v>
      </c>
      <c r="S320" s="48">
        <v>53</v>
      </c>
      <c r="T320" s="48">
        <f t="shared" si="28"/>
        <v>125232.05063999999</v>
      </c>
      <c r="U320" s="38">
        <f t="shared" si="29"/>
        <v>46394.080000000002</v>
      </c>
      <c r="V320" s="48">
        <f t="shared" si="32"/>
        <v>78837.970639999985</v>
      </c>
      <c r="W320" s="50">
        <f t="shared" si="33"/>
        <v>0.62953509295022747</v>
      </c>
    </row>
    <row r="321" spans="1:23" x14ac:dyDescent="0.3">
      <c r="A321" s="39" t="s">
        <v>742</v>
      </c>
      <c r="B321" s="40">
        <v>45440</v>
      </c>
      <c r="C321" s="41">
        <v>45461</v>
      </c>
      <c r="D321" s="42">
        <f t="shared" si="34"/>
        <v>21</v>
      </c>
      <c r="E321" s="42" t="str">
        <f>TEXT(Data!B321,"MMM-YYYY")</f>
        <v>May-2024</v>
      </c>
      <c r="F321" s="42" t="str">
        <f t="shared" si="30"/>
        <v>Q2-2024</v>
      </c>
      <c r="G321" s="37" t="s">
        <v>78</v>
      </c>
      <c r="H321" s="37" t="s">
        <v>79</v>
      </c>
      <c r="I321" s="37" t="s">
        <v>335</v>
      </c>
      <c r="J321" s="37" t="s">
        <v>62</v>
      </c>
      <c r="K321" s="37" t="s">
        <v>28</v>
      </c>
      <c r="L321" s="37" t="s">
        <v>63</v>
      </c>
      <c r="M321" s="37" t="s">
        <v>42</v>
      </c>
      <c r="N321" s="37" t="s">
        <v>743</v>
      </c>
      <c r="O321" s="42">
        <v>986.85</v>
      </c>
      <c r="P321" s="43" t="str">
        <f t="shared" si="31"/>
        <v>High</v>
      </c>
      <c r="Q321" s="42">
        <v>2422.1</v>
      </c>
      <c r="R321" s="42">
        <v>7.5999999999999998E-2</v>
      </c>
      <c r="S321" s="42">
        <v>10</v>
      </c>
      <c r="T321" s="42">
        <f t="shared" ref="T321:T384" si="35">(Q347*S321)*(1-R321)</f>
        <v>18944.864399999999</v>
      </c>
      <c r="U321" s="37">
        <f t="shared" ref="U321:U384" si="36">(O321*S321)</f>
        <v>9868.5</v>
      </c>
      <c r="V321" s="42">
        <f t="shared" si="32"/>
        <v>9076.3643999999986</v>
      </c>
      <c r="W321" s="44">
        <f t="shared" si="33"/>
        <v>0.47909365875429538</v>
      </c>
    </row>
    <row r="322" spans="1:23" x14ac:dyDescent="0.3">
      <c r="A322" s="45" t="s">
        <v>744</v>
      </c>
      <c r="B322" s="46">
        <v>45293</v>
      </c>
      <c r="C322" s="47">
        <v>45292</v>
      </c>
      <c r="D322" s="48">
        <f>DATEDIF(C322,B322, "MD")</f>
        <v>1</v>
      </c>
      <c r="E322" s="48" t="str">
        <f>TEXT(Data!B322,"MMM-YYYY")</f>
        <v>Jan-2024</v>
      </c>
      <c r="F322" s="48" t="str">
        <f t="shared" ref="F322:F385" si="37">"Q"&amp;ROUNDUP(MONTH(B322)/3,0)&amp;"-"&amp;YEAR(B322)</f>
        <v>Q1-2024</v>
      </c>
      <c r="G322" s="38" t="s">
        <v>52</v>
      </c>
      <c r="H322" s="38" t="s">
        <v>122</v>
      </c>
      <c r="I322" s="38" t="s">
        <v>123</v>
      </c>
      <c r="J322" s="38" t="s">
        <v>27</v>
      </c>
      <c r="K322" s="38" t="s">
        <v>40</v>
      </c>
      <c r="L322" s="38" t="s">
        <v>56</v>
      </c>
      <c r="M322" s="38" t="s">
        <v>35</v>
      </c>
      <c r="N322" s="38" t="s">
        <v>745</v>
      </c>
      <c r="O322" s="48">
        <v>404.77</v>
      </c>
      <c r="P322" s="49" t="str">
        <f t="shared" ref="P322:P385" si="38">IF(Q322&lt;50, "Low", IF(Q322&lt;200, "Medium", "High"))</f>
        <v>High</v>
      </c>
      <c r="Q322" s="48">
        <v>433.88</v>
      </c>
      <c r="R322" s="48">
        <v>0.215</v>
      </c>
      <c r="S322" s="48">
        <v>22</v>
      </c>
      <c r="T322" s="48">
        <f t="shared" si="35"/>
        <v>2540.7624000000005</v>
      </c>
      <c r="U322" s="38">
        <f t="shared" si="36"/>
        <v>8904.9399999999987</v>
      </c>
      <c r="V322" s="48">
        <f t="shared" ref="V322:V385" si="39">(T322-U322)</f>
        <v>-6364.1775999999982</v>
      </c>
      <c r="W322" s="50">
        <f t="shared" ref="W322:W385" si="40">IF(T322=0, 0, V322/T322)</f>
        <v>-2.504829888855407</v>
      </c>
    </row>
    <row r="323" spans="1:23" x14ac:dyDescent="0.3">
      <c r="A323" s="39" t="s">
        <v>746</v>
      </c>
      <c r="B323" s="40">
        <v>44985</v>
      </c>
      <c r="C323" s="41">
        <v>44984</v>
      </c>
      <c r="D323" s="42">
        <f>DATEDIF(C323,B323, "MD")</f>
        <v>1</v>
      </c>
      <c r="E323" s="42" t="str">
        <f>TEXT(Data!B323,"MMM-YYYY")</f>
        <v>Feb-2023</v>
      </c>
      <c r="F323" s="42" t="str">
        <f t="shared" si="37"/>
        <v>Q1-2023</v>
      </c>
      <c r="G323" s="37" t="s">
        <v>78</v>
      </c>
      <c r="H323" s="37" t="s">
        <v>90</v>
      </c>
      <c r="I323" s="37" t="s">
        <v>91</v>
      </c>
      <c r="J323" s="37" t="s">
        <v>19</v>
      </c>
      <c r="K323" s="37" t="s">
        <v>20</v>
      </c>
      <c r="L323" s="37" t="s">
        <v>95</v>
      </c>
      <c r="M323" s="37" t="s">
        <v>35</v>
      </c>
      <c r="N323" s="37" t="s">
        <v>747</v>
      </c>
      <c r="O323" s="42">
        <v>1299.81</v>
      </c>
      <c r="P323" s="43" t="str">
        <f t="shared" si="38"/>
        <v>High</v>
      </c>
      <c r="Q323" s="42">
        <v>3149.13</v>
      </c>
      <c r="R323" s="42">
        <v>0.10299999999999999</v>
      </c>
      <c r="S323" s="42">
        <v>14</v>
      </c>
      <c r="T323" s="42">
        <f t="shared" si="35"/>
        <v>24902.262840000003</v>
      </c>
      <c r="U323" s="37">
        <f t="shared" si="36"/>
        <v>18197.34</v>
      </c>
      <c r="V323" s="42">
        <f t="shared" si="39"/>
        <v>6704.9228400000029</v>
      </c>
      <c r="W323" s="44">
        <f t="shared" si="40"/>
        <v>0.26924954101881943</v>
      </c>
    </row>
    <row r="324" spans="1:23" x14ac:dyDescent="0.3">
      <c r="A324" s="45" t="s">
        <v>748</v>
      </c>
      <c r="B324" s="46">
        <v>45340</v>
      </c>
      <c r="C324" s="47">
        <v>45362</v>
      </c>
      <c r="D324" s="48">
        <f t="shared" ref="D324:D387" si="41">DATEDIF(B324,C324, "MD")</f>
        <v>22</v>
      </c>
      <c r="E324" s="48" t="str">
        <f>TEXT(Data!B324,"MMM-YYYY")</f>
        <v>Feb-2024</v>
      </c>
      <c r="F324" s="48" t="str">
        <f t="shared" si="37"/>
        <v>Q1-2024</v>
      </c>
      <c r="G324" s="38" t="s">
        <v>52</v>
      </c>
      <c r="H324" s="38" t="s">
        <v>73</v>
      </c>
      <c r="I324" s="38" t="s">
        <v>74</v>
      </c>
      <c r="J324" s="38" t="s">
        <v>48</v>
      </c>
      <c r="K324" s="38" t="s">
        <v>28</v>
      </c>
      <c r="L324" s="38" t="s">
        <v>75</v>
      </c>
      <c r="M324" s="38" t="s">
        <v>22</v>
      </c>
      <c r="N324" s="38" t="s">
        <v>749</v>
      </c>
      <c r="O324" s="48">
        <v>80.48</v>
      </c>
      <c r="P324" s="49" t="str">
        <f t="shared" si="38"/>
        <v>Medium</v>
      </c>
      <c r="Q324" s="48">
        <v>65.650000000000006</v>
      </c>
      <c r="R324" s="48">
        <v>0.17599999999999999</v>
      </c>
      <c r="S324" s="48">
        <v>13</v>
      </c>
      <c r="T324" s="48">
        <f t="shared" si="35"/>
        <v>24630.101600000002</v>
      </c>
      <c r="U324" s="38">
        <f t="shared" si="36"/>
        <v>1046.24</v>
      </c>
      <c r="V324" s="48">
        <f t="shared" si="39"/>
        <v>23583.8616</v>
      </c>
      <c r="W324" s="50">
        <f t="shared" si="40"/>
        <v>0.95752189670220433</v>
      </c>
    </row>
    <row r="325" spans="1:23" x14ac:dyDescent="0.3">
      <c r="A325" s="39" t="s">
        <v>750</v>
      </c>
      <c r="B325" s="40">
        <v>45544</v>
      </c>
      <c r="C325" s="41">
        <v>45573</v>
      </c>
      <c r="D325" s="42">
        <f t="shared" si="41"/>
        <v>29</v>
      </c>
      <c r="E325" s="42" t="str">
        <f>TEXT(Data!B325,"MMM-YYYY")</f>
        <v>Sept-2024</v>
      </c>
      <c r="F325" s="42" t="str">
        <f t="shared" si="37"/>
        <v>Q3-2024</v>
      </c>
      <c r="G325" s="37" t="s">
        <v>52</v>
      </c>
      <c r="H325" s="37" t="s">
        <v>73</v>
      </c>
      <c r="I325" s="37" t="s">
        <v>74</v>
      </c>
      <c r="J325" s="37" t="s">
        <v>27</v>
      </c>
      <c r="K325" s="37" t="s">
        <v>98</v>
      </c>
      <c r="L325" s="37" t="s">
        <v>29</v>
      </c>
      <c r="M325" s="37" t="s">
        <v>22</v>
      </c>
      <c r="N325" s="37" t="s">
        <v>751</v>
      </c>
      <c r="O325" s="42">
        <v>1010.33</v>
      </c>
      <c r="P325" s="43" t="str">
        <f t="shared" si="38"/>
        <v>High</v>
      </c>
      <c r="Q325" s="42">
        <v>2492.14</v>
      </c>
      <c r="R325" s="42">
        <v>5.0999999999999997E-2</v>
      </c>
      <c r="S325" s="42">
        <v>11</v>
      </c>
      <c r="T325" s="42">
        <f t="shared" si="35"/>
        <v>4829.1857899999995</v>
      </c>
      <c r="U325" s="37">
        <f t="shared" si="36"/>
        <v>11113.630000000001</v>
      </c>
      <c r="V325" s="42">
        <f t="shared" si="39"/>
        <v>-6284.4442100000015</v>
      </c>
      <c r="W325" s="44">
        <f t="shared" si="40"/>
        <v>-1.3013465381707756</v>
      </c>
    </row>
    <row r="326" spans="1:23" x14ac:dyDescent="0.3">
      <c r="A326" s="45" t="s">
        <v>752</v>
      </c>
      <c r="B326" s="46">
        <v>45053</v>
      </c>
      <c r="C326" s="47">
        <v>45075</v>
      </c>
      <c r="D326" s="48">
        <f t="shared" si="41"/>
        <v>22</v>
      </c>
      <c r="E326" s="48" t="str">
        <f>TEXT(Data!B326,"MMM-YYYY")</f>
        <v>May-2023</v>
      </c>
      <c r="F326" s="48" t="str">
        <f t="shared" si="37"/>
        <v>Q2-2023</v>
      </c>
      <c r="G326" s="38" t="s">
        <v>16</v>
      </c>
      <c r="H326" s="38" t="s">
        <v>148</v>
      </c>
      <c r="I326" s="38" t="s">
        <v>172</v>
      </c>
      <c r="J326" s="38" t="s">
        <v>27</v>
      </c>
      <c r="K326" s="38" t="s">
        <v>55</v>
      </c>
      <c r="L326" s="38" t="s">
        <v>95</v>
      </c>
      <c r="M326" s="38" t="s">
        <v>81</v>
      </c>
      <c r="N326" s="38" t="s">
        <v>753</v>
      </c>
      <c r="O326" s="48">
        <v>653.86</v>
      </c>
      <c r="P326" s="49" t="str">
        <f t="shared" si="38"/>
        <v>High</v>
      </c>
      <c r="Q326" s="48">
        <v>931.84</v>
      </c>
      <c r="R326" s="48">
        <v>0.121</v>
      </c>
      <c r="S326" s="48">
        <v>12</v>
      </c>
      <c r="T326" s="48">
        <f t="shared" si="35"/>
        <v>11533.077720000001</v>
      </c>
      <c r="U326" s="38">
        <f t="shared" si="36"/>
        <v>7846.32</v>
      </c>
      <c r="V326" s="48">
        <f t="shared" si="39"/>
        <v>3686.7577200000014</v>
      </c>
      <c r="W326" s="50">
        <f t="shared" si="40"/>
        <v>0.3196681587956906</v>
      </c>
    </row>
    <row r="327" spans="1:23" x14ac:dyDescent="0.3">
      <c r="A327" s="39" t="s">
        <v>754</v>
      </c>
      <c r="B327" s="40">
        <v>45303</v>
      </c>
      <c r="C327" s="41">
        <v>45320</v>
      </c>
      <c r="D327" s="42">
        <f t="shared" si="41"/>
        <v>17</v>
      </c>
      <c r="E327" s="42" t="str">
        <f>TEXT(Data!B327,"MMM-YYYY")</f>
        <v>Jan-2024</v>
      </c>
      <c r="F327" s="42" t="str">
        <f t="shared" si="37"/>
        <v>Q1-2024</v>
      </c>
      <c r="G327" s="37" t="s">
        <v>45</v>
      </c>
      <c r="H327" s="37" t="s">
        <v>60</v>
      </c>
      <c r="I327" s="37" t="s">
        <v>281</v>
      </c>
      <c r="J327" s="37" t="s">
        <v>62</v>
      </c>
      <c r="K327" s="37" t="s">
        <v>98</v>
      </c>
      <c r="L327" s="37" t="s">
        <v>56</v>
      </c>
      <c r="M327" s="37" t="s">
        <v>22</v>
      </c>
      <c r="N327" s="37" t="s">
        <v>755</v>
      </c>
      <c r="O327" s="42">
        <v>310.02</v>
      </c>
      <c r="P327" s="43" t="str">
        <f t="shared" si="38"/>
        <v>High</v>
      </c>
      <c r="Q327" s="42">
        <v>619.51</v>
      </c>
      <c r="R327" s="42">
        <v>4.2000000000000003E-2</v>
      </c>
      <c r="S327" s="42">
        <v>4</v>
      </c>
      <c r="T327" s="42">
        <f t="shared" si="35"/>
        <v>5572.5710399999998</v>
      </c>
      <c r="U327" s="37">
        <f t="shared" si="36"/>
        <v>1240.08</v>
      </c>
      <c r="V327" s="42">
        <f t="shared" si="39"/>
        <v>4332.4910399999999</v>
      </c>
      <c r="W327" s="44">
        <f t="shared" si="40"/>
        <v>0.77746717070115634</v>
      </c>
    </row>
    <row r="328" spans="1:23" x14ac:dyDescent="0.3">
      <c r="A328" s="45" t="s">
        <v>756</v>
      </c>
      <c r="B328" s="46">
        <v>45087</v>
      </c>
      <c r="C328" s="47">
        <v>45095</v>
      </c>
      <c r="D328" s="48">
        <f t="shared" si="41"/>
        <v>8</v>
      </c>
      <c r="E328" s="48" t="str">
        <f>TEXT(Data!B328,"MMM-YYYY")</f>
        <v>Jun-2023</v>
      </c>
      <c r="F328" s="48" t="str">
        <f t="shared" si="37"/>
        <v>Q2-2023</v>
      </c>
      <c r="G328" s="38" t="s">
        <v>16</v>
      </c>
      <c r="H328" s="38" t="s">
        <v>17</v>
      </c>
      <c r="I328" s="38" t="s">
        <v>135</v>
      </c>
      <c r="J328" s="38" t="s">
        <v>105</v>
      </c>
      <c r="K328" s="38" t="s">
        <v>98</v>
      </c>
      <c r="L328" s="38" t="s">
        <v>92</v>
      </c>
      <c r="M328" s="38" t="s">
        <v>42</v>
      </c>
      <c r="N328" s="38" t="s">
        <v>757</v>
      </c>
      <c r="O328" s="48">
        <v>894.23</v>
      </c>
      <c r="P328" s="49" t="str">
        <f t="shared" si="38"/>
        <v>High</v>
      </c>
      <c r="Q328" s="48">
        <v>1421.55</v>
      </c>
      <c r="R328" s="48">
        <v>0.109</v>
      </c>
      <c r="S328" s="48">
        <v>3</v>
      </c>
      <c r="T328" s="48">
        <f t="shared" si="35"/>
        <v>5667.829200000001</v>
      </c>
      <c r="U328" s="38">
        <f t="shared" si="36"/>
        <v>2682.69</v>
      </c>
      <c r="V328" s="48">
        <f t="shared" si="39"/>
        <v>2985.139200000001</v>
      </c>
      <c r="W328" s="50">
        <f t="shared" si="40"/>
        <v>0.52668122038681064</v>
      </c>
    </row>
    <row r="329" spans="1:23" x14ac:dyDescent="0.3">
      <c r="A329" s="39" t="s">
        <v>758</v>
      </c>
      <c r="B329" s="40">
        <v>45796</v>
      </c>
      <c r="C329" s="41">
        <v>45794</v>
      </c>
      <c r="D329" s="42">
        <f>DATEDIF(C329,B329, "MD")</f>
        <v>2</v>
      </c>
      <c r="E329" s="42" t="str">
        <f>TEXT(Data!B329,"MMM-YYYY")</f>
        <v>May-2025</v>
      </c>
      <c r="F329" s="42" t="str">
        <f t="shared" si="37"/>
        <v>Q2-2025</v>
      </c>
      <c r="G329" s="37" t="s">
        <v>52</v>
      </c>
      <c r="H329" s="37" t="s">
        <v>73</v>
      </c>
      <c r="I329" s="37" t="s">
        <v>74</v>
      </c>
      <c r="J329" s="37" t="s">
        <v>62</v>
      </c>
      <c r="K329" s="37" t="s">
        <v>55</v>
      </c>
      <c r="L329" s="37" t="s">
        <v>49</v>
      </c>
      <c r="M329" s="37" t="s">
        <v>64</v>
      </c>
      <c r="N329" s="37" t="s">
        <v>759</v>
      </c>
      <c r="O329" s="42">
        <v>383.77</v>
      </c>
      <c r="P329" s="43" t="str">
        <f t="shared" si="38"/>
        <v>High</v>
      </c>
      <c r="Q329" s="42">
        <v>952.56</v>
      </c>
      <c r="R329" s="42">
        <v>0.34599999999999997</v>
      </c>
      <c r="S329" s="42">
        <v>10</v>
      </c>
      <c r="T329" s="42">
        <f t="shared" si="35"/>
        <v>841.56720000000018</v>
      </c>
      <c r="U329" s="37">
        <f t="shared" si="36"/>
        <v>3837.7</v>
      </c>
      <c r="V329" s="42">
        <f t="shared" si="39"/>
        <v>-2996.1327999999994</v>
      </c>
      <c r="W329" s="44">
        <f t="shared" si="40"/>
        <v>-3.5601824785946965</v>
      </c>
    </row>
    <row r="330" spans="1:23" x14ac:dyDescent="0.3">
      <c r="A330" s="45" t="s">
        <v>760</v>
      </c>
      <c r="B330" s="46">
        <v>45221</v>
      </c>
      <c r="C330" s="47">
        <v>45246</v>
      </c>
      <c r="D330" s="48">
        <f t="shared" si="41"/>
        <v>25</v>
      </c>
      <c r="E330" s="48" t="str">
        <f>TEXT(Data!B330,"MMM-YYYY")</f>
        <v>Oct-2023</v>
      </c>
      <c r="F330" s="48" t="str">
        <f t="shared" si="37"/>
        <v>Q4-2023</v>
      </c>
      <c r="G330" s="38" t="s">
        <v>52</v>
      </c>
      <c r="H330" s="38" t="s">
        <v>53</v>
      </c>
      <c r="I330" s="38" t="s">
        <v>54</v>
      </c>
      <c r="J330" s="38" t="s">
        <v>62</v>
      </c>
      <c r="K330" s="38" t="s">
        <v>40</v>
      </c>
      <c r="L330" s="38" t="s">
        <v>34</v>
      </c>
      <c r="M330" s="38" t="s">
        <v>57</v>
      </c>
      <c r="N330" s="38" t="s">
        <v>761</v>
      </c>
      <c r="O330" s="48">
        <v>1373.31</v>
      </c>
      <c r="P330" s="49" t="str">
        <f t="shared" si="38"/>
        <v>High</v>
      </c>
      <c r="Q330" s="48">
        <v>3154.14</v>
      </c>
      <c r="R330" s="48">
        <v>0.2</v>
      </c>
      <c r="S330" s="48">
        <v>11</v>
      </c>
      <c r="T330" s="48">
        <f t="shared" si="35"/>
        <v>11668.448000000002</v>
      </c>
      <c r="U330" s="38">
        <f t="shared" si="36"/>
        <v>15106.41</v>
      </c>
      <c r="V330" s="48">
        <f t="shared" si="39"/>
        <v>-3437.9619999999977</v>
      </c>
      <c r="W330" s="50">
        <f t="shared" si="40"/>
        <v>-0.29463747021026249</v>
      </c>
    </row>
    <row r="331" spans="1:23" x14ac:dyDescent="0.3">
      <c r="A331" s="39" t="s">
        <v>762</v>
      </c>
      <c r="B331" s="40">
        <v>45668</v>
      </c>
      <c r="C331" s="41">
        <v>45680</v>
      </c>
      <c r="D331" s="42">
        <f t="shared" si="41"/>
        <v>12</v>
      </c>
      <c r="E331" s="42" t="str">
        <f>TEXT(Data!B331,"MMM-YYYY")</f>
        <v>Jan-2025</v>
      </c>
      <c r="F331" s="42" t="str">
        <f t="shared" si="37"/>
        <v>Q1-2025</v>
      </c>
      <c r="G331" s="37" t="s">
        <v>52</v>
      </c>
      <c r="H331" s="37" t="s">
        <v>122</v>
      </c>
      <c r="I331" s="37" t="s">
        <v>326</v>
      </c>
      <c r="J331" s="37" t="s">
        <v>48</v>
      </c>
      <c r="K331" s="37" t="s">
        <v>55</v>
      </c>
      <c r="L331" s="37" t="s">
        <v>92</v>
      </c>
      <c r="M331" s="37" t="s">
        <v>42</v>
      </c>
      <c r="N331" s="37" t="s">
        <v>763</v>
      </c>
      <c r="O331" s="42">
        <v>100.69</v>
      </c>
      <c r="P331" s="43" t="str">
        <f t="shared" si="38"/>
        <v>High</v>
      </c>
      <c r="Q331" s="42">
        <v>226.14</v>
      </c>
      <c r="R331" s="42">
        <v>6.5000000000000002E-2</v>
      </c>
      <c r="S331" s="42">
        <v>12</v>
      </c>
      <c r="T331" s="42">
        <f t="shared" si="35"/>
        <v>27369.282600000002</v>
      </c>
      <c r="U331" s="37">
        <f t="shared" si="36"/>
        <v>1208.28</v>
      </c>
      <c r="V331" s="42">
        <f t="shared" si="39"/>
        <v>26161.002600000003</v>
      </c>
      <c r="W331" s="44">
        <f t="shared" si="40"/>
        <v>0.95585269743241286</v>
      </c>
    </row>
    <row r="332" spans="1:23" x14ac:dyDescent="0.3">
      <c r="A332" s="45" t="s">
        <v>764</v>
      </c>
      <c r="B332" s="46">
        <v>45914</v>
      </c>
      <c r="C332" s="47">
        <v>45926</v>
      </c>
      <c r="D332" s="48">
        <f t="shared" si="41"/>
        <v>12</v>
      </c>
      <c r="E332" s="48" t="str">
        <f>TEXT(Data!B332,"MMM-YYYY")</f>
        <v>Sept-2025</v>
      </c>
      <c r="F332" s="48" t="str">
        <f t="shared" si="37"/>
        <v>Q3-2025</v>
      </c>
      <c r="G332" s="38" t="s">
        <v>78</v>
      </c>
      <c r="H332" s="38" t="s">
        <v>108</v>
      </c>
      <c r="I332" s="38" t="s">
        <v>152</v>
      </c>
      <c r="J332" s="38" t="s">
        <v>62</v>
      </c>
      <c r="K332" s="38" t="s">
        <v>98</v>
      </c>
      <c r="L332" s="38" t="s">
        <v>126</v>
      </c>
      <c r="M332" s="38" t="s">
        <v>35</v>
      </c>
      <c r="N332" s="38" t="s">
        <v>765</v>
      </c>
      <c r="O332" s="48">
        <v>425.15</v>
      </c>
      <c r="P332" s="49" t="str">
        <f t="shared" si="38"/>
        <v>High</v>
      </c>
      <c r="Q332" s="48">
        <v>885.92</v>
      </c>
      <c r="R332" s="48">
        <v>0.23899999999999999</v>
      </c>
      <c r="S332" s="48">
        <v>13</v>
      </c>
      <c r="T332" s="48">
        <f t="shared" si="35"/>
        <v>21779.835220000001</v>
      </c>
      <c r="U332" s="38">
        <f t="shared" si="36"/>
        <v>5526.95</v>
      </c>
      <c r="V332" s="48">
        <f t="shared" si="39"/>
        <v>16252.88522</v>
      </c>
      <c r="W332" s="50">
        <f t="shared" si="40"/>
        <v>0.74623545384196899</v>
      </c>
    </row>
    <row r="333" spans="1:23" x14ac:dyDescent="0.3">
      <c r="A333" s="39" t="s">
        <v>766</v>
      </c>
      <c r="B333" s="40">
        <v>45168</v>
      </c>
      <c r="C333" s="41">
        <v>45172</v>
      </c>
      <c r="D333" s="42">
        <f t="shared" si="41"/>
        <v>4</v>
      </c>
      <c r="E333" s="42" t="str">
        <f>TEXT(Data!B333,"MMM-YYYY")</f>
        <v>Aug-2023</v>
      </c>
      <c r="F333" s="42" t="str">
        <f t="shared" si="37"/>
        <v>Q3-2023</v>
      </c>
      <c r="G333" s="37" t="s">
        <v>45</v>
      </c>
      <c r="H333" s="37" t="s">
        <v>60</v>
      </c>
      <c r="I333" s="37" t="s">
        <v>141</v>
      </c>
      <c r="J333" s="37" t="s">
        <v>62</v>
      </c>
      <c r="K333" s="37" t="s">
        <v>40</v>
      </c>
      <c r="L333" s="37" t="s">
        <v>49</v>
      </c>
      <c r="M333" s="37" t="s">
        <v>81</v>
      </c>
      <c r="N333" s="37" t="s">
        <v>767</v>
      </c>
      <c r="O333" s="42">
        <v>1082.25</v>
      </c>
      <c r="P333" s="43" t="str">
        <f t="shared" si="38"/>
        <v>High</v>
      </c>
      <c r="Q333" s="42">
        <v>2433.34</v>
      </c>
      <c r="R333" s="42">
        <v>0.27</v>
      </c>
      <c r="S333" s="42">
        <v>4</v>
      </c>
      <c r="T333" s="42">
        <f t="shared" si="35"/>
        <v>2377.9312</v>
      </c>
      <c r="U333" s="37">
        <f t="shared" si="36"/>
        <v>4329</v>
      </c>
      <c r="V333" s="42">
        <f t="shared" si="39"/>
        <v>-1951.0688</v>
      </c>
      <c r="W333" s="44">
        <f t="shared" si="40"/>
        <v>-0.82049001249489473</v>
      </c>
    </row>
    <row r="334" spans="1:23" x14ac:dyDescent="0.3">
      <c r="A334" s="45" t="s">
        <v>768</v>
      </c>
      <c r="B334" s="46">
        <v>45245</v>
      </c>
      <c r="C334" s="47">
        <v>45266</v>
      </c>
      <c r="D334" s="48">
        <f t="shared" si="41"/>
        <v>21</v>
      </c>
      <c r="E334" s="48" t="str">
        <f>TEXT(Data!B334,"MMM-YYYY")</f>
        <v>Nov-2023</v>
      </c>
      <c r="F334" s="48" t="str">
        <f t="shared" si="37"/>
        <v>Q4-2023</v>
      </c>
      <c r="G334" s="38" t="s">
        <v>78</v>
      </c>
      <c r="H334" s="38" t="s">
        <v>108</v>
      </c>
      <c r="I334" s="38" t="s">
        <v>228</v>
      </c>
      <c r="J334" s="38" t="s">
        <v>27</v>
      </c>
      <c r="K334" s="38" t="s">
        <v>98</v>
      </c>
      <c r="L334" s="38" t="s">
        <v>92</v>
      </c>
      <c r="M334" s="38" t="s">
        <v>81</v>
      </c>
      <c r="N334" s="38" t="s">
        <v>769</v>
      </c>
      <c r="O334" s="48">
        <v>1184.99</v>
      </c>
      <c r="P334" s="49" t="str">
        <f t="shared" si="38"/>
        <v>High</v>
      </c>
      <c r="Q334" s="48">
        <v>1154.3399999999999</v>
      </c>
      <c r="R334" s="48">
        <v>2.8000000000000001E-2</v>
      </c>
      <c r="S334" s="48">
        <v>5</v>
      </c>
      <c r="T334" s="48">
        <f t="shared" si="35"/>
        <v>6720.9426000000003</v>
      </c>
      <c r="U334" s="38">
        <f t="shared" si="36"/>
        <v>5924.95</v>
      </c>
      <c r="V334" s="48">
        <f t="shared" si="39"/>
        <v>795.99260000000049</v>
      </c>
      <c r="W334" s="50">
        <f t="shared" si="40"/>
        <v>0.11843466718492737</v>
      </c>
    </row>
    <row r="335" spans="1:23" x14ac:dyDescent="0.3">
      <c r="A335" s="39" t="s">
        <v>770</v>
      </c>
      <c r="B335" s="40">
        <v>45774</v>
      </c>
      <c r="C335" s="41">
        <v>45804</v>
      </c>
      <c r="D335" s="42">
        <f t="shared" si="41"/>
        <v>0</v>
      </c>
      <c r="E335" s="42" t="str">
        <f>TEXT(Data!B335,"MMM-YYYY")</f>
        <v>Apr-2025</v>
      </c>
      <c r="F335" s="42" t="str">
        <f t="shared" si="37"/>
        <v>Q2-2025</v>
      </c>
      <c r="G335" s="37" t="s">
        <v>45</v>
      </c>
      <c r="H335" s="37" t="s">
        <v>60</v>
      </c>
      <c r="I335" s="37" t="s">
        <v>1364</v>
      </c>
      <c r="J335" s="37" t="s">
        <v>105</v>
      </c>
      <c r="K335" s="37" t="s">
        <v>40</v>
      </c>
      <c r="L335" s="37" t="s">
        <v>92</v>
      </c>
      <c r="M335" s="37" t="s">
        <v>42</v>
      </c>
      <c r="N335" s="37" t="s">
        <v>771</v>
      </c>
      <c r="O335" s="42">
        <v>481.32</v>
      </c>
      <c r="P335" s="43" t="str">
        <f t="shared" si="38"/>
        <v>High</v>
      </c>
      <c r="Q335" s="42">
        <v>1135.99</v>
      </c>
      <c r="R335" s="42">
        <v>0.14499999999999999</v>
      </c>
      <c r="S335" s="42">
        <v>5</v>
      </c>
      <c r="T335" s="42">
        <f t="shared" si="35"/>
        <v>7038.4882499999994</v>
      </c>
      <c r="U335" s="37">
        <f t="shared" si="36"/>
        <v>2406.6</v>
      </c>
      <c r="V335" s="42">
        <f t="shared" si="39"/>
        <v>4631.88825</v>
      </c>
      <c r="W335" s="44">
        <f t="shared" si="40"/>
        <v>0.65807998613906904</v>
      </c>
    </row>
    <row r="336" spans="1:23" x14ac:dyDescent="0.3">
      <c r="A336" s="45" t="s">
        <v>772</v>
      </c>
      <c r="B336" s="46">
        <v>45391</v>
      </c>
      <c r="C336" s="47">
        <v>45400</v>
      </c>
      <c r="D336" s="48">
        <f t="shared" si="41"/>
        <v>9</v>
      </c>
      <c r="E336" s="48" t="str">
        <f>TEXT(Data!B336,"MMM-YYYY")</f>
        <v>Apr-2024</v>
      </c>
      <c r="F336" s="48" t="str">
        <f t="shared" si="37"/>
        <v>Q2-2024</v>
      </c>
      <c r="G336" s="38" t="s">
        <v>78</v>
      </c>
      <c r="H336" s="38" t="s">
        <v>90</v>
      </c>
      <c r="I336" s="38" t="s">
        <v>138</v>
      </c>
      <c r="J336" s="38" t="s">
        <v>48</v>
      </c>
      <c r="K336" s="38" t="s">
        <v>28</v>
      </c>
      <c r="L336" s="38" t="s">
        <v>63</v>
      </c>
      <c r="M336" s="38" t="s">
        <v>30</v>
      </c>
      <c r="N336" s="38" t="s">
        <v>773</v>
      </c>
      <c r="O336" s="48">
        <v>1288.8499999999999</v>
      </c>
      <c r="P336" s="49" t="str">
        <f t="shared" si="38"/>
        <v>High</v>
      </c>
      <c r="Q336" s="48">
        <v>2751.84</v>
      </c>
      <c r="R336" s="48">
        <v>0.158</v>
      </c>
      <c r="S336" s="48">
        <v>7</v>
      </c>
      <c r="T336" s="48">
        <f t="shared" si="35"/>
        <v>2362.5509599999996</v>
      </c>
      <c r="U336" s="38">
        <f t="shared" si="36"/>
        <v>9021.9499999999989</v>
      </c>
      <c r="V336" s="48">
        <f t="shared" si="39"/>
        <v>-6659.3990399999993</v>
      </c>
      <c r="W336" s="50">
        <f t="shared" si="40"/>
        <v>-2.8187324433416667</v>
      </c>
    </row>
    <row r="337" spans="1:23" x14ac:dyDescent="0.3">
      <c r="A337" s="39" t="s">
        <v>774</v>
      </c>
      <c r="B337" s="40">
        <v>45484</v>
      </c>
      <c r="C337" s="41">
        <v>45504</v>
      </c>
      <c r="D337" s="42">
        <f t="shared" si="41"/>
        <v>20</v>
      </c>
      <c r="E337" s="42" t="str">
        <f>TEXT(Data!B337,"MMM-YYYY")</f>
        <v>Jul-2024</v>
      </c>
      <c r="F337" s="42" t="str">
        <f t="shared" si="37"/>
        <v>Q3-2024</v>
      </c>
      <c r="G337" s="37" t="s">
        <v>45</v>
      </c>
      <c r="H337" s="37" t="s">
        <v>116</v>
      </c>
      <c r="I337" s="37" t="s">
        <v>117</v>
      </c>
      <c r="J337" s="37" t="s">
        <v>48</v>
      </c>
      <c r="K337" s="37" t="s">
        <v>28</v>
      </c>
      <c r="L337" s="37" t="s">
        <v>41</v>
      </c>
      <c r="M337" s="37" t="s">
        <v>42</v>
      </c>
      <c r="N337" s="37" t="s">
        <v>775</v>
      </c>
      <c r="O337" s="42">
        <v>647.26</v>
      </c>
      <c r="P337" s="43" t="str">
        <f t="shared" si="38"/>
        <v>High</v>
      </c>
      <c r="Q337" s="42">
        <v>1374.72</v>
      </c>
      <c r="R337" s="42">
        <v>6.6000000000000003E-2</v>
      </c>
      <c r="S337" s="42">
        <v>22</v>
      </c>
      <c r="T337" s="42">
        <f t="shared" si="35"/>
        <v>36586.946879999996</v>
      </c>
      <c r="U337" s="37">
        <f t="shared" si="36"/>
        <v>14239.72</v>
      </c>
      <c r="V337" s="42">
        <f t="shared" si="39"/>
        <v>22347.226879999995</v>
      </c>
      <c r="W337" s="44">
        <f t="shared" si="40"/>
        <v>0.6107978059305067</v>
      </c>
    </row>
    <row r="338" spans="1:23" x14ac:dyDescent="0.3">
      <c r="A338" s="45" t="s">
        <v>776</v>
      </c>
      <c r="B338" s="46">
        <v>45340</v>
      </c>
      <c r="C338" s="47">
        <v>45354</v>
      </c>
      <c r="D338" s="48">
        <f t="shared" si="41"/>
        <v>14</v>
      </c>
      <c r="E338" s="48" t="str">
        <f>TEXT(Data!B338,"MMM-YYYY")</f>
        <v>Feb-2024</v>
      </c>
      <c r="F338" s="48" t="str">
        <f t="shared" si="37"/>
        <v>Q1-2024</v>
      </c>
      <c r="G338" s="38" t="s">
        <v>52</v>
      </c>
      <c r="H338" s="38" t="s">
        <v>73</v>
      </c>
      <c r="I338" s="38" t="s">
        <v>1364</v>
      </c>
      <c r="J338" s="38" t="s">
        <v>105</v>
      </c>
      <c r="K338" s="38" t="s">
        <v>55</v>
      </c>
      <c r="L338" s="38" t="s">
        <v>75</v>
      </c>
      <c r="M338" s="38" t="s">
        <v>30</v>
      </c>
      <c r="N338" s="38" t="s">
        <v>777</v>
      </c>
      <c r="O338" s="48">
        <v>624.23</v>
      </c>
      <c r="P338" s="49" t="str">
        <f t="shared" si="38"/>
        <v>High</v>
      </c>
      <c r="Q338" s="48">
        <v>1318.37</v>
      </c>
      <c r="R338" s="48">
        <v>0.21</v>
      </c>
      <c r="S338" s="48">
        <v>37</v>
      </c>
      <c r="T338" s="48">
        <f t="shared" si="35"/>
        <v>32691.708900000005</v>
      </c>
      <c r="U338" s="38">
        <f t="shared" si="36"/>
        <v>23096.510000000002</v>
      </c>
      <c r="V338" s="48">
        <f t="shared" si="39"/>
        <v>9595.1989000000031</v>
      </c>
      <c r="W338" s="50">
        <f t="shared" si="40"/>
        <v>0.29350557749521627</v>
      </c>
    </row>
    <row r="339" spans="1:23" x14ac:dyDescent="0.3">
      <c r="A339" s="39" t="s">
        <v>778</v>
      </c>
      <c r="B339" s="40">
        <v>45132</v>
      </c>
      <c r="C339" s="41">
        <v>45148</v>
      </c>
      <c r="D339" s="42">
        <f t="shared" si="41"/>
        <v>16</v>
      </c>
      <c r="E339" s="42" t="str">
        <f>TEXT(Data!B339,"MMM-YYYY")</f>
        <v>Jul-2023</v>
      </c>
      <c r="F339" s="42" t="str">
        <f t="shared" si="37"/>
        <v>Q3-2023</v>
      </c>
      <c r="G339" s="37" t="s">
        <v>16</v>
      </c>
      <c r="H339" s="37" t="s">
        <v>25</v>
      </c>
      <c r="I339" s="37" t="s">
        <v>26</v>
      </c>
      <c r="J339" s="37" t="s">
        <v>19</v>
      </c>
      <c r="K339" s="37" t="s">
        <v>55</v>
      </c>
      <c r="L339" s="37" t="s">
        <v>34</v>
      </c>
      <c r="M339" s="37" t="s">
        <v>81</v>
      </c>
      <c r="N339" s="37" t="s">
        <v>779</v>
      </c>
      <c r="O339" s="42">
        <v>506.83</v>
      </c>
      <c r="P339" s="43" t="str">
        <f t="shared" si="38"/>
        <v>High</v>
      </c>
      <c r="Q339" s="42">
        <v>441.74</v>
      </c>
      <c r="R339" s="42">
        <v>0.24</v>
      </c>
      <c r="S339" s="42">
        <v>9</v>
      </c>
      <c r="T339" s="42">
        <f t="shared" si="35"/>
        <v>5274.4607999999998</v>
      </c>
      <c r="U339" s="37">
        <f t="shared" si="36"/>
        <v>4561.47</v>
      </c>
      <c r="V339" s="42">
        <f t="shared" si="39"/>
        <v>712.99079999999958</v>
      </c>
      <c r="W339" s="44">
        <f t="shared" si="40"/>
        <v>0.1351779503224291</v>
      </c>
    </row>
    <row r="340" spans="1:23" x14ac:dyDescent="0.3">
      <c r="A340" s="45" t="s">
        <v>780</v>
      </c>
      <c r="B340" s="46">
        <v>45121</v>
      </c>
      <c r="C340" s="47">
        <v>45128</v>
      </c>
      <c r="D340" s="48">
        <f t="shared" si="41"/>
        <v>7</v>
      </c>
      <c r="E340" s="48" t="str">
        <f>TEXT(Data!B340,"MMM-YYYY")</f>
        <v>Jul-2023</v>
      </c>
      <c r="F340" s="48" t="str">
        <f t="shared" si="37"/>
        <v>Q3-2023</v>
      </c>
      <c r="G340" s="38" t="s">
        <v>16</v>
      </c>
      <c r="H340" s="38" t="s">
        <v>148</v>
      </c>
      <c r="I340" s="38" t="s">
        <v>172</v>
      </c>
      <c r="J340" s="38" t="s">
        <v>105</v>
      </c>
      <c r="K340" s="38" t="s">
        <v>40</v>
      </c>
      <c r="L340" s="38" t="s">
        <v>1364</v>
      </c>
      <c r="M340" s="38" t="s">
        <v>64</v>
      </c>
      <c r="N340" s="38" t="s">
        <v>781</v>
      </c>
      <c r="O340" s="48">
        <v>620.74</v>
      </c>
      <c r="P340" s="49" t="str">
        <f t="shared" si="38"/>
        <v>High</v>
      </c>
      <c r="Q340" s="48">
        <v>1330.07</v>
      </c>
      <c r="R340" s="48">
        <v>0.29899999999999999</v>
      </c>
      <c r="S340" s="48">
        <v>28</v>
      </c>
      <c r="T340" s="48">
        <f t="shared" si="35"/>
        <v>23750.665119999998</v>
      </c>
      <c r="U340" s="38">
        <f t="shared" si="36"/>
        <v>17380.72</v>
      </c>
      <c r="V340" s="48">
        <f t="shared" si="39"/>
        <v>6369.9451199999967</v>
      </c>
      <c r="W340" s="50">
        <f t="shared" si="40"/>
        <v>0.26820070460409901</v>
      </c>
    </row>
    <row r="341" spans="1:23" x14ac:dyDescent="0.3">
      <c r="A341" s="39" t="s">
        <v>782</v>
      </c>
      <c r="B341" s="40">
        <v>45131</v>
      </c>
      <c r="C341" s="41">
        <v>45157</v>
      </c>
      <c r="D341" s="42">
        <f t="shared" si="41"/>
        <v>26</v>
      </c>
      <c r="E341" s="42" t="str">
        <f>TEXT(Data!B341,"MMM-YYYY")</f>
        <v>Jul-2023</v>
      </c>
      <c r="F341" s="42" t="str">
        <f t="shared" si="37"/>
        <v>Q3-2023</v>
      </c>
      <c r="G341" s="37" t="s">
        <v>16</v>
      </c>
      <c r="H341" s="37" t="s">
        <v>17</v>
      </c>
      <c r="I341" s="37" t="s">
        <v>33</v>
      </c>
      <c r="J341" s="37" t="s">
        <v>105</v>
      </c>
      <c r="K341" s="37" t="s">
        <v>55</v>
      </c>
      <c r="L341" s="37" t="s">
        <v>110</v>
      </c>
      <c r="M341" s="37" t="s">
        <v>81</v>
      </c>
      <c r="N341" s="37" t="s">
        <v>783</v>
      </c>
      <c r="O341" s="42">
        <v>661.45</v>
      </c>
      <c r="P341" s="43" t="str">
        <f t="shared" si="38"/>
        <v>High</v>
      </c>
      <c r="Q341" s="42">
        <v>1634.86</v>
      </c>
      <c r="R341" s="42">
        <v>0.56499999999999995</v>
      </c>
      <c r="S341" s="42">
        <v>24</v>
      </c>
      <c r="T341" s="42">
        <f t="shared" si="35"/>
        <v>31570.873200000005</v>
      </c>
      <c r="U341" s="37">
        <f t="shared" si="36"/>
        <v>15874.800000000001</v>
      </c>
      <c r="V341" s="42">
        <f t="shared" si="39"/>
        <v>15696.073200000004</v>
      </c>
      <c r="W341" s="44">
        <f t="shared" si="40"/>
        <v>0.49716943527555019</v>
      </c>
    </row>
    <row r="342" spans="1:23" x14ac:dyDescent="0.3">
      <c r="A342" s="45" t="s">
        <v>784</v>
      </c>
      <c r="B342" s="46">
        <v>45029</v>
      </c>
      <c r="C342" s="47">
        <v>45027</v>
      </c>
      <c r="D342" s="48">
        <f>DATEDIF(C342,B342, "MD")</f>
        <v>2</v>
      </c>
      <c r="E342" s="48" t="str">
        <f>TEXT(Data!B342,"MMM-YYYY")</f>
        <v>Apr-2023</v>
      </c>
      <c r="F342" s="48" t="str">
        <f t="shared" si="37"/>
        <v>Q2-2023</v>
      </c>
      <c r="G342" s="38" t="s">
        <v>52</v>
      </c>
      <c r="H342" s="38" t="s">
        <v>122</v>
      </c>
      <c r="I342" s="38" t="s">
        <v>167</v>
      </c>
      <c r="J342" s="38" t="s">
        <v>27</v>
      </c>
      <c r="K342" s="38" t="s">
        <v>40</v>
      </c>
      <c r="L342" s="38" t="s">
        <v>41</v>
      </c>
      <c r="M342" s="38" t="s">
        <v>35</v>
      </c>
      <c r="N342" s="38" t="s">
        <v>785</v>
      </c>
      <c r="O342" s="48">
        <v>32.1</v>
      </c>
      <c r="P342" s="49" t="str">
        <f t="shared" si="38"/>
        <v>Medium</v>
      </c>
      <c r="Q342" s="48">
        <v>70.599999999999994</v>
      </c>
      <c r="R342" s="48">
        <v>0.28199999999999997</v>
      </c>
      <c r="S342" s="48">
        <v>22</v>
      </c>
      <c r="T342" s="48">
        <f t="shared" si="35"/>
        <v>36385.454160000001</v>
      </c>
      <c r="U342" s="38">
        <f t="shared" si="36"/>
        <v>706.2</v>
      </c>
      <c r="V342" s="48">
        <f t="shared" si="39"/>
        <v>35679.254160000004</v>
      </c>
      <c r="W342" s="50">
        <f t="shared" si="40"/>
        <v>0.98059114510720191</v>
      </c>
    </row>
    <row r="343" spans="1:23" x14ac:dyDescent="0.3">
      <c r="A343" s="39" t="s">
        <v>786</v>
      </c>
      <c r="B343" s="40">
        <v>45594</v>
      </c>
      <c r="C343" s="41">
        <v>45600</v>
      </c>
      <c r="D343" s="42">
        <f t="shared" si="41"/>
        <v>6</v>
      </c>
      <c r="E343" s="42" t="str">
        <f>TEXT(Data!B343,"MMM-YYYY")</f>
        <v>Oct-2024</v>
      </c>
      <c r="F343" s="42" t="str">
        <f t="shared" si="37"/>
        <v>Q4-2024</v>
      </c>
      <c r="G343" s="37" t="s">
        <v>16</v>
      </c>
      <c r="H343" s="37" t="s">
        <v>17</v>
      </c>
      <c r="I343" s="37" t="s">
        <v>33</v>
      </c>
      <c r="J343" s="37" t="s">
        <v>19</v>
      </c>
      <c r="K343" s="37" t="s">
        <v>55</v>
      </c>
      <c r="L343" s="37" t="s">
        <v>110</v>
      </c>
      <c r="M343" s="37" t="s">
        <v>30</v>
      </c>
      <c r="N343" s="37" t="s">
        <v>787</v>
      </c>
      <c r="O343" s="42">
        <v>805.81</v>
      </c>
      <c r="P343" s="43" t="str">
        <f t="shared" si="38"/>
        <v>High</v>
      </c>
      <c r="Q343" s="42">
        <v>1823.04</v>
      </c>
      <c r="R343" s="42">
        <v>0</v>
      </c>
      <c r="S343" s="42">
        <v>11</v>
      </c>
      <c r="T343" s="42">
        <f t="shared" si="35"/>
        <v>33921.800000000003</v>
      </c>
      <c r="U343" s="37">
        <f t="shared" si="36"/>
        <v>8863.91</v>
      </c>
      <c r="V343" s="42">
        <f t="shared" si="39"/>
        <v>25057.890000000003</v>
      </c>
      <c r="W343" s="44">
        <f t="shared" si="40"/>
        <v>0.73869576496530254</v>
      </c>
    </row>
    <row r="344" spans="1:23" x14ac:dyDescent="0.3">
      <c r="A344" s="45" t="s">
        <v>788</v>
      </c>
      <c r="B344" s="46">
        <v>45339</v>
      </c>
      <c r="C344" s="47">
        <v>45355</v>
      </c>
      <c r="D344" s="48">
        <f t="shared" si="41"/>
        <v>16</v>
      </c>
      <c r="E344" s="48" t="str">
        <f>TEXT(Data!B344,"MMM-YYYY")</f>
        <v>Feb-2024</v>
      </c>
      <c r="F344" s="48" t="str">
        <f t="shared" si="37"/>
        <v>Q1-2024</v>
      </c>
      <c r="G344" s="38" t="s">
        <v>45</v>
      </c>
      <c r="H344" s="38" t="s">
        <v>60</v>
      </c>
      <c r="I344" s="38" t="s">
        <v>141</v>
      </c>
      <c r="J344" s="38" t="s">
        <v>62</v>
      </c>
      <c r="K344" s="38" t="s">
        <v>40</v>
      </c>
      <c r="L344" s="38" t="s">
        <v>84</v>
      </c>
      <c r="M344" s="38" t="s">
        <v>42</v>
      </c>
      <c r="N344" s="38" t="s">
        <v>789</v>
      </c>
      <c r="O344" s="48">
        <v>1231.8</v>
      </c>
      <c r="P344" s="49" t="str">
        <f t="shared" si="38"/>
        <v>High</v>
      </c>
      <c r="Q344" s="48">
        <v>2015.99</v>
      </c>
      <c r="R344" s="48">
        <v>0.26100000000000001</v>
      </c>
      <c r="S344" s="48">
        <v>6</v>
      </c>
      <c r="T344" s="48">
        <f t="shared" si="35"/>
        <v>1430.8961399999998</v>
      </c>
      <c r="U344" s="38">
        <f t="shared" si="36"/>
        <v>7390.7999999999993</v>
      </c>
      <c r="V344" s="48">
        <f t="shared" si="39"/>
        <v>-5959.9038599999994</v>
      </c>
      <c r="W344" s="50">
        <f t="shared" si="40"/>
        <v>-4.1651547539991265</v>
      </c>
    </row>
    <row r="345" spans="1:23" x14ac:dyDescent="0.3">
      <c r="A345" s="39" t="s">
        <v>790</v>
      </c>
      <c r="B345" s="40">
        <v>45486</v>
      </c>
      <c r="C345" s="41">
        <v>45485</v>
      </c>
      <c r="D345" s="42">
        <f>DATEDIF(C345,B345, "MD")</f>
        <v>1</v>
      </c>
      <c r="E345" s="42" t="str">
        <f>TEXT(Data!B345,"MMM-YYYY")</f>
        <v>Jul-2024</v>
      </c>
      <c r="F345" s="42" t="str">
        <f t="shared" si="37"/>
        <v>Q3-2024</v>
      </c>
      <c r="G345" s="37" t="s">
        <v>45</v>
      </c>
      <c r="H345" s="37" t="s">
        <v>46</v>
      </c>
      <c r="I345" s="37" t="s">
        <v>231</v>
      </c>
      <c r="J345" s="37" t="s">
        <v>62</v>
      </c>
      <c r="K345" s="37" t="s">
        <v>40</v>
      </c>
      <c r="L345" s="37" t="s">
        <v>84</v>
      </c>
      <c r="M345" s="37" t="s">
        <v>35</v>
      </c>
      <c r="N345" s="37" t="s">
        <v>791</v>
      </c>
      <c r="O345" s="42">
        <v>105.13</v>
      </c>
      <c r="P345" s="43" t="str">
        <f t="shared" si="38"/>
        <v>High</v>
      </c>
      <c r="Q345" s="42">
        <v>244.13</v>
      </c>
      <c r="R345" s="42">
        <v>7.0999999999999994E-2</v>
      </c>
      <c r="S345" s="42">
        <v>14</v>
      </c>
      <c r="T345" s="42">
        <f t="shared" si="35"/>
        <v>9511.1577400000006</v>
      </c>
      <c r="U345" s="37">
        <f t="shared" si="36"/>
        <v>1471.82</v>
      </c>
      <c r="V345" s="42">
        <f t="shared" si="39"/>
        <v>8039.3377400000008</v>
      </c>
      <c r="W345" s="44">
        <f t="shared" si="40"/>
        <v>0.84525332874986048</v>
      </c>
    </row>
    <row r="346" spans="1:23" x14ac:dyDescent="0.3">
      <c r="A346" s="45" t="s">
        <v>792</v>
      </c>
      <c r="B346" s="46">
        <v>45261</v>
      </c>
      <c r="C346" s="47">
        <v>45278</v>
      </c>
      <c r="D346" s="48">
        <f t="shared" si="41"/>
        <v>17</v>
      </c>
      <c r="E346" s="48" t="str">
        <f>TEXT(Data!B346,"MMM-YYYY")</f>
        <v>Dec-2023</v>
      </c>
      <c r="F346" s="48" t="str">
        <f t="shared" si="37"/>
        <v>Q4-2023</v>
      </c>
      <c r="G346" s="38" t="s">
        <v>45</v>
      </c>
      <c r="H346" s="38" t="s">
        <v>46</v>
      </c>
      <c r="I346" s="38" t="s">
        <v>231</v>
      </c>
      <c r="J346" s="38" t="s">
        <v>62</v>
      </c>
      <c r="K346" s="38" t="s">
        <v>98</v>
      </c>
      <c r="L346" s="38" t="s">
        <v>126</v>
      </c>
      <c r="M346" s="38" t="s">
        <v>57</v>
      </c>
      <c r="N346" s="38" t="s">
        <v>793</v>
      </c>
      <c r="O346" s="48">
        <v>1495.79</v>
      </c>
      <c r="P346" s="49" t="str">
        <f t="shared" si="38"/>
        <v>High</v>
      </c>
      <c r="Q346" s="48">
        <v>2783.12</v>
      </c>
      <c r="R346" s="48">
        <v>0.02</v>
      </c>
      <c r="S346" s="48">
        <v>5</v>
      </c>
      <c r="T346" s="48">
        <f t="shared" si="35"/>
        <v>7516.3549999999996</v>
      </c>
      <c r="U346" s="38">
        <f t="shared" si="36"/>
        <v>7478.95</v>
      </c>
      <c r="V346" s="48">
        <f t="shared" si="39"/>
        <v>37.404999999999745</v>
      </c>
      <c r="W346" s="50">
        <f t="shared" si="40"/>
        <v>4.9764812864745937E-3</v>
      </c>
    </row>
    <row r="347" spans="1:23" x14ac:dyDescent="0.3">
      <c r="A347" s="39" t="s">
        <v>794</v>
      </c>
      <c r="B347" s="40">
        <v>45498</v>
      </c>
      <c r="C347" s="41">
        <v>45506</v>
      </c>
      <c r="D347" s="42">
        <f t="shared" si="41"/>
        <v>8</v>
      </c>
      <c r="E347" s="42" t="str">
        <f>TEXT(Data!B347,"MMM-YYYY")</f>
        <v>Jul-2024</v>
      </c>
      <c r="F347" s="42" t="str">
        <f t="shared" si="37"/>
        <v>Q3-2024</v>
      </c>
      <c r="G347" s="37" t="s">
        <v>52</v>
      </c>
      <c r="H347" s="37" t="s">
        <v>53</v>
      </c>
      <c r="I347" s="37" t="s">
        <v>144</v>
      </c>
      <c r="J347" s="37" t="s">
        <v>48</v>
      </c>
      <c r="K347" s="37" t="s">
        <v>98</v>
      </c>
      <c r="L347" s="37" t="s">
        <v>29</v>
      </c>
      <c r="M347" s="37" t="s">
        <v>81</v>
      </c>
      <c r="N347" s="37" t="s">
        <v>795</v>
      </c>
      <c r="O347" s="42">
        <v>986.81</v>
      </c>
      <c r="P347" s="43" t="str">
        <f t="shared" si="38"/>
        <v>High</v>
      </c>
      <c r="Q347" s="42">
        <v>2050.31</v>
      </c>
      <c r="R347" s="42">
        <v>0.10299999999999999</v>
      </c>
      <c r="S347" s="42">
        <v>43</v>
      </c>
      <c r="T347" s="42">
        <f t="shared" si="35"/>
        <v>60620.497860000003</v>
      </c>
      <c r="U347" s="37">
        <f t="shared" si="36"/>
        <v>42432.829999999994</v>
      </c>
      <c r="V347" s="42">
        <f t="shared" si="39"/>
        <v>18187.667860000009</v>
      </c>
      <c r="W347" s="44">
        <f t="shared" si="40"/>
        <v>0.30002504931588508</v>
      </c>
    </row>
    <row r="348" spans="1:23" x14ac:dyDescent="0.3">
      <c r="A348" s="45" t="s">
        <v>796</v>
      </c>
      <c r="B348" s="46">
        <v>45050</v>
      </c>
      <c r="C348" s="47">
        <v>45062</v>
      </c>
      <c r="D348" s="48">
        <f t="shared" si="41"/>
        <v>12</v>
      </c>
      <c r="E348" s="48" t="str">
        <f>TEXT(Data!B348,"MMM-YYYY")</f>
        <v>May-2023</v>
      </c>
      <c r="F348" s="48" t="str">
        <f t="shared" si="37"/>
        <v>Q2-2023</v>
      </c>
      <c r="G348" s="38" t="s">
        <v>16</v>
      </c>
      <c r="H348" s="38" t="s">
        <v>25</v>
      </c>
      <c r="I348" s="38" t="s">
        <v>67</v>
      </c>
      <c r="J348" s="38" t="s">
        <v>62</v>
      </c>
      <c r="K348" s="38" t="s">
        <v>40</v>
      </c>
      <c r="L348" s="38" t="s">
        <v>29</v>
      </c>
      <c r="M348" s="38" t="s">
        <v>42</v>
      </c>
      <c r="N348" s="38" t="s">
        <v>797</v>
      </c>
      <c r="O348" s="48">
        <v>77.739999999999995</v>
      </c>
      <c r="P348" s="49" t="str">
        <f t="shared" si="38"/>
        <v>Medium</v>
      </c>
      <c r="Q348" s="48">
        <v>147.12</v>
      </c>
      <c r="R348" s="48">
        <v>0</v>
      </c>
      <c r="S348" s="48">
        <v>15</v>
      </c>
      <c r="T348" s="48">
        <f t="shared" si="35"/>
        <v>3760.95</v>
      </c>
      <c r="U348" s="38">
        <f t="shared" si="36"/>
        <v>1166.0999999999999</v>
      </c>
      <c r="V348" s="48">
        <f t="shared" si="39"/>
        <v>2594.85</v>
      </c>
      <c r="W348" s="50">
        <f t="shared" si="40"/>
        <v>0.68994535955011371</v>
      </c>
    </row>
    <row r="349" spans="1:23" x14ac:dyDescent="0.3">
      <c r="A349" s="39" t="s">
        <v>798</v>
      </c>
      <c r="B349" s="40">
        <v>45281</v>
      </c>
      <c r="C349" s="41">
        <v>45297</v>
      </c>
      <c r="D349" s="42">
        <f t="shared" si="41"/>
        <v>16</v>
      </c>
      <c r="E349" s="42" t="str">
        <f>TEXT(Data!B349,"MMM-YYYY")</f>
        <v>Dec-2023</v>
      </c>
      <c r="F349" s="42" t="str">
        <f t="shared" si="37"/>
        <v>Q4-2023</v>
      </c>
      <c r="G349" s="37" t="s">
        <v>16</v>
      </c>
      <c r="H349" s="37" t="s">
        <v>25</v>
      </c>
      <c r="I349" s="37" t="s">
        <v>1364</v>
      </c>
      <c r="J349" s="37" t="s">
        <v>19</v>
      </c>
      <c r="K349" s="37" t="s">
        <v>40</v>
      </c>
      <c r="L349" s="37" t="s">
        <v>95</v>
      </c>
      <c r="M349" s="37" t="s">
        <v>22</v>
      </c>
      <c r="N349" s="37" t="s">
        <v>799</v>
      </c>
      <c r="O349" s="42">
        <v>932.61</v>
      </c>
      <c r="P349" s="43" t="str">
        <f t="shared" si="38"/>
        <v>High</v>
      </c>
      <c r="Q349" s="42">
        <v>1982.98</v>
      </c>
      <c r="R349" s="42">
        <v>0.14399999999999999</v>
      </c>
      <c r="S349" s="42">
        <v>16</v>
      </c>
      <c r="T349" s="42">
        <f t="shared" si="35"/>
        <v>47563.605759999999</v>
      </c>
      <c r="U349" s="37">
        <f t="shared" si="36"/>
        <v>14921.76</v>
      </c>
      <c r="V349" s="42">
        <f t="shared" si="39"/>
        <v>32641.845759999997</v>
      </c>
      <c r="W349" s="44">
        <f t="shared" si="40"/>
        <v>0.68627777979463256</v>
      </c>
    </row>
    <row r="350" spans="1:23" x14ac:dyDescent="0.3">
      <c r="A350" s="45" t="s">
        <v>800</v>
      </c>
      <c r="B350" s="46">
        <v>45825</v>
      </c>
      <c r="C350" s="47">
        <v>45843</v>
      </c>
      <c r="D350" s="48">
        <f t="shared" si="41"/>
        <v>18</v>
      </c>
      <c r="E350" s="48" t="str">
        <f>TEXT(Data!B350,"MMM-YYYY")</f>
        <v>Jun-2025</v>
      </c>
      <c r="F350" s="48" t="str">
        <f t="shared" si="37"/>
        <v>Q2-2025</v>
      </c>
      <c r="G350" s="38" t="s">
        <v>45</v>
      </c>
      <c r="H350" s="38" t="s">
        <v>60</v>
      </c>
      <c r="I350" s="38" t="s">
        <v>141</v>
      </c>
      <c r="J350" s="38" t="s">
        <v>48</v>
      </c>
      <c r="K350" s="38" t="s">
        <v>40</v>
      </c>
      <c r="L350" s="38" t="s">
        <v>49</v>
      </c>
      <c r="M350" s="38" t="s">
        <v>57</v>
      </c>
      <c r="N350" s="38" t="s">
        <v>801</v>
      </c>
      <c r="O350" s="48">
        <v>982.93</v>
      </c>
      <c r="P350" s="49" t="str">
        <f t="shared" si="38"/>
        <v>High</v>
      </c>
      <c r="Q350" s="48">
        <v>2299.3000000000002</v>
      </c>
      <c r="R350" s="48">
        <v>0.113</v>
      </c>
      <c r="S350" s="48">
        <v>6</v>
      </c>
      <c r="T350" s="48">
        <f t="shared" si="35"/>
        <v>6418.5448799999995</v>
      </c>
      <c r="U350" s="38">
        <f t="shared" si="36"/>
        <v>5897.58</v>
      </c>
      <c r="V350" s="48">
        <f t="shared" si="39"/>
        <v>520.96487999999954</v>
      </c>
      <c r="W350" s="50">
        <f t="shared" si="40"/>
        <v>8.1165574088811171E-2</v>
      </c>
    </row>
    <row r="351" spans="1:23" x14ac:dyDescent="0.3">
      <c r="A351" s="39" t="s">
        <v>802</v>
      </c>
      <c r="B351" s="40">
        <v>44980</v>
      </c>
      <c r="C351" s="41">
        <v>44993</v>
      </c>
      <c r="D351" s="42">
        <f t="shared" si="41"/>
        <v>13</v>
      </c>
      <c r="E351" s="42" t="str">
        <f>TEXT(Data!B351,"MMM-YYYY")</f>
        <v>Feb-2023</v>
      </c>
      <c r="F351" s="42" t="str">
        <f t="shared" si="37"/>
        <v>Q1-2023</v>
      </c>
      <c r="G351" s="37" t="s">
        <v>78</v>
      </c>
      <c r="H351" s="37" t="s">
        <v>108</v>
      </c>
      <c r="I351" s="37" t="s">
        <v>228</v>
      </c>
      <c r="J351" s="37" t="s">
        <v>62</v>
      </c>
      <c r="K351" s="37" t="s">
        <v>98</v>
      </c>
      <c r="L351" s="37" t="s">
        <v>21</v>
      </c>
      <c r="M351" s="37" t="s">
        <v>30</v>
      </c>
      <c r="N351" s="37" t="s">
        <v>803</v>
      </c>
      <c r="O351" s="42">
        <v>307.37</v>
      </c>
      <c r="P351" s="43" t="str">
        <f t="shared" si="38"/>
        <v>High</v>
      </c>
      <c r="Q351" s="42">
        <v>462.61</v>
      </c>
      <c r="R351" s="42">
        <v>0.188</v>
      </c>
      <c r="S351" s="42">
        <v>11</v>
      </c>
      <c r="T351" s="42">
        <f t="shared" si="35"/>
        <v>19625.658360000001</v>
      </c>
      <c r="U351" s="37">
        <f t="shared" si="36"/>
        <v>3381.07</v>
      </c>
      <c r="V351" s="42">
        <f t="shared" si="39"/>
        <v>16244.588360000002</v>
      </c>
      <c r="W351" s="44">
        <f t="shared" si="40"/>
        <v>0.82772195775652957</v>
      </c>
    </row>
    <row r="352" spans="1:23" x14ac:dyDescent="0.3">
      <c r="A352" s="45" t="s">
        <v>804</v>
      </c>
      <c r="B352" s="46">
        <v>45262</v>
      </c>
      <c r="C352" s="47">
        <v>45276</v>
      </c>
      <c r="D352" s="48">
        <f t="shared" si="41"/>
        <v>14</v>
      </c>
      <c r="E352" s="48" t="str">
        <f>TEXT(Data!B352,"MMM-YYYY")</f>
        <v>Dec-2023</v>
      </c>
      <c r="F352" s="48" t="str">
        <f t="shared" si="37"/>
        <v>Q4-2023</v>
      </c>
      <c r="G352" s="38" t="s">
        <v>78</v>
      </c>
      <c r="H352" s="38" t="s">
        <v>79</v>
      </c>
      <c r="I352" s="38" t="s">
        <v>335</v>
      </c>
      <c r="J352" s="38" t="s">
        <v>27</v>
      </c>
      <c r="K352" s="38" t="s">
        <v>98</v>
      </c>
      <c r="L352" s="38" t="s">
        <v>126</v>
      </c>
      <c r="M352" s="38" t="s">
        <v>64</v>
      </c>
      <c r="N352" s="38" t="s">
        <v>805</v>
      </c>
      <c r="O352" s="48">
        <v>879.08</v>
      </c>
      <c r="P352" s="49" t="str">
        <f t="shared" si="38"/>
        <v>High</v>
      </c>
      <c r="Q352" s="48">
        <v>1093.3900000000001</v>
      </c>
      <c r="R352" s="48">
        <v>0.113</v>
      </c>
      <c r="S352" s="48">
        <v>17</v>
      </c>
      <c r="T352" s="48">
        <f t="shared" si="35"/>
        <v>24437.027399999999</v>
      </c>
      <c r="U352" s="38">
        <f t="shared" si="36"/>
        <v>14944.36</v>
      </c>
      <c r="V352" s="48">
        <f t="shared" si="39"/>
        <v>9492.6673999999985</v>
      </c>
      <c r="W352" s="50">
        <f t="shared" si="40"/>
        <v>0.38845426019369272</v>
      </c>
    </row>
    <row r="353" spans="1:23" x14ac:dyDescent="0.3">
      <c r="A353" s="39" t="s">
        <v>806</v>
      </c>
      <c r="B353" s="40">
        <v>45121</v>
      </c>
      <c r="C353" s="41">
        <v>45121</v>
      </c>
      <c r="D353" s="42">
        <f t="shared" si="41"/>
        <v>0</v>
      </c>
      <c r="E353" s="42" t="str">
        <f>TEXT(Data!B353,"MMM-YYYY")</f>
        <v>Jul-2023</v>
      </c>
      <c r="F353" s="42" t="str">
        <f t="shared" si="37"/>
        <v>Q3-2023</v>
      </c>
      <c r="G353" s="37" t="s">
        <v>16</v>
      </c>
      <c r="H353" s="37" t="s">
        <v>25</v>
      </c>
      <c r="I353" s="37" t="s">
        <v>38</v>
      </c>
      <c r="J353" s="37" t="s">
        <v>27</v>
      </c>
      <c r="K353" s="37" t="s">
        <v>20</v>
      </c>
      <c r="L353" s="37" t="s">
        <v>34</v>
      </c>
      <c r="M353" s="37" t="s">
        <v>81</v>
      </c>
      <c r="N353" s="37" t="s">
        <v>807</v>
      </c>
      <c r="O353" s="42">
        <v>956.38</v>
      </c>
      <c r="P353" s="43" t="str">
        <f t="shared" si="38"/>
        <v>High</v>
      </c>
      <c r="Q353" s="42">
        <v>1454.22</v>
      </c>
      <c r="R353" s="42">
        <v>3.9E-2</v>
      </c>
      <c r="S353" s="42">
        <v>19</v>
      </c>
      <c r="T353" s="42">
        <f t="shared" si="35"/>
        <v>18891.856940000001</v>
      </c>
      <c r="U353" s="37">
        <f t="shared" si="36"/>
        <v>18171.22</v>
      </c>
      <c r="V353" s="42">
        <f t="shared" si="39"/>
        <v>720.63694000000032</v>
      </c>
      <c r="W353" s="44">
        <f t="shared" si="40"/>
        <v>3.8145373548440616E-2</v>
      </c>
    </row>
    <row r="354" spans="1:23" x14ac:dyDescent="0.3">
      <c r="A354" s="45" t="s">
        <v>808</v>
      </c>
      <c r="B354" s="46">
        <v>45512</v>
      </c>
      <c r="C354" s="47">
        <v>45524</v>
      </c>
      <c r="D354" s="48">
        <f t="shared" si="41"/>
        <v>12</v>
      </c>
      <c r="E354" s="48" t="str">
        <f>TEXT(Data!B354,"MMM-YYYY")</f>
        <v>Aug-2024</v>
      </c>
      <c r="F354" s="48" t="str">
        <f t="shared" si="37"/>
        <v>Q3-2024</v>
      </c>
      <c r="G354" s="38" t="s">
        <v>45</v>
      </c>
      <c r="H354" s="38" t="s">
        <v>46</v>
      </c>
      <c r="I354" s="38" t="s">
        <v>47</v>
      </c>
      <c r="J354" s="38" t="s">
        <v>62</v>
      </c>
      <c r="K354" s="38" t="s">
        <v>20</v>
      </c>
      <c r="L354" s="38" t="s">
        <v>92</v>
      </c>
      <c r="M354" s="38" t="s">
        <v>35</v>
      </c>
      <c r="N354" s="38" t="s">
        <v>809</v>
      </c>
      <c r="O354" s="48">
        <v>1233.3599999999999</v>
      </c>
      <c r="P354" s="49" t="str">
        <f t="shared" si="38"/>
        <v>High</v>
      </c>
      <c r="Q354" s="48">
        <v>2120.4</v>
      </c>
      <c r="R354" s="48">
        <v>0.17899999999999999</v>
      </c>
      <c r="S354" s="48">
        <v>20</v>
      </c>
      <c r="T354" s="48">
        <f t="shared" si="35"/>
        <v>31286.9964</v>
      </c>
      <c r="U354" s="38">
        <f t="shared" si="36"/>
        <v>24667.199999999997</v>
      </c>
      <c r="V354" s="48">
        <f t="shared" si="39"/>
        <v>6619.7964000000029</v>
      </c>
      <c r="W354" s="50">
        <f t="shared" si="40"/>
        <v>0.21158299490838958</v>
      </c>
    </row>
    <row r="355" spans="1:23" x14ac:dyDescent="0.3">
      <c r="A355" s="39" t="s">
        <v>810</v>
      </c>
      <c r="B355" s="40">
        <v>45603</v>
      </c>
      <c r="C355" s="41">
        <v>45622</v>
      </c>
      <c r="D355" s="42">
        <f t="shared" si="41"/>
        <v>19</v>
      </c>
      <c r="E355" s="42" t="str">
        <f>TEXT(Data!B355,"MMM-YYYY")</f>
        <v>Nov-2024</v>
      </c>
      <c r="F355" s="42" t="str">
        <f t="shared" si="37"/>
        <v>Q4-2024</v>
      </c>
      <c r="G355" s="37" t="s">
        <v>52</v>
      </c>
      <c r="H355" s="37" t="s">
        <v>73</v>
      </c>
      <c r="I355" s="37" t="s">
        <v>225</v>
      </c>
      <c r="J355" s="37" t="s">
        <v>39</v>
      </c>
      <c r="K355" s="37" t="s">
        <v>55</v>
      </c>
      <c r="L355" s="37" t="s">
        <v>29</v>
      </c>
      <c r="M355" s="37" t="s">
        <v>30</v>
      </c>
      <c r="N355" s="37" t="s">
        <v>811</v>
      </c>
      <c r="O355" s="42">
        <v>55.35</v>
      </c>
      <c r="P355" s="43" t="str">
        <f t="shared" si="38"/>
        <v>Medium</v>
      </c>
      <c r="Q355" s="42">
        <v>128.68</v>
      </c>
      <c r="R355" s="42">
        <v>0.128</v>
      </c>
      <c r="S355" s="42">
        <v>10</v>
      </c>
      <c r="T355" s="42">
        <f t="shared" si="35"/>
        <v>4722.4031999999997</v>
      </c>
      <c r="U355" s="37">
        <f t="shared" si="36"/>
        <v>553.5</v>
      </c>
      <c r="V355" s="42">
        <f t="shared" si="39"/>
        <v>4168.9031999999997</v>
      </c>
      <c r="W355" s="44">
        <f t="shared" si="40"/>
        <v>0.88279272722837387</v>
      </c>
    </row>
    <row r="356" spans="1:23" x14ac:dyDescent="0.3">
      <c r="A356" s="45" t="s">
        <v>812</v>
      </c>
      <c r="B356" s="46">
        <v>45292</v>
      </c>
      <c r="C356" s="47">
        <v>45318</v>
      </c>
      <c r="D356" s="48">
        <f t="shared" si="41"/>
        <v>26</v>
      </c>
      <c r="E356" s="48" t="str">
        <f>TEXT(Data!B356,"MMM-YYYY")</f>
        <v>Jan-2024</v>
      </c>
      <c r="F356" s="48" t="str">
        <f t="shared" si="37"/>
        <v>Q1-2024</v>
      </c>
      <c r="G356" s="38" t="s">
        <v>78</v>
      </c>
      <c r="H356" s="38" t="s">
        <v>108</v>
      </c>
      <c r="I356" s="38" t="s">
        <v>228</v>
      </c>
      <c r="J356" s="38" t="s">
        <v>27</v>
      </c>
      <c r="K356" s="38" t="s">
        <v>55</v>
      </c>
      <c r="L356" s="38" t="s">
        <v>145</v>
      </c>
      <c r="M356" s="38" t="s">
        <v>81</v>
      </c>
      <c r="N356" s="38" t="s">
        <v>813</v>
      </c>
      <c r="O356" s="48">
        <v>657.45</v>
      </c>
      <c r="P356" s="49" t="str">
        <f t="shared" si="38"/>
        <v>High</v>
      </c>
      <c r="Q356" s="48">
        <v>1325.96</v>
      </c>
      <c r="R356" s="48">
        <v>0.16700000000000001</v>
      </c>
      <c r="S356" s="48">
        <v>21</v>
      </c>
      <c r="T356" s="48">
        <f t="shared" si="35"/>
        <v>19532.683799999999</v>
      </c>
      <c r="U356" s="38">
        <f t="shared" si="36"/>
        <v>13806.45</v>
      </c>
      <c r="V356" s="48">
        <f t="shared" si="39"/>
        <v>5726.2337999999982</v>
      </c>
      <c r="W356" s="50">
        <f t="shared" si="40"/>
        <v>0.29316164939914702</v>
      </c>
    </row>
    <row r="357" spans="1:23" x14ac:dyDescent="0.3">
      <c r="A357" s="39" t="s">
        <v>814</v>
      </c>
      <c r="B357" s="40">
        <v>45883</v>
      </c>
      <c r="C357" s="41">
        <v>45911</v>
      </c>
      <c r="D357" s="42">
        <f t="shared" si="41"/>
        <v>28</v>
      </c>
      <c r="E357" s="42" t="str">
        <f>TEXT(Data!B357,"MMM-YYYY")</f>
        <v>Aug-2025</v>
      </c>
      <c r="F357" s="42" t="str">
        <f t="shared" si="37"/>
        <v>Q3-2025</v>
      </c>
      <c r="G357" s="37" t="s">
        <v>52</v>
      </c>
      <c r="H357" s="37" t="s">
        <v>73</v>
      </c>
      <c r="I357" s="37" t="s">
        <v>74</v>
      </c>
      <c r="J357" s="37" t="s">
        <v>39</v>
      </c>
      <c r="K357" s="37" t="s">
        <v>98</v>
      </c>
      <c r="L357" s="37" t="s">
        <v>84</v>
      </c>
      <c r="M357" s="37" t="s">
        <v>30</v>
      </c>
      <c r="N357" s="37" t="s">
        <v>815</v>
      </c>
      <c r="O357" s="42">
        <v>1203.02</v>
      </c>
      <c r="P357" s="43" t="str">
        <f t="shared" si="38"/>
        <v>High</v>
      </c>
      <c r="Q357" s="42">
        <v>2439.33</v>
      </c>
      <c r="R357" s="42">
        <v>0</v>
      </c>
      <c r="S357" s="42">
        <v>18</v>
      </c>
      <c r="T357" s="42">
        <f t="shared" si="35"/>
        <v>26190</v>
      </c>
      <c r="U357" s="37">
        <f t="shared" si="36"/>
        <v>21654.36</v>
      </c>
      <c r="V357" s="42">
        <f t="shared" si="39"/>
        <v>4535.6399999999994</v>
      </c>
      <c r="W357" s="44">
        <f t="shared" si="40"/>
        <v>0.17318213058419241</v>
      </c>
    </row>
    <row r="358" spans="1:23" x14ac:dyDescent="0.3">
      <c r="A358" s="45" t="s">
        <v>816</v>
      </c>
      <c r="B358" s="46">
        <v>45385</v>
      </c>
      <c r="C358" s="47">
        <v>45403</v>
      </c>
      <c r="D358" s="48">
        <f t="shared" si="41"/>
        <v>18</v>
      </c>
      <c r="E358" s="48" t="str">
        <f>TEXT(Data!B358,"MMM-YYYY")</f>
        <v>Apr-2024</v>
      </c>
      <c r="F358" s="48" t="str">
        <f t="shared" si="37"/>
        <v>Q2-2024</v>
      </c>
      <c r="G358" s="38" t="s">
        <v>52</v>
      </c>
      <c r="H358" s="38" t="s">
        <v>73</v>
      </c>
      <c r="I358" s="38" t="s">
        <v>87</v>
      </c>
      <c r="J358" s="38" t="s">
        <v>62</v>
      </c>
      <c r="K358" s="38" t="s">
        <v>55</v>
      </c>
      <c r="L358" s="38" t="s">
        <v>56</v>
      </c>
      <c r="M358" s="38" t="s">
        <v>35</v>
      </c>
      <c r="N358" s="38" t="s">
        <v>817</v>
      </c>
      <c r="O358" s="48">
        <v>1176.69</v>
      </c>
      <c r="P358" s="49" t="str">
        <f t="shared" si="38"/>
        <v>High</v>
      </c>
      <c r="Q358" s="48">
        <v>2201.54</v>
      </c>
      <c r="R358" s="48">
        <v>0.17</v>
      </c>
      <c r="S358" s="48">
        <v>27</v>
      </c>
      <c r="T358" s="48">
        <f t="shared" si="35"/>
        <v>28646.702999999998</v>
      </c>
      <c r="U358" s="38">
        <f t="shared" si="36"/>
        <v>31770.63</v>
      </c>
      <c r="V358" s="48">
        <f t="shared" si="39"/>
        <v>-3123.9270000000033</v>
      </c>
      <c r="W358" s="50">
        <f t="shared" si="40"/>
        <v>-0.1090501409533936</v>
      </c>
    </row>
    <row r="359" spans="1:23" x14ac:dyDescent="0.3">
      <c r="A359" s="39" t="s">
        <v>818</v>
      </c>
      <c r="B359" s="40">
        <v>45621</v>
      </c>
      <c r="C359" s="41">
        <v>45633</v>
      </c>
      <c r="D359" s="42">
        <f t="shared" si="41"/>
        <v>12</v>
      </c>
      <c r="E359" s="42" t="str">
        <f>TEXT(Data!B359,"MMM-YYYY")</f>
        <v>Nov-2024</v>
      </c>
      <c r="F359" s="42" t="str">
        <f t="shared" si="37"/>
        <v>Q4-2024</v>
      </c>
      <c r="G359" s="37" t="s">
        <v>45</v>
      </c>
      <c r="H359" s="37" t="s">
        <v>116</v>
      </c>
      <c r="I359" s="37" t="s">
        <v>162</v>
      </c>
      <c r="J359" s="37" t="s">
        <v>19</v>
      </c>
      <c r="K359" s="37" t="s">
        <v>55</v>
      </c>
      <c r="L359" s="37" t="s">
        <v>75</v>
      </c>
      <c r="M359" s="37" t="s">
        <v>81</v>
      </c>
      <c r="N359" s="37" t="s">
        <v>819</v>
      </c>
      <c r="O359" s="42">
        <v>769.9</v>
      </c>
      <c r="P359" s="43" t="str">
        <f t="shared" si="38"/>
        <v>High</v>
      </c>
      <c r="Q359" s="42">
        <v>814.36</v>
      </c>
      <c r="R359" s="42">
        <v>0</v>
      </c>
      <c r="S359" s="42">
        <v>5</v>
      </c>
      <c r="T359" s="42">
        <f t="shared" si="35"/>
        <v>4499.1500000000005</v>
      </c>
      <c r="U359" s="37">
        <f t="shared" si="36"/>
        <v>3849.5</v>
      </c>
      <c r="V359" s="42">
        <f t="shared" si="39"/>
        <v>649.65000000000055</v>
      </c>
      <c r="W359" s="44">
        <f t="shared" si="40"/>
        <v>0.14439394107775924</v>
      </c>
    </row>
    <row r="360" spans="1:23" x14ac:dyDescent="0.3">
      <c r="A360" s="45" t="s">
        <v>820</v>
      </c>
      <c r="B360" s="46">
        <v>45309</v>
      </c>
      <c r="C360" s="47">
        <v>45325</v>
      </c>
      <c r="D360" s="48">
        <f t="shared" si="41"/>
        <v>16</v>
      </c>
      <c r="E360" s="48" t="str">
        <f>TEXT(Data!B360,"MMM-YYYY")</f>
        <v>Jan-2024</v>
      </c>
      <c r="F360" s="48" t="str">
        <f t="shared" si="37"/>
        <v>Q1-2024</v>
      </c>
      <c r="G360" s="38" t="s">
        <v>16</v>
      </c>
      <c r="H360" s="38" t="s">
        <v>148</v>
      </c>
      <c r="I360" s="38" t="s">
        <v>258</v>
      </c>
      <c r="J360" s="38" t="s">
        <v>39</v>
      </c>
      <c r="K360" s="38" t="s">
        <v>55</v>
      </c>
      <c r="L360" s="38" t="s">
        <v>49</v>
      </c>
      <c r="M360" s="38" t="s">
        <v>30</v>
      </c>
      <c r="N360" s="38" t="s">
        <v>821</v>
      </c>
      <c r="O360" s="48">
        <v>666.23</v>
      </c>
      <c r="P360" s="49" t="str">
        <f t="shared" si="38"/>
        <v>High</v>
      </c>
      <c r="Q360" s="48">
        <v>1382.91</v>
      </c>
      <c r="R360" s="48">
        <v>0.17599999999999999</v>
      </c>
      <c r="S360" s="48">
        <v>13</v>
      </c>
      <c r="T360" s="48">
        <f t="shared" si="35"/>
        <v>9412.9557600000007</v>
      </c>
      <c r="U360" s="38">
        <f t="shared" si="36"/>
        <v>8660.99</v>
      </c>
      <c r="V360" s="48">
        <f t="shared" si="39"/>
        <v>751.96576000000096</v>
      </c>
      <c r="W360" s="50">
        <f t="shared" si="40"/>
        <v>7.9886252434697616E-2</v>
      </c>
    </row>
    <row r="361" spans="1:23" x14ac:dyDescent="0.3">
      <c r="A361" s="39" t="s">
        <v>822</v>
      </c>
      <c r="B361" s="40">
        <v>45466</v>
      </c>
      <c r="C361" s="41">
        <v>45468</v>
      </c>
      <c r="D361" s="42">
        <f t="shared" si="41"/>
        <v>2</v>
      </c>
      <c r="E361" s="42" t="str">
        <f>TEXT(Data!B361,"MMM-YYYY")</f>
        <v>Jun-2024</v>
      </c>
      <c r="F361" s="42" t="str">
        <f t="shared" si="37"/>
        <v>Q2-2024</v>
      </c>
      <c r="G361" s="37" t="s">
        <v>78</v>
      </c>
      <c r="H361" s="37" t="s">
        <v>108</v>
      </c>
      <c r="I361" s="37" t="s">
        <v>109</v>
      </c>
      <c r="J361" s="37" t="s">
        <v>62</v>
      </c>
      <c r="K361" s="37" t="s">
        <v>40</v>
      </c>
      <c r="L361" s="37" t="s">
        <v>49</v>
      </c>
      <c r="M361" s="37" t="s">
        <v>81</v>
      </c>
      <c r="N361" s="37" t="s">
        <v>823</v>
      </c>
      <c r="O361" s="42">
        <v>951.44</v>
      </c>
      <c r="P361" s="43" t="str">
        <f t="shared" si="38"/>
        <v>High</v>
      </c>
      <c r="Q361" s="42">
        <v>1646.43</v>
      </c>
      <c r="R361" s="42">
        <v>0.11</v>
      </c>
      <c r="S361" s="42">
        <v>24</v>
      </c>
      <c r="T361" s="42">
        <f t="shared" si="35"/>
        <v>12696.811199999998</v>
      </c>
      <c r="U361" s="37">
        <f t="shared" si="36"/>
        <v>22834.560000000001</v>
      </c>
      <c r="V361" s="42">
        <f t="shared" si="39"/>
        <v>-10137.748800000003</v>
      </c>
      <c r="W361" s="44">
        <f t="shared" si="40"/>
        <v>-0.79844841671741995</v>
      </c>
    </row>
    <row r="362" spans="1:23" x14ac:dyDescent="0.3">
      <c r="A362" s="45" t="s">
        <v>824</v>
      </c>
      <c r="B362" s="46">
        <v>45833</v>
      </c>
      <c r="C362" s="47">
        <v>45848</v>
      </c>
      <c r="D362" s="48">
        <f t="shared" si="41"/>
        <v>15</v>
      </c>
      <c r="E362" s="48" t="str">
        <f>TEXT(Data!B362,"MMM-YYYY")</f>
        <v>Jun-2025</v>
      </c>
      <c r="F362" s="48" t="str">
        <f t="shared" si="37"/>
        <v>Q2-2025</v>
      </c>
      <c r="G362" s="38" t="s">
        <v>78</v>
      </c>
      <c r="H362" s="38" t="s">
        <v>108</v>
      </c>
      <c r="I362" s="38" t="s">
        <v>109</v>
      </c>
      <c r="J362" s="38" t="s">
        <v>39</v>
      </c>
      <c r="K362" s="38" t="s">
        <v>40</v>
      </c>
      <c r="L362" s="38" t="s">
        <v>145</v>
      </c>
      <c r="M362" s="38" t="s">
        <v>42</v>
      </c>
      <c r="N362" s="38" t="s">
        <v>825</v>
      </c>
      <c r="O362" s="48">
        <v>546.83000000000004</v>
      </c>
      <c r="P362" s="49" t="str">
        <f t="shared" si="38"/>
        <v>High</v>
      </c>
      <c r="Q362" s="48">
        <v>400.84</v>
      </c>
      <c r="R362" s="48">
        <v>7.8E-2</v>
      </c>
      <c r="S362" s="48">
        <v>13</v>
      </c>
      <c r="T362" s="48">
        <f t="shared" si="35"/>
        <v>19391.5501</v>
      </c>
      <c r="U362" s="38">
        <f t="shared" si="36"/>
        <v>7108.7900000000009</v>
      </c>
      <c r="V362" s="48">
        <f t="shared" si="39"/>
        <v>12282.7601</v>
      </c>
      <c r="W362" s="50">
        <f t="shared" si="40"/>
        <v>0.63340785221703344</v>
      </c>
    </row>
    <row r="363" spans="1:23" x14ac:dyDescent="0.3">
      <c r="A363" s="39" t="s">
        <v>826</v>
      </c>
      <c r="B363" s="40">
        <v>45108</v>
      </c>
      <c r="C363" s="41">
        <v>45115</v>
      </c>
      <c r="D363" s="42">
        <f t="shared" si="41"/>
        <v>7</v>
      </c>
      <c r="E363" s="42" t="str">
        <f>TEXT(Data!B363,"MMM-YYYY")</f>
        <v>Jul-2023</v>
      </c>
      <c r="F363" s="42" t="str">
        <f t="shared" si="37"/>
        <v>Q3-2023</v>
      </c>
      <c r="G363" s="37" t="s">
        <v>16</v>
      </c>
      <c r="H363" s="37" t="s">
        <v>25</v>
      </c>
      <c r="I363" s="37" t="s">
        <v>26</v>
      </c>
      <c r="J363" s="37" t="s">
        <v>19</v>
      </c>
      <c r="K363" s="37" t="s">
        <v>20</v>
      </c>
      <c r="L363" s="37" t="s">
        <v>75</v>
      </c>
      <c r="M363" s="37" t="s">
        <v>57</v>
      </c>
      <c r="N363" s="37" t="s">
        <v>827</v>
      </c>
      <c r="O363" s="42">
        <v>834.26</v>
      </c>
      <c r="P363" s="43" t="str">
        <f t="shared" si="38"/>
        <v>High</v>
      </c>
      <c r="Q363" s="42">
        <v>1780.56</v>
      </c>
      <c r="R363" s="42">
        <v>1.4E-2</v>
      </c>
      <c r="S363" s="42">
        <v>47</v>
      </c>
      <c r="T363" s="42">
        <f t="shared" si="35"/>
        <v>45086.595219999996</v>
      </c>
      <c r="U363" s="37">
        <f t="shared" si="36"/>
        <v>39210.22</v>
      </c>
      <c r="V363" s="42">
        <f t="shared" si="39"/>
        <v>5876.3752199999944</v>
      </c>
      <c r="W363" s="44">
        <f t="shared" si="40"/>
        <v>0.13033530678744376</v>
      </c>
    </row>
    <row r="364" spans="1:23" x14ac:dyDescent="0.3">
      <c r="A364" s="45" t="s">
        <v>828</v>
      </c>
      <c r="B364" s="46">
        <v>45360</v>
      </c>
      <c r="C364" s="47">
        <v>45377</v>
      </c>
      <c r="D364" s="48">
        <f t="shared" si="41"/>
        <v>17</v>
      </c>
      <c r="E364" s="48" t="str">
        <f>TEXT(Data!B364,"MMM-YYYY")</f>
        <v>Mar-2024</v>
      </c>
      <c r="F364" s="48" t="str">
        <f t="shared" si="37"/>
        <v>Q1-2024</v>
      </c>
      <c r="G364" s="38" t="s">
        <v>45</v>
      </c>
      <c r="H364" s="38" t="s">
        <v>116</v>
      </c>
      <c r="I364" s="38" t="s">
        <v>117</v>
      </c>
      <c r="J364" s="38" t="s">
        <v>105</v>
      </c>
      <c r="K364" s="38" t="s">
        <v>28</v>
      </c>
      <c r="L364" s="38" t="s">
        <v>95</v>
      </c>
      <c r="M364" s="38" t="s">
        <v>64</v>
      </c>
      <c r="N364" s="38" t="s">
        <v>829</v>
      </c>
      <c r="O364" s="48">
        <v>1029.67</v>
      </c>
      <c r="P364" s="49" t="str">
        <f t="shared" si="38"/>
        <v>High</v>
      </c>
      <c r="Q364" s="48">
        <v>1118.43</v>
      </c>
      <c r="R364" s="48">
        <v>0.27200000000000002</v>
      </c>
      <c r="S364" s="48">
        <v>9</v>
      </c>
      <c r="T364" s="48">
        <f t="shared" si="35"/>
        <v>278.85311999999999</v>
      </c>
      <c r="U364" s="38">
        <f t="shared" si="36"/>
        <v>9267.0300000000007</v>
      </c>
      <c r="V364" s="48">
        <f t="shared" si="39"/>
        <v>-8988.1768800000009</v>
      </c>
      <c r="W364" s="50">
        <f t="shared" si="40"/>
        <v>-32.232656676030743</v>
      </c>
    </row>
    <row r="365" spans="1:23" x14ac:dyDescent="0.3">
      <c r="A365" s="39" t="s">
        <v>830</v>
      </c>
      <c r="B365" s="40">
        <v>45082</v>
      </c>
      <c r="C365" s="41">
        <v>45105</v>
      </c>
      <c r="D365" s="42">
        <f t="shared" si="41"/>
        <v>23</v>
      </c>
      <c r="E365" s="42" t="str">
        <f>TEXT(Data!B365,"MMM-YYYY")</f>
        <v>Jun-2023</v>
      </c>
      <c r="F365" s="42" t="str">
        <f t="shared" si="37"/>
        <v>Q2-2023</v>
      </c>
      <c r="G365" s="37" t="s">
        <v>78</v>
      </c>
      <c r="H365" s="37" t="s">
        <v>108</v>
      </c>
      <c r="I365" s="37" t="s">
        <v>109</v>
      </c>
      <c r="J365" s="37" t="s">
        <v>19</v>
      </c>
      <c r="K365" s="37" t="s">
        <v>98</v>
      </c>
      <c r="L365" s="37" t="s">
        <v>95</v>
      </c>
      <c r="M365" s="37" t="s">
        <v>30</v>
      </c>
      <c r="N365" s="37" t="s">
        <v>831</v>
      </c>
      <c r="O365" s="42">
        <v>605.82000000000005</v>
      </c>
      <c r="P365" s="43" t="str">
        <f t="shared" si="38"/>
        <v>High</v>
      </c>
      <c r="Q365" s="42">
        <v>771.12</v>
      </c>
      <c r="R365" s="42">
        <v>0.13200000000000001</v>
      </c>
      <c r="S365" s="42">
        <v>19</v>
      </c>
      <c r="T365" s="42">
        <f t="shared" si="35"/>
        <v>24421.848359999996</v>
      </c>
      <c r="U365" s="37">
        <f t="shared" si="36"/>
        <v>11510.580000000002</v>
      </c>
      <c r="V365" s="42">
        <f t="shared" si="39"/>
        <v>12911.268359999995</v>
      </c>
      <c r="W365" s="44">
        <f t="shared" si="40"/>
        <v>0.52867695227962652</v>
      </c>
    </row>
    <row r="366" spans="1:23" x14ac:dyDescent="0.3">
      <c r="A366" s="45" t="s">
        <v>832</v>
      </c>
      <c r="B366" s="46">
        <v>45737</v>
      </c>
      <c r="C366" s="47">
        <v>45756</v>
      </c>
      <c r="D366" s="48">
        <f t="shared" si="41"/>
        <v>19</v>
      </c>
      <c r="E366" s="48" t="str">
        <f>TEXT(Data!B366,"MMM-YYYY")</f>
        <v>Mar-2025</v>
      </c>
      <c r="F366" s="48" t="str">
        <f t="shared" si="37"/>
        <v>Q1-2025</v>
      </c>
      <c r="G366" s="38" t="s">
        <v>45</v>
      </c>
      <c r="H366" s="38" t="s">
        <v>46</v>
      </c>
      <c r="I366" s="38" t="s">
        <v>214</v>
      </c>
      <c r="J366" s="38" t="s">
        <v>62</v>
      </c>
      <c r="K366" s="38" t="s">
        <v>55</v>
      </c>
      <c r="L366" s="38" t="s">
        <v>63</v>
      </c>
      <c r="M366" s="38" t="s">
        <v>22</v>
      </c>
      <c r="N366" s="38" t="s">
        <v>833</v>
      </c>
      <c r="O366" s="48">
        <v>1055.45</v>
      </c>
      <c r="P366" s="49" t="str">
        <f t="shared" si="38"/>
        <v>High</v>
      </c>
      <c r="Q366" s="48">
        <v>1210.04</v>
      </c>
      <c r="R366" s="48">
        <v>8.9999999999999993E-3</v>
      </c>
      <c r="S366" s="48">
        <v>18</v>
      </c>
      <c r="T366" s="48">
        <f t="shared" si="35"/>
        <v>10065.26988</v>
      </c>
      <c r="U366" s="38">
        <f t="shared" si="36"/>
        <v>18998.100000000002</v>
      </c>
      <c r="V366" s="48">
        <f t="shared" si="39"/>
        <v>-8932.8301200000024</v>
      </c>
      <c r="W366" s="50">
        <f t="shared" si="40"/>
        <v>-0.887490372985409</v>
      </c>
    </row>
    <row r="367" spans="1:23" x14ac:dyDescent="0.3">
      <c r="A367" s="39" t="s">
        <v>834</v>
      </c>
      <c r="B367" s="40">
        <v>45445</v>
      </c>
      <c r="C367" s="41">
        <v>45458</v>
      </c>
      <c r="D367" s="42">
        <f t="shared" si="41"/>
        <v>13</v>
      </c>
      <c r="E367" s="42" t="str">
        <f>TEXT(Data!B367,"MMM-YYYY")</f>
        <v>Jun-2024</v>
      </c>
      <c r="F367" s="42" t="str">
        <f t="shared" si="37"/>
        <v>Q2-2024</v>
      </c>
      <c r="G367" s="37" t="s">
        <v>16</v>
      </c>
      <c r="H367" s="37" t="s">
        <v>17</v>
      </c>
      <c r="I367" s="37" t="s">
        <v>113</v>
      </c>
      <c r="J367" s="37" t="s">
        <v>27</v>
      </c>
      <c r="K367" s="37" t="s">
        <v>28</v>
      </c>
      <c r="L367" s="37" t="s">
        <v>68</v>
      </c>
      <c r="M367" s="37" t="s">
        <v>42</v>
      </c>
      <c r="N367" s="37" t="s">
        <v>835</v>
      </c>
      <c r="O367" s="42">
        <v>1295.18</v>
      </c>
      <c r="P367" s="43" t="str">
        <f t="shared" si="38"/>
        <v>High</v>
      </c>
      <c r="Q367" s="42">
        <v>3024.03</v>
      </c>
      <c r="R367" s="42">
        <v>0.192</v>
      </c>
      <c r="S367" s="42">
        <v>8</v>
      </c>
      <c r="T367" s="42">
        <f t="shared" si="35"/>
        <v>13814.925440000001</v>
      </c>
      <c r="U367" s="37">
        <f t="shared" si="36"/>
        <v>10361.44</v>
      </c>
      <c r="V367" s="42">
        <f t="shared" si="39"/>
        <v>3453.4854400000004</v>
      </c>
      <c r="W367" s="44">
        <f t="shared" si="40"/>
        <v>0.24998219896292109</v>
      </c>
    </row>
    <row r="368" spans="1:23" x14ac:dyDescent="0.3">
      <c r="A368" s="45" t="s">
        <v>836</v>
      </c>
      <c r="B368" s="46">
        <v>45731</v>
      </c>
      <c r="C368" s="47">
        <v>45745</v>
      </c>
      <c r="D368" s="48">
        <f t="shared" si="41"/>
        <v>14</v>
      </c>
      <c r="E368" s="48" t="str">
        <f>TEXT(Data!B368,"MMM-YYYY")</f>
        <v>Mar-2025</v>
      </c>
      <c r="F368" s="48" t="str">
        <f t="shared" si="37"/>
        <v>Q1-2025</v>
      </c>
      <c r="G368" s="38" t="s">
        <v>45</v>
      </c>
      <c r="H368" s="38" t="s">
        <v>60</v>
      </c>
      <c r="I368" s="38" t="s">
        <v>220</v>
      </c>
      <c r="J368" s="38" t="s">
        <v>105</v>
      </c>
      <c r="K368" s="38" t="s">
        <v>98</v>
      </c>
      <c r="L368" s="38" t="s">
        <v>21</v>
      </c>
      <c r="M368" s="38" t="s">
        <v>22</v>
      </c>
      <c r="N368" s="38" t="s">
        <v>837</v>
      </c>
      <c r="O368" s="48">
        <v>935.83</v>
      </c>
      <c r="P368" s="49" t="str">
        <f t="shared" si="38"/>
        <v>High</v>
      </c>
      <c r="Q368" s="48">
        <v>2303.46</v>
      </c>
      <c r="R368" s="48">
        <v>0.105</v>
      </c>
      <c r="S368" s="48">
        <v>9</v>
      </c>
      <c r="T368" s="48">
        <f t="shared" si="35"/>
        <v>13539.891150000001</v>
      </c>
      <c r="U368" s="38">
        <f t="shared" si="36"/>
        <v>8422.4700000000012</v>
      </c>
      <c r="V368" s="48">
        <f t="shared" si="39"/>
        <v>5117.4211500000001</v>
      </c>
      <c r="W368" s="50">
        <f t="shared" si="40"/>
        <v>0.37795142466858012</v>
      </c>
    </row>
    <row r="369" spans="1:23" x14ac:dyDescent="0.3">
      <c r="A369" s="39" t="s">
        <v>838</v>
      </c>
      <c r="B369" s="40">
        <v>45194</v>
      </c>
      <c r="C369" s="41">
        <v>45208</v>
      </c>
      <c r="D369" s="42">
        <f t="shared" si="41"/>
        <v>14</v>
      </c>
      <c r="E369" s="42" t="str">
        <f>TEXT(Data!B369,"MMM-YYYY")</f>
        <v>Sept-2023</v>
      </c>
      <c r="F369" s="42" t="str">
        <f t="shared" si="37"/>
        <v>Q3-2023</v>
      </c>
      <c r="G369" s="37" t="s">
        <v>52</v>
      </c>
      <c r="H369" s="37" t="s">
        <v>122</v>
      </c>
      <c r="I369" s="37" t="s">
        <v>387</v>
      </c>
      <c r="J369" s="37" t="s">
        <v>62</v>
      </c>
      <c r="K369" s="37" t="s">
        <v>40</v>
      </c>
      <c r="L369" s="37" t="s">
        <v>29</v>
      </c>
      <c r="M369" s="37" t="s">
        <v>57</v>
      </c>
      <c r="N369" s="37" t="s">
        <v>839</v>
      </c>
      <c r="O369" s="42">
        <v>1279.56</v>
      </c>
      <c r="P369" s="43" t="str">
        <f t="shared" si="38"/>
        <v>High</v>
      </c>
      <c r="Q369" s="42">
        <v>3083.8</v>
      </c>
      <c r="R369" s="42">
        <v>0.106</v>
      </c>
      <c r="S369" s="42">
        <v>5</v>
      </c>
      <c r="T369" s="42">
        <f t="shared" si="35"/>
        <v>12985.618199999999</v>
      </c>
      <c r="U369" s="37">
        <f t="shared" si="36"/>
        <v>6397.7999999999993</v>
      </c>
      <c r="V369" s="42">
        <f t="shared" si="39"/>
        <v>6587.8181999999997</v>
      </c>
      <c r="W369" s="44">
        <f t="shared" si="40"/>
        <v>0.50731648648040495</v>
      </c>
    </row>
    <row r="370" spans="1:23" x14ac:dyDescent="0.3">
      <c r="A370" s="45" t="s">
        <v>840</v>
      </c>
      <c r="B370" s="46">
        <v>45832</v>
      </c>
      <c r="C370" s="47">
        <v>45861</v>
      </c>
      <c r="D370" s="48">
        <f t="shared" si="41"/>
        <v>29</v>
      </c>
      <c r="E370" s="48" t="str">
        <f>TEXT(Data!B370,"MMM-YYYY")</f>
        <v>Jun-2025</v>
      </c>
      <c r="F370" s="48" t="str">
        <f t="shared" si="37"/>
        <v>Q2-2025</v>
      </c>
      <c r="G370" s="38" t="s">
        <v>52</v>
      </c>
      <c r="H370" s="38" t="s">
        <v>53</v>
      </c>
      <c r="I370" s="38" t="s">
        <v>179</v>
      </c>
      <c r="J370" s="38" t="s">
        <v>39</v>
      </c>
      <c r="K370" s="38" t="s">
        <v>40</v>
      </c>
      <c r="L370" s="38" t="s">
        <v>34</v>
      </c>
      <c r="M370" s="38" t="s">
        <v>30</v>
      </c>
      <c r="N370" s="38" t="s">
        <v>841</v>
      </c>
      <c r="O370" s="48">
        <v>255.4</v>
      </c>
      <c r="P370" s="49" t="str">
        <f t="shared" si="38"/>
        <v>High</v>
      </c>
      <c r="Q370" s="48">
        <v>322.70999999999998</v>
      </c>
      <c r="R370" s="48">
        <v>0.115</v>
      </c>
      <c r="S370" s="48">
        <v>16</v>
      </c>
      <c r="T370" s="48">
        <f t="shared" si="35"/>
        <v>11923.994400000001</v>
      </c>
      <c r="U370" s="38">
        <f t="shared" si="36"/>
        <v>4086.4</v>
      </c>
      <c r="V370" s="48">
        <f t="shared" si="39"/>
        <v>7837.5944000000018</v>
      </c>
      <c r="W370" s="50">
        <f t="shared" si="40"/>
        <v>0.65729604837788258</v>
      </c>
    </row>
    <row r="371" spans="1:23" x14ac:dyDescent="0.3">
      <c r="A371" s="39" t="s">
        <v>842</v>
      </c>
      <c r="B371" s="40">
        <v>45286</v>
      </c>
      <c r="C371" s="41">
        <v>45294</v>
      </c>
      <c r="D371" s="42">
        <f t="shared" si="41"/>
        <v>8</v>
      </c>
      <c r="E371" s="42" t="str">
        <f>TEXT(Data!B371,"MMM-YYYY")</f>
        <v>Dec-2023</v>
      </c>
      <c r="F371" s="42" t="str">
        <f t="shared" si="37"/>
        <v>Q4-2023</v>
      </c>
      <c r="G371" s="37" t="s">
        <v>78</v>
      </c>
      <c r="H371" s="37" t="s">
        <v>90</v>
      </c>
      <c r="I371" s="37" t="s">
        <v>138</v>
      </c>
      <c r="J371" s="37" t="s">
        <v>62</v>
      </c>
      <c r="K371" s="37" t="s">
        <v>20</v>
      </c>
      <c r="L371" s="37" t="s">
        <v>110</v>
      </c>
      <c r="M371" s="37" t="s">
        <v>57</v>
      </c>
      <c r="N371" s="37" t="s">
        <v>843</v>
      </c>
      <c r="O371" s="42">
        <v>492.75</v>
      </c>
      <c r="P371" s="43" t="str">
        <f t="shared" si="38"/>
        <v>High</v>
      </c>
      <c r="Q371" s="42">
        <v>731.29</v>
      </c>
      <c r="R371" s="42">
        <v>5.8000000000000003E-2</v>
      </c>
      <c r="S371" s="42">
        <v>6</v>
      </c>
      <c r="T371" s="42">
        <f t="shared" si="35"/>
        <v>17698.503240000002</v>
      </c>
      <c r="U371" s="37">
        <f t="shared" si="36"/>
        <v>2956.5</v>
      </c>
      <c r="V371" s="42">
        <f t="shared" si="39"/>
        <v>14742.003240000002</v>
      </c>
      <c r="W371" s="44">
        <f t="shared" si="40"/>
        <v>0.83295197566096557</v>
      </c>
    </row>
    <row r="372" spans="1:23" x14ac:dyDescent="0.3">
      <c r="A372" s="45" t="s">
        <v>844</v>
      </c>
      <c r="B372" s="46">
        <v>44962</v>
      </c>
      <c r="C372" s="47">
        <v>44985</v>
      </c>
      <c r="D372" s="48">
        <f t="shared" si="41"/>
        <v>23</v>
      </c>
      <c r="E372" s="48" t="str">
        <f>TEXT(Data!B372,"MMM-YYYY")</f>
        <v>Feb-2023</v>
      </c>
      <c r="F372" s="48" t="str">
        <f t="shared" si="37"/>
        <v>Q1-2023</v>
      </c>
      <c r="G372" s="38" t="s">
        <v>52</v>
      </c>
      <c r="H372" s="38" t="s">
        <v>122</v>
      </c>
      <c r="I372" s="38" t="s">
        <v>326</v>
      </c>
      <c r="J372" s="38" t="s">
        <v>39</v>
      </c>
      <c r="K372" s="38" t="s">
        <v>55</v>
      </c>
      <c r="L372" s="38" t="s">
        <v>49</v>
      </c>
      <c r="M372" s="38" t="s">
        <v>42</v>
      </c>
      <c r="N372" s="38" t="s">
        <v>845</v>
      </c>
      <c r="O372" s="48">
        <v>1214.49</v>
      </c>
      <c r="P372" s="49" t="str">
        <f t="shared" si="38"/>
        <v>High</v>
      </c>
      <c r="Q372" s="48">
        <v>1533.95</v>
      </c>
      <c r="R372" s="48">
        <v>0</v>
      </c>
      <c r="S372" s="48">
        <v>11</v>
      </c>
      <c r="T372" s="48">
        <f t="shared" si="35"/>
        <v>15891.92</v>
      </c>
      <c r="U372" s="38">
        <f t="shared" si="36"/>
        <v>13359.39</v>
      </c>
      <c r="V372" s="48">
        <f t="shared" si="39"/>
        <v>2532.5300000000007</v>
      </c>
      <c r="W372" s="50">
        <f t="shared" si="40"/>
        <v>0.15935959909186559</v>
      </c>
    </row>
    <row r="373" spans="1:23" x14ac:dyDescent="0.3">
      <c r="A373" s="39" t="s">
        <v>846</v>
      </c>
      <c r="B373" s="40">
        <v>45022</v>
      </c>
      <c r="C373" s="41">
        <v>45024</v>
      </c>
      <c r="D373" s="42">
        <f t="shared" si="41"/>
        <v>2</v>
      </c>
      <c r="E373" s="42" t="str">
        <f>TEXT(Data!B373,"MMM-YYYY")</f>
        <v>Apr-2023</v>
      </c>
      <c r="F373" s="42" t="str">
        <f t="shared" si="37"/>
        <v>Q2-2023</v>
      </c>
      <c r="G373" s="37" t="s">
        <v>16</v>
      </c>
      <c r="H373" s="37" t="s">
        <v>25</v>
      </c>
      <c r="I373" s="37" t="s">
        <v>67</v>
      </c>
      <c r="J373" s="37" t="s">
        <v>62</v>
      </c>
      <c r="K373" s="37" t="s">
        <v>40</v>
      </c>
      <c r="L373" s="37" t="s">
        <v>95</v>
      </c>
      <c r="M373" s="37" t="s">
        <v>64</v>
      </c>
      <c r="N373" s="37" t="s">
        <v>847</v>
      </c>
      <c r="O373" s="42">
        <v>720.35</v>
      </c>
      <c r="P373" s="43" t="str">
        <f t="shared" si="38"/>
        <v>High</v>
      </c>
      <c r="Q373" s="42">
        <v>1571.66</v>
      </c>
      <c r="R373" s="42">
        <v>0.107</v>
      </c>
      <c r="S373" s="42">
        <v>23</v>
      </c>
      <c r="T373" s="42">
        <f t="shared" si="35"/>
        <v>59066.056200000006</v>
      </c>
      <c r="U373" s="37">
        <f t="shared" si="36"/>
        <v>16568.05</v>
      </c>
      <c r="V373" s="42">
        <f t="shared" si="39"/>
        <v>42498.006200000003</v>
      </c>
      <c r="W373" s="44">
        <f t="shared" si="40"/>
        <v>0.71949964047201787</v>
      </c>
    </row>
    <row r="374" spans="1:23" x14ac:dyDescent="0.3">
      <c r="A374" s="45" t="s">
        <v>848</v>
      </c>
      <c r="B374" s="46">
        <v>45751</v>
      </c>
      <c r="C374" s="47">
        <v>45757</v>
      </c>
      <c r="D374" s="48">
        <f t="shared" si="41"/>
        <v>6</v>
      </c>
      <c r="E374" s="48" t="str">
        <f>TEXT(Data!B374,"MMM-YYYY")</f>
        <v>Apr-2025</v>
      </c>
      <c r="F374" s="48" t="str">
        <f t="shared" si="37"/>
        <v>Q2-2025</v>
      </c>
      <c r="G374" s="38" t="s">
        <v>78</v>
      </c>
      <c r="H374" s="38" t="s">
        <v>108</v>
      </c>
      <c r="I374" s="38" t="s">
        <v>109</v>
      </c>
      <c r="J374" s="38" t="s">
        <v>39</v>
      </c>
      <c r="K374" s="38" t="s">
        <v>98</v>
      </c>
      <c r="L374" s="38" t="s">
        <v>126</v>
      </c>
      <c r="M374" s="38" t="s">
        <v>30</v>
      </c>
      <c r="N374" s="38" t="s">
        <v>849</v>
      </c>
      <c r="O374" s="48">
        <v>290.14</v>
      </c>
      <c r="P374" s="49" t="str">
        <f t="shared" si="38"/>
        <v>High</v>
      </c>
      <c r="Q374" s="48">
        <v>250.73</v>
      </c>
      <c r="R374" s="48">
        <v>3.4000000000000002E-2</v>
      </c>
      <c r="S374" s="48">
        <v>17</v>
      </c>
      <c r="T374" s="48">
        <f t="shared" si="35"/>
        <v>26958.519419999997</v>
      </c>
      <c r="U374" s="38">
        <f t="shared" si="36"/>
        <v>4932.38</v>
      </c>
      <c r="V374" s="48">
        <f t="shared" si="39"/>
        <v>22026.139419999996</v>
      </c>
      <c r="W374" s="50">
        <f t="shared" si="40"/>
        <v>0.81703817174986382</v>
      </c>
    </row>
    <row r="375" spans="1:23" x14ac:dyDescent="0.3">
      <c r="A375" s="39" t="s">
        <v>850</v>
      </c>
      <c r="B375" s="40">
        <v>45429</v>
      </c>
      <c r="C375" s="41">
        <v>45439</v>
      </c>
      <c r="D375" s="42">
        <f t="shared" si="41"/>
        <v>10</v>
      </c>
      <c r="E375" s="42" t="str">
        <f>TEXT(Data!B375,"MMM-YYYY")</f>
        <v>May-2024</v>
      </c>
      <c r="F375" s="42" t="str">
        <f t="shared" si="37"/>
        <v>Q2-2024</v>
      </c>
      <c r="G375" s="37" t="s">
        <v>52</v>
      </c>
      <c r="H375" s="37" t="s">
        <v>122</v>
      </c>
      <c r="I375" s="37" t="s">
        <v>326</v>
      </c>
      <c r="J375" s="37" t="s">
        <v>39</v>
      </c>
      <c r="K375" s="37" t="s">
        <v>28</v>
      </c>
      <c r="L375" s="37" t="s">
        <v>21</v>
      </c>
      <c r="M375" s="37" t="s">
        <v>42</v>
      </c>
      <c r="N375" s="37" t="s">
        <v>851</v>
      </c>
      <c r="O375" s="42">
        <v>1484.23</v>
      </c>
      <c r="P375" s="43" t="str">
        <f t="shared" si="38"/>
        <v>High</v>
      </c>
      <c r="Q375" s="42">
        <v>3472.81</v>
      </c>
      <c r="R375" s="42">
        <v>0.25600000000000001</v>
      </c>
      <c r="S375" s="42">
        <v>12</v>
      </c>
      <c r="T375" s="42">
        <f t="shared" si="35"/>
        <v>11597.65056</v>
      </c>
      <c r="U375" s="37">
        <f t="shared" si="36"/>
        <v>17810.760000000002</v>
      </c>
      <c r="V375" s="42">
        <f t="shared" si="39"/>
        <v>-6213.109440000002</v>
      </c>
      <c r="W375" s="44">
        <f t="shared" si="40"/>
        <v>-0.53572138665988589</v>
      </c>
    </row>
    <row r="376" spans="1:23" x14ac:dyDescent="0.3">
      <c r="A376" s="45" t="s">
        <v>852</v>
      </c>
      <c r="B376" s="46">
        <v>45354</v>
      </c>
      <c r="C376" s="47">
        <v>45370</v>
      </c>
      <c r="D376" s="48">
        <f t="shared" si="41"/>
        <v>16</v>
      </c>
      <c r="E376" s="48" t="str">
        <f>TEXT(Data!B376,"MMM-YYYY")</f>
        <v>Mar-2024</v>
      </c>
      <c r="F376" s="48" t="str">
        <f t="shared" si="37"/>
        <v>Q1-2024</v>
      </c>
      <c r="G376" s="38" t="s">
        <v>45</v>
      </c>
      <c r="H376" s="38" t="s">
        <v>116</v>
      </c>
      <c r="I376" s="38" t="s">
        <v>338</v>
      </c>
      <c r="J376" s="38" t="s">
        <v>48</v>
      </c>
      <c r="K376" s="38" t="s">
        <v>55</v>
      </c>
      <c r="L376" s="38" t="s">
        <v>41</v>
      </c>
      <c r="M376" s="38" t="s">
        <v>42</v>
      </c>
      <c r="N376" s="38" t="s">
        <v>853</v>
      </c>
      <c r="O376" s="48">
        <v>988.83</v>
      </c>
      <c r="P376" s="49" t="str">
        <f t="shared" si="38"/>
        <v>High</v>
      </c>
      <c r="Q376" s="48">
        <v>1206.04</v>
      </c>
      <c r="R376" s="48">
        <v>6.3E-2</v>
      </c>
      <c r="S376" s="48">
        <v>34</v>
      </c>
      <c r="T376" s="48">
        <f t="shared" si="35"/>
        <v>35635.084480000005</v>
      </c>
      <c r="U376" s="38">
        <f t="shared" si="36"/>
        <v>33620.22</v>
      </c>
      <c r="V376" s="48">
        <f t="shared" si="39"/>
        <v>2014.8644800000038</v>
      </c>
      <c r="W376" s="50">
        <f t="shared" si="40"/>
        <v>5.6541594033005182E-2</v>
      </c>
    </row>
    <row r="377" spans="1:23" x14ac:dyDescent="0.3">
      <c r="A377" s="39" t="s">
        <v>854</v>
      </c>
      <c r="B377" s="40">
        <v>45835</v>
      </c>
      <c r="C377" s="41">
        <v>45849</v>
      </c>
      <c r="D377" s="42">
        <f t="shared" si="41"/>
        <v>14</v>
      </c>
      <c r="E377" s="42" t="str">
        <f>TEXT(Data!B377,"MMM-YYYY")</f>
        <v>Jun-2025</v>
      </c>
      <c r="F377" s="42" t="str">
        <f t="shared" si="37"/>
        <v>Q2-2025</v>
      </c>
      <c r="G377" s="37" t="s">
        <v>45</v>
      </c>
      <c r="H377" s="37" t="s">
        <v>116</v>
      </c>
      <c r="I377" s="37" t="s">
        <v>162</v>
      </c>
      <c r="J377" s="37" t="s">
        <v>62</v>
      </c>
      <c r="K377" s="37" t="s">
        <v>40</v>
      </c>
      <c r="L377" s="37" t="s">
        <v>49</v>
      </c>
      <c r="M377" s="37" t="s">
        <v>35</v>
      </c>
      <c r="N377" s="37" t="s">
        <v>855</v>
      </c>
      <c r="O377" s="42">
        <v>1227.7</v>
      </c>
      <c r="P377" s="43" t="str">
        <f t="shared" si="38"/>
        <v>High</v>
      </c>
      <c r="Q377" s="42">
        <v>2197.23</v>
      </c>
      <c r="R377" s="42">
        <v>9.9000000000000005E-2</v>
      </c>
      <c r="S377" s="42">
        <v>22</v>
      </c>
      <c r="T377" s="42">
        <f t="shared" si="35"/>
        <v>23483.321620000002</v>
      </c>
      <c r="U377" s="37">
        <f t="shared" si="36"/>
        <v>27009.4</v>
      </c>
      <c r="V377" s="42">
        <f t="shared" si="39"/>
        <v>-3526.078379999999</v>
      </c>
      <c r="W377" s="44">
        <f t="shared" si="40"/>
        <v>-0.15015245445503542</v>
      </c>
    </row>
    <row r="378" spans="1:23" x14ac:dyDescent="0.3">
      <c r="A378" s="45" t="s">
        <v>856</v>
      </c>
      <c r="B378" s="46">
        <v>44998</v>
      </c>
      <c r="C378" s="47">
        <v>45020</v>
      </c>
      <c r="D378" s="48">
        <f t="shared" si="41"/>
        <v>22</v>
      </c>
      <c r="E378" s="48" t="str">
        <f>TEXT(Data!B378,"MMM-YYYY")</f>
        <v>Mar-2023</v>
      </c>
      <c r="F378" s="48" t="str">
        <f t="shared" si="37"/>
        <v>Q1-2023</v>
      </c>
      <c r="G378" s="38" t="s">
        <v>16</v>
      </c>
      <c r="H378" s="38" t="s">
        <v>148</v>
      </c>
      <c r="I378" s="38" t="s">
        <v>172</v>
      </c>
      <c r="J378" s="38" t="s">
        <v>62</v>
      </c>
      <c r="K378" s="38" t="s">
        <v>20</v>
      </c>
      <c r="L378" s="38" t="s">
        <v>75</v>
      </c>
      <c r="M378" s="38" t="s">
        <v>22</v>
      </c>
      <c r="N378" s="38" t="s">
        <v>857</v>
      </c>
      <c r="O378" s="48">
        <v>1113.7</v>
      </c>
      <c r="P378" s="49" t="str">
        <f t="shared" si="38"/>
        <v>High</v>
      </c>
      <c r="Q378" s="48">
        <v>1620.6</v>
      </c>
      <c r="R378" s="48">
        <v>0.13900000000000001</v>
      </c>
      <c r="S378" s="48">
        <v>11</v>
      </c>
      <c r="T378" s="48">
        <f t="shared" si="35"/>
        <v>11379.122369999999</v>
      </c>
      <c r="U378" s="38">
        <f t="shared" si="36"/>
        <v>12250.7</v>
      </c>
      <c r="V378" s="48">
        <f t="shared" si="39"/>
        <v>-871.57763000000159</v>
      </c>
      <c r="W378" s="50">
        <f t="shared" si="40"/>
        <v>-7.6594450930401736E-2</v>
      </c>
    </row>
    <row r="379" spans="1:23" x14ac:dyDescent="0.3">
      <c r="A379" s="39" t="s">
        <v>858</v>
      </c>
      <c r="B379" s="40">
        <v>45664</v>
      </c>
      <c r="C379" s="41">
        <v>45677</v>
      </c>
      <c r="D379" s="42">
        <f t="shared" si="41"/>
        <v>13</v>
      </c>
      <c r="E379" s="42" t="str">
        <f>TEXT(Data!B379,"MMM-YYYY")</f>
        <v>Jan-2025</v>
      </c>
      <c r="F379" s="42" t="str">
        <f t="shared" si="37"/>
        <v>Q1-2025</v>
      </c>
      <c r="G379" s="37" t="s">
        <v>16</v>
      </c>
      <c r="H379" s="37" t="s">
        <v>148</v>
      </c>
      <c r="I379" s="37" t="s">
        <v>258</v>
      </c>
      <c r="J379" s="37" t="s">
        <v>19</v>
      </c>
      <c r="K379" s="37" t="s">
        <v>98</v>
      </c>
      <c r="L379" s="37" t="s">
        <v>95</v>
      </c>
      <c r="M379" s="37" t="s">
        <v>35</v>
      </c>
      <c r="N379" s="37" t="s">
        <v>859</v>
      </c>
      <c r="O379" s="42">
        <v>432.13</v>
      </c>
      <c r="P379" s="43" t="str">
        <f t="shared" si="38"/>
        <v>High</v>
      </c>
      <c r="Q379" s="42">
        <v>1034.6600000000001</v>
      </c>
      <c r="R379" s="42">
        <v>9.1999999999999998E-2</v>
      </c>
      <c r="S379" s="42">
        <v>7</v>
      </c>
      <c r="T379" s="42">
        <f t="shared" si="35"/>
        <v>5599.5724400000008</v>
      </c>
      <c r="U379" s="37">
        <f t="shared" si="36"/>
        <v>3024.91</v>
      </c>
      <c r="V379" s="42">
        <f t="shared" si="39"/>
        <v>2574.662440000001</v>
      </c>
      <c r="W379" s="44">
        <f t="shared" si="40"/>
        <v>0.45979625544410324</v>
      </c>
    </row>
    <row r="380" spans="1:23" x14ac:dyDescent="0.3">
      <c r="A380" s="45" t="s">
        <v>860</v>
      </c>
      <c r="B380" s="46">
        <v>45694</v>
      </c>
      <c r="C380" s="47">
        <v>45703</v>
      </c>
      <c r="D380" s="48">
        <f t="shared" si="41"/>
        <v>9</v>
      </c>
      <c r="E380" s="48" t="str">
        <f>TEXT(Data!B380,"MMM-YYYY")</f>
        <v>Feb-2025</v>
      </c>
      <c r="F380" s="48" t="str">
        <f t="shared" si="37"/>
        <v>Q1-2025</v>
      </c>
      <c r="G380" s="38" t="s">
        <v>52</v>
      </c>
      <c r="H380" s="38" t="s">
        <v>73</v>
      </c>
      <c r="I380" s="38" t="s">
        <v>74</v>
      </c>
      <c r="J380" s="38" t="s">
        <v>39</v>
      </c>
      <c r="K380" s="38" t="s">
        <v>55</v>
      </c>
      <c r="L380" s="38" t="s">
        <v>84</v>
      </c>
      <c r="M380" s="38" t="s">
        <v>35</v>
      </c>
      <c r="N380" s="38" t="s">
        <v>861</v>
      </c>
      <c r="O380" s="48">
        <v>837.39</v>
      </c>
      <c r="P380" s="49" t="str">
        <f t="shared" si="38"/>
        <v>High</v>
      </c>
      <c r="Q380" s="48">
        <v>1905.42</v>
      </c>
      <c r="R380" s="48">
        <v>3.2000000000000001E-2</v>
      </c>
      <c r="S380" s="48">
        <v>18</v>
      </c>
      <c r="T380" s="48">
        <f t="shared" si="35"/>
        <v>35734.358879999992</v>
      </c>
      <c r="U380" s="38">
        <f t="shared" si="36"/>
        <v>15073.02</v>
      </c>
      <c r="V380" s="48">
        <f t="shared" si="39"/>
        <v>20661.338879999992</v>
      </c>
      <c r="W380" s="50">
        <f t="shared" si="40"/>
        <v>0.57819251632254265</v>
      </c>
    </row>
    <row r="381" spans="1:23" x14ac:dyDescent="0.3">
      <c r="A381" s="39" t="s">
        <v>862</v>
      </c>
      <c r="B381" s="40">
        <v>45688</v>
      </c>
      <c r="C381" s="41">
        <v>45705</v>
      </c>
      <c r="D381" s="42">
        <f t="shared" si="41"/>
        <v>17</v>
      </c>
      <c r="E381" s="42" t="str">
        <f>TEXT(Data!B381,"MMM-YYYY")</f>
        <v>Jan-2025</v>
      </c>
      <c r="F381" s="42" t="str">
        <f t="shared" si="37"/>
        <v>Q1-2025</v>
      </c>
      <c r="G381" s="37" t="s">
        <v>78</v>
      </c>
      <c r="H381" s="37" t="s">
        <v>108</v>
      </c>
      <c r="I381" s="37" t="s">
        <v>152</v>
      </c>
      <c r="J381" s="37" t="s">
        <v>105</v>
      </c>
      <c r="K381" s="37" t="s">
        <v>20</v>
      </c>
      <c r="L381" s="37" t="s">
        <v>92</v>
      </c>
      <c r="M381" s="37" t="s">
        <v>22</v>
      </c>
      <c r="N381" s="37" t="s">
        <v>254</v>
      </c>
      <c r="O381" s="42">
        <v>378.26</v>
      </c>
      <c r="P381" s="43" t="str">
        <f t="shared" si="38"/>
        <v>High</v>
      </c>
      <c r="Q381" s="42">
        <v>541.55999999999995</v>
      </c>
      <c r="R381" s="42">
        <v>0.16300000000000001</v>
      </c>
      <c r="S381" s="42">
        <v>25</v>
      </c>
      <c r="T381" s="42">
        <f t="shared" si="35"/>
        <v>36365.557499999995</v>
      </c>
      <c r="U381" s="37">
        <f t="shared" si="36"/>
        <v>9456.5</v>
      </c>
      <c r="V381" s="42">
        <f t="shared" si="39"/>
        <v>26909.057499999995</v>
      </c>
      <c r="W381" s="44">
        <f t="shared" si="40"/>
        <v>0.73995998823887132</v>
      </c>
    </row>
    <row r="382" spans="1:23" x14ac:dyDescent="0.3">
      <c r="A382" s="45" t="s">
        <v>863</v>
      </c>
      <c r="B382" s="46">
        <v>45876</v>
      </c>
      <c r="C382" s="47">
        <v>45906</v>
      </c>
      <c r="D382" s="48">
        <f t="shared" si="41"/>
        <v>30</v>
      </c>
      <c r="E382" s="48" t="str">
        <f>TEXT(Data!B382,"MMM-YYYY")</f>
        <v>Aug-2025</v>
      </c>
      <c r="F382" s="48" t="str">
        <f t="shared" si="37"/>
        <v>Q3-2025</v>
      </c>
      <c r="G382" s="38" t="s">
        <v>52</v>
      </c>
      <c r="H382" s="38" t="s">
        <v>53</v>
      </c>
      <c r="I382" s="38" t="s">
        <v>144</v>
      </c>
      <c r="J382" s="38" t="s">
        <v>27</v>
      </c>
      <c r="K382" s="38" t="s">
        <v>98</v>
      </c>
      <c r="L382" s="38" t="s">
        <v>110</v>
      </c>
      <c r="M382" s="38" t="s">
        <v>35</v>
      </c>
      <c r="N382" s="38" t="s">
        <v>864</v>
      </c>
      <c r="O382" s="48">
        <v>833.73</v>
      </c>
      <c r="P382" s="49" t="str">
        <f t="shared" si="38"/>
        <v>High</v>
      </c>
      <c r="Q382" s="48">
        <v>1116.5999999999999</v>
      </c>
      <c r="R382" s="48">
        <v>0.17599999999999999</v>
      </c>
      <c r="S382" s="48">
        <v>14</v>
      </c>
      <c r="T382" s="48">
        <f t="shared" si="35"/>
        <v>16015.544160000001</v>
      </c>
      <c r="U382" s="38">
        <f t="shared" si="36"/>
        <v>11672.220000000001</v>
      </c>
      <c r="V382" s="48">
        <f t="shared" si="39"/>
        <v>4343.3241600000001</v>
      </c>
      <c r="W382" s="50">
        <f t="shared" si="40"/>
        <v>0.27119429203334666</v>
      </c>
    </row>
    <row r="383" spans="1:23" x14ac:dyDescent="0.3">
      <c r="A383" s="39" t="s">
        <v>865</v>
      </c>
      <c r="B383" s="40">
        <v>45861</v>
      </c>
      <c r="C383" s="41">
        <v>45886</v>
      </c>
      <c r="D383" s="42">
        <f t="shared" si="41"/>
        <v>25</v>
      </c>
      <c r="E383" s="42" t="str">
        <f>TEXT(Data!B383,"MMM-YYYY")</f>
        <v>Jul-2025</v>
      </c>
      <c r="F383" s="42" t="str">
        <f t="shared" si="37"/>
        <v>Q3-2025</v>
      </c>
      <c r="G383" s="37" t="s">
        <v>78</v>
      </c>
      <c r="H383" s="37" t="s">
        <v>108</v>
      </c>
      <c r="I383" s="37" t="s">
        <v>109</v>
      </c>
      <c r="J383" s="37" t="s">
        <v>27</v>
      </c>
      <c r="K383" s="37" t="s">
        <v>28</v>
      </c>
      <c r="L383" s="37" t="s">
        <v>34</v>
      </c>
      <c r="M383" s="37" t="s">
        <v>30</v>
      </c>
      <c r="N383" s="37" t="s">
        <v>866</v>
      </c>
      <c r="O383" s="42">
        <v>1142.06</v>
      </c>
      <c r="P383" s="43" t="str">
        <f t="shared" si="38"/>
        <v>High</v>
      </c>
      <c r="Q383" s="42">
        <v>1455</v>
      </c>
      <c r="R383" s="42">
        <v>7.8E-2</v>
      </c>
      <c r="S383" s="42">
        <v>28</v>
      </c>
      <c r="T383" s="42">
        <f t="shared" si="35"/>
        <v>13660.278240000001</v>
      </c>
      <c r="U383" s="37">
        <f t="shared" si="36"/>
        <v>31977.68</v>
      </c>
      <c r="V383" s="42">
        <f t="shared" si="39"/>
        <v>-18317.401760000001</v>
      </c>
      <c r="W383" s="44">
        <f t="shared" si="40"/>
        <v>-1.3409244993533893</v>
      </c>
    </row>
    <row r="384" spans="1:23" x14ac:dyDescent="0.3">
      <c r="A384" s="45" t="s">
        <v>867</v>
      </c>
      <c r="B384" s="46">
        <v>45097</v>
      </c>
      <c r="C384" s="47">
        <v>45115</v>
      </c>
      <c r="D384" s="48">
        <f t="shared" si="41"/>
        <v>18</v>
      </c>
      <c r="E384" s="48" t="str">
        <f>TEXT(Data!B384,"MMM-YYYY")</f>
        <v>Jun-2023</v>
      </c>
      <c r="F384" s="48" t="str">
        <f t="shared" si="37"/>
        <v>Q2-2023</v>
      </c>
      <c r="G384" s="38" t="s">
        <v>52</v>
      </c>
      <c r="H384" s="38" t="s">
        <v>122</v>
      </c>
      <c r="I384" s="38" t="s">
        <v>387</v>
      </c>
      <c r="J384" s="38" t="s">
        <v>48</v>
      </c>
      <c r="K384" s="38" t="s">
        <v>40</v>
      </c>
      <c r="L384" s="38" t="s">
        <v>68</v>
      </c>
      <c r="M384" s="38" t="s">
        <v>35</v>
      </c>
      <c r="N384" s="38" t="s">
        <v>868</v>
      </c>
      <c r="O384" s="48">
        <v>1145.53</v>
      </c>
      <c r="P384" s="49" t="str">
        <f t="shared" si="38"/>
        <v>High</v>
      </c>
      <c r="Q384" s="48">
        <v>1278.3</v>
      </c>
      <c r="R384" s="48">
        <v>0.09</v>
      </c>
      <c r="S384" s="48">
        <v>41</v>
      </c>
      <c r="T384" s="48">
        <f t="shared" si="35"/>
        <v>73589.497799999997</v>
      </c>
      <c r="U384" s="38">
        <f t="shared" si="36"/>
        <v>46966.729999999996</v>
      </c>
      <c r="V384" s="48">
        <f t="shared" si="39"/>
        <v>26622.767800000001</v>
      </c>
      <c r="W384" s="50">
        <f t="shared" si="40"/>
        <v>0.36177401118234026</v>
      </c>
    </row>
    <row r="385" spans="1:23" x14ac:dyDescent="0.3">
      <c r="A385" s="39" t="s">
        <v>869</v>
      </c>
      <c r="B385" s="40">
        <v>45491</v>
      </c>
      <c r="C385" s="41">
        <v>45511</v>
      </c>
      <c r="D385" s="42">
        <f t="shared" si="41"/>
        <v>20</v>
      </c>
      <c r="E385" s="42" t="str">
        <f>TEXT(Data!B385,"MMM-YYYY")</f>
        <v>Jul-2024</v>
      </c>
      <c r="F385" s="42" t="str">
        <f t="shared" si="37"/>
        <v>Q3-2024</v>
      </c>
      <c r="G385" s="37" t="s">
        <v>78</v>
      </c>
      <c r="H385" s="37" t="s">
        <v>90</v>
      </c>
      <c r="I385" s="37" t="s">
        <v>91</v>
      </c>
      <c r="J385" s="37" t="s">
        <v>19</v>
      </c>
      <c r="K385" s="37" t="s">
        <v>20</v>
      </c>
      <c r="L385" s="37" t="s">
        <v>84</v>
      </c>
      <c r="M385" s="37" t="s">
        <v>64</v>
      </c>
      <c r="N385" s="37" t="s">
        <v>870</v>
      </c>
      <c r="O385" s="42">
        <v>941.35</v>
      </c>
      <c r="P385" s="43" t="str">
        <f t="shared" si="38"/>
        <v>High</v>
      </c>
      <c r="Q385" s="42">
        <v>899.83</v>
      </c>
      <c r="R385" s="42">
        <v>5.8000000000000003E-2</v>
      </c>
      <c r="S385" s="42">
        <v>18</v>
      </c>
      <c r="T385" s="42">
        <f t="shared" ref="T385:T448" si="42">(Q411*S385)*(1-R385)</f>
        <v>14867.190359999997</v>
      </c>
      <c r="U385" s="37">
        <f t="shared" ref="U385:U448" si="43">(O385*S385)</f>
        <v>16944.3</v>
      </c>
      <c r="V385" s="42">
        <f t="shared" si="39"/>
        <v>-2077.1096400000024</v>
      </c>
      <c r="W385" s="44">
        <f t="shared" si="40"/>
        <v>-0.13971097360725546</v>
      </c>
    </row>
    <row r="386" spans="1:23" x14ac:dyDescent="0.3">
      <c r="A386" s="45" t="s">
        <v>871</v>
      </c>
      <c r="B386" s="46">
        <v>45066</v>
      </c>
      <c r="C386" s="47">
        <v>45096</v>
      </c>
      <c r="D386" s="48">
        <f t="shared" si="41"/>
        <v>30</v>
      </c>
      <c r="E386" s="48" t="str">
        <f>TEXT(Data!B386,"MMM-YYYY")</f>
        <v>May-2023</v>
      </c>
      <c r="F386" s="48" t="str">
        <f t="shared" ref="F386:F449" si="44">"Q"&amp;ROUNDUP(MONTH(B386)/3,0)&amp;"-"&amp;YEAR(B386)</f>
        <v>Q2-2023</v>
      </c>
      <c r="G386" s="38" t="s">
        <v>45</v>
      </c>
      <c r="H386" s="38" t="s">
        <v>60</v>
      </c>
      <c r="I386" s="38" t="s">
        <v>141</v>
      </c>
      <c r="J386" s="38" t="s">
        <v>39</v>
      </c>
      <c r="K386" s="38" t="s">
        <v>40</v>
      </c>
      <c r="L386" s="38" t="s">
        <v>92</v>
      </c>
      <c r="M386" s="38" t="s">
        <v>57</v>
      </c>
      <c r="N386" s="38" t="s">
        <v>872</v>
      </c>
      <c r="O386" s="48">
        <v>1161.2</v>
      </c>
      <c r="P386" s="49" t="str">
        <f t="shared" ref="P386:P449" si="45">IF(Q386&lt;50, "Low", IF(Q386&lt;200, "Medium", "High"))</f>
        <v>High</v>
      </c>
      <c r="Q386" s="48">
        <v>878.73</v>
      </c>
      <c r="R386" s="48">
        <v>0.19</v>
      </c>
      <c r="S386" s="48">
        <v>31</v>
      </c>
      <c r="T386" s="48">
        <f t="shared" si="42"/>
        <v>20697.168600000001</v>
      </c>
      <c r="U386" s="38">
        <f t="shared" si="43"/>
        <v>35997.200000000004</v>
      </c>
      <c r="V386" s="48">
        <f t="shared" ref="V386:V449" si="46">(T386-U386)</f>
        <v>-15300.031400000003</v>
      </c>
      <c r="W386" s="50">
        <f t="shared" ref="W386:W449" si="47">IF(T386=0, 0, V386/T386)</f>
        <v>-0.73923306591801174</v>
      </c>
    </row>
    <row r="387" spans="1:23" x14ac:dyDescent="0.3">
      <c r="A387" s="39" t="s">
        <v>873</v>
      </c>
      <c r="B387" s="40">
        <v>45789</v>
      </c>
      <c r="C387" s="41">
        <v>45803</v>
      </c>
      <c r="D387" s="42">
        <f t="shared" si="41"/>
        <v>14</v>
      </c>
      <c r="E387" s="42" t="str">
        <f>TEXT(Data!B387,"MMM-YYYY")</f>
        <v>May-2025</v>
      </c>
      <c r="F387" s="42" t="str">
        <f t="shared" si="44"/>
        <v>Q2-2025</v>
      </c>
      <c r="G387" s="37" t="s">
        <v>45</v>
      </c>
      <c r="H387" s="37" t="s">
        <v>60</v>
      </c>
      <c r="I387" s="37" t="s">
        <v>281</v>
      </c>
      <c r="J387" s="37" t="s">
        <v>19</v>
      </c>
      <c r="K387" s="37" t="s">
        <v>40</v>
      </c>
      <c r="L387" s="37" t="s">
        <v>41</v>
      </c>
      <c r="M387" s="37" t="s">
        <v>30</v>
      </c>
      <c r="N387" s="37" t="s">
        <v>874</v>
      </c>
      <c r="O387" s="42">
        <v>320.12</v>
      </c>
      <c r="P387" s="43" t="str">
        <f t="shared" si="45"/>
        <v>High</v>
      </c>
      <c r="Q387" s="42">
        <v>594.41999999999996</v>
      </c>
      <c r="R387" s="42">
        <v>0.104</v>
      </c>
      <c r="S387" s="42">
        <v>18</v>
      </c>
      <c r="T387" s="42">
        <f t="shared" si="42"/>
        <v>18697.996800000001</v>
      </c>
      <c r="U387" s="37">
        <f t="shared" si="43"/>
        <v>5762.16</v>
      </c>
      <c r="V387" s="42">
        <f t="shared" si="46"/>
        <v>12935.836800000001</v>
      </c>
      <c r="W387" s="44">
        <f t="shared" si="47"/>
        <v>0.69183008952060576</v>
      </c>
    </row>
    <row r="388" spans="1:23" x14ac:dyDescent="0.3">
      <c r="A388" s="45" t="s">
        <v>875</v>
      </c>
      <c r="B388" s="46">
        <v>45419</v>
      </c>
      <c r="C388" s="47">
        <v>45424</v>
      </c>
      <c r="D388" s="48">
        <f t="shared" ref="D388:D450" si="48">DATEDIF(B388,C388, "MD")</f>
        <v>5</v>
      </c>
      <c r="E388" s="48" t="str">
        <f>TEXT(Data!B388,"MMM-YYYY")</f>
        <v>May-2024</v>
      </c>
      <c r="F388" s="48" t="str">
        <f t="shared" si="44"/>
        <v>Q2-2024</v>
      </c>
      <c r="G388" s="38" t="s">
        <v>16</v>
      </c>
      <c r="H388" s="38" t="s">
        <v>25</v>
      </c>
      <c r="I388" s="38" t="s">
        <v>67</v>
      </c>
      <c r="J388" s="38" t="s">
        <v>39</v>
      </c>
      <c r="K388" s="38" t="s">
        <v>55</v>
      </c>
      <c r="L388" s="38" t="s">
        <v>49</v>
      </c>
      <c r="M388" s="38" t="s">
        <v>57</v>
      </c>
      <c r="N388" s="38" t="s">
        <v>876</v>
      </c>
      <c r="O388" s="48">
        <v>1163.99</v>
      </c>
      <c r="P388" s="49" t="str">
        <f t="shared" si="45"/>
        <v>High</v>
      </c>
      <c r="Q388" s="48">
        <v>1617.85</v>
      </c>
      <c r="R388" s="48">
        <v>0.127</v>
      </c>
      <c r="S388" s="48">
        <v>14</v>
      </c>
      <c r="T388" s="48">
        <f t="shared" si="42"/>
        <v>30720.11922</v>
      </c>
      <c r="U388" s="38">
        <f t="shared" si="43"/>
        <v>16295.86</v>
      </c>
      <c r="V388" s="48">
        <f t="shared" si="46"/>
        <v>14424.25922</v>
      </c>
      <c r="W388" s="50">
        <f t="shared" si="47"/>
        <v>0.4695378659406127</v>
      </c>
    </row>
    <row r="389" spans="1:23" x14ac:dyDescent="0.3">
      <c r="A389" s="39" t="s">
        <v>877</v>
      </c>
      <c r="B389" s="40">
        <v>45199</v>
      </c>
      <c r="C389" s="41">
        <v>45202</v>
      </c>
      <c r="D389" s="42">
        <f t="shared" si="48"/>
        <v>3</v>
      </c>
      <c r="E389" s="42" t="str">
        <f>TEXT(Data!B389,"MMM-YYYY")</f>
        <v>Sept-2023</v>
      </c>
      <c r="F389" s="42" t="str">
        <f t="shared" si="44"/>
        <v>Q3-2023</v>
      </c>
      <c r="G389" s="37" t="s">
        <v>45</v>
      </c>
      <c r="H389" s="37" t="s">
        <v>116</v>
      </c>
      <c r="I389" s="37" t="s">
        <v>338</v>
      </c>
      <c r="J389" s="37" t="s">
        <v>39</v>
      </c>
      <c r="K389" s="37" t="s">
        <v>20</v>
      </c>
      <c r="L389" s="37" t="s">
        <v>29</v>
      </c>
      <c r="M389" s="37" t="s">
        <v>57</v>
      </c>
      <c r="N389" s="37" t="s">
        <v>878</v>
      </c>
      <c r="O389" s="42">
        <v>1019.36</v>
      </c>
      <c r="P389" s="43" t="str">
        <f t="shared" si="45"/>
        <v>High</v>
      </c>
      <c r="Q389" s="42">
        <v>972.91</v>
      </c>
      <c r="R389" s="42">
        <v>0.14699999999999999</v>
      </c>
      <c r="S389" s="42">
        <v>17</v>
      </c>
      <c r="T389" s="42">
        <f t="shared" si="42"/>
        <v>44766.472129999995</v>
      </c>
      <c r="U389" s="37">
        <f t="shared" si="43"/>
        <v>17329.12</v>
      </c>
      <c r="V389" s="42">
        <f t="shared" si="46"/>
        <v>27437.352129999996</v>
      </c>
      <c r="W389" s="44">
        <f t="shared" si="47"/>
        <v>0.61289958365097552</v>
      </c>
    </row>
    <row r="390" spans="1:23" x14ac:dyDescent="0.3">
      <c r="A390" s="45" t="s">
        <v>879</v>
      </c>
      <c r="B390" s="46">
        <v>45225</v>
      </c>
      <c r="C390" s="47">
        <v>45235</v>
      </c>
      <c r="D390" s="48">
        <f t="shared" si="48"/>
        <v>10</v>
      </c>
      <c r="E390" s="48" t="str">
        <f>TEXT(Data!B390,"MMM-YYYY")</f>
        <v>Oct-2023</v>
      </c>
      <c r="F390" s="48" t="str">
        <f t="shared" si="44"/>
        <v>Q4-2023</v>
      </c>
      <c r="G390" s="38" t="s">
        <v>16</v>
      </c>
      <c r="H390" s="38" t="s">
        <v>148</v>
      </c>
      <c r="I390" s="38" t="s">
        <v>258</v>
      </c>
      <c r="J390" s="38" t="s">
        <v>39</v>
      </c>
      <c r="K390" s="38" t="s">
        <v>28</v>
      </c>
      <c r="L390" s="38" t="s">
        <v>34</v>
      </c>
      <c r="M390" s="38" t="s">
        <v>57</v>
      </c>
      <c r="N390" s="38" t="s">
        <v>880</v>
      </c>
      <c r="O390" s="48">
        <v>20.38</v>
      </c>
      <c r="P390" s="49" t="str">
        <f t="shared" si="45"/>
        <v>Low</v>
      </c>
      <c r="Q390" s="48">
        <v>42.56</v>
      </c>
      <c r="R390" s="48">
        <v>7.1999999999999995E-2</v>
      </c>
      <c r="S390" s="48">
        <v>11</v>
      </c>
      <c r="T390" s="48">
        <f t="shared" si="42"/>
        <v>27736.667200000004</v>
      </c>
      <c r="U390" s="38">
        <f t="shared" si="43"/>
        <v>224.17999999999998</v>
      </c>
      <c r="V390" s="48">
        <f t="shared" si="46"/>
        <v>27512.487200000003</v>
      </c>
      <c r="W390" s="50">
        <f t="shared" si="47"/>
        <v>0.99191755814123195</v>
      </c>
    </row>
    <row r="391" spans="1:23" x14ac:dyDescent="0.3">
      <c r="A391" s="39" t="s">
        <v>881</v>
      </c>
      <c r="B391" s="40">
        <v>45823</v>
      </c>
      <c r="C391" s="41">
        <v>45838</v>
      </c>
      <c r="D391" s="42">
        <f t="shared" si="48"/>
        <v>15</v>
      </c>
      <c r="E391" s="42" t="str">
        <f>TEXT(Data!B391,"MMM-YYYY")</f>
        <v>Jun-2025</v>
      </c>
      <c r="F391" s="42" t="str">
        <f t="shared" si="44"/>
        <v>Q2-2025</v>
      </c>
      <c r="G391" s="37" t="s">
        <v>16</v>
      </c>
      <c r="H391" s="37" t="s">
        <v>148</v>
      </c>
      <c r="I391" s="37" t="s">
        <v>149</v>
      </c>
      <c r="J391" s="37" t="s">
        <v>62</v>
      </c>
      <c r="K391" s="37" t="s">
        <v>98</v>
      </c>
      <c r="L391" s="37" t="s">
        <v>21</v>
      </c>
      <c r="M391" s="37" t="s">
        <v>64</v>
      </c>
      <c r="N391" s="37" t="s">
        <v>882</v>
      </c>
      <c r="O391" s="42">
        <v>1487.59</v>
      </c>
      <c r="P391" s="43" t="str">
        <f t="shared" si="45"/>
        <v>High</v>
      </c>
      <c r="Q391" s="42">
        <v>1480.83</v>
      </c>
      <c r="R391" s="42">
        <v>8.9999999999999993E-3</v>
      </c>
      <c r="S391" s="42">
        <v>11</v>
      </c>
      <c r="T391" s="42">
        <f t="shared" si="42"/>
        <v>9830.4127899999985</v>
      </c>
      <c r="U391" s="37">
        <f t="shared" si="43"/>
        <v>16363.49</v>
      </c>
      <c r="V391" s="42">
        <f t="shared" si="46"/>
        <v>-6533.0772100000013</v>
      </c>
      <c r="W391" s="44">
        <f t="shared" si="47"/>
        <v>-0.66457811584939586</v>
      </c>
    </row>
    <row r="392" spans="1:23" x14ac:dyDescent="0.3">
      <c r="A392" s="45" t="s">
        <v>883</v>
      </c>
      <c r="B392" s="46">
        <v>45514</v>
      </c>
      <c r="C392" s="47">
        <v>45542</v>
      </c>
      <c r="D392" s="48">
        <f t="shared" si="48"/>
        <v>28</v>
      </c>
      <c r="E392" s="48" t="str">
        <f>TEXT(Data!B392,"MMM-YYYY")</f>
        <v>Aug-2024</v>
      </c>
      <c r="F392" s="48" t="str">
        <f t="shared" si="44"/>
        <v>Q3-2024</v>
      </c>
      <c r="G392" s="38" t="s">
        <v>78</v>
      </c>
      <c r="H392" s="38" t="s">
        <v>90</v>
      </c>
      <c r="I392" s="38" t="s">
        <v>91</v>
      </c>
      <c r="J392" s="38" t="s">
        <v>39</v>
      </c>
      <c r="K392" s="38" t="s">
        <v>98</v>
      </c>
      <c r="L392" s="38" t="s">
        <v>84</v>
      </c>
      <c r="M392" s="38" t="s">
        <v>30</v>
      </c>
      <c r="N392" s="38" t="s">
        <v>884</v>
      </c>
      <c r="O392" s="48">
        <v>229.96</v>
      </c>
      <c r="P392" s="49" t="str">
        <f t="shared" si="45"/>
        <v>High</v>
      </c>
      <c r="Q392" s="48">
        <v>564.26</v>
      </c>
      <c r="R392" s="48">
        <v>0.105</v>
      </c>
      <c r="S392" s="48">
        <v>5</v>
      </c>
      <c r="T392" s="48">
        <f t="shared" si="42"/>
        <v>3562.7712500000002</v>
      </c>
      <c r="U392" s="38">
        <f t="shared" si="43"/>
        <v>1149.8</v>
      </c>
      <c r="V392" s="48">
        <f t="shared" si="46"/>
        <v>2412.9712500000005</v>
      </c>
      <c r="W392" s="50">
        <f t="shared" si="47"/>
        <v>0.67727369530109471</v>
      </c>
    </row>
    <row r="393" spans="1:23" x14ac:dyDescent="0.3">
      <c r="A393" s="39" t="s">
        <v>885</v>
      </c>
      <c r="B393" s="40">
        <v>45208</v>
      </c>
      <c r="C393" s="41">
        <v>45225</v>
      </c>
      <c r="D393" s="42">
        <f t="shared" si="48"/>
        <v>17</v>
      </c>
      <c r="E393" s="42" t="str">
        <f>TEXT(Data!B393,"MMM-YYYY")</f>
        <v>Oct-2023</v>
      </c>
      <c r="F393" s="42" t="str">
        <f t="shared" si="44"/>
        <v>Q4-2023</v>
      </c>
      <c r="G393" s="37" t="s">
        <v>45</v>
      </c>
      <c r="H393" s="37" t="s">
        <v>116</v>
      </c>
      <c r="I393" s="37" t="s">
        <v>162</v>
      </c>
      <c r="J393" s="37" t="s">
        <v>48</v>
      </c>
      <c r="K393" s="37" t="s">
        <v>40</v>
      </c>
      <c r="L393" s="37" t="s">
        <v>21</v>
      </c>
      <c r="M393" s="37" t="s">
        <v>22</v>
      </c>
      <c r="N393" s="37" t="s">
        <v>886</v>
      </c>
      <c r="O393" s="42">
        <v>1132.03</v>
      </c>
      <c r="P393" s="43" t="str">
        <f t="shared" si="45"/>
        <v>High</v>
      </c>
      <c r="Q393" s="42">
        <v>2137.21</v>
      </c>
      <c r="R393" s="42">
        <v>0.35699999999999998</v>
      </c>
      <c r="S393" s="42">
        <v>35</v>
      </c>
      <c r="T393" s="42">
        <f t="shared" si="42"/>
        <v>3551.7390999999998</v>
      </c>
      <c r="U393" s="37">
        <f t="shared" si="43"/>
        <v>39621.049999999996</v>
      </c>
      <c r="V393" s="42">
        <f t="shared" si="46"/>
        <v>-36069.310899999997</v>
      </c>
      <c r="W393" s="44">
        <f t="shared" si="47"/>
        <v>-10.155394268683755</v>
      </c>
    </row>
    <row r="394" spans="1:23" x14ac:dyDescent="0.3">
      <c r="A394" s="45" t="s">
        <v>887</v>
      </c>
      <c r="B394" s="46">
        <v>45360</v>
      </c>
      <c r="C394" s="47">
        <v>45377</v>
      </c>
      <c r="D394" s="48">
        <f t="shared" si="48"/>
        <v>17</v>
      </c>
      <c r="E394" s="48" t="str">
        <f>TEXT(Data!B394,"MMM-YYYY")</f>
        <v>Mar-2024</v>
      </c>
      <c r="F394" s="48" t="str">
        <f t="shared" si="44"/>
        <v>Q1-2024</v>
      </c>
      <c r="G394" s="38" t="s">
        <v>52</v>
      </c>
      <c r="H394" s="38" t="s">
        <v>122</v>
      </c>
      <c r="I394" s="38" t="s">
        <v>167</v>
      </c>
      <c r="J394" s="38" t="s">
        <v>27</v>
      </c>
      <c r="K394" s="38" t="s">
        <v>98</v>
      </c>
      <c r="L394" s="38" t="s">
        <v>34</v>
      </c>
      <c r="M394" s="38" t="s">
        <v>42</v>
      </c>
      <c r="N394" s="38" t="s">
        <v>888</v>
      </c>
      <c r="O394" s="48">
        <v>1137.4100000000001</v>
      </c>
      <c r="P394" s="49" t="str">
        <f t="shared" si="45"/>
        <v>High</v>
      </c>
      <c r="Q394" s="48">
        <v>1680.93</v>
      </c>
      <c r="R394" s="48">
        <v>0.254</v>
      </c>
      <c r="S394" s="48">
        <v>9</v>
      </c>
      <c r="T394" s="48">
        <f t="shared" si="42"/>
        <v>5499.1688399999994</v>
      </c>
      <c r="U394" s="38">
        <f t="shared" si="43"/>
        <v>10236.69</v>
      </c>
      <c r="V394" s="48">
        <f t="shared" si="46"/>
        <v>-4737.5211600000011</v>
      </c>
      <c r="W394" s="50">
        <f t="shared" si="47"/>
        <v>-0.86149767316473258</v>
      </c>
    </row>
    <row r="395" spans="1:23" x14ac:dyDescent="0.3">
      <c r="A395" s="39" t="s">
        <v>889</v>
      </c>
      <c r="B395" s="40">
        <v>45075</v>
      </c>
      <c r="C395" s="41">
        <v>45097</v>
      </c>
      <c r="D395" s="42">
        <f t="shared" si="48"/>
        <v>22</v>
      </c>
      <c r="E395" s="42" t="str">
        <f>TEXT(Data!B395,"MMM-YYYY")</f>
        <v>May-2023</v>
      </c>
      <c r="F395" s="42" t="str">
        <f t="shared" si="44"/>
        <v>Q2-2023</v>
      </c>
      <c r="G395" s="37" t="s">
        <v>78</v>
      </c>
      <c r="H395" s="37" t="s">
        <v>108</v>
      </c>
      <c r="I395" s="37" t="s">
        <v>152</v>
      </c>
      <c r="J395" s="37" t="s">
        <v>62</v>
      </c>
      <c r="K395" s="37" t="s">
        <v>98</v>
      </c>
      <c r="L395" s="37" t="s">
        <v>95</v>
      </c>
      <c r="M395" s="37" t="s">
        <v>22</v>
      </c>
      <c r="N395" s="37" t="s">
        <v>890</v>
      </c>
      <c r="O395" s="42">
        <v>1295.3900000000001</v>
      </c>
      <c r="P395" s="43" t="str">
        <f t="shared" si="45"/>
        <v>High</v>
      </c>
      <c r="Q395" s="42">
        <v>2905.06</v>
      </c>
      <c r="R395" s="42">
        <v>0.14799999999999999</v>
      </c>
      <c r="S395" s="42">
        <v>8</v>
      </c>
      <c r="T395" s="42">
        <f t="shared" si="42"/>
        <v>11663.26656</v>
      </c>
      <c r="U395" s="37">
        <f t="shared" si="43"/>
        <v>10363.120000000001</v>
      </c>
      <c r="V395" s="42">
        <f t="shared" si="46"/>
        <v>1300.1465599999992</v>
      </c>
      <c r="W395" s="44">
        <f t="shared" si="47"/>
        <v>0.11147362133168971</v>
      </c>
    </row>
    <row r="396" spans="1:23" x14ac:dyDescent="0.3">
      <c r="A396" s="45" t="s">
        <v>891</v>
      </c>
      <c r="B396" s="46">
        <v>45804</v>
      </c>
      <c r="C396" s="47">
        <v>45816</v>
      </c>
      <c r="D396" s="48">
        <f t="shared" si="48"/>
        <v>12</v>
      </c>
      <c r="E396" s="48" t="str">
        <f>TEXT(Data!B396,"MMM-YYYY")</f>
        <v>May-2025</v>
      </c>
      <c r="F396" s="48" t="str">
        <f t="shared" si="44"/>
        <v>Q2-2025</v>
      </c>
      <c r="G396" s="38" t="s">
        <v>45</v>
      </c>
      <c r="H396" s="38" t="s">
        <v>46</v>
      </c>
      <c r="I396" s="38" t="s">
        <v>47</v>
      </c>
      <c r="J396" s="38" t="s">
        <v>19</v>
      </c>
      <c r="K396" s="38" t="s">
        <v>20</v>
      </c>
      <c r="L396" s="38" t="s">
        <v>92</v>
      </c>
      <c r="M396" s="38" t="s">
        <v>81</v>
      </c>
      <c r="N396" s="38" t="s">
        <v>892</v>
      </c>
      <c r="O396" s="48">
        <v>653.6</v>
      </c>
      <c r="P396" s="49" t="str">
        <f t="shared" si="45"/>
        <v>High</v>
      </c>
      <c r="Q396" s="48">
        <v>842.09</v>
      </c>
      <c r="R396" s="48">
        <v>9.8000000000000004E-2</v>
      </c>
      <c r="S396" s="48">
        <v>19</v>
      </c>
      <c r="T396" s="48">
        <f t="shared" si="42"/>
        <v>29072.046299999998</v>
      </c>
      <c r="U396" s="38">
        <f t="shared" si="43"/>
        <v>12418.4</v>
      </c>
      <c r="V396" s="48">
        <f t="shared" si="46"/>
        <v>16653.6463</v>
      </c>
      <c r="W396" s="50">
        <f t="shared" si="47"/>
        <v>0.5728405261930255</v>
      </c>
    </row>
    <row r="397" spans="1:23" x14ac:dyDescent="0.3">
      <c r="A397" s="39" t="s">
        <v>893</v>
      </c>
      <c r="B397" s="40">
        <v>45890</v>
      </c>
      <c r="C397" s="41">
        <v>45914</v>
      </c>
      <c r="D397" s="42">
        <f t="shared" si="48"/>
        <v>24</v>
      </c>
      <c r="E397" s="42" t="str">
        <f>TEXT(Data!B397,"MMM-YYYY")</f>
        <v>Aug-2025</v>
      </c>
      <c r="F397" s="42" t="str">
        <f t="shared" si="44"/>
        <v>Q3-2025</v>
      </c>
      <c r="G397" s="37" t="s">
        <v>78</v>
      </c>
      <c r="H397" s="37" t="s">
        <v>79</v>
      </c>
      <c r="I397" s="37" t="s">
        <v>80</v>
      </c>
      <c r="J397" s="37" t="s">
        <v>39</v>
      </c>
      <c r="K397" s="37" t="s">
        <v>28</v>
      </c>
      <c r="L397" s="37" t="s">
        <v>75</v>
      </c>
      <c r="M397" s="37" t="s">
        <v>64</v>
      </c>
      <c r="N397" s="37" t="s">
        <v>894</v>
      </c>
      <c r="O397" s="42">
        <v>1397.67</v>
      </c>
      <c r="P397" s="43" t="str">
        <f t="shared" si="45"/>
        <v>High</v>
      </c>
      <c r="Q397" s="42">
        <v>3131.37</v>
      </c>
      <c r="R397" s="42">
        <v>0.10299999999999999</v>
      </c>
      <c r="S397" s="42">
        <v>20</v>
      </c>
      <c r="T397" s="42">
        <f t="shared" si="42"/>
        <v>51745.059600000001</v>
      </c>
      <c r="U397" s="37">
        <f t="shared" si="43"/>
        <v>27953.4</v>
      </c>
      <c r="V397" s="42">
        <f t="shared" si="46"/>
        <v>23791.659599999999</v>
      </c>
      <c r="W397" s="44">
        <f t="shared" si="47"/>
        <v>0.45978610873993464</v>
      </c>
    </row>
    <row r="398" spans="1:23" x14ac:dyDescent="0.3">
      <c r="A398" s="45" t="s">
        <v>895</v>
      </c>
      <c r="B398" s="46">
        <v>45638</v>
      </c>
      <c r="C398" s="47">
        <v>45646</v>
      </c>
      <c r="D398" s="48">
        <f t="shared" si="48"/>
        <v>8</v>
      </c>
      <c r="E398" s="48" t="str">
        <f>TEXT(Data!B398,"MMM-YYYY")</f>
        <v>Dec-2024</v>
      </c>
      <c r="F398" s="48" t="str">
        <f t="shared" si="44"/>
        <v>Q4-2024</v>
      </c>
      <c r="G398" s="38" t="s">
        <v>45</v>
      </c>
      <c r="H398" s="38" t="s">
        <v>46</v>
      </c>
      <c r="I398" s="38" t="s">
        <v>214</v>
      </c>
      <c r="J398" s="38" t="s">
        <v>19</v>
      </c>
      <c r="K398" s="38" t="s">
        <v>20</v>
      </c>
      <c r="L398" s="38" t="s">
        <v>56</v>
      </c>
      <c r="M398" s="38" t="s">
        <v>57</v>
      </c>
      <c r="N398" s="38" t="s">
        <v>896</v>
      </c>
      <c r="O398" s="48">
        <v>1202.47</v>
      </c>
      <c r="P398" s="49" t="str">
        <f t="shared" si="45"/>
        <v>High</v>
      </c>
      <c r="Q398" s="48">
        <v>1444.72</v>
      </c>
      <c r="R398" s="48">
        <v>0.24099999999999999</v>
      </c>
      <c r="S398" s="48">
        <v>17</v>
      </c>
      <c r="T398" s="48">
        <f t="shared" si="42"/>
        <v>19144.697220000002</v>
      </c>
      <c r="U398" s="38">
        <f t="shared" si="43"/>
        <v>20441.990000000002</v>
      </c>
      <c r="V398" s="48">
        <f t="shared" si="46"/>
        <v>-1297.2927799999998</v>
      </c>
      <c r="W398" s="50">
        <f t="shared" si="47"/>
        <v>-6.7762512255599913E-2</v>
      </c>
    </row>
    <row r="399" spans="1:23" x14ac:dyDescent="0.3">
      <c r="A399" s="39" t="s">
        <v>897</v>
      </c>
      <c r="B399" s="40">
        <v>45914</v>
      </c>
      <c r="C399" s="41">
        <v>45923</v>
      </c>
      <c r="D399" s="42">
        <f t="shared" si="48"/>
        <v>9</v>
      </c>
      <c r="E399" s="42" t="str">
        <f>TEXT(Data!B399,"MMM-YYYY")</f>
        <v>Sept-2025</v>
      </c>
      <c r="F399" s="42" t="str">
        <f t="shared" si="44"/>
        <v>Q3-2025</v>
      </c>
      <c r="G399" s="37" t="s">
        <v>16</v>
      </c>
      <c r="H399" s="37" t="s">
        <v>148</v>
      </c>
      <c r="I399" s="37" t="s">
        <v>172</v>
      </c>
      <c r="J399" s="37" t="s">
        <v>39</v>
      </c>
      <c r="K399" s="37" t="s">
        <v>28</v>
      </c>
      <c r="L399" s="37" t="s">
        <v>145</v>
      </c>
      <c r="M399" s="37" t="s">
        <v>22</v>
      </c>
      <c r="N399" s="37" t="s">
        <v>898</v>
      </c>
      <c r="O399" s="42">
        <v>1310.3</v>
      </c>
      <c r="P399" s="43" t="str">
        <f t="shared" si="45"/>
        <v>High</v>
      </c>
      <c r="Q399" s="42">
        <v>2875.8</v>
      </c>
      <c r="R399" s="42">
        <v>8.3000000000000004E-2</v>
      </c>
      <c r="S399" s="42">
        <v>5</v>
      </c>
      <c r="T399" s="42">
        <f t="shared" si="42"/>
        <v>14660.399949999999</v>
      </c>
      <c r="U399" s="37">
        <f t="shared" si="43"/>
        <v>6551.5</v>
      </c>
      <c r="V399" s="42">
        <f t="shared" si="46"/>
        <v>8108.8999499999991</v>
      </c>
      <c r="W399" s="44">
        <f t="shared" si="47"/>
        <v>0.55311587525959682</v>
      </c>
    </row>
    <row r="400" spans="1:23" x14ac:dyDescent="0.3">
      <c r="A400" s="45" t="s">
        <v>899</v>
      </c>
      <c r="B400" s="46">
        <v>45541</v>
      </c>
      <c r="C400" s="47">
        <v>45569</v>
      </c>
      <c r="D400" s="48">
        <f t="shared" si="48"/>
        <v>28</v>
      </c>
      <c r="E400" s="48" t="str">
        <f>TEXT(Data!B400,"MMM-YYYY")</f>
        <v>Sept-2024</v>
      </c>
      <c r="F400" s="48" t="str">
        <f t="shared" si="44"/>
        <v>Q3-2024</v>
      </c>
      <c r="G400" s="38" t="s">
        <v>16</v>
      </c>
      <c r="H400" s="38" t="s">
        <v>148</v>
      </c>
      <c r="I400" s="38" t="s">
        <v>258</v>
      </c>
      <c r="J400" s="38" t="s">
        <v>19</v>
      </c>
      <c r="K400" s="38" t="s">
        <v>40</v>
      </c>
      <c r="L400" s="38" t="s">
        <v>145</v>
      </c>
      <c r="M400" s="38" t="s">
        <v>64</v>
      </c>
      <c r="N400" s="38" t="s">
        <v>900</v>
      </c>
      <c r="O400" s="48">
        <v>1174.17</v>
      </c>
      <c r="P400" s="49" t="str">
        <f t="shared" si="45"/>
        <v>High</v>
      </c>
      <c r="Q400" s="48">
        <v>1641.61</v>
      </c>
      <c r="R400" s="48">
        <v>0.122</v>
      </c>
      <c r="S400" s="48">
        <v>9</v>
      </c>
      <c r="T400" s="48">
        <f t="shared" si="42"/>
        <v>18353.975399999999</v>
      </c>
      <c r="U400" s="38">
        <f t="shared" si="43"/>
        <v>10567.53</v>
      </c>
      <c r="V400" s="48">
        <f t="shared" si="46"/>
        <v>7786.4453999999987</v>
      </c>
      <c r="W400" s="50">
        <f t="shared" si="47"/>
        <v>0.42423754147561943</v>
      </c>
    </row>
    <row r="401" spans="1:23" x14ac:dyDescent="0.3">
      <c r="A401" s="39" t="s">
        <v>901</v>
      </c>
      <c r="B401" s="40">
        <v>45759</v>
      </c>
      <c r="C401" s="41">
        <v>45777</v>
      </c>
      <c r="D401" s="42">
        <f t="shared" si="48"/>
        <v>18</v>
      </c>
      <c r="E401" s="42" t="str">
        <f>TEXT(Data!B401,"MMM-YYYY")</f>
        <v>Apr-2025</v>
      </c>
      <c r="F401" s="42" t="str">
        <f t="shared" si="44"/>
        <v>Q2-2025</v>
      </c>
      <c r="G401" s="37" t="s">
        <v>16</v>
      </c>
      <c r="H401" s="37" t="s">
        <v>17</v>
      </c>
      <c r="I401" s="37" t="s">
        <v>18</v>
      </c>
      <c r="J401" s="37" t="s">
        <v>19</v>
      </c>
      <c r="K401" s="37" t="s">
        <v>40</v>
      </c>
      <c r="L401" s="37" t="s">
        <v>84</v>
      </c>
      <c r="M401" s="37" t="s">
        <v>35</v>
      </c>
      <c r="N401" s="37" t="s">
        <v>902</v>
      </c>
      <c r="O401" s="42">
        <v>1119.04</v>
      </c>
      <c r="P401" s="43" t="str">
        <f t="shared" si="45"/>
        <v>High</v>
      </c>
      <c r="Q401" s="42">
        <v>1299.02</v>
      </c>
      <c r="R401" s="42">
        <v>2.5000000000000001E-2</v>
      </c>
      <c r="S401" s="42">
        <v>14</v>
      </c>
      <c r="T401" s="42">
        <f t="shared" si="42"/>
        <v>26377.532999999999</v>
      </c>
      <c r="U401" s="37">
        <f t="shared" si="43"/>
        <v>15666.56</v>
      </c>
      <c r="V401" s="42">
        <f t="shared" si="46"/>
        <v>10710.973</v>
      </c>
      <c r="W401" s="44">
        <f t="shared" si="47"/>
        <v>0.40606424414292269</v>
      </c>
    </row>
    <row r="402" spans="1:23" x14ac:dyDescent="0.3">
      <c r="A402" s="45" t="s">
        <v>903</v>
      </c>
      <c r="B402" s="46">
        <v>45516</v>
      </c>
      <c r="C402" s="47">
        <v>45519</v>
      </c>
      <c r="D402" s="48">
        <f t="shared" si="48"/>
        <v>3</v>
      </c>
      <c r="E402" s="48" t="str">
        <f>TEXT(Data!B402,"MMM-YYYY")</f>
        <v>Aug-2024</v>
      </c>
      <c r="F402" s="48" t="str">
        <f t="shared" si="44"/>
        <v>Q3-2024</v>
      </c>
      <c r="G402" s="38" t="s">
        <v>52</v>
      </c>
      <c r="H402" s="38" t="s">
        <v>122</v>
      </c>
      <c r="I402" s="38" t="s">
        <v>123</v>
      </c>
      <c r="J402" s="38" t="s">
        <v>19</v>
      </c>
      <c r="K402" s="38" t="s">
        <v>40</v>
      </c>
      <c r="L402" s="38" t="s">
        <v>145</v>
      </c>
      <c r="M402" s="38" t="s">
        <v>30</v>
      </c>
      <c r="N402" s="38" t="s">
        <v>904</v>
      </c>
      <c r="O402" s="48">
        <v>850.7</v>
      </c>
      <c r="P402" s="49" t="str">
        <f t="shared" si="45"/>
        <v>High</v>
      </c>
      <c r="Q402" s="48">
        <v>1118.56</v>
      </c>
      <c r="R402" s="48">
        <v>0.18</v>
      </c>
      <c r="S402" s="48">
        <v>19</v>
      </c>
      <c r="T402" s="48">
        <f t="shared" si="42"/>
        <v>24777.808799999999</v>
      </c>
      <c r="U402" s="38">
        <f t="shared" si="43"/>
        <v>16163.300000000001</v>
      </c>
      <c r="V402" s="48">
        <f t="shared" si="46"/>
        <v>8614.5087999999978</v>
      </c>
      <c r="W402" s="50">
        <f t="shared" si="47"/>
        <v>0.34767032345491333</v>
      </c>
    </row>
    <row r="403" spans="1:23" x14ac:dyDescent="0.3">
      <c r="A403" s="39" t="s">
        <v>905</v>
      </c>
      <c r="B403" s="40">
        <v>45601</v>
      </c>
      <c r="C403" s="41">
        <v>45604</v>
      </c>
      <c r="D403" s="42">
        <f t="shared" si="48"/>
        <v>3</v>
      </c>
      <c r="E403" s="42" t="str">
        <f>TEXT(Data!B403,"MMM-YYYY")</f>
        <v>Nov-2024</v>
      </c>
      <c r="F403" s="42" t="str">
        <f t="shared" si="44"/>
        <v>Q4-2024</v>
      </c>
      <c r="G403" s="37" t="s">
        <v>52</v>
      </c>
      <c r="H403" s="37" t="s">
        <v>53</v>
      </c>
      <c r="I403" s="37" t="s">
        <v>54</v>
      </c>
      <c r="J403" s="37" t="s">
        <v>27</v>
      </c>
      <c r="K403" s="37" t="s">
        <v>40</v>
      </c>
      <c r="L403" s="37" t="s">
        <v>68</v>
      </c>
      <c r="M403" s="37" t="s">
        <v>22</v>
      </c>
      <c r="N403" s="37" t="s">
        <v>906</v>
      </c>
      <c r="O403" s="42">
        <v>1020.4</v>
      </c>
      <c r="P403" s="43" t="str">
        <f t="shared" si="45"/>
        <v>High</v>
      </c>
      <c r="Q403" s="42">
        <v>1184.71</v>
      </c>
      <c r="R403" s="42">
        <v>0.106</v>
      </c>
      <c r="S403" s="42">
        <v>16</v>
      </c>
      <c r="T403" s="42">
        <f t="shared" si="42"/>
        <v>5658.8054400000001</v>
      </c>
      <c r="U403" s="37">
        <f t="shared" si="43"/>
        <v>16326.4</v>
      </c>
      <c r="V403" s="42">
        <f t="shared" si="46"/>
        <v>-10667.59456</v>
      </c>
      <c r="W403" s="44">
        <f t="shared" si="47"/>
        <v>-1.8851318839475772</v>
      </c>
    </row>
    <row r="404" spans="1:23" x14ac:dyDescent="0.3">
      <c r="A404" s="45" t="s">
        <v>907</v>
      </c>
      <c r="B404" s="46">
        <v>45497</v>
      </c>
      <c r="C404" s="47">
        <v>45512</v>
      </c>
      <c r="D404" s="48">
        <f t="shared" si="48"/>
        <v>15</v>
      </c>
      <c r="E404" s="48" t="str">
        <f>TEXT(Data!B404,"MMM-YYYY")</f>
        <v>Jul-2024</v>
      </c>
      <c r="F404" s="48" t="str">
        <f t="shared" si="44"/>
        <v>Q3-2024</v>
      </c>
      <c r="G404" s="38" t="s">
        <v>78</v>
      </c>
      <c r="H404" s="38" t="s">
        <v>90</v>
      </c>
      <c r="I404" s="38" t="s">
        <v>91</v>
      </c>
      <c r="J404" s="38" t="s">
        <v>105</v>
      </c>
      <c r="K404" s="38" t="s">
        <v>40</v>
      </c>
      <c r="L404" s="38" t="s">
        <v>92</v>
      </c>
      <c r="M404" s="38" t="s">
        <v>57</v>
      </c>
      <c r="N404" s="38" t="s">
        <v>908</v>
      </c>
      <c r="O404" s="48">
        <v>501.5</v>
      </c>
      <c r="P404" s="49" t="str">
        <f t="shared" si="45"/>
        <v>High</v>
      </c>
      <c r="Q404" s="48">
        <v>1201.47</v>
      </c>
      <c r="R404" s="48">
        <v>0.126</v>
      </c>
      <c r="S404" s="48">
        <v>5</v>
      </c>
      <c r="T404" s="48">
        <f t="shared" si="42"/>
        <v>9079.5053000000007</v>
      </c>
      <c r="U404" s="38">
        <f t="shared" si="43"/>
        <v>2507.5</v>
      </c>
      <c r="V404" s="48">
        <f t="shared" si="46"/>
        <v>6572.0053000000007</v>
      </c>
      <c r="W404" s="50">
        <f t="shared" si="47"/>
        <v>0.72382856585809807</v>
      </c>
    </row>
    <row r="405" spans="1:23" x14ac:dyDescent="0.3">
      <c r="A405" s="39" t="s">
        <v>909</v>
      </c>
      <c r="B405" s="40">
        <v>45677</v>
      </c>
      <c r="C405" s="41">
        <v>45691</v>
      </c>
      <c r="D405" s="42">
        <f t="shared" si="48"/>
        <v>14</v>
      </c>
      <c r="E405" s="42" t="str">
        <f>TEXT(Data!B405,"MMM-YYYY")</f>
        <v>Jan-2025</v>
      </c>
      <c r="F405" s="42" t="str">
        <f t="shared" si="44"/>
        <v>Q1-2025</v>
      </c>
      <c r="G405" s="37" t="s">
        <v>52</v>
      </c>
      <c r="H405" s="37" t="s">
        <v>73</v>
      </c>
      <c r="I405" s="37" t="s">
        <v>87</v>
      </c>
      <c r="J405" s="37" t="s">
        <v>105</v>
      </c>
      <c r="K405" s="37" t="s">
        <v>40</v>
      </c>
      <c r="L405" s="37" t="s">
        <v>84</v>
      </c>
      <c r="M405" s="37" t="s">
        <v>22</v>
      </c>
      <c r="N405" s="37" t="s">
        <v>910</v>
      </c>
      <c r="O405" s="42">
        <v>974.11</v>
      </c>
      <c r="P405" s="43" t="str">
        <f t="shared" si="45"/>
        <v>High</v>
      </c>
      <c r="Q405" s="42">
        <v>880.99</v>
      </c>
      <c r="R405" s="42">
        <v>0.111</v>
      </c>
      <c r="S405" s="42">
        <v>10</v>
      </c>
      <c r="T405" s="42">
        <f t="shared" si="42"/>
        <v>11831.2565</v>
      </c>
      <c r="U405" s="37">
        <f t="shared" si="43"/>
        <v>9741.1</v>
      </c>
      <c r="V405" s="42">
        <f t="shared" si="46"/>
        <v>2090.1564999999991</v>
      </c>
      <c r="W405" s="44">
        <f t="shared" si="47"/>
        <v>0.17666394942920891</v>
      </c>
    </row>
    <row r="406" spans="1:23" x14ac:dyDescent="0.3">
      <c r="A406" s="45" t="s">
        <v>911</v>
      </c>
      <c r="B406" s="46">
        <v>44991</v>
      </c>
      <c r="C406" s="47">
        <v>45020</v>
      </c>
      <c r="D406" s="48">
        <f t="shared" si="48"/>
        <v>29</v>
      </c>
      <c r="E406" s="48" t="str">
        <f>TEXT(Data!B406,"MMM-YYYY")</f>
        <v>Mar-2023</v>
      </c>
      <c r="F406" s="48" t="str">
        <f t="shared" si="44"/>
        <v>Q1-2023</v>
      </c>
      <c r="G406" s="38" t="s">
        <v>45</v>
      </c>
      <c r="H406" s="38" t="s">
        <v>116</v>
      </c>
      <c r="I406" s="38" t="s">
        <v>338</v>
      </c>
      <c r="J406" s="38" t="s">
        <v>62</v>
      </c>
      <c r="K406" s="38" t="s">
        <v>98</v>
      </c>
      <c r="L406" s="38" t="s">
        <v>21</v>
      </c>
      <c r="M406" s="38" t="s">
        <v>64</v>
      </c>
      <c r="N406" s="38" t="s">
        <v>912</v>
      </c>
      <c r="O406" s="48">
        <v>1126.29</v>
      </c>
      <c r="P406" s="49" t="str">
        <f t="shared" si="45"/>
        <v>High</v>
      </c>
      <c r="Q406" s="48">
        <v>2050.87</v>
      </c>
      <c r="R406" s="48">
        <v>6.4000000000000001E-2</v>
      </c>
      <c r="S406" s="48">
        <v>7</v>
      </c>
      <c r="T406" s="48">
        <f t="shared" si="42"/>
        <v>18113.986799999999</v>
      </c>
      <c r="U406" s="38">
        <f t="shared" si="43"/>
        <v>7884.03</v>
      </c>
      <c r="V406" s="48">
        <f t="shared" si="46"/>
        <v>10229.9568</v>
      </c>
      <c r="W406" s="50">
        <f t="shared" si="47"/>
        <v>0.56475456855251771</v>
      </c>
    </row>
    <row r="407" spans="1:23" x14ac:dyDescent="0.3">
      <c r="A407" s="39" t="s">
        <v>913</v>
      </c>
      <c r="B407" s="40">
        <v>45646</v>
      </c>
      <c r="C407" s="41">
        <v>45671</v>
      </c>
      <c r="D407" s="42">
        <f t="shared" si="48"/>
        <v>25</v>
      </c>
      <c r="E407" s="42" t="str">
        <f>TEXT(Data!B407,"MMM-YYYY")</f>
        <v>Dec-2024</v>
      </c>
      <c r="F407" s="42" t="str">
        <f t="shared" si="44"/>
        <v>Q4-2024</v>
      </c>
      <c r="G407" s="37" t="s">
        <v>45</v>
      </c>
      <c r="H407" s="37" t="s">
        <v>60</v>
      </c>
      <c r="I407" s="37" t="s">
        <v>141</v>
      </c>
      <c r="J407" s="37" t="s">
        <v>62</v>
      </c>
      <c r="K407" s="37" t="s">
        <v>20</v>
      </c>
      <c r="L407" s="37" t="s">
        <v>110</v>
      </c>
      <c r="M407" s="37" t="s">
        <v>30</v>
      </c>
      <c r="N407" s="37" t="s">
        <v>914</v>
      </c>
      <c r="O407" s="42">
        <v>1361.34</v>
      </c>
      <c r="P407" s="43" t="str">
        <f t="shared" si="45"/>
        <v>High</v>
      </c>
      <c r="Q407" s="42">
        <v>1737.9</v>
      </c>
      <c r="R407" s="42">
        <v>7.6999999999999999E-2</v>
      </c>
      <c r="S407" s="42">
        <v>14</v>
      </c>
      <c r="T407" s="42">
        <f t="shared" si="42"/>
        <v>3596.8387000000007</v>
      </c>
      <c r="U407" s="37">
        <f t="shared" si="43"/>
        <v>19058.759999999998</v>
      </c>
      <c r="V407" s="42">
        <f t="shared" si="46"/>
        <v>-15461.921299999998</v>
      </c>
      <c r="W407" s="44">
        <f t="shared" si="47"/>
        <v>-4.2987530411080135</v>
      </c>
    </row>
    <row r="408" spans="1:23" x14ac:dyDescent="0.3">
      <c r="A408" s="45" t="s">
        <v>915</v>
      </c>
      <c r="B408" s="46">
        <v>45709</v>
      </c>
      <c r="C408" s="47">
        <v>45737</v>
      </c>
      <c r="D408" s="48">
        <f t="shared" si="48"/>
        <v>0</v>
      </c>
      <c r="E408" s="48" t="str">
        <f>TEXT(Data!B408,"MMM-YYYY")</f>
        <v>Feb-2025</v>
      </c>
      <c r="F408" s="48" t="str">
        <f t="shared" si="44"/>
        <v>Q1-2025</v>
      </c>
      <c r="G408" s="38" t="s">
        <v>16</v>
      </c>
      <c r="H408" s="38" t="s">
        <v>25</v>
      </c>
      <c r="I408" s="38" t="s">
        <v>67</v>
      </c>
      <c r="J408" s="38" t="s">
        <v>105</v>
      </c>
      <c r="K408" s="38" t="s">
        <v>40</v>
      </c>
      <c r="L408" s="38" t="s">
        <v>34</v>
      </c>
      <c r="M408" s="38" t="s">
        <v>42</v>
      </c>
      <c r="N408" s="38" t="s">
        <v>916</v>
      </c>
      <c r="O408" s="48">
        <v>1437.39</v>
      </c>
      <c r="P408" s="49" t="str">
        <f t="shared" si="45"/>
        <v>High</v>
      </c>
      <c r="Q408" s="48">
        <v>1388.31</v>
      </c>
      <c r="R408" s="48">
        <v>0.13800000000000001</v>
      </c>
      <c r="S408" s="48">
        <v>18</v>
      </c>
      <c r="T408" s="48">
        <f t="shared" si="42"/>
        <v>15273.329759999999</v>
      </c>
      <c r="U408" s="38">
        <f t="shared" si="43"/>
        <v>25873.02</v>
      </c>
      <c r="V408" s="48">
        <f t="shared" si="46"/>
        <v>-10599.690240000002</v>
      </c>
      <c r="W408" s="50">
        <f t="shared" si="47"/>
        <v>-0.69399995983587026</v>
      </c>
    </row>
    <row r="409" spans="1:23" x14ac:dyDescent="0.3">
      <c r="A409" s="39" t="s">
        <v>917</v>
      </c>
      <c r="B409" s="40">
        <v>45724</v>
      </c>
      <c r="C409" s="41">
        <v>45731</v>
      </c>
      <c r="D409" s="42">
        <f t="shared" si="48"/>
        <v>7</v>
      </c>
      <c r="E409" s="42" t="str">
        <f>TEXT(Data!B409,"MMM-YYYY")</f>
        <v>Mar-2025</v>
      </c>
      <c r="F409" s="42" t="str">
        <f t="shared" si="44"/>
        <v>Q1-2025</v>
      </c>
      <c r="G409" s="37" t="s">
        <v>45</v>
      </c>
      <c r="H409" s="37" t="s">
        <v>60</v>
      </c>
      <c r="I409" s="37" t="s">
        <v>61</v>
      </c>
      <c r="J409" s="37" t="s">
        <v>19</v>
      </c>
      <c r="K409" s="37" t="s">
        <v>55</v>
      </c>
      <c r="L409" s="37" t="s">
        <v>95</v>
      </c>
      <c r="M409" s="37" t="s">
        <v>57</v>
      </c>
      <c r="N409" s="37" t="s">
        <v>918</v>
      </c>
      <c r="O409" s="42">
        <v>475.66</v>
      </c>
      <c r="P409" s="43" t="str">
        <f t="shared" si="45"/>
        <v>High</v>
      </c>
      <c r="Q409" s="42">
        <v>529.14</v>
      </c>
      <c r="R409" s="42">
        <v>0.19600000000000001</v>
      </c>
      <c r="S409" s="42">
        <v>11</v>
      </c>
      <c r="T409" s="42">
        <f t="shared" si="42"/>
        <v>1687.7889600000003</v>
      </c>
      <c r="U409" s="37">
        <f t="shared" si="43"/>
        <v>5232.26</v>
      </c>
      <c r="V409" s="42">
        <f t="shared" si="46"/>
        <v>-3544.4710399999999</v>
      </c>
      <c r="W409" s="44">
        <f t="shared" si="47"/>
        <v>-2.1000676767076372</v>
      </c>
    </row>
    <row r="410" spans="1:23" x14ac:dyDescent="0.3">
      <c r="A410" s="45" t="s">
        <v>919</v>
      </c>
      <c r="B410" s="46">
        <v>45276</v>
      </c>
      <c r="C410" s="47">
        <v>45279</v>
      </c>
      <c r="D410" s="48">
        <f t="shared" si="48"/>
        <v>3</v>
      </c>
      <c r="E410" s="48" t="str">
        <f>TEXT(Data!B410,"MMM-YYYY")</f>
        <v>Dec-2023</v>
      </c>
      <c r="F410" s="48" t="str">
        <f t="shared" si="44"/>
        <v>Q4-2023</v>
      </c>
      <c r="G410" s="38" t="s">
        <v>45</v>
      </c>
      <c r="H410" s="38" t="s">
        <v>116</v>
      </c>
      <c r="I410" s="38" t="s">
        <v>338</v>
      </c>
      <c r="J410" s="38" t="s">
        <v>27</v>
      </c>
      <c r="K410" s="38" t="s">
        <v>20</v>
      </c>
      <c r="L410" s="38" t="s">
        <v>75</v>
      </c>
      <c r="M410" s="38" t="s">
        <v>81</v>
      </c>
      <c r="N410" s="38" t="s">
        <v>920</v>
      </c>
      <c r="O410" s="48">
        <v>1415.05</v>
      </c>
      <c r="P410" s="49" t="str">
        <f t="shared" si="45"/>
        <v>High</v>
      </c>
      <c r="Q410" s="48">
        <v>1972.38</v>
      </c>
      <c r="R410" s="48">
        <v>0</v>
      </c>
      <c r="S410" s="48">
        <v>12</v>
      </c>
      <c r="T410" s="48">
        <f t="shared" si="42"/>
        <v>10899.599999999999</v>
      </c>
      <c r="U410" s="38">
        <f t="shared" si="43"/>
        <v>16980.599999999999</v>
      </c>
      <c r="V410" s="48">
        <f t="shared" si="46"/>
        <v>-6081</v>
      </c>
      <c r="W410" s="50">
        <f t="shared" si="47"/>
        <v>-0.5579103820323682</v>
      </c>
    </row>
    <row r="411" spans="1:23" x14ac:dyDescent="0.3">
      <c r="A411" s="39" t="s">
        <v>921</v>
      </c>
      <c r="B411" s="40">
        <v>45534</v>
      </c>
      <c r="C411" s="41">
        <v>45540</v>
      </c>
      <c r="D411" s="42">
        <f t="shared" si="48"/>
        <v>6</v>
      </c>
      <c r="E411" s="42" t="str">
        <f>TEXT(Data!B411,"MMM-YYYY")</f>
        <v>Aug-2024</v>
      </c>
      <c r="F411" s="42" t="str">
        <f t="shared" si="44"/>
        <v>Q3-2024</v>
      </c>
      <c r="G411" s="37" t="s">
        <v>45</v>
      </c>
      <c r="H411" s="37" t="s">
        <v>46</v>
      </c>
      <c r="I411" s="37" t="s">
        <v>231</v>
      </c>
      <c r="J411" s="37" t="s">
        <v>27</v>
      </c>
      <c r="K411" s="37" t="s">
        <v>28</v>
      </c>
      <c r="L411" s="37" t="s">
        <v>126</v>
      </c>
      <c r="M411" s="37" t="s">
        <v>57</v>
      </c>
      <c r="N411" s="37" t="s">
        <v>922</v>
      </c>
      <c r="O411" s="42">
        <v>466.16</v>
      </c>
      <c r="P411" s="43" t="str">
        <f t="shared" si="45"/>
        <v>High</v>
      </c>
      <c r="Q411" s="42">
        <v>876.81</v>
      </c>
      <c r="R411" s="42">
        <v>0.24099999999999999</v>
      </c>
      <c r="S411" s="42">
        <v>8</v>
      </c>
      <c r="T411" s="42">
        <f t="shared" si="42"/>
        <v>1725.8445600000002</v>
      </c>
      <c r="U411" s="37">
        <f t="shared" si="43"/>
        <v>3729.28</v>
      </c>
      <c r="V411" s="42">
        <f t="shared" si="46"/>
        <v>-2003.43544</v>
      </c>
      <c r="W411" s="44">
        <f t="shared" si="47"/>
        <v>-1.1608435002976165</v>
      </c>
    </row>
    <row r="412" spans="1:23" x14ac:dyDescent="0.3">
      <c r="A412" s="45" t="s">
        <v>923</v>
      </c>
      <c r="B412" s="46">
        <v>45430</v>
      </c>
      <c r="C412" s="47">
        <v>45433</v>
      </c>
      <c r="D412" s="48">
        <f t="shared" si="48"/>
        <v>3</v>
      </c>
      <c r="E412" s="48" t="str">
        <f>TEXT(Data!B412,"MMM-YYYY")</f>
        <v>May-2024</v>
      </c>
      <c r="F412" s="48" t="str">
        <f t="shared" si="44"/>
        <v>Q2-2024</v>
      </c>
      <c r="G412" s="38" t="s">
        <v>78</v>
      </c>
      <c r="H412" s="38" t="s">
        <v>90</v>
      </c>
      <c r="I412" s="38" t="s">
        <v>91</v>
      </c>
      <c r="J412" s="38" t="s">
        <v>39</v>
      </c>
      <c r="K412" s="38" t="s">
        <v>40</v>
      </c>
      <c r="L412" s="38" t="s">
        <v>145</v>
      </c>
      <c r="M412" s="38" t="s">
        <v>30</v>
      </c>
      <c r="N412" s="38" t="s">
        <v>924</v>
      </c>
      <c r="O412" s="48">
        <v>663.66</v>
      </c>
      <c r="P412" s="49" t="str">
        <f t="shared" si="45"/>
        <v>High</v>
      </c>
      <c r="Q412" s="48">
        <v>824.26</v>
      </c>
      <c r="R412" s="48">
        <v>0.23899999999999999</v>
      </c>
      <c r="S412" s="48">
        <v>11</v>
      </c>
      <c r="T412" s="48">
        <f t="shared" si="42"/>
        <v>10290.80514</v>
      </c>
      <c r="U412" s="38">
        <f t="shared" si="43"/>
        <v>7300.2599999999993</v>
      </c>
      <c r="V412" s="48">
        <f t="shared" si="46"/>
        <v>2990.5451400000011</v>
      </c>
      <c r="W412" s="50">
        <f t="shared" si="47"/>
        <v>0.29060361160429093</v>
      </c>
    </row>
    <row r="413" spans="1:23" x14ac:dyDescent="0.3">
      <c r="A413" s="39" t="s">
        <v>925</v>
      </c>
      <c r="B413" s="40">
        <v>45002</v>
      </c>
      <c r="C413" s="41">
        <v>45022</v>
      </c>
      <c r="D413" s="42">
        <f t="shared" si="48"/>
        <v>20</v>
      </c>
      <c r="E413" s="42" t="str">
        <f>TEXT(Data!B413,"MMM-YYYY")</f>
        <v>Mar-2023</v>
      </c>
      <c r="F413" s="42" t="str">
        <f t="shared" si="44"/>
        <v>Q1-2023</v>
      </c>
      <c r="G413" s="37" t="s">
        <v>78</v>
      </c>
      <c r="H413" s="37" t="s">
        <v>79</v>
      </c>
      <c r="I413" s="37" t="s">
        <v>159</v>
      </c>
      <c r="J413" s="37" t="s">
        <v>48</v>
      </c>
      <c r="K413" s="37" t="s">
        <v>20</v>
      </c>
      <c r="L413" s="37" t="s">
        <v>68</v>
      </c>
      <c r="M413" s="37" t="s">
        <v>42</v>
      </c>
      <c r="N413" s="37" t="s">
        <v>926</v>
      </c>
      <c r="O413" s="42">
        <v>692.18</v>
      </c>
      <c r="P413" s="43" t="str">
        <f t="shared" si="45"/>
        <v>High</v>
      </c>
      <c r="Q413" s="42">
        <v>1159.3499999999999</v>
      </c>
      <c r="R413" s="42">
        <v>0.112</v>
      </c>
      <c r="S413" s="42">
        <v>2</v>
      </c>
      <c r="T413" s="42">
        <f t="shared" si="42"/>
        <v>2175.1027199999999</v>
      </c>
      <c r="U413" s="37">
        <f t="shared" si="43"/>
        <v>1384.36</v>
      </c>
      <c r="V413" s="42">
        <f t="shared" si="46"/>
        <v>790.74271999999996</v>
      </c>
      <c r="W413" s="44">
        <f t="shared" si="47"/>
        <v>0.36354270202006828</v>
      </c>
    </row>
    <row r="414" spans="1:23" x14ac:dyDescent="0.3">
      <c r="A414" s="45" t="s">
        <v>927</v>
      </c>
      <c r="B414" s="46">
        <v>45163</v>
      </c>
      <c r="C414" s="47">
        <v>45185</v>
      </c>
      <c r="D414" s="48">
        <f t="shared" si="48"/>
        <v>22</v>
      </c>
      <c r="E414" s="48" t="str">
        <f>TEXT(Data!B414,"MMM-YYYY")</f>
        <v>Aug-2023</v>
      </c>
      <c r="F414" s="48" t="str">
        <f t="shared" si="44"/>
        <v>Q3-2023</v>
      </c>
      <c r="G414" s="38" t="s">
        <v>16</v>
      </c>
      <c r="H414" s="38" t="s">
        <v>25</v>
      </c>
      <c r="I414" s="38" t="s">
        <v>67</v>
      </c>
      <c r="J414" s="38" t="s">
        <v>19</v>
      </c>
      <c r="K414" s="38" t="s">
        <v>40</v>
      </c>
      <c r="L414" s="38" t="s">
        <v>49</v>
      </c>
      <c r="M414" s="38" t="s">
        <v>42</v>
      </c>
      <c r="N414" s="38" t="s">
        <v>928</v>
      </c>
      <c r="O414" s="48">
        <v>1196.83</v>
      </c>
      <c r="P414" s="49" t="str">
        <f t="shared" si="45"/>
        <v>High</v>
      </c>
      <c r="Q414" s="48">
        <v>2513.5100000000002</v>
      </c>
      <c r="R414" s="48">
        <v>8.3000000000000004E-2</v>
      </c>
      <c r="S414" s="48">
        <v>7</v>
      </c>
      <c r="T414" s="48">
        <f t="shared" si="42"/>
        <v>3118.7353400000002</v>
      </c>
      <c r="U414" s="38">
        <f t="shared" si="43"/>
        <v>8377.81</v>
      </c>
      <c r="V414" s="48">
        <f t="shared" si="46"/>
        <v>-5259.0746599999993</v>
      </c>
      <c r="W414" s="50">
        <f t="shared" si="47"/>
        <v>-1.6862843706385162</v>
      </c>
    </row>
    <row r="415" spans="1:23" x14ac:dyDescent="0.3">
      <c r="A415" s="39" t="s">
        <v>929</v>
      </c>
      <c r="B415" s="40">
        <v>45449</v>
      </c>
      <c r="C415" s="41">
        <v>45467</v>
      </c>
      <c r="D415" s="42">
        <f t="shared" si="48"/>
        <v>18</v>
      </c>
      <c r="E415" s="42" t="str">
        <f>TEXT(Data!B415,"MMM-YYYY")</f>
        <v>Jun-2024</v>
      </c>
      <c r="F415" s="42" t="str">
        <f t="shared" si="44"/>
        <v>Q2-2024</v>
      </c>
      <c r="G415" s="37" t="s">
        <v>45</v>
      </c>
      <c r="H415" s="37" t="s">
        <v>60</v>
      </c>
      <c r="I415" s="37" t="s">
        <v>61</v>
      </c>
      <c r="J415" s="37" t="s">
        <v>62</v>
      </c>
      <c r="K415" s="37" t="s">
        <v>98</v>
      </c>
      <c r="L415" s="37" t="s">
        <v>92</v>
      </c>
      <c r="M415" s="37" t="s">
        <v>35</v>
      </c>
      <c r="N415" s="37" t="s">
        <v>930</v>
      </c>
      <c r="O415" s="42">
        <v>1253.25</v>
      </c>
      <c r="P415" s="43" t="str">
        <f t="shared" si="45"/>
        <v>High</v>
      </c>
      <c r="Q415" s="42">
        <v>3087.13</v>
      </c>
      <c r="R415" s="42">
        <v>7.1999999999999995E-2</v>
      </c>
      <c r="S415" s="42">
        <v>11</v>
      </c>
      <c r="T415" s="42">
        <f t="shared" si="42"/>
        <v>22569.275520000003</v>
      </c>
      <c r="U415" s="37">
        <f t="shared" si="43"/>
        <v>13785.75</v>
      </c>
      <c r="V415" s="42">
        <f t="shared" si="46"/>
        <v>8783.5255200000029</v>
      </c>
      <c r="W415" s="44">
        <f t="shared" si="47"/>
        <v>0.38918065899884063</v>
      </c>
    </row>
    <row r="416" spans="1:23" x14ac:dyDescent="0.3">
      <c r="A416" s="45" t="s">
        <v>931</v>
      </c>
      <c r="B416" s="46">
        <v>45167</v>
      </c>
      <c r="C416" s="47">
        <v>45182</v>
      </c>
      <c r="D416" s="48">
        <f t="shared" si="48"/>
        <v>15</v>
      </c>
      <c r="E416" s="48" t="str">
        <f>TEXT(Data!B416,"MMM-YYYY")</f>
        <v>Aug-2023</v>
      </c>
      <c r="F416" s="48" t="str">
        <f t="shared" si="44"/>
        <v>Q3-2023</v>
      </c>
      <c r="G416" s="38" t="s">
        <v>52</v>
      </c>
      <c r="H416" s="38" t="s">
        <v>53</v>
      </c>
      <c r="I416" s="38" t="s">
        <v>179</v>
      </c>
      <c r="J416" s="38" t="s">
        <v>62</v>
      </c>
      <c r="K416" s="38" t="s">
        <v>40</v>
      </c>
      <c r="L416" s="38" t="s">
        <v>68</v>
      </c>
      <c r="M416" s="38" t="s">
        <v>30</v>
      </c>
      <c r="N416" s="38" t="s">
        <v>932</v>
      </c>
      <c r="O416" s="48">
        <v>1287.6400000000001</v>
      </c>
      <c r="P416" s="49" t="str">
        <f t="shared" si="45"/>
        <v>High</v>
      </c>
      <c r="Q416" s="48">
        <v>2717.15</v>
      </c>
      <c r="R416" s="48">
        <v>3.2000000000000001E-2</v>
      </c>
      <c r="S416" s="48">
        <v>7</v>
      </c>
      <c r="T416" s="48">
        <f t="shared" si="42"/>
        <v>3875.12664</v>
      </c>
      <c r="U416" s="38">
        <f t="shared" si="43"/>
        <v>9013.4800000000014</v>
      </c>
      <c r="V416" s="48">
        <f t="shared" si="46"/>
        <v>-5138.353360000001</v>
      </c>
      <c r="W416" s="50">
        <f t="shared" si="47"/>
        <v>-1.3259833387019324</v>
      </c>
    </row>
    <row r="417" spans="1:23" x14ac:dyDescent="0.3">
      <c r="A417" s="39" t="s">
        <v>933</v>
      </c>
      <c r="B417" s="40">
        <v>45626</v>
      </c>
      <c r="C417" s="41">
        <v>45636</v>
      </c>
      <c r="D417" s="42">
        <f t="shared" si="48"/>
        <v>10</v>
      </c>
      <c r="E417" s="42" t="str">
        <f>TEXT(Data!B417,"MMM-YYYY")</f>
        <v>Nov-2024</v>
      </c>
      <c r="F417" s="42" t="str">
        <f t="shared" si="44"/>
        <v>Q4-2024</v>
      </c>
      <c r="G417" s="37" t="s">
        <v>45</v>
      </c>
      <c r="H417" s="37" t="s">
        <v>60</v>
      </c>
      <c r="I417" s="37" t="s">
        <v>281</v>
      </c>
      <c r="J417" s="37" t="s">
        <v>62</v>
      </c>
      <c r="K417" s="37" t="s">
        <v>20</v>
      </c>
      <c r="L417" s="37" t="s">
        <v>84</v>
      </c>
      <c r="M417" s="37" t="s">
        <v>81</v>
      </c>
      <c r="N417" s="37" t="s">
        <v>934</v>
      </c>
      <c r="O417" s="42">
        <v>851.49</v>
      </c>
      <c r="P417" s="43" t="str">
        <f t="shared" si="45"/>
        <v>High</v>
      </c>
      <c r="Q417" s="42">
        <v>901.79</v>
      </c>
      <c r="R417" s="42">
        <v>0.245</v>
      </c>
      <c r="S417" s="42">
        <v>16</v>
      </c>
      <c r="T417" s="42">
        <f t="shared" si="42"/>
        <v>41052.309600000001</v>
      </c>
      <c r="U417" s="37">
        <f t="shared" si="43"/>
        <v>13623.84</v>
      </c>
      <c r="V417" s="42">
        <f t="shared" si="46"/>
        <v>27428.4696</v>
      </c>
      <c r="W417" s="44">
        <f t="shared" si="47"/>
        <v>0.66813462792358946</v>
      </c>
    </row>
    <row r="418" spans="1:23" x14ac:dyDescent="0.3">
      <c r="A418" s="45" t="s">
        <v>935</v>
      </c>
      <c r="B418" s="46">
        <v>45813</v>
      </c>
      <c r="C418" s="47">
        <v>45822</v>
      </c>
      <c r="D418" s="48">
        <f t="shared" si="48"/>
        <v>9</v>
      </c>
      <c r="E418" s="48" t="str">
        <f>TEXT(Data!B418,"MMM-YYYY")</f>
        <v>Jun-2025</v>
      </c>
      <c r="F418" s="48" t="str">
        <f t="shared" si="44"/>
        <v>Q2-2025</v>
      </c>
      <c r="G418" s="38" t="s">
        <v>45</v>
      </c>
      <c r="H418" s="38" t="s">
        <v>60</v>
      </c>
      <c r="I418" s="38" t="s">
        <v>141</v>
      </c>
      <c r="J418" s="38" t="s">
        <v>39</v>
      </c>
      <c r="K418" s="38" t="s">
        <v>20</v>
      </c>
      <c r="L418" s="38" t="s">
        <v>75</v>
      </c>
      <c r="M418" s="38" t="s">
        <v>81</v>
      </c>
      <c r="N418" s="38" t="s">
        <v>936</v>
      </c>
      <c r="O418" s="48">
        <v>618.69000000000005</v>
      </c>
      <c r="P418" s="49" t="str">
        <f t="shared" si="45"/>
        <v>High</v>
      </c>
      <c r="Q418" s="48">
        <v>796.15</v>
      </c>
      <c r="R418" s="48">
        <v>0.09</v>
      </c>
      <c r="S418" s="48">
        <v>11</v>
      </c>
      <c r="T418" s="48">
        <f t="shared" si="42"/>
        <v>1948.1462000000001</v>
      </c>
      <c r="U418" s="38">
        <f t="shared" si="43"/>
        <v>6805.59</v>
      </c>
      <c r="V418" s="48">
        <f t="shared" si="46"/>
        <v>-4857.4438</v>
      </c>
      <c r="W418" s="50">
        <f t="shared" si="47"/>
        <v>-2.4933671815801093</v>
      </c>
    </row>
    <row r="419" spans="1:23" x14ac:dyDescent="0.3">
      <c r="A419" s="39" t="s">
        <v>937</v>
      </c>
      <c r="B419" s="40">
        <v>45730</v>
      </c>
      <c r="C419" s="41">
        <v>45755</v>
      </c>
      <c r="D419" s="42">
        <f t="shared" si="48"/>
        <v>25</v>
      </c>
      <c r="E419" s="42" t="str">
        <f>TEXT(Data!B419,"MMM-YYYY")</f>
        <v>Mar-2025</v>
      </c>
      <c r="F419" s="42" t="str">
        <f t="shared" si="44"/>
        <v>Q1-2025</v>
      </c>
      <c r="G419" s="37" t="s">
        <v>45</v>
      </c>
      <c r="H419" s="37" t="s">
        <v>116</v>
      </c>
      <c r="I419" s="37" t="s">
        <v>1364</v>
      </c>
      <c r="J419" s="37" t="s">
        <v>19</v>
      </c>
      <c r="K419" s="37" t="s">
        <v>55</v>
      </c>
      <c r="L419" s="37" t="s">
        <v>145</v>
      </c>
      <c r="M419" s="37" t="s">
        <v>30</v>
      </c>
      <c r="N419" s="37" t="s">
        <v>938</v>
      </c>
      <c r="O419" s="42">
        <v>80.59</v>
      </c>
      <c r="P419" s="43" t="str">
        <f t="shared" si="45"/>
        <v>Medium</v>
      </c>
      <c r="Q419" s="42">
        <v>157.82</v>
      </c>
      <c r="R419" s="42">
        <v>0.217</v>
      </c>
      <c r="S419" s="42">
        <v>6</v>
      </c>
      <c r="T419" s="42">
        <f t="shared" si="42"/>
        <v>4846.6447200000002</v>
      </c>
      <c r="U419" s="37">
        <f t="shared" si="43"/>
        <v>483.54</v>
      </c>
      <c r="V419" s="42">
        <f t="shared" si="46"/>
        <v>4363.1047200000003</v>
      </c>
      <c r="W419" s="44">
        <f t="shared" si="47"/>
        <v>0.90023201040409662</v>
      </c>
    </row>
    <row r="420" spans="1:23" x14ac:dyDescent="0.3">
      <c r="A420" s="45" t="s">
        <v>939</v>
      </c>
      <c r="B420" s="46">
        <v>45307</v>
      </c>
      <c r="C420" s="47">
        <v>45333</v>
      </c>
      <c r="D420" s="48">
        <f t="shared" si="48"/>
        <v>26</v>
      </c>
      <c r="E420" s="48" t="str">
        <f>TEXT(Data!B420,"MMM-YYYY")</f>
        <v>Jan-2024</v>
      </c>
      <c r="F420" s="48" t="str">
        <f t="shared" si="44"/>
        <v>Q1-2024</v>
      </c>
      <c r="G420" s="38" t="s">
        <v>78</v>
      </c>
      <c r="H420" s="38" t="s">
        <v>79</v>
      </c>
      <c r="I420" s="38" t="s">
        <v>335</v>
      </c>
      <c r="J420" s="38" t="s">
        <v>39</v>
      </c>
      <c r="K420" s="38" t="s">
        <v>55</v>
      </c>
      <c r="L420" s="38" t="s">
        <v>63</v>
      </c>
      <c r="M420" s="38" t="s">
        <v>64</v>
      </c>
      <c r="N420" s="38" t="s">
        <v>940</v>
      </c>
      <c r="O420" s="48">
        <v>504.93</v>
      </c>
      <c r="P420" s="49" t="str">
        <f t="shared" si="45"/>
        <v>High</v>
      </c>
      <c r="Q420" s="48">
        <v>819.06</v>
      </c>
      <c r="R420" s="48">
        <v>0.22600000000000001</v>
      </c>
      <c r="S420" s="48">
        <v>15</v>
      </c>
      <c r="T420" s="48">
        <f t="shared" si="42"/>
        <v>5749.1559000000007</v>
      </c>
      <c r="U420" s="38">
        <f t="shared" si="43"/>
        <v>7573.95</v>
      </c>
      <c r="V420" s="48">
        <f t="shared" si="46"/>
        <v>-1824.7940999999992</v>
      </c>
      <c r="W420" s="50">
        <f t="shared" si="47"/>
        <v>-0.31740209027902672</v>
      </c>
    </row>
    <row r="421" spans="1:23" x14ac:dyDescent="0.3">
      <c r="A421" s="39" t="s">
        <v>941</v>
      </c>
      <c r="B421" s="40">
        <v>45211</v>
      </c>
      <c r="C421" s="41">
        <v>45228</v>
      </c>
      <c r="D421" s="42">
        <f t="shared" si="48"/>
        <v>17</v>
      </c>
      <c r="E421" s="42" t="str">
        <f>TEXT(Data!B421,"MMM-YYYY")</f>
        <v>Oct-2023</v>
      </c>
      <c r="F421" s="42" t="str">
        <f t="shared" si="44"/>
        <v>Q4-2023</v>
      </c>
      <c r="G421" s="37" t="s">
        <v>45</v>
      </c>
      <c r="H421" s="37" t="s">
        <v>46</v>
      </c>
      <c r="I421" s="37" t="s">
        <v>231</v>
      </c>
      <c r="J421" s="37" t="s">
        <v>39</v>
      </c>
      <c r="K421" s="37" t="s">
        <v>98</v>
      </c>
      <c r="L421" s="37" t="s">
        <v>92</v>
      </c>
      <c r="M421" s="37" t="s">
        <v>42</v>
      </c>
      <c r="N421" s="37" t="s">
        <v>942</v>
      </c>
      <c r="O421" s="42">
        <v>1102.19</v>
      </c>
      <c r="P421" s="43" t="str">
        <f t="shared" si="45"/>
        <v>High</v>
      </c>
      <c r="Q421" s="42">
        <v>1711.16</v>
      </c>
      <c r="R421" s="42">
        <v>0.151</v>
      </c>
      <c r="S421" s="42">
        <v>10</v>
      </c>
      <c r="T421" s="42">
        <f t="shared" si="42"/>
        <v>11198.649599999999</v>
      </c>
      <c r="U421" s="37">
        <f t="shared" si="43"/>
        <v>11021.900000000001</v>
      </c>
      <c r="V421" s="42">
        <f t="shared" si="46"/>
        <v>176.74959999999737</v>
      </c>
      <c r="W421" s="44">
        <f t="shared" si="47"/>
        <v>1.5783117278711657E-2</v>
      </c>
    </row>
    <row r="422" spans="1:23" x14ac:dyDescent="0.3">
      <c r="A422" s="45" t="s">
        <v>943</v>
      </c>
      <c r="B422" s="46">
        <v>45713</v>
      </c>
      <c r="C422" s="47">
        <v>45733</v>
      </c>
      <c r="D422" s="48">
        <f t="shared" si="48"/>
        <v>20</v>
      </c>
      <c r="E422" s="48" t="str">
        <f>TEXT(Data!B422,"MMM-YYYY")</f>
        <v>Feb-2025</v>
      </c>
      <c r="F422" s="48" t="str">
        <f t="shared" si="44"/>
        <v>Q1-2025</v>
      </c>
      <c r="G422" s="38" t="s">
        <v>52</v>
      </c>
      <c r="H422" s="38" t="s">
        <v>122</v>
      </c>
      <c r="I422" s="38" t="s">
        <v>167</v>
      </c>
      <c r="J422" s="38" t="s">
        <v>39</v>
      </c>
      <c r="K422" s="38" t="s">
        <v>40</v>
      </c>
      <c r="L422" s="38" t="s">
        <v>92</v>
      </c>
      <c r="M422" s="38" t="s">
        <v>42</v>
      </c>
      <c r="N422" s="38" t="s">
        <v>944</v>
      </c>
      <c r="O422" s="48">
        <v>1205.26</v>
      </c>
      <c r="P422" s="49" t="str">
        <f t="shared" si="45"/>
        <v>High</v>
      </c>
      <c r="Q422" s="48">
        <v>1696.35</v>
      </c>
      <c r="R422" s="48">
        <v>1.9E-2</v>
      </c>
      <c r="S422" s="48">
        <v>6</v>
      </c>
      <c r="T422" s="48">
        <f t="shared" si="42"/>
        <v>1853.32482</v>
      </c>
      <c r="U422" s="38">
        <f t="shared" si="43"/>
        <v>7231.5599999999995</v>
      </c>
      <c r="V422" s="48">
        <f t="shared" si="46"/>
        <v>-5378.2351799999997</v>
      </c>
      <c r="W422" s="50">
        <f t="shared" si="47"/>
        <v>-2.9019387869634206</v>
      </c>
    </row>
    <row r="423" spans="1:23" x14ac:dyDescent="0.3">
      <c r="A423" s="39" t="s">
        <v>945</v>
      </c>
      <c r="B423" s="40">
        <v>45841</v>
      </c>
      <c r="C423" s="41">
        <v>45844</v>
      </c>
      <c r="D423" s="42">
        <f t="shared" si="48"/>
        <v>3</v>
      </c>
      <c r="E423" s="42" t="str">
        <f>TEXT(Data!B423,"MMM-YYYY")</f>
        <v>Jul-2025</v>
      </c>
      <c r="F423" s="42" t="str">
        <f t="shared" si="44"/>
        <v>Q3-2025</v>
      </c>
      <c r="G423" s="37" t="s">
        <v>16</v>
      </c>
      <c r="H423" s="37" t="s">
        <v>25</v>
      </c>
      <c r="I423" s="37" t="s">
        <v>38</v>
      </c>
      <c r="J423" s="37" t="s">
        <v>48</v>
      </c>
      <c r="K423" s="37" t="s">
        <v>28</v>
      </c>
      <c r="L423" s="37" t="s">
        <v>1364</v>
      </c>
      <c r="M423" s="37" t="s">
        <v>57</v>
      </c>
      <c r="N423" s="37" t="s">
        <v>946</v>
      </c>
      <c r="O423" s="42">
        <v>1313.3</v>
      </c>
      <c r="P423" s="43" t="str">
        <f t="shared" si="45"/>
        <v>High</v>
      </c>
      <c r="Q423" s="42">
        <v>2884.34</v>
      </c>
      <c r="R423" s="42">
        <v>0.157</v>
      </c>
      <c r="S423" s="42">
        <v>42</v>
      </c>
      <c r="T423" s="42">
        <f t="shared" si="42"/>
        <v>78253.279020000002</v>
      </c>
      <c r="U423" s="37">
        <f t="shared" si="43"/>
        <v>55158.6</v>
      </c>
      <c r="V423" s="42">
        <f t="shared" si="46"/>
        <v>23094.679020000003</v>
      </c>
      <c r="W423" s="44">
        <f t="shared" si="47"/>
        <v>0.29512730085211453</v>
      </c>
    </row>
    <row r="424" spans="1:23" x14ac:dyDescent="0.3">
      <c r="A424" s="45" t="s">
        <v>947</v>
      </c>
      <c r="B424" s="46">
        <v>45915</v>
      </c>
      <c r="C424" s="47">
        <v>45925</v>
      </c>
      <c r="D424" s="48">
        <f t="shared" si="48"/>
        <v>10</v>
      </c>
      <c r="E424" s="48" t="str">
        <f>TEXT(Data!B424,"MMM-YYYY")</f>
        <v>Sept-2025</v>
      </c>
      <c r="F424" s="48" t="str">
        <f t="shared" si="44"/>
        <v>Q3-2025</v>
      </c>
      <c r="G424" s="38" t="s">
        <v>45</v>
      </c>
      <c r="H424" s="38" t="s">
        <v>60</v>
      </c>
      <c r="I424" s="38" t="s">
        <v>141</v>
      </c>
      <c r="J424" s="38" t="s">
        <v>48</v>
      </c>
      <c r="K424" s="38" t="s">
        <v>20</v>
      </c>
      <c r="L424" s="38" t="s">
        <v>75</v>
      </c>
      <c r="M424" s="38" t="s">
        <v>42</v>
      </c>
      <c r="N424" s="38" t="s">
        <v>948</v>
      </c>
      <c r="O424" s="48">
        <v>1488.91</v>
      </c>
      <c r="P424" s="49" t="str">
        <f t="shared" si="45"/>
        <v>High</v>
      </c>
      <c r="Q424" s="48">
        <v>1483.74</v>
      </c>
      <c r="R424" s="48">
        <v>0.16800000000000001</v>
      </c>
      <c r="S424" s="48">
        <v>24</v>
      </c>
      <c r="T424" s="48">
        <f t="shared" si="42"/>
        <v>20866.559999999998</v>
      </c>
      <c r="U424" s="38">
        <f t="shared" si="43"/>
        <v>35733.840000000004</v>
      </c>
      <c r="V424" s="48">
        <f t="shared" si="46"/>
        <v>-14867.280000000006</v>
      </c>
      <c r="W424" s="50">
        <f t="shared" si="47"/>
        <v>-0.71249309900625724</v>
      </c>
    </row>
    <row r="425" spans="1:23" x14ac:dyDescent="0.3">
      <c r="A425" s="39" t="s">
        <v>949</v>
      </c>
      <c r="B425" s="40">
        <v>45341</v>
      </c>
      <c r="C425" s="41">
        <v>45357</v>
      </c>
      <c r="D425" s="42">
        <f t="shared" si="48"/>
        <v>16</v>
      </c>
      <c r="E425" s="42" t="str">
        <f>TEXT(Data!B425,"MMM-YYYY")</f>
        <v>Feb-2024</v>
      </c>
      <c r="F425" s="42" t="str">
        <f t="shared" si="44"/>
        <v>Q1-2024</v>
      </c>
      <c r="G425" s="37" t="s">
        <v>45</v>
      </c>
      <c r="H425" s="37" t="s">
        <v>116</v>
      </c>
      <c r="I425" s="37" t="s">
        <v>338</v>
      </c>
      <c r="J425" s="37" t="s">
        <v>27</v>
      </c>
      <c r="K425" s="37" t="s">
        <v>40</v>
      </c>
      <c r="L425" s="37" t="s">
        <v>68</v>
      </c>
      <c r="M425" s="37" t="s">
        <v>30</v>
      </c>
      <c r="N425" s="37" t="s">
        <v>950</v>
      </c>
      <c r="O425" s="42">
        <v>1477.84</v>
      </c>
      <c r="P425" s="43" t="str">
        <f t="shared" si="45"/>
        <v>High</v>
      </c>
      <c r="Q425" s="42">
        <v>3197.47</v>
      </c>
      <c r="R425" s="42">
        <v>0.24299999999999999</v>
      </c>
      <c r="S425" s="42">
        <v>24</v>
      </c>
      <c r="T425" s="42">
        <f t="shared" si="42"/>
        <v>38737.627919999999</v>
      </c>
      <c r="U425" s="37">
        <f t="shared" si="43"/>
        <v>35468.159999999996</v>
      </c>
      <c r="V425" s="42">
        <f t="shared" si="46"/>
        <v>3269.4679200000028</v>
      </c>
      <c r="W425" s="44">
        <f t="shared" si="47"/>
        <v>8.4400312965781696E-2</v>
      </c>
    </row>
    <row r="426" spans="1:23" x14ac:dyDescent="0.3">
      <c r="A426" s="45" t="s">
        <v>951</v>
      </c>
      <c r="B426" s="46">
        <v>45349</v>
      </c>
      <c r="C426" s="47">
        <v>45377</v>
      </c>
      <c r="D426" s="48">
        <f t="shared" si="48"/>
        <v>28</v>
      </c>
      <c r="E426" s="48" t="str">
        <f>TEXT(Data!B426,"MMM-YYYY")</f>
        <v>Feb-2024</v>
      </c>
      <c r="F426" s="48" t="str">
        <f t="shared" si="44"/>
        <v>Q1-2024</v>
      </c>
      <c r="G426" s="38" t="s">
        <v>45</v>
      </c>
      <c r="H426" s="38" t="s">
        <v>60</v>
      </c>
      <c r="I426" s="38" t="s">
        <v>220</v>
      </c>
      <c r="J426" s="38" t="s">
        <v>27</v>
      </c>
      <c r="K426" s="38" t="s">
        <v>40</v>
      </c>
      <c r="L426" s="38" t="s">
        <v>41</v>
      </c>
      <c r="M426" s="38" t="s">
        <v>57</v>
      </c>
      <c r="N426" s="38" t="s">
        <v>952</v>
      </c>
      <c r="O426" s="48">
        <v>1035.19</v>
      </c>
      <c r="P426" s="49" t="str">
        <f t="shared" si="45"/>
        <v>High</v>
      </c>
      <c r="Q426" s="48">
        <v>2322.6999999999998</v>
      </c>
      <c r="R426" s="48">
        <v>0.17299999999999999</v>
      </c>
      <c r="S426" s="48">
        <v>8</v>
      </c>
      <c r="T426" s="48">
        <f t="shared" si="42"/>
        <v>13903.854800000001</v>
      </c>
      <c r="U426" s="38">
        <f t="shared" si="43"/>
        <v>8281.52</v>
      </c>
      <c r="V426" s="48">
        <f t="shared" si="46"/>
        <v>5622.3348000000005</v>
      </c>
      <c r="W426" s="50">
        <f t="shared" si="47"/>
        <v>0.40437237592555986</v>
      </c>
    </row>
    <row r="427" spans="1:23" x14ac:dyDescent="0.3">
      <c r="A427" s="39" t="s">
        <v>953</v>
      </c>
      <c r="B427" s="40">
        <v>45897</v>
      </c>
      <c r="C427" s="41">
        <v>45905</v>
      </c>
      <c r="D427" s="42">
        <f t="shared" si="48"/>
        <v>8</v>
      </c>
      <c r="E427" s="42" t="str">
        <f>TEXT(Data!B427,"MMM-YYYY")</f>
        <v>Aug-2025</v>
      </c>
      <c r="F427" s="42" t="str">
        <f t="shared" si="44"/>
        <v>Q3-2025</v>
      </c>
      <c r="G427" s="37" t="s">
        <v>16</v>
      </c>
      <c r="H427" s="37" t="s">
        <v>25</v>
      </c>
      <c r="I427" s="37" t="s">
        <v>26</v>
      </c>
      <c r="J427" s="37" t="s">
        <v>62</v>
      </c>
      <c r="K427" s="37" t="s">
        <v>40</v>
      </c>
      <c r="L427" s="37" t="s">
        <v>63</v>
      </c>
      <c r="M427" s="37" t="s">
        <v>57</v>
      </c>
      <c r="N427" s="37" t="s">
        <v>954</v>
      </c>
      <c r="O427" s="42">
        <v>1271.0999999999999</v>
      </c>
      <c r="P427" s="43" t="str">
        <f t="shared" si="45"/>
        <v>High</v>
      </c>
      <c r="Q427" s="42">
        <v>1932.42</v>
      </c>
      <c r="R427" s="42">
        <v>0.25</v>
      </c>
      <c r="S427" s="42">
        <v>21</v>
      </c>
      <c r="T427" s="42">
        <f t="shared" si="42"/>
        <v>33475.68</v>
      </c>
      <c r="U427" s="37">
        <f t="shared" si="43"/>
        <v>26693.1</v>
      </c>
      <c r="V427" s="42">
        <f t="shared" si="46"/>
        <v>6782.5800000000017</v>
      </c>
      <c r="W427" s="44">
        <f t="shared" si="47"/>
        <v>0.20261216501053905</v>
      </c>
    </row>
    <row r="428" spans="1:23" x14ac:dyDescent="0.3">
      <c r="A428" s="45" t="s">
        <v>955</v>
      </c>
      <c r="B428" s="46">
        <v>45522</v>
      </c>
      <c r="C428" s="47">
        <v>45547</v>
      </c>
      <c r="D428" s="48">
        <f t="shared" si="48"/>
        <v>25</v>
      </c>
      <c r="E428" s="48" t="str">
        <f>TEXT(Data!B428,"MMM-YYYY")</f>
        <v>Aug-2024</v>
      </c>
      <c r="F428" s="48" t="str">
        <f t="shared" si="44"/>
        <v>Q3-2024</v>
      </c>
      <c r="G428" s="38" t="s">
        <v>45</v>
      </c>
      <c r="H428" s="38" t="s">
        <v>60</v>
      </c>
      <c r="I428" s="38" t="s">
        <v>220</v>
      </c>
      <c r="J428" s="38" t="s">
        <v>48</v>
      </c>
      <c r="K428" s="38" t="s">
        <v>40</v>
      </c>
      <c r="L428" s="38" t="s">
        <v>21</v>
      </c>
      <c r="M428" s="38" t="s">
        <v>42</v>
      </c>
      <c r="N428" s="38" t="s">
        <v>956</v>
      </c>
      <c r="O428" s="48">
        <v>1154.03</v>
      </c>
      <c r="P428" s="49" t="str">
        <f t="shared" si="45"/>
        <v>High</v>
      </c>
      <c r="Q428" s="48">
        <v>1590.36</v>
      </c>
      <c r="R428" s="48">
        <v>0.314</v>
      </c>
      <c r="S428" s="48">
        <v>18</v>
      </c>
      <c r="T428" s="48">
        <f t="shared" si="42"/>
        <v>8801.0369999999984</v>
      </c>
      <c r="U428" s="38">
        <f t="shared" si="43"/>
        <v>20772.54</v>
      </c>
      <c r="V428" s="48">
        <f t="shared" si="46"/>
        <v>-11971.503000000002</v>
      </c>
      <c r="W428" s="50">
        <f t="shared" si="47"/>
        <v>-1.360237776525653</v>
      </c>
    </row>
    <row r="429" spans="1:23" x14ac:dyDescent="0.3">
      <c r="A429" s="39" t="s">
        <v>957</v>
      </c>
      <c r="B429" s="40">
        <v>45347</v>
      </c>
      <c r="C429" s="41">
        <v>45360</v>
      </c>
      <c r="D429" s="42">
        <f t="shared" si="48"/>
        <v>13</v>
      </c>
      <c r="E429" s="42" t="str">
        <f>TEXT(Data!B429,"MMM-YYYY")</f>
        <v>Feb-2024</v>
      </c>
      <c r="F429" s="42" t="str">
        <f t="shared" si="44"/>
        <v>Q1-2024</v>
      </c>
      <c r="G429" s="37" t="s">
        <v>78</v>
      </c>
      <c r="H429" s="37" t="s">
        <v>90</v>
      </c>
      <c r="I429" s="37" t="s">
        <v>91</v>
      </c>
      <c r="J429" s="37" t="s">
        <v>62</v>
      </c>
      <c r="K429" s="37" t="s">
        <v>55</v>
      </c>
      <c r="L429" s="37" t="s">
        <v>63</v>
      </c>
      <c r="M429" s="37" t="s">
        <v>64</v>
      </c>
      <c r="N429" s="37" t="s">
        <v>958</v>
      </c>
      <c r="O429" s="42">
        <v>322.44</v>
      </c>
      <c r="P429" s="43" t="str">
        <f t="shared" si="45"/>
        <v>High</v>
      </c>
      <c r="Q429" s="42">
        <v>395.61</v>
      </c>
      <c r="R429" s="42">
        <v>0</v>
      </c>
      <c r="S429" s="42">
        <v>34</v>
      </c>
      <c r="T429" s="42">
        <f t="shared" si="42"/>
        <v>53340.22</v>
      </c>
      <c r="U429" s="37">
        <f t="shared" si="43"/>
        <v>10962.96</v>
      </c>
      <c r="V429" s="42">
        <f t="shared" si="46"/>
        <v>42377.26</v>
      </c>
      <c r="W429" s="44">
        <f t="shared" si="47"/>
        <v>0.79447103892709858</v>
      </c>
    </row>
    <row r="430" spans="1:23" x14ac:dyDescent="0.3">
      <c r="A430" s="45" t="s">
        <v>959</v>
      </c>
      <c r="B430" s="46">
        <v>45784</v>
      </c>
      <c r="C430" s="47">
        <v>45790</v>
      </c>
      <c r="D430" s="48">
        <f t="shared" si="48"/>
        <v>6</v>
      </c>
      <c r="E430" s="48" t="str">
        <f>TEXT(Data!B430,"MMM-YYYY")</f>
        <v>May-2025</v>
      </c>
      <c r="F430" s="48" t="str">
        <f t="shared" si="44"/>
        <v>Q2-2025</v>
      </c>
      <c r="G430" s="38" t="s">
        <v>45</v>
      </c>
      <c r="H430" s="38" t="s">
        <v>60</v>
      </c>
      <c r="I430" s="38" t="s">
        <v>61</v>
      </c>
      <c r="J430" s="38" t="s">
        <v>105</v>
      </c>
      <c r="K430" s="38" t="s">
        <v>98</v>
      </c>
      <c r="L430" s="38" t="s">
        <v>29</v>
      </c>
      <c r="M430" s="38" t="s">
        <v>42</v>
      </c>
      <c r="N430" s="38" t="s">
        <v>960</v>
      </c>
      <c r="O430" s="48">
        <v>935.98</v>
      </c>
      <c r="P430" s="49" t="str">
        <f t="shared" si="45"/>
        <v>High</v>
      </c>
      <c r="Q430" s="48">
        <v>2077.69</v>
      </c>
      <c r="R430" s="48">
        <v>0.17499999999999999</v>
      </c>
      <c r="S430" s="48">
        <v>24</v>
      </c>
      <c r="T430" s="48">
        <f t="shared" si="42"/>
        <v>41071.932000000001</v>
      </c>
      <c r="U430" s="38">
        <f t="shared" si="43"/>
        <v>22463.52</v>
      </c>
      <c r="V430" s="48">
        <f t="shared" si="46"/>
        <v>18608.412</v>
      </c>
      <c r="W430" s="50">
        <f t="shared" si="47"/>
        <v>0.4530688256885505</v>
      </c>
    </row>
    <row r="431" spans="1:23" x14ac:dyDescent="0.3">
      <c r="A431" s="39" t="s">
        <v>961</v>
      </c>
      <c r="B431" s="40">
        <v>45597</v>
      </c>
      <c r="C431" s="41">
        <v>45608</v>
      </c>
      <c r="D431" s="42">
        <f t="shared" si="48"/>
        <v>11</v>
      </c>
      <c r="E431" s="42" t="str">
        <f>TEXT(Data!B431,"MMM-YYYY")</f>
        <v>Nov-2024</v>
      </c>
      <c r="F431" s="42" t="str">
        <f t="shared" si="44"/>
        <v>Q4-2024</v>
      </c>
      <c r="G431" s="37" t="s">
        <v>78</v>
      </c>
      <c r="H431" s="37" t="s">
        <v>79</v>
      </c>
      <c r="I431" s="37" t="s">
        <v>335</v>
      </c>
      <c r="J431" s="37" t="s">
        <v>48</v>
      </c>
      <c r="K431" s="37" t="s">
        <v>28</v>
      </c>
      <c r="L431" s="37" t="s">
        <v>56</v>
      </c>
      <c r="M431" s="37" t="s">
        <v>30</v>
      </c>
      <c r="N431" s="37" t="s">
        <v>962</v>
      </c>
      <c r="O431" s="42">
        <v>599.84</v>
      </c>
      <c r="P431" s="43" t="str">
        <f t="shared" si="45"/>
        <v>High</v>
      </c>
      <c r="Q431" s="42">
        <v>1330.85</v>
      </c>
      <c r="R431" s="42">
        <v>0.115</v>
      </c>
      <c r="S431" s="42">
        <v>11</v>
      </c>
      <c r="T431" s="42">
        <f t="shared" si="42"/>
        <v>4820.6746499999999</v>
      </c>
      <c r="U431" s="37">
        <f t="shared" si="43"/>
        <v>6598.2400000000007</v>
      </c>
      <c r="V431" s="42">
        <f t="shared" si="46"/>
        <v>-1777.5653500000008</v>
      </c>
      <c r="W431" s="44">
        <f t="shared" si="47"/>
        <v>-0.36873787987330792</v>
      </c>
    </row>
    <row r="432" spans="1:23" x14ac:dyDescent="0.3">
      <c r="A432" s="45" t="s">
        <v>963</v>
      </c>
      <c r="B432" s="46">
        <v>45654</v>
      </c>
      <c r="C432" s="47">
        <v>45665</v>
      </c>
      <c r="D432" s="48">
        <f t="shared" si="48"/>
        <v>11</v>
      </c>
      <c r="E432" s="48" t="str">
        <f>TEXT(Data!B432,"MMM-YYYY")</f>
        <v>Dec-2024</v>
      </c>
      <c r="F432" s="48" t="str">
        <f t="shared" si="44"/>
        <v>Q4-2024</v>
      </c>
      <c r="G432" s="38" t="s">
        <v>45</v>
      </c>
      <c r="H432" s="38" t="s">
        <v>116</v>
      </c>
      <c r="I432" s="38" t="s">
        <v>117</v>
      </c>
      <c r="J432" s="38" t="s">
        <v>105</v>
      </c>
      <c r="K432" s="38" t="s">
        <v>28</v>
      </c>
      <c r="L432" s="38" t="s">
        <v>95</v>
      </c>
      <c r="M432" s="38" t="s">
        <v>57</v>
      </c>
      <c r="N432" s="38" t="s">
        <v>964</v>
      </c>
      <c r="O432" s="48">
        <v>1201.31</v>
      </c>
      <c r="P432" s="49" t="str">
        <f t="shared" si="45"/>
        <v>High</v>
      </c>
      <c r="Q432" s="48">
        <v>2764.65</v>
      </c>
      <c r="R432" s="48">
        <v>0</v>
      </c>
      <c r="S432" s="48">
        <v>21</v>
      </c>
      <c r="T432" s="48">
        <f t="shared" si="42"/>
        <v>15909.390000000001</v>
      </c>
      <c r="U432" s="38">
        <f t="shared" si="43"/>
        <v>25227.51</v>
      </c>
      <c r="V432" s="48">
        <f t="shared" si="46"/>
        <v>-9318.1199999999972</v>
      </c>
      <c r="W432" s="50">
        <f t="shared" si="47"/>
        <v>-0.58569938885148942</v>
      </c>
    </row>
    <row r="433" spans="1:23" x14ac:dyDescent="0.3">
      <c r="A433" s="39" t="s">
        <v>965</v>
      </c>
      <c r="B433" s="40">
        <v>45220</v>
      </c>
      <c r="C433" s="41">
        <v>45220</v>
      </c>
      <c r="D433" s="42">
        <f t="shared" si="48"/>
        <v>0</v>
      </c>
      <c r="E433" s="42" t="str">
        <f>TEXT(Data!B433,"MMM-YYYY")</f>
        <v>Oct-2023</v>
      </c>
      <c r="F433" s="42" t="str">
        <f t="shared" si="44"/>
        <v>Q4-2023</v>
      </c>
      <c r="G433" s="37" t="s">
        <v>78</v>
      </c>
      <c r="H433" s="37" t="s">
        <v>108</v>
      </c>
      <c r="I433" s="37" t="s">
        <v>228</v>
      </c>
      <c r="J433" s="37" t="s">
        <v>105</v>
      </c>
      <c r="K433" s="37" t="s">
        <v>55</v>
      </c>
      <c r="L433" s="37" t="s">
        <v>29</v>
      </c>
      <c r="M433" s="37" t="s">
        <v>64</v>
      </c>
      <c r="N433" s="37" t="s">
        <v>966</v>
      </c>
      <c r="O433" s="42">
        <v>384.19</v>
      </c>
      <c r="P433" s="43" t="str">
        <f t="shared" si="45"/>
        <v>High</v>
      </c>
      <c r="Q433" s="42">
        <v>278.35000000000002</v>
      </c>
      <c r="R433" s="42">
        <v>5.6000000000000001E-2</v>
      </c>
      <c r="S433" s="42">
        <v>10</v>
      </c>
      <c r="T433" s="42">
        <f t="shared" si="42"/>
        <v>3926.6623999999993</v>
      </c>
      <c r="U433" s="37">
        <f t="shared" si="43"/>
        <v>3841.9</v>
      </c>
      <c r="V433" s="42">
        <f t="shared" si="46"/>
        <v>84.762399999999161</v>
      </c>
      <c r="W433" s="44">
        <f t="shared" si="47"/>
        <v>2.1586373200812775E-2</v>
      </c>
    </row>
    <row r="434" spans="1:23" x14ac:dyDescent="0.3">
      <c r="A434" s="45" t="s">
        <v>967</v>
      </c>
      <c r="B434" s="46">
        <v>45636</v>
      </c>
      <c r="C434" s="47">
        <v>45645</v>
      </c>
      <c r="D434" s="48">
        <f t="shared" si="48"/>
        <v>9</v>
      </c>
      <c r="E434" s="48" t="str">
        <f>TEXT(Data!B434,"MMM-YYYY")</f>
        <v>Dec-2024</v>
      </c>
      <c r="F434" s="48" t="str">
        <f t="shared" si="44"/>
        <v>Q4-2024</v>
      </c>
      <c r="G434" s="38" t="s">
        <v>16</v>
      </c>
      <c r="H434" s="38" t="s">
        <v>25</v>
      </c>
      <c r="I434" s="38" t="s">
        <v>38</v>
      </c>
      <c r="J434" s="38" t="s">
        <v>19</v>
      </c>
      <c r="K434" s="38" t="s">
        <v>20</v>
      </c>
      <c r="L434" s="38" t="s">
        <v>68</v>
      </c>
      <c r="M434" s="38" t="s">
        <v>64</v>
      </c>
      <c r="N434" s="38" t="s">
        <v>968</v>
      </c>
      <c r="O434" s="48">
        <v>488.68</v>
      </c>
      <c r="P434" s="49" t="str">
        <f t="shared" si="45"/>
        <v>High</v>
      </c>
      <c r="Q434" s="48">
        <v>984.36</v>
      </c>
      <c r="R434" s="48">
        <v>5.8999999999999997E-2</v>
      </c>
      <c r="S434" s="48">
        <v>14</v>
      </c>
      <c r="T434" s="48">
        <f t="shared" si="42"/>
        <v>24647.104860000003</v>
      </c>
      <c r="U434" s="38">
        <f t="shared" si="43"/>
        <v>6841.52</v>
      </c>
      <c r="V434" s="48">
        <f t="shared" si="46"/>
        <v>17805.584860000003</v>
      </c>
      <c r="W434" s="50">
        <f t="shared" si="47"/>
        <v>0.72242094806424251</v>
      </c>
    </row>
    <row r="435" spans="1:23" x14ac:dyDescent="0.3">
      <c r="A435" s="39" t="s">
        <v>969</v>
      </c>
      <c r="B435" s="40">
        <v>45542</v>
      </c>
      <c r="C435" s="41">
        <v>45553</v>
      </c>
      <c r="D435" s="42">
        <f t="shared" si="48"/>
        <v>11</v>
      </c>
      <c r="E435" s="42" t="str">
        <f>TEXT(Data!B435,"MMM-YYYY")</f>
        <v>Sept-2024</v>
      </c>
      <c r="F435" s="42" t="str">
        <f t="shared" si="44"/>
        <v>Q3-2024</v>
      </c>
      <c r="G435" s="37" t="s">
        <v>45</v>
      </c>
      <c r="H435" s="37" t="s">
        <v>116</v>
      </c>
      <c r="I435" s="37" t="s">
        <v>338</v>
      </c>
      <c r="J435" s="37" t="s">
        <v>48</v>
      </c>
      <c r="K435" s="37" t="s">
        <v>55</v>
      </c>
      <c r="L435" s="37" t="s">
        <v>68</v>
      </c>
      <c r="M435" s="37" t="s">
        <v>35</v>
      </c>
      <c r="N435" s="37" t="s">
        <v>970</v>
      </c>
      <c r="O435" s="42">
        <v>181.74</v>
      </c>
      <c r="P435" s="43" t="str">
        <f t="shared" si="45"/>
        <v>Medium</v>
      </c>
      <c r="Q435" s="42">
        <v>190.84</v>
      </c>
      <c r="R435" s="42">
        <v>0.214</v>
      </c>
      <c r="S435" s="42">
        <v>13</v>
      </c>
      <c r="T435" s="42">
        <f t="shared" si="42"/>
        <v>2113.89984</v>
      </c>
      <c r="U435" s="37">
        <f t="shared" si="43"/>
        <v>2362.62</v>
      </c>
      <c r="V435" s="42">
        <f t="shared" si="46"/>
        <v>-248.72015999999985</v>
      </c>
      <c r="W435" s="44">
        <f t="shared" si="47"/>
        <v>-0.11765938730569177</v>
      </c>
    </row>
    <row r="436" spans="1:23" x14ac:dyDescent="0.3">
      <c r="A436" s="45" t="s">
        <v>971</v>
      </c>
      <c r="B436" s="46">
        <v>45217</v>
      </c>
      <c r="C436" s="47">
        <v>45219</v>
      </c>
      <c r="D436" s="48">
        <f t="shared" si="48"/>
        <v>2</v>
      </c>
      <c r="E436" s="48" t="str">
        <f>TEXT(Data!B436,"MMM-YYYY")</f>
        <v>Oct-2023</v>
      </c>
      <c r="F436" s="48" t="str">
        <f t="shared" si="44"/>
        <v>Q4-2023</v>
      </c>
      <c r="G436" s="38" t="s">
        <v>16</v>
      </c>
      <c r="H436" s="38" t="s">
        <v>17</v>
      </c>
      <c r="I436" s="38" t="s">
        <v>18</v>
      </c>
      <c r="J436" s="38" t="s">
        <v>48</v>
      </c>
      <c r="K436" s="38" t="s">
        <v>20</v>
      </c>
      <c r="L436" s="38" t="s">
        <v>29</v>
      </c>
      <c r="M436" s="38" t="s">
        <v>42</v>
      </c>
      <c r="N436" s="38" t="s">
        <v>972</v>
      </c>
      <c r="O436" s="48">
        <v>774.12</v>
      </c>
      <c r="P436" s="49" t="str">
        <f t="shared" si="45"/>
        <v>High</v>
      </c>
      <c r="Q436" s="48">
        <v>908.3</v>
      </c>
      <c r="R436" s="48">
        <v>0</v>
      </c>
      <c r="S436" s="48">
        <v>30</v>
      </c>
      <c r="T436" s="48">
        <f t="shared" si="42"/>
        <v>1884.6</v>
      </c>
      <c r="U436" s="38">
        <f t="shared" si="43"/>
        <v>23223.599999999999</v>
      </c>
      <c r="V436" s="48">
        <f t="shared" si="46"/>
        <v>-21339</v>
      </c>
      <c r="W436" s="50">
        <f t="shared" si="47"/>
        <v>-11.322827125119389</v>
      </c>
    </row>
    <row r="437" spans="1:23" x14ac:dyDescent="0.3">
      <c r="A437" s="39" t="s">
        <v>973</v>
      </c>
      <c r="B437" s="40">
        <v>45650</v>
      </c>
      <c r="C437" s="41">
        <v>45670</v>
      </c>
      <c r="D437" s="42">
        <f t="shared" si="48"/>
        <v>20</v>
      </c>
      <c r="E437" s="42" t="str">
        <f>TEXT(Data!B437,"MMM-YYYY")</f>
        <v>Dec-2024</v>
      </c>
      <c r="F437" s="42" t="str">
        <f t="shared" si="44"/>
        <v>Q4-2024</v>
      </c>
      <c r="G437" s="37" t="s">
        <v>45</v>
      </c>
      <c r="H437" s="37" t="s">
        <v>60</v>
      </c>
      <c r="I437" s="37" t="s">
        <v>61</v>
      </c>
      <c r="J437" s="37" t="s">
        <v>19</v>
      </c>
      <c r="K437" s="37" t="s">
        <v>40</v>
      </c>
      <c r="L437" s="37" t="s">
        <v>145</v>
      </c>
      <c r="M437" s="37" t="s">
        <v>35</v>
      </c>
      <c r="N437" s="37" t="s">
        <v>974</v>
      </c>
      <c r="O437" s="42">
        <v>126.15</v>
      </c>
      <c r="P437" s="43" t="str">
        <f t="shared" si="45"/>
        <v>High</v>
      </c>
      <c r="Q437" s="42">
        <v>284.23</v>
      </c>
      <c r="R437" s="42">
        <v>0.113</v>
      </c>
      <c r="S437" s="42">
        <v>22</v>
      </c>
      <c r="T437" s="42">
        <f t="shared" si="42"/>
        <v>18664.94586</v>
      </c>
      <c r="U437" s="37">
        <f t="shared" si="43"/>
        <v>2775.3</v>
      </c>
      <c r="V437" s="42">
        <f t="shared" si="46"/>
        <v>15889.645860000001</v>
      </c>
      <c r="W437" s="44">
        <f t="shared" si="47"/>
        <v>0.85130950709331443</v>
      </c>
    </row>
    <row r="438" spans="1:23" x14ac:dyDescent="0.3">
      <c r="A438" s="45" t="s">
        <v>975</v>
      </c>
      <c r="B438" s="46">
        <v>45037</v>
      </c>
      <c r="C438" s="47">
        <v>45035</v>
      </c>
      <c r="D438" s="48">
        <f>DATEDIF(C438,B438, "MD")</f>
        <v>2</v>
      </c>
      <c r="E438" s="48" t="str">
        <f>TEXT(Data!B438,"MMM-YYYY")</f>
        <v>Apr-2023</v>
      </c>
      <c r="F438" s="48" t="str">
        <f t="shared" si="44"/>
        <v>Q2-2023</v>
      </c>
      <c r="G438" s="38" t="s">
        <v>45</v>
      </c>
      <c r="H438" s="38" t="s">
        <v>46</v>
      </c>
      <c r="I438" s="38" t="s">
        <v>231</v>
      </c>
      <c r="J438" s="38" t="s">
        <v>62</v>
      </c>
      <c r="K438" s="38" t="s">
        <v>98</v>
      </c>
      <c r="L438" s="38" t="s">
        <v>110</v>
      </c>
      <c r="M438" s="38" t="s">
        <v>22</v>
      </c>
      <c r="N438" s="38" t="s">
        <v>976</v>
      </c>
      <c r="O438" s="48">
        <v>607.04</v>
      </c>
      <c r="P438" s="49" t="str">
        <f t="shared" si="45"/>
        <v>High</v>
      </c>
      <c r="Q438" s="48">
        <v>1229.3399999999999</v>
      </c>
      <c r="R438" s="48">
        <v>0.14699999999999999</v>
      </c>
      <c r="S438" s="48">
        <v>7</v>
      </c>
      <c r="T438" s="48">
        <f t="shared" si="42"/>
        <v>989.39469999999983</v>
      </c>
      <c r="U438" s="38">
        <f t="shared" si="43"/>
        <v>4249.28</v>
      </c>
      <c r="V438" s="48">
        <f t="shared" si="46"/>
        <v>-3259.8852999999999</v>
      </c>
      <c r="W438" s="50">
        <f t="shared" si="47"/>
        <v>-3.2948279387387061</v>
      </c>
    </row>
    <row r="439" spans="1:23" x14ac:dyDescent="0.3">
      <c r="A439" s="39" t="s">
        <v>977</v>
      </c>
      <c r="B439" s="40">
        <v>45290</v>
      </c>
      <c r="C439" s="41">
        <v>45299</v>
      </c>
      <c r="D439" s="42">
        <f t="shared" si="48"/>
        <v>9</v>
      </c>
      <c r="E439" s="42" t="str">
        <f>TEXT(Data!B439,"MMM-YYYY")</f>
        <v>Dec-2023</v>
      </c>
      <c r="F439" s="42" t="str">
        <f t="shared" si="44"/>
        <v>Q4-2023</v>
      </c>
      <c r="G439" s="37" t="s">
        <v>78</v>
      </c>
      <c r="H439" s="37" t="s">
        <v>90</v>
      </c>
      <c r="I439" s="37" t="s">
        <v>91</v>
      </c>
      <c r="J439" s="37" t="s">
        <v>48</v>
      </c>
      <c r="K439" s="37" t="s">
        <v>40</v>
      </c>
      <c r="L439" s="37" t="s">
        <v>49</v>
      </c>
      <c r="M439" s="37" t="s">
        <v>81</v>
      </c>
      <c r="N439" s="37" t="s">
        <v>978</v>
      </c>
      <c r="O439" s="42">
        <v>861.1</v>
      </c>
      <c r="P439" s="43" t="str">
        <f t="shared" si="45"/>
        <v>High</v>
      </c>
      <c r="Q439" s="42">
        <v>1224.72</v>
      </c>
      <c r="R439" s="42">
        <v>0.17399999999999999</v>
      </c>
      <c r="S439" s="42">
        <v>24</v>
      </c>
      <c r="T439" s="42">
        <f t="shared" si="42"/>
        <v>12060.128640000001</v>
      </c>
      <c r="U439" s="37">
        <f t="shared" si="43"/>
        <v>20666.400000000001</v>
      </c>
      <c r="V439" s="42">
        <f t="shared" si="46"/>
        <v>-8606.2713600000006</v>
      </c>
      <c r="W439" s="44">
        <f t="shared" si="47"/>
        <v>-0.71361356225135586</v>
      </c>
    </row>
    <row r="440" spans="1:23" x14ac:dyDescent="0.3">
      <c r="A440" s="45" t="s">
        <v>979</v>
      </c>
      <c r="B440" s="46">
        <v>44978</v>
      </c>
      <c r="C440" s="47">
        <v>44997</v>
      </c>
      <c r="D440" s="48">
        <f t="shared" si="48"/>
        <v>19</v>
      </c>
      <c r="E440" s="48" t="str">
        <f>TEXT(Data!B440,"MMM-YYYY")</f>
        <v>Feb-2023</v>
      </c>
      <c r="F440" s="48" t="str">
        <f t="shared" si="44"/>
        <v>Q1-2023</v>
      </c>
      <c r="G440" s="38" t="s">
        <v>16</v>
      </c>
      <c r="H440" s="38" t="s">
        <v>17</v>
      </c>
      <c r="I440" s="38" t="s">
        <v>135</v>
      </c>
      <c r="J440" s="38" t="s">
        <v>19</v>
      </c>
      <c r="K440" s="38" t="s">
        <v>28</v>
      </c>
      <c r="L440" s="38" t="s">
        <v>84</v>
      </c>
      <c r="M440" s="38" t="s">
        <v>35</v>
      </c>
      <c r="N440" s="38" t="s">
        <v>980</v>
      </c>
      <c r="O440" s="48">
        <v>352.65</v>
      </c>
      <c r="P440" s="49" t="str">
        <f t="shared" si="45"/>
        <v>High</v>
      </c>
      <c r="Q440" s="48">
        <v>485.86</v>
      </c>
      <c r="R440" s="48">
        <v>4.1000000000000002E-2</v>
      </c>
      <c r="S440" s="48">
        <v>6</v>
      </c>
      <c r="T440" s="48">
        <f t="shared" si="42"/>
        <v>15339.646139999999</v>
      </c>
      <c r="U440" s="38">
        <f t="shared" si="43"/>
        <v>2115.8999999999996</v>
      </c>
      <c r="V440" s="48">
        <f t="shared" si="46"/>
        <v>13223.746139999999</v>
      </c>
      <c r="W440" s="50">
        <f t="shared" si="47"/>
        <v>0.86206331093371624</v>
      </c>
    </row>
    <row r="441" spans="1:23" x14ac:dyDescent="0.3">
      <c r="A441" s="39" t="s">
        <v>981</v>
      </c>
      <c r="B441" s="40">
        <v>45063</v>
      </c>
      <c r="C441" s="41">
        <v>45080</v>
      </c>
      <c r="D441" s="42">
        <f t="shared" si="48"/>
        <v>17</v>
      </c>
      <c r="E441" s="42" t="str">
        <f>TEXT(Data!B441,"MMM-YYYY")</f>
        <v>May-2023</v>
      </c>
      <c r="F441" s="42" t="str">
        <f t="shared" si="44"/>
        <v>Q2-2023</v>
      </c>
      <c r="G441" s="37" t="s">
        <v>45</v>
      </c>
      <c r="H441" s="37" t="s">
        <v>116</v>
      </c>
      <c r="I441" s="37" t="s">
        <v>338</v>
      </c>
      <c r="J441" s="37" t="s">
        <v>39</v>
      </c>
      <c r="K441" s="37" t="s">
        <v>55</v>
      </c>
      <c r="L441" s="37" t="s">
        <v>110</v>
      </c>
      <c r="M441" s="37" t="s">
        <v>30</v>
      </c>
      <c r="N441" s="37" t="s">
        <v>982</v>
      </c>
      <c r="O441" s="42">
        <v>979.59</v>
      </c>
      <c r="P441" s="43" t="str">
        <f t="shared" si="45"/>
        <v>High</v>
      </c>
      <c r="Q441" s="42">
        <v>2210.94</v>
      </c>
      <c r="R441" s="42">
        <v>0.15</v>
      </c>
      <c r="S441" s="42">
        <v>11</v>
      </c>
      <c r="T441" s="42">
        <f t="shared" si="42"/>
        <v>5497.3325000000004</v>
      </c>
      <c r="U441" s="37">
        <f t="shared" si="43"/>
        <v>10775.49</v>
      </c>
      <c r="V441" s="42">
        <f t="shared" si="46"/>
        <v>-5278.1574999999993</v>
      </c>
      <c r="W441" s="44">
        <f t="shared" si="47"/>
        <v>-0.96013066337173514</v>
      </c>
    </row>
    <row r="442" spans="1:23" x14ac:dyDescent="0.3">
      <c r="A442" s="45" t="s">
        <v>983</v>
      </c>
      <c r="B442" s="46">
        <v>45374</v>
      </c>
      <c r="C442" s="47">
        <v>45377</v>
      </c>
      <c r="D442" s="48">
        <f t="shared" si="48"/>
        <v>3</v>
      </c>
      <c r="E442" s="48" t="str">
        <f>TEXT(Data!B442,"MMM-YYYY")</f>
        <v>Mar-2024</v>
      </c>
      <c r="F442" s="48" t="str">
        <f t="shared" si="44"/>
        <v>Q1-2024</v>
      </c>
      <c r="G442" s="38" t="s">
        <v>45</v>
      </c>
      <c r="H442" s="38" t="s">
        <v>60</v>
      </c>
      <c r="I442" s="38" t="s">
        <v>61</v>
      </c>
      <c r="J442" s="38" t="s">
        <v>27</v>
      </c>
      <c r="K442" s="38" t="s">
        <v>98</v>
      </c>
      <c r="L442" s="38" t="s">
        <v>41</v>
      </c>
      <c r="M442" s="38" t="s">
        <v>42</v>
      </c>
      <c r="N442" s="38" t="s">
        <v>984</v>
      </c>
      <c r="O442" s="48">
        <v>382.21</v>
      </c>
      <c r="P442" s="49" t="str">
        <f t="shared" si="45"/>
        <v>High</v>
      </c>
      <c r="Q442" s="48">
        <v>571.89</v>
      </c>
      <c r="R442" s="48">
        <v>0.14799999999999999</v>
      </c>
      <c r="S442" s="48">
        <v>26</v>
      </c>
      <c r="T442" s="48">
        <f t="shared" si="42"/>
        <v>48582.215760000006</v>
      </c>
      <c r="U442" s="38">
        <f t="shared" si="43"/>
        <v>9937.4599999999991</v>
      </c>
      <c r="V442" s="48">
        <f t="shared" si="46"/>
        <v>38644.755760000007</v>
      </c>
      <c r="W442" s="50">
        <f t="shared" si="47"/>
        <v>0.79545066348781124</v>
      </c>
    </row>
    <row r="443" spans="1:23" x14ac:dyDescent="0.3">
      <c r="A443" s="39" t="s">
        <v>985</v>
      </c>
      <c r="B443" s="40">
        <v>45189</v>
      </c>
      <c r="C443" s="41">
        <v>45197</v>
      </c>
      <c r="D443" s="42">
        <f t="shared" si="48"/>
        <v>8</v>
      </c>
      <c r="E443" s="42" t="str">
        <f>TEXT(Data!B443,"MMM-YYYY")</f>
        <v>Sept-2023</v>
      </c>
      <c r="F443" s="42" t="str">
        <f t="shared" si="44"/>
        <v>Q3-2023</v>
      </c>
      <c r="G443" s="37" t="s">
        <v>45</v>
      </c>
      <c r="H443" s="37" t="s">
        <v>60</v>
      </c>
      <c r="I443" s="37" t="s">
        <v>1364</v>
      </c>
      <c r="J443" s="37" t="s">
        <v>19</v>
      </c>
      <c r="K443" s="37" t="s">
        <v>1364</v>
      </c>
      <c r="L443" s="37" t="s">
        <v>56</v>
      </c>
      <c r="M443" s="37" t="s">
        <v>81</v>
      </c>
      <c r="N443" s="37" t="s">
        <v>986</v>
      </c>
      <c r="O443" s="42">
        <v>1362.06</v>
      </c>
      <c r="P443" s="43" t="str">
        <f t="shared" si="45"/>
        <v>High</v>
      </c>
      <c r="Q443" s="42">
        <v>3398.37</v>
      </c>
      <c r="R443" s="42">
        <v>0.157</v>
      </c>
      <c r="S443" s="42">
        <v>11</v>
      </c>
      <c r="T443" s="42">
        <f t="shared" si="42"/>
        <v>20287.469400000002</v>
      </c>
      <c r="U443" s="37">
        <f t="shared" si="43"/>
        <v>14982.66</v>
      </c>
      <c r="V443" s="42">
        <f t="shared" si="46"/>
        <v>5304.8094000000019</v>
      </c>
      <c r="W443" s="44">
        <f t="shared" si="47"/>
        <v>0.26148206537775487</v>
      </c>
    </row>
    <row r="444" spans="1:23" x14ac:dyDescent="0.3">
      <c r="A444" s="45" t="s">
        <v>987</v>
      </c>
      <c r="B444" s="46">
        <v>45526</v>
      </c>
      <c r="C444" s="47">
        <v>45539</v>
      </c>
      <c r="D444" s="48">
        <f t="shared" si="48"/>
        <v>13</v>
      </c>
      <c r="E444" s="48" t="str">
        <f>TEXT(Data!B444,"MMM-YYYY")</f>
        <v>Aug-2024</v>
      </c>
      <c r="F444" s="48" t="str">
        <f t="shared" si="44"/>
        <v>Q3-2024</v>
      </c>
      <c r="G444" s="38" t="s">
        <v>78</v>
      </c>
      <c r="H444" s="38" t="s">
        <v>79</v>
      </c>
      <c r="I444" s="38" t="s">
        <v>335</v>
      </c>
      <c r="J444" s="38" t="s">
        <v>39</v>
      </c>
      <c r="K444" s="38" t="s">
        <v>20</v>
      </c>
      <c r="L444" s="38" t="s">
        <v>49</v>
      </c>
      <c r="M444" s="38" t="s">
        <v>30</v>
      </c>
      <c r="N444" s="38" t="s">
        <v>988</v>
      </c>
      <c r="O444" s="48">
        <v>90.04</v>
      </c>
      <c r="P444" s="49" t="str">
        <f t="shared" si="45"/>
        <v>Medium</v>
      </c>
      <c r="Q444" s="48">
        <v>194.62</v>
      </c>
      <c r="R444" s="48">
        <v>4.2999999999999997E-2</v>
      </c>
      <c r="S444" s="48">
        <v>32</v>
      </c>
      <c r="T444" s="48">
        <f t="shared" si="42"/>
        <v>30688.61664</v>
      </c>
      <c r="U444" s="38">
        <f t="shared" si="43"/>
        <v>2881.28</v>
      </c>
      <c r="V444" s="48">
        <f t="shared" si="46"/>
        <v>27807.336640000001</v>
      </c>
      <c r="W444" s="50">
        <f t="shared" si="47"/>
        <v>0.90611241836673417</v>
      </c>
    </row>
    <row r="445" spans="1:23" x14ac:dyDescent="0.3">
      <c r="A445" s="39" t="s">
        <v>989</v>
      </c>
      <c r="B445" s="40">
        <v>45560</v>
      </c>
      <c r="C445" s="41">
        <v>45568</v>
      </c>
      <c r="D445" s="42">
        <f t="shared" si="48"/>
        <v>8</v>
      </c>
      <c r="E445" s="42" t="str">
        <f>TEXT(Data!B445,"MMM-YYYY")</f>
        <v>Sept-2024</v>
      </c>
      <c r="F445" s="42" t="str">
        <f t="shared" si="44"/>
        <v>Q3-2024</v>
      </c>
      <c r="G445" s="37" t="s">
        <v>52</v>
      </c>
      <c r="H445" s="37" t="s">
        <v>53</v>
      </c>
      <c r="I445" s="37" t="s">
        <v>54</v>
      </c>
      <c r="J445" s="37" t="s">
        <v>48</v>
      </c>
      <c r="K445" s="37" t="s">
        <v>28</v>
      </c>
      <c r="L445" s="37" t="s">
        <v>63</v>
      </c>
      <c r="M445" s="37" t="s">
        <v>30</v>
      </c>
      <c r="N445" s="37" t="s">
        <v>990</v>
      </c>
      <c r="O445" s="42">
        <v>558.19000000000005</v>
      </c>
      <c r="P445" s="43" t="str">
        <f t="shared" si="45"/>
        <v>High</v>
      </c>
      <c r="Q445" s="42">
        <v>1031.6400000000001</v>
      </c>
      <c r="R445" s="42">
        <v>0</v>
      </c>
      <c r="S445" s="42">
        <v>21</v>
      </c>
      <c r="T445" s="42">
        <f t="shared" si="42"/>
        <v>19189.38</v>
      </c>
      <c r="U445" s="37">
        <f t="shared" si="43"/>
        <v>11721.990000000002</v>
      </c>
      <c r="V445" s="42">
        <f t="shared" si="46"/>
        <v>7467.3899999999994</v>
      </c>
      <c r="W445" s="44">
        <f t="shared" si="47"/>
        <v>0.3891418065617544</v>
      </c>
    </row>
    <row r="446" spans="1:23" x14ac:dyDescent="0.3">
      <c r="A446" s="45" t="s">
        <v>991</v>
      </c>
      <c r="B446" s="46">
        <v>45090</v>
      </c>
      <c r="C446" s="47">
        <v>45101</v>
      </c>
      <c r="D446" s="48">
        <f t="shared" si="48"/>
        <v>11</v>
      </c>
      <c r="E446" s="48" t="str">
        <f>TEXT(Data!B446,"MMM-YYYY")</f>
        <v>Jun-2023</v>
      </c>
      <c r="F446" s="48" t="str">
        <f t="shared" si="44"/>
        <v>Q2-2023</v>
      </c>
      <c r="G446" s="38" t="s">
        <v>52</v>
      </c>
      <c r="H446" s="38" t="s">
        <v>53</v>
      </c>
      <c r="I446" s="38" t="s">
        <v>54</v>
      </c>
      <c r="J446" s="38" t="s">
        <v>19</v>
      </c>
      <c r="K446" s="38" t="s">
        <v>28</v>
      </c>
      <c r="L446" s="38" t="s">
        <v>21</v>
      </c>
      <c r="M446" s="38" t="s">
        <v>30</v>
      </c>
      <c r="N446" s="38" t="s">
        <v>992</v>
      </c>
      <c r="O446" s="48">
        <v>247.07</v>
      </c>
      <c r="P446" s="49" t="str">
        <f t="shared" si="45"/>
        <v>High</v>
      </c>
      <c r="Q446" s="48">
        <v>495.19</v>
      </c>
      <c r="R446" s="48">
        <v>2.8000000000000001E-2</v>
      </c>
      <c r="S446" s="48">
        <v>4</v>
      </c>
      <c r="T446" s="48">
        <f t="shared" si="42"/>
        <v>7167.5668799999994</v>
      </c>
      <c r="U446" s="38">
        <f t="shared" si="43"/>
        <v>988.28</v>
      </c>
      <c r="V446" s="48">
        <f t="shared" si="46"/>
        <v>6179.2868799999997</v>
      </c>
      <c r="W446" s="50">
        <f t="shared" si="47"/>
        <v>0.86211778466167588</v>
      </c>
    </row>
    <row r="447" spans="1:23" x14ac:dyDescent="0.3">
      <c r="A447" s="39" t="s">
        <v>993</v>
      </c>
      <c r="B447" s="40">
        <v>45284</v>
      </c>
      <c r="C447" s="41">
        <v>45304</v>
      </c>
      <c r="D447" s="42">
        <f t="shared" si="48"/>
        <v>20</v>
      </c>
      <c r="E447" s="42" t="str">
        <f>TEXT(Data!B447,"MMM-YYYY")</f>
        <v>Dec-2023</v>
      </c>
      <c r="F447" s="42" t="str">
        <f t="shared" si="44"/>
        <v>Q4-2023</v>
      </c>
      <c r="G447" s="37" t="s">
        <v>45</v>
      </c>
      <c r="H447" s="37" t="s">
        <v>46</v>
      </c>
      <c r="I447" s="37" t="s">
        <v>231</v>
      </c>
      <c r="J447" s="37" t="s">
        <v>27</v>
      </c>
      <c r="K447" s="37" t="s">
        <v>98</v>
      </c>
      <c r="L447" s="37" t="s">
        <v>56</v>
      </c>
      <c r="M447" s="37" t="s">
        <v>57</v>
      </c>
      <c r="N447" s="37" t="s">
        <v>994</v>
      </c>
      <c r="O447" s="42">
        <v>625.37</v>
      </c>
      <c r="P447" s="43" t="str">
        <f t="shared" si="45"/>
        <v>High</v>
      </c>
      <c r="Q447" s="42">
        <v>1319.04</v>
      </c>
      <c r="R447" s="42">
        <v>7.3999999999999996E-2</v>
      </c>
      <c r="S447" s="42">
        <v>8</v>
      </c>
      <c r="T447" s="42">
        <f t="shared" si="42"/>
        <v>10249.7088</v>
      </c>
      <c r="U447" s="37">
        <f t="shared" si="43"/>
        <v>5002.96</v>
      </c>
      <c r="V447" s="42">
        <f t="shared" si="46"/>
        <v>5246.7488000000003</v>
      </c>
      <c r="W447" s="44">
        <f t="shared" si="47"/>
        <v>0.51189247444766428</v>
      </c>
    </row>
    <row r="448" spans="1:23" x14ac:dyDescent="0.3">
      <c r="A448" s="45" t="s">
        <v>995</v>
      </c>
      <c r="B448" s="46">
        <v>45746</v>
      </c>
      <c r="C448" s="47">
        <v>45776</v>
      </c>
      <c r="D448" s="48">
        <f t="shared" si="48"/>
        <v>30</v>
      </c>
      <c r="E448" s="48" t="str">
        <f>TEXT(Data!B448,"MMM-YYYY")</f>
        <v>Mar-2025</v>
      </c>
      <c r="F448" s="48" t="str">
        <f t="shared" si="44"/>
        <v>Q1-2025</v>
      </c>
      <c r="G448" s="38" t="s">
        <v>16</v>
      </c>
      <c r="H448" s="38" t="s">
        <v>148</v>
      </c>
      <c r="I448" s="38" t="s">
        <v>172</v>
      </c>
      <c r="J448" s="38" t="s">
        <v>48</v>
      </c>
      <c r="K448" s="38" t="s">
        <v>40</v>
      </c>
      <c r="L448" s="38" t="s">
        <v>29</v>
      </c>
      <c r="M448" s="38" t="s">
        <v>64</v>
      </c>
      <c r="N448" s="38" t="s">
        <v>996</v>
      </c>
      <c r="O448" s="48">
        <v>194.6</v>
      </c>
      <c r="P448" s="49" t="str">
        <f t="shared" si="45"/>
        <v>High</v>
      </c>
      <c r="Q448" s="48">
        <v>314.87</v>
      </c>
      <c r="R448" s="48">
        <v>0.29299999999999998</v>
      </c>
      <c r="S448" s="48">
        <v>25</v>
      </c>
      <c r="T448" s="48">
        <f t="shared" si="42"/>
        <v>28077.267750000003</v>
      </c>
      <c r="U448" s="38">
        <f t="shared" si="43"/>
        <v>4865</v>
      </c>
      <c r="V448" s="48">
        <f t="shared" si="46"/>
        <v>23212.267750000003</v>
      </c>
      <c r="W448" s="50">
        <f t="shared" si="47"/>
        <v>0.82672815448718295</v>
      </c>
    </row>
    <row r="449" spans="1:23" x14ac:dyDescent="0.3">
      <c r="A449" s="39" t="s">
        <v>997</v>
      </c>
      <c r="B449" s="40">
        <v>45446</v>
      </c>
      <c r="C449" s="41">
        <v>45467</v>
      </c>
      <c r="D449" s="42">
        <f t="shared" si="48"/>
        <v>21</v>
      </c>
      <c r="E449" s="42" t="str">
        <f>TEXT(Data!B449,"MMM-YYYY")</f>
        <v>Jun-2024</v>
      </c>
      <c r="F449" s="42" t="str">
        <f t="shared" si="44"/>
        <v>Q2-2024</v>
      </c>
      <c r="G449" s="37" t="s">
        <v>52</v>
      </c>
      <c r="H449" s="37" t="s">
        <v>53</v>
      </c>
      <c r="I449" s="37" t="s">
        <v>54</v>
      </c>
      <c r="J449" s="37" t="s">
        <v>62</v>
      </c>
      <c r="K449" s="37" t="s">
        <v>98</v>
      </c>
      <c r="L449" s="37" t="s">
        <v>41</v>
      </c>
      <c r="M449" s="37" t="s">
        <v>64</v>
      </c>
      <c r="N449" s="37" t="s">
        <v>998</v>
      </c>
      <c r="O449" s="42">
        <v>1205.5</v>
      </c>
      <c r="P449" s="43" t="str">
        <f t="shared" si="45"/>
        <v>High</v>
      </c>
      <c r="Q449" s="42">
        <v>2210.17</v>
      </c>
      <c r="R449" s="42">
        <v>0.104</v>
      </c>
      <c r="S449" s="42">
        <v>23</v>
      </c>
      <c r="T449" s="42">
        <f t="shared" ref="T449:T512" si="49">(Q475*S449)*(1-R449)</f>
        <v>27698.182399999998</v>
      </c>
      <c r="U449" s="37">
        <f t="shared" ref="U449:U512" si="50">(O449*S449)</f>
        <v>27726.5</v>
      </c>
      <c r="V449" s="42">
        <f t="shared" si="46"/>
        <v>-28.31760000000213</v>
      </c>
      <c r="W449" s="44">
        <f t="shared" si="47"/>
        <v>-1.0223631136172362E-3</v>
      </c>
    </row>
    <row r="450" spans="1:23" x14ac:dyDescent="0.3">
      <c r="A450" s="45" t="s">
        <v>999</v>
      </c>
      <c r="B450" s="46">
        <v>45454</v>
      </c>
      <c r="C450" s="47">
        <v>45482</v>
      </c>
      <c r="D450" s="48">
        <f t="shared" si="48"/>
        <v>28</v>
      </c>
      <c r="E450" s="48" t="str">
        <f>TEXT(Data!B450,"MMM-YYYY")</f>
        <v>Jun-2024</v>
      </c>
      <c r="F450" s="48" t="str">
        <f t="shared" ref="F450:F513" si="51">"Q"&amp;ROUNDUP(MONTH(B450)/3,0)&amp;"-"&amp;YEAR(B450)</f>
        <v>Q2-2024</v>
      </c>
      <c r="G450" s="38" t="s">
        <v>16</v>
      </c>
      <c r="H450" s="38" t="s">
        <v>25</v>
      </c>
      <c r="I450" s="38" t="s">
        <v>26</v>
      </c>
      <c r="J450" s="38" t="s">
        <v>19</v>
      </c>
      <c r="K450" s="38" t="s">
        <v>40</v>
      </c>
      <c r="L450" s="38" t="s">
        <v>34</v>
      </c>
      <c r="M450" s="38" t="s">
        <v>42</v>
      </c>
      <c r="N450" s="38" t="s">
        <v>1000</v>
      </c>
      <c r="O450" s="48">
        <v>895.54</v>
      </c>
      <c r="P450" s="49" t="str">
        <f t="shared" ref="P450:P513" si="52">IF(Q450&lt;50, "Low", IF(Q450&lt;200, "Medium", "High"))</f>
        <v>High</v>
      </c>
      <c r="Q450" s="48">
        <v>1045</v>
      </c>
      <c r="R450" s="48">
        <v>0.216</v>
      </c>
      <c r="S450" s="48">
        <v>15</v>
      </c>
      <c r="T450" s="48">
        <f t="shared" si="49"/>
        <v>15173.8104</v>
      </c>
      <c r="U450" s="38">
        <f t="shared" si="50"/>
        <v>13433.099999999999</v>
      </c>
      <c r="V450" s="48">
        <f t="shared" ref="V450:V513" si="53">(T450-U450)</f>
        <v>1740.7104000000018</v>
      </c>
      <c r="W450" s="50">
        <f t="shared" ref="W450:W513" si="54">IF(T450=0, 0, V450/T450)</f>
        <v>0.11471808030499721</v>
      </c>
    </row>
    <row r="451" spans="1:23" x14ac:dyDescent="0.3">
      <c r="A451" s="39" t="s">
        <v>1001</v>
      </c>
      <c r="B451" s="40">
        <v>45129</v>
      </c>
      <c r="C451" s="41">
        <v>45128</v>
      </c>
      <c r="D451" s="42">
        <f>DATEDIF(C451,B451, "MD")</f>
        <v>1</v>
      </c>
      <c r="E451" s="42" t="str">
        <f>TEXT(Data!B451,"MMM-YYYY")</f>
        <v>Jul-2023</v>
      </c>
      <c r="F451" s="42" t="str">
        <f t="shared" si="51"/>
        <v>Q3-2023</v>
      </c>
      <c r="G451" s="37" t="s">
        <v>45</v>
      </c>
      <c r="H451" s="37" t="s">
        <v>60</v>
      </c>
      <c r="I451" s="37" t="s">
        <v>141</v>
      </c>
      <c r="J451" s="37" t="s">
        <v>62</v>
      </c>
      <c r="K451" s="37" t="s">
        <v>55</v>
      </c>
      <c r="L451" s="37" t="s">
        <v>63</v>
      </c>
      <c r="M451" s="37" t="s">
        <v>30</v>
      </c>
      <c r="N451" s="37" t="s">
        <v>1002</v>
      </c>
      <c r="O451" s="42">
        <v>946.99</v>
      </c>
      <c r="P451" s="43" t="str">
        <f t="shared" si="52"/>
        <v>High</v>
      </c>
      <c r="Q451" s="42">
        <v>2132.19</v>
      </c>
      <c r="R451" s="42">
        <v>0.16500000000000001</v>
      </c>
      <c r="S451" s="42">
        <v>7</v>
      </c>
      <c r="T451" s="42">
        <f t="shared" si="49"/>
        <v>1295.1351000000002</v>
      </c>
      <c r="U451" s="37">
        <f t="shared" si="50"/>
        <v>6628.93</v>
      </c>
      <c r="V451" s="42">
        <f t="shared" si="53"/>
        <v>-5333.7948999999999</v>
      </c>
      <c r="W451" s="44">
        <f t="shared" si="54"/>
        <v>-4.1183308984522151</v>
      </c>
    </row>
    <row r="452" spans="1:23" x14ac:dyDescent="0.3">
      <c r="A452" s="45" t="s">
        <v>1003</v>
      </c>
      <c r="B452" s="46">
        <v>44945</v>
      </c>
      <c r="C452" s="47">
        <v>44960</v>
      </c>
      <c r="D452" s="48">
        <f t="shared" ref="D452:D515" si="55">DATEDIF(B452,C452, "MD")</f>
        <v>15</v>
      </c>
      <c r="E452" s="48" t="str">
        <f>TEXT(Data!B452,"MMM-YYYY")</f>
        <v>Jan-2023</v>
      </c>
      <c r="F452" s="48" t="str">
        <f t="shared" si="51"/>
        <v>Q1-2023</v>
      </c>
      <c r="G452" s="38" t="s">
        <v>78</v>
      </c>
      <c r="H452" s="38" t="s">
        <v>108</v>
      </c>
      <c r="I452" s="38" t="s">
        <v>152</v>
      </c>
      <c r="J452" s="38" t="s">
        <v>105</v>
      </c>
      <c r="K452" s="38" t="s">
        <v>55</v>
      </c>
      <c r="L452" s="38" t="s">
        <v>41</v>
      </c>
      <c r="M452" s="38" t="s">
        <v>81</v>
      </c>
      <c r="N452" s="38" t="s">
        <v>1004</v>
      </c>
      <c r="O452" s="48">
        <v>873.06</v>
      </c>
      <c r="P452" s="49" t="str">
        <f t="shared" si="52"/>
        <v>High</v>
      </c>
      <c r="Q452" s="48">
        <v>2101.5500000000002</v>
      </c>
      <c r="R452" s="48">
        <v>6.6000000000000003E-2</v>
      </c>
      <c r="S452" s="48">
        <v>10</v>
      </c>
      <c r="T452" s="48">
        <f t="shared" si="49"/>
        <v>3365.5755999999997</v>
      </c>
      <c r="U452" s="38">
        <f t="shared" si="50"/>
        <v>8730.5999999999985</v>
      </c>
      <c r="V452" s="48">
        <f t="shared" si="53"/>
        <v>-5365.0243999999984</v>
      </c>
      <c r="W452" s="50">
        <f t="shared" si="54"/>
        <v>-1.5940882148064062</v>
      </c>
    </row>
    <row r="453" spans="1:23" x14ac:dyDescent="0.3">
      <c r="A453" s="39" t="s">
        <v>1005</v>
      </c>
      <c r="B453" s="40">
        <v>45413</v>
      </c>
      <c r="C453" s="41">
        <v>45428</v>
      </c>
      <c r="D453" s="42">
        <f t="shared" si="55"/>
        <v>15</v>
      </c>
      <c r="E453" s="42" t="str">
        <f>TEXT(Data!B453,"MMM-YYYY")</f>
        <v>May-2024</v>
      </c>
      <c r="F453" s="42" t="str">
        <f t="shared" si="51"/>
        <v>Q2-2024</v>
      </c>
      <c r="G453" s="37" t="s">
        <v>45</v>
      </c>
      <c r="H453" s="37" t="s">
        <v>60</v>
      </c>
      <c r="I453" s="37" t="s">
        <v>61</v>
      </c>
      <c r="J453" s="37" t="s">
        <v>62</v>
      </c>
      <c r="K453" s="37" t="s">
        <v>20</v>
      </c>
      <c r="L453" s="37" t="s">
        <v>49</v>
      </c>
      <c r="M453" s="37" t="s">
        <v>22</v>
      </c>
      <c r="N453" s="37" t="s">
        <v>1006</v>
      </c>
      <c r="O453" s="42">
        <v>901.19</v>
      </c>
      <c r="P453" s="43" t="str">
        <f t="shared" si="52"/>
        <v>High</v>
      </c>
      <c r="Q453" s="42">
        <v>2125.44</v>
      </c>
      <c r="R453" s="42">
        <v>7.0999999999999994E-2</v>
      </c>
      <c r="S453" s="42">
        <v>12</v>
      </c>
      <c r="T453" s="42">
        <f t="shared" si="49"/>
        <v>28380.689880000002</v>
      </c>
      <c r="U453" s="37">
        <f t="shared" si="50"/>
        <v>10814.28</v>
      </c>
      <c r="V453" s="42">
        <f t="shared" si="53"/>
        <v>17566.409879999999</v>
      </c>
      <c r="W453" s="44">
        <f t="shared" si="54"/>
        <v>0.61895640853956568</v>
      </c>
    </row>
    <row r="454" spans="1:23" x14ac:dyDescent="0.3">
      <c r="A454" s="45" t="s">
        <v>1007</v>
      </c>
      <c r="B454" s="46">
        <v>45817</v>
      </c>
      <c r="C454" s="47">
        <v>45832</v>
      </c>
      <c r="D454" s="48">
        <f t="shared" si="55"/>
        <v>15</v>
      </c>
      <c r="E454" s="48" t="str">
        <f>TEXT(Data!B454,"MMM-YYYY")</f>
        <v>Jun-2025</v>
      </c>
      <c r="F454" s="48" t="str">
        <f t="shared" si="51"/>
        <v>Q2-2025</v>
      </c>
      <c r="G454" s="38" t="s">
        <v>45</v>
      </c>
      <c r="H454" s="38" t="s">
        <v>46</v>
      </c>
      <c r="I454" s="38" t="s">
        <v>231</v>
      </c>
      <c r="J454" s="38" t="s">
        <v>19</v>
      </c>
      <c r="K454" s="38" t="s">
        <v>98</v>
      </c>
      <c r="L454" s="38" t="s">
        <v>56</v>
      </c>
      <c r="M454" s="38" t="s">
        <v>42</v>
      </c>
      <c r="N454" s="38" t="s">
        <v>1008</v>
      </c>
      <c r="O454" s="48">
        <v>400.39</v>
      </c>
      <c r="P454" s="49" t="str">
        <f t="shared" si="52"/>
        <v>High</v>
      </c>
      <c r="Q454" s="48">
        <v>712.75</v>
      </c>
      <c r="R454" s="48">
        <v>0.115</v>
      </c>
      <c r="S454" s="48">
        <v>19</v>
      </c>
      <c r="T454" s="48">
        <f t="shared" si="49"/>
        <v>11761.58805</v>
      </c>
      <c r="U454" s="38">
        <f t="shared" si="50"/>
        <v>7607.41</v>
      </c>
      <c r="V454" s="48">
        <f t="shared" si="53"/>
        <v>4154.1780500000004</v>
      </c>
      <c r="W454" s="50">
        <f t="shared" si="54"/>
        <v>0.35319873747831187</v>
      </c>
    </row>
    <row r="455" spans="1:23" x14ac:dyDescent="0.3">
      <c r="A455" s="39" t="s">
        <v>1009</v>
      </c>
      <c r="B455" s="40">
        <v>45070</v>
      </c>
      <c r="C455" s="41">
        <v>45098</v>
      </c>
      <c r="D455" s="42">
        <f t="shared" si="55"/>
        <v>28</v>
      </c>
      <c r="E455" s="42" t="str">
        <f>TEXT(Data!B455,"MMM-YYYY")</f>
        <v>May-2023</v>
      </c>
      <c r="F455" s="42" t="str">
        <f t="shared" si="51"/>
        <v>Q2-2023</v>
      </c>
      <c r="G455" s="37" t="s">
        <v>52</v>
      </c>
      <c r="H455" s="37" t="s">
        <v>122</v>
      </c>
      <c r="I455" s="37" t="s">
        <v>326</v>
      </c>
      <c r="J455" s="37" t="s">
        <v>62</v>
      </c>
      <c r="K455" s="37" t="s">
        <v>40</v>
      </c>
      <c r="L455" s="37" t="s">
        <v>41</v>
      </c>
      <c r="M455" s="37" t="s">
        <v>64</v>
      </c>
      <c r="N455" s="37" t="s">
        <v>1010</v>
      </c>
      <c r="O455" s="42">
        <v>813.97</v>
      </c>
      <c r="P455" s="43" t="str">
        <f t="shared" si="52"/>
        <v>High</v>
      </c>
      <c r="Q455" s="42">
        <v>1568.83</v>
      </c>
      <c r="R455" s="42">
        <v>1.7000000000000001E-2</v>
      </c>
      <c r="S455" s="42">
        <v>15</v>
      </c>
      <c r="T455" s="42">
        <f t="shared" si="49"/>
        <v>40381.984049999999</v>
      </c>
      <c r="U455" s="37">
        <f t="shared" si="50"/>
        <v>12209.550000000001</v>
      </c>
      <c r="V455" s="42">
        <f t="shared" si="53"/>
        <v>28172.434049999996</v>
      </c>
      <c r="W455" s="44">
        <f t="shared" si="54"/>
        <v>0.69764858544636066</v>
      </c>
    </row>
    <row r="456" spans="1:23" x14ac:dyDescent="0.3">
      <c r="A456" s="45" t="s">
        <v>1011</v>
      </c>
      <c r="B456" s="46">
        <v>45653</v>
      </c>
      <c r="C456" s="47">
        <v>45655</v>
      </c>
      <c r="D456" s="48">
        <f t="shared" si="55"/>
        <v>2</v>
      </c>
      <c r="E456" s="48" t="str">
        <f>TEXT(Data!B456,"MMM-YYYY")</f>
        <v>Dec-2024</v>
      </c>
      <c r="F456" s="48" t="str">
        <f t="shared" si="51"/>
        <v>Q4-2024</v>
      </c>
      <c r="G456" s="38" t="s">
        <v>52</v>
      </c>
      <c r="H456" s="38" t="s">
        <v>53</v>
      </c>
      <c r="I456" s="38" t="s">
        <v>179</v>
      </c>
      <c r="J456" s="38" t="s">
        <v>105</v>
      </c>
      <c r="K456" s="38" t="s">
        <v>40</v>
      </c>
      <c r="L456" s="38" t="s">
        <v>21</v>
      </c>
      <c r="M456" s="38" t="s">
        <v>81</v>
      </c>
      <c r="N456" s="38" t="s">
        <v>1012</v>
      </c>
      <c r="O456" s="48">
        <v>1146.72</v>
      </c>
      <c r="P456" s="49" t="str">
        <f t="shared" si="52"/>
        <v>High</v>
      </c>
      <c r="Q456" s="48">
        <v>2074.34</v>
      </c>
      <c r="R456" s="48">
        <v>0.111</v>
      </c>
      <c r="S456" s="48">
        <v>8</v>
      </c>
      <c r="T456" s="48">
        <f t="shared" si="49"/>
        <v>674.07536000000005</v>
      </c>
      <c r="U456" s="38">
        <f t="shared" si="50"/>
        <v>9173.76</v>
      </c>
      <c r="V456" s="48">
        <f t="shared" si="53"/>
        <v>-8499.6846399999995</v>
      </c>
      <c r="W456" s="50">
        <f t="shared" si="54"/>
        <v>-12.60939821327989</v>
      </c>
    </row>
    <row r="457" spans="1:23" x14ac:dyDescent="0.3">
      <c r="A457" s="39" t="s">
        <v>1013</v>
      </c>
      <c r="B457" s="40">
        <v>45265</v>
      </c>
      <c r="C457" s="41">
        <v>45272</v>
      </c>
      <c r="D457" s="42">
        <f t="shared" si="55"/>
        <v>7</v>
      </c>
      <c r="E457" s="42" t="str">
        <f>TEXT(Data!B457,"MMM-YYYY")</f>
        <v>Dec-2023</v>
      </c>
      <c r="F457" s="42" t="str">
        <f t="shared" si="51"/>
        <v>Q4-2023</v>
      </c>
      <c r="G457" s="37" t="s">
        <v>52</v>
      </c>
      <c r="H457" s="37" t="s">
        <v>73</v>
      </c>
      <c r="I457" s="37" t="s">
        <v>87</v>
      </c>
      <c r="J457" s="37" t="s">
        <v>19</v>
      </c>
      <c r="K457" s="37" t="s">
        <v>98</v>
      </c>
      <c r="L457" s="37" t="s">
        <v>84</v>
      </c>
      <c r="M457" s="37" t="s">
        <v>42</v>
      </c>
      <c r="N457" s="37" t="s">
        <v>1014</v>
      </c>
      <c r="O457" s="42">
        <v>307.43</v>
      </c>
      <c r="P457" s="43" t="str">
        <f t="shared" si="52"/>
        <v>High</v>
      </c>
      <c r="Q457" s="42">
        <v>495.19</v>
      </c>
      <c r="R457" s="42">
        <v>0</v>
      </c>
      <c r="S457" s="42">
        <v>42</v>
      </c>
      <c r="T457" s="42">
        <f t="shared" si="49"/>
        <v>116648.7</v>
      </c>
      <c r="U457" s="37">
        <f t="shared" si="50"/>
        <v>12912.06</v>
      </c>
      <c r="V457" s="42">
        <f t="shared" si="53"/>
        <v>103736.64</v>
      </c>
      <c r="W457" s="44">
        <f t="shared" si="54"/>
        <v>0.88930815345563219</v>
      </c>
    </row>
    <row r="458" spans="1:23" x14ac:dyDescent="0.3">
      <c r="A458" s="45" t="s">
        <v>1015</v>
      </c>
      <c r="B458" s="46">
        <v>45048</v>
      </c>
      <c r="C458" s="47">
        <v>45065</v>
      </c>
      <c r="D458" s="48">
        <f t="shared" si="55"/>
        <v>17</v>
      </c>
      <c r="E458" s="48" t="str">
        <f>TEXT(Data!B458,"MMM-YYYY")</f>
        <v>May-2023</v>
      </c>
      <c r="F458" s="48" t="str">
        <f t="shared" si="51"/>
        <v>Q2-2023</v>
      </c>
      <c r="G458" s="38" t="s">
        <v>45</v>
      </c>
      <c r="H458" s="38" t="s">
        <v>116</v>
      </c>
      <c r="I458" s="38" t="s">
        <v>162</v>
      </c>
      <c r="J458" s="38" t="s">
        <v>39</v>
      </c>
      <c r="K458" s="38" t="s">
        <v>98</v>
      </c>
      <c r="L458" s="38" t="s">
        <v>29</v>
      </c>
      <c r="M458" s="38" t="s">
        <v>64</v>
      </c>
      <c r="N458" s="38" t="s">
        <v>1016</v>
      </c>
      <c r="O458" s="48">
        <v>714.28</v>
      </c>
      <c r="P458" s="49" t="str">
        <f t="shared" si="52"/>
        <v>High</v>
      </c>
      <c r="Q458" s="48">
        <v>757.59</v>
      </c>
      <c r="R458" s="48">
        <v>0.13600000000000001</v>
      </c>
      <c r="S458" s="48">
        <v>12</v>
      </c>
      <c r="T458" s="48">
        <f t="shared" si="49"/>
        <v>5102.9222399999999</v>
      </c>
      <c r="U458" s="38">
        <f t="shared" si="50"/>
        <v>8571.36</v>
      </c>
      <c r="V458" s="48">
        <f t="shared" si="53"/>
        <v>-3468.4377600000007</v>
      </c>
      <c r="W458" s="50">
        <f t="shared" si="54"/>
        <v>-0.67969637726637211</v>
      </c>
    </row>
    <row r="459" spans="1:23" x14ac:dyDescent="0.3">
      <c r="A459" s="39" t="s">
        <v>1017</v>
      </c>
      <c r="B459" s="40">
        <v>45260</v>
      </c>
      <c r="C459" s="41">
        <v>45270</v>
      </c>
      <c r="D459" s="42">
        <f t="shared" si="55"/>
        <v>10</v>
      </c>
      <c r="E459" s="42" t="str">
        <f>TEXT(Data!B459,"MMM-YYYY")</f>
        <v>Nov-2023</v>
      </c>
      <c r="F459" s="42" t="str">
        <f t="shared" si="51"/>
        <v>Q4-2023</v>
      </c>
      <c r="G459" s="37" t="s">
        <v>78</v>
      </c>
      <c r="H459" s="37" t="s">
        <v>79</v>
      </c>
      <c r="I459" s="37" t="s">
        <v>159</v>
      </c>
      <c r="J459" s="37" t="s">
        <v>62</v>
      </c>
      <c r="K459" s="37" t="s">
        <v>98</v>
      </c>
      <c r="L459" s="37" t="s">
        <v>84</v>
      </c>
      <c r="M459" s="37" t="s">
        <v>57</v>
      </c>
      <c r="N459" s="37" t="s">
        <v>1018</v>
      </c>
      <c r="O459" s="42">
        <v>174.74</v>
      </c>
      <c r="P459" s="43" t="str">
        <f t="shared" si="52"/>
        <v>High</v>
      </c>
      <c r="Q459" s="42">
        <v>415.96</v>
      </c>
      <c r="R459" s="42">
        <v>0.125</v>
      </c>
      <c r="S459" s="42">
        <v>21</v>
      </c>
      <c r="T459" s="42">
        <f t="shared" si="49"/>
        <v>35310.318749999999</v>
      </c>
      <c r="U459" s="37">
        <f t="shared" si="50"/>
        <v>3669.54</v>
      </c>
      <c r="V459" s="42">
        <f t="shared" si="53"/>
        <v>31640.778749999998</v>
      </c>
      <c r="W459" s="44">
        <f t="shared" si="54"/>
        <v>0.89607740371927391</v>
      </c>
    </row>
    <row r="460" spans="1:23" x14ac:dyDescent="0.3">
      <c r="A460" s="45" t="s">
        <v>1019</v>
      </c>
      <c r="B460" s="46">
        <v>45417</v>
      </c>
      <c r="C460" s="47">
        <v>45430</v>
      </c>
      <c r="D460" s="48">
        <f t="shared" si="55"/>
        <v>13</v>
      </c>
      <c r="E460" s="48" t="str">
        <f>TEXT(Data!B460,"MMM-YYYY")</f>
        <v>May-2024</v>
      </c>
      <c r="F460" s="48" t="str">
        <f t="shared" si="51"/>
        <v>Q2-2024</v>
      </c>
      <c r="G460" s="38" t="s">
        <v>78</v>
      </c>
      <c r="H460" s="38" t="s">
        <v>90</v>
      </c>
      <c r="I460" s="38" t="s">
        <v>91</v>
      </c>
      <c r="J460" s="38" t="s">
        <v>19</v>
      </c>
      <c r="K460" s="38" t="s">
        <v>40</v>
      </c>
      <c r="L460" s="38" t="s">
        <v>75</v>
      </c>
      <c r="M460" s="38" t="s">
        <v>22</v>
      </c>
      <c r="N460" s="38" t="s">
        <v>1020</v>
      </c>
      <c r="O460" s="48">
        <v>1264.04</v>
      </c>
      <c r="P460" s="49" t="str">
        <f t="shared" si="52"/>
        <v>High</v>
      </c>
      <c r="Q460" s="48">
        <v>1870.89</v>
      </c>
      <c r="R460" s="48">
        <v>0</v>
      </c>
      <c r="S460" s="48">
        <v>13</v>
      </c>
      <c r="T460" s="48">
        <f t="shared" si="49"/>
        <v>3774.29</v>
      </c>
      <c r="U460" s="38">
        <f t="shared" si="50"/>
        <v>16432.52</v>
      </c>
      <c r="V460" s="48">
        <f t="shared" si="53"/>
        <v>-12658.23</v>
      </c>
      <c r="W460" s="50">
        <f t="shared" si="54"/>
        <v>-3.3538042916681019</v>
      </c>
    </row>
    <row r="461" spans="1:23" x14ac:dyDescent="0.3">
      <c r="A461" s="39" t="s">
        <v>1021</v>
      </c>
      <c r="B461" s="40">
        <v>45116</v>
      </c>
      <c r="C461" s="41">
        <v>45126</v>
      </c>
      <c r="D461" s="42">
        <f t="shared" si="55"/>
        <v>10</v>
      </c>
      <c r="E461" s="42" t="str">
        <f>TEXT(Data!B461,"MMM-YYYY")</f>
        <v>Jul-2023</v>
      </c>
      <c r="F461" s="42" t="str">
        <f t="shared" si="51"/>
        <v>Q3-2023</v>
      </c>
      <c r="G461" s="37" t="s">
        <v>45</v>
      </c>
      <c r="H461" s="37" t="s">
        <v>46</v>
      </c>
      <c r="I461" s="37" t="s">
        <v>214</v>
      </c>
      <c r="J461" s="37" t="s">
        <v>105</v>
      </c>
      <c r="K461" s="37" t="s">
        <v>55</v>
      </c>
      <c r="L461" s="37" t="s">
        <v>126</v>
      </c>
      <c r="M461" s="37" t="s">
        <v>22</v>
      </c>
      <c r="N461" s="37" t="s">
        <v>1022</v>
      </c>
      <c r="O461" s="42">
        <v>141.26</v>
      </c>
      <c r="P461" s="43" t="str">
        <f t="shared" si="52"/>
        <v>High</v>
      </c>
      <c r="Q461" s="42">
        <v>206.88</v>
      </c>
      <c r="R461" s="42">
        <v>0.107</v>
      </c>
      <c r="S461" s="42">
        <v>9</v>
      </c>
      <c r="T461" s="42">
        <f t="shared" si="49"/>
        <v>4845.6680399999996</v>
      </c>
      <c r="U461" s="37">
        <f t="shared" si="50"/>
        <v>1271.3399999999999</v>
      </c>
      <c r="V461" s="42">
        <f t="shared" si="53"/>
        <v>3574.3280399999994</v>
      </c>
      <c r="W461" s="44">
        <f t="shared" si="54"/>
        <v>0.737633698902742</v>
      </c>
    </row>
    <row r="462" spans="1:23" x14ac:dyDescent="0.3">
      <c r="A462" s="45" t="s">
        <v>1023</v>
      </c>
      <c r="B462" s="46">
        <v>45063</v>
      </c>
      <c r="C462" s="47">
        <v>45092</v>
      </c>
      <c r="D462" s="48">
        <f t="shared" si="55"/>
        <v>29</v>
      </c>
      <c r="E462" s="48" t="str">
        <f>TEXT(Data!B462,"MMM-YYYY")</f>
        <v>May-2023</v>
      </c>
      <c r="F462" s="48" t="str">
        <f t="shared" si="51"/>
        <v>Q2-2023</v>
      </c>
      <c r="G462" s="38" t="s">
        <v>16</v>
      </c>
      <c r="H462" s="38" t="s">
        <v>148</v>
      </c>
      <c r="I462" s="38" t="s">
        <v>172</v>
      </c>
      <c r="J462" s="38" t="s">
        <v>105</v>
      </c>
      <c r="K462" s="38" t="s">
        <v>20</v>
      </c>
      <c r="L462" s="38" t="s">
        <v>95</v>
      </c>
      <c r="M462" s="38" t="s">
        <v>81</v>
      </c>
      <c r="N462" s="38" t="s">
        <v>1024</v>
      </c>
      <c r="O462" s="48">
        <v>40.89</v>
      </c>
      <c r="P462" s="49" t="str">
        <f t="shared" si="52"/>
        <v>Medium</v>
      </c>
      <c r="Q462" s="48">
        <v>62.82</v>
      </c>
      <c r="R462" s="48">
        <v>0.129</v>
      </c>
      <c r="S462" s="48">
        <v>17</v>
      </c>
      <c r="T462" s="48">
        <f t="shared" si="49"/>
        <v>30761.5425</v>
      </c>
      <c r="U462" s="38">
        <f t="shared" si="50"/>
        <v>695.13</v>
      </c>
      <c r="V462" s="48">
        <f t="shared" si="53"/>
        <v>30066.412499999999</v>
      </c>
      <c r="W462" s="50">
        <f t="shared" si="54"/>
        <v>0.97740262862306071</v>
      </c>
    </row>
    <row r="463" spans="1:23" x14ac:dyDescent="0.3">
      <c r="A463" s="39" t="s">
        <v>1025</v>
      </c>
      <c r="B463" s="40">
        <v>45358</v>
      </c>
      <c r="C463" s="41">
        <v>45385</v>
      </c>
      <c r="D463" s="42">
        <f t="shared" si="55"/>
        <v>27</v>
      </c>
      <c r="E463" s="42" t="str">
        <f>TEXT(Data!B463,"MMM-YYYY")</f>
        <v>Mar-2024</v>
      </c>
      <c r="F463" s="42" t="str">
        <f t="shared" si="51"/>
        <v>Q1-2024</v>
      </c>
      <c r="G463" s="37" t="s">
        <v>78</v>
      </c>
      <c r="H463" s="37" t="s">
        <v>79</v>
      </c>
      <c r="I463" s="37" t="s">
        <v>335</v>
      </c>
      <c r="J463" s="37" t="s">
        <v>19</v>
      </c>
      <c r="K463" s="37" t="s">
        <v>98</v>
      </c>
      <c r="L463" s="37" t="s">
        <v>110</v>
      </c>
      <c r="M463" s="37" t="s">
        <v>30</v>
      </c>
      <c r="N463" s="37" t="s">
        <v>1026</v>
      </c>
      <c r="O463" s="42">
        <v>738.16</v>
      </c>
      <c r="P463" s="43" t="str">
        <f t="shared" si="52"/>
        <v>High</v>
      </c>
      <c r="Q463" s="42">
        <v>956.49</v>
      </c>
      <c r="R463" s="42">
        <v>0.152</v>
      </c>
      <c r="S463" s="42">
        <v>5</v>
      </c>
      <c r="T463" s="42">
        <f t="shared" si="49"/>
        <v>733.01119999999992</v>
      </c>
      <c r="U463" s="37">
        <f t="shared" si="50"/>
        <v>3690.7999999999997</v>
      </c>
      <c r="V463" s="42">
        <f t="shared" si="53"/>
        <v>-2957.7887999999998</v>
      </c>
      <c r="W463" s="44">
        <f t="shared" si="54"/>
        <v>-4.0351208821911593</v>
      </c>
    </row>
    <row r="464" spans="1:23" x14ac:dyDescent="0.3">
      <c r="A464" s="45" t="s">
        <v>1027</v>
      </c>
      <c r="B464" s="46">
        <v>45757</v>
      </c>
      <c r="C464" s="47">
        <v>45766</v>
      </c>
      <c r="D464" s="48">
        <f t="shared" si="55"/>
        <v>9</v>
      </c>
      <c r="E464" s="48" t="str">
        <f>TEXT(Data!B464,"MMM-YYYY")</f>
        <v>Apr-2025</v>
      </c>
      <c r="F464" s="48" t="str">
        <f t="shared" si="51"/>
        <v>Q2-2025</v>
      </c>
      <c r="G464" s="38" t="s">
        <v>16</v>
      </c>
      <c r="H464" s="38" t="s">
        <v>148</v>
      </c>
      <c r="I464" s="38" t="s">
        <v>172</v>
      </c>
      <c r="J464" s="38" t="s">
        <v>105</v>
      </c>
      <c r="K464" s="38" t="s">
        <v>1364</v>
      </c>
      <c r="L464" s="38" t="s">
        <v>41</v>
      </c>
      <c r="M464" s="38" t="s">
        <v>35</v>
      </c>
      <c r="N464" s="38" t="s">
        <v>1028</v>
      </c>
      <c r="O464" s="48">
        <v>113.74</v>
      </c>
      <c r="P464" s="49" t="str">
        <f t="shared" si="52"/>
        <v>Medium</v>
      </c>
      <c r="Q464" s="48">
        <v>165.7</v>
      </c>
      <c r="R464" s="48">
        <v>0.124</v>
      </c>
      <c r="S464" s="48">
        <v>13</v>
      </c>
      <c r="T464" s="48">
        <f t="shared" si="49"/>
        <v>31644.291119999994</v>
      </c>
      <c r="U464" s="38">
        <f t="shared" si="50"/>
        <v>1478.62</v>
      </c>
      <c r="V464" s="48">
        <f t="shared" si="53"/>
        <v>30165.671119999995</v>
      </c>
      <c r="W464" s="50">
        <f t="shared" si="54"/>
        <v>0.95327372022988777</v>
      </c>
    </row>
    <row r="465" spans="1:23" x14ac:dyDescent="0.3">
      <c r="A465" s="39" t="s">
        <v>1029</v>
      </c>
      <c r="B465" s="40">
        <v>45865</v>
      </c>
      <c r="C465" s="41">
        <v>45884</v>
      </c>
      <c r="D465" s="42">
        <f t="shared" si="55"/>
        <v>19</v>
      </c>
      <c r="E465" s="42" t="str">
        <f>TEXT(Data!B465,"MMM-YYYY")</f>
        <v>Jul-2025</v>
      </c>
      <c r="F465" s="42" t="str">
        <f t="shared" si="51"/>
        <v>Q3-2025</v>
      </c>
      <c r="G465" s="37" t="s">
        <v>45</v>
      </c>
      <c r="H465" s="37" t="s">
        <v>46</v>
      </c>
      <c r="I465" s="37" t="s">
        <v>214</v>
      </c>
      <c r="J465" s="37" t="s">
        <v>62</v>
      </c>
      <c r="K465" s="37" t="s">
        <v>40</v>
      </c>
      <c r="L465" s="37" t="s">
        <v>29</v>
      </c>
      <c r="M465" s="37" t="s">
        <v>22</v>
      </c>
      <c r="N465" s="37" t="s">
        <v>1030</v>
      </c>
      <c r="O465" s="42">
        <v>275.43</v>
      </c>
      <c r="P465" s="43" t="str">
        <f t="shared" si="52"/>
        <v>High</v>
      </c>
      <c r="Q465" s="42">
        <v>608.36</v>
      </c>
      <c r="R465" s="42">
        <v>0.25700000000000001</v>
      </c>
      <c r="S465" s="42">
        <v>4</v>
      </c>
      <c r="T465" s="42">
        <f t="shared" si="49"/>
        <v>919.74484000000007</v>
      </c>
      <c r="U465" s="37">
        <f t="shared" si="50"/>
        <v>1101.72</v>
      </c>
      <c r="V465" s="42">
        <f t="shared" si="53"/>
        <v>-181.97515999999996</v>
      </c>
      <c r="W465" s="44">
        <f t="shared" si="54"/>
        <v>-0.19785396132257718</v>
      </c>
    </row>
    <row r="466" spans="1:23" x14ac:dyDescent="0.3">
      <c r="A466" s="45" t="s">
        <v>1031</v>
      </c>
      <c r="B466" s="46">
        <v>45618</v>
      </c>
      <c r="C466" s="47">
        <v>45641</v>
      </c>
      <c r="D466" s="48">
        <f t="shared" si="55"/>
        <v>23</v>
      </c>
      <c r="E466" s="48" t="str">
        <f>TEXT(Data!B466,"MMM-YYYY")</f>
        <v>Nov-2024</v>
      </c>
      <c r="F466" s="48" t="str">
        <f t="shared" si="51"/>
        <v>Q4-2024</v>
      </c>
      <c r="G466" s="38" t="s">
        <v>16</v>
      </c>
      <c r="H466" s="38" t="s">
        <v>17</v>
      </c>
      <c r="I466" s="38" t="s">
        <v>113</v>
      </c>
      <c r="J466" s="38" t="s">
        <v>39</v>
      </c>
      <c r="K466" s="38" t="s">
        <v>55</v>
      </c>
      <c r="L466" s="38" t="s">
        <v>21</v>
      </c>
      <c r="M466" s="38" t="s">
        <v>22</v>
      </c>
      <c r="N466" s="38" t="s">
        <v>1032</v>
      </c>
      <c r="O466" s="48">
        <v>1335.76</v>
      </c>
      <c r="P466" s="49" t="str">
        <f t="shared" si="52"/>
        <v>High</v>
      </c>
      <c r="Q466" s="48">
        <v>2665.91</v>
      </c>
      <c r="R466" s="48">
        <v>0.21099999999999999</v>
      </c>
      <c r="S466" s="48">
        <v>40</v>
      </c>
      <c r="T466" s="48">
        <f t="shared" si="49"/>
        <v>21031.899600000001</v>
      </c>
      <c r="U466" s="38">
        <f t="shared" si="50"/>
        <v>53430.400000000001</v>
      </c>
      <c r="V466" s="48">
        <f t="shared" si="53"/>
        <v>-32398.500400000001</v>
      </c>
      <c r="W466" s="50">
        <f t="shared" si="54"/>
        <v>-1.5404457522229709</v>
      </c>
    </row>
    <row r="467" spans="1:23" x14ac:dyDescent="0.3">
      <c r="A467" s="39" t="s">
        <v>1033</v>
      </c>
      <c r="B467" s="40">
        <v>45466</v>
      </c>
      <c r="C467" s="41">
        <v>45471</v>
      </c>
      <c r="D467" s="42">
        <f t="shared" si="55"/>
        <v>5</v>
      </c>
      <c r="E467" s="42" t="str">
        <f>TEXT(Data!B467,"MMM-YYYY")</f>
        <v>Jun-2024</v>
      </c>
      <c r="F467" s="42" t="str">
        <f t="shared" si="51"/>
        <v>Q2-2024</v>
      </c>
      <c r="G467" s="37" t="s">
        <v>16</v>
      </c>
      <c r="H467" s="37" t="s">
        <v>25</v>
      </c>
      <c r="I467" s="37" t="s">
        <v>26</v>
      </c>
      <c r="J467" s="37" t="s">
        <v>39</v>
      </c>
      <c r="K467" s="37" t="s">
        <v>98</v>
      </c>
      <c r="L467" s="37" t="s">
        <v>110</v>
      </c>
      <c r="M467" s="37" t="s">
        <v>81</v>
      </c>
      <c r="N467" s="37" t="s">
        <v>1034</v>
      </c>
      <c r="O467" s="42">
        <v>242.31</v>
      </c>
      <c r="P467" s="43" t="str">
        <f t="shared" si="52"/>
        <v>High</v>
      </c>
      <c r="Q467" s="42">
        <v>587.95000000000005</v>
      </c>
      <c r="R467" s="42">
        <v>0.22900000000000001</v>
      </c>
      <c r="S467" s="42">
        <v>6</v>
      </c>
      <c r="T467" s="42">
        <f t="shared" si="49"/>
        <v>3442.9930199999999</v>
      </c>
      <c r="U467" s="37">
        <f t="shared" si="50"/>
        <v>1453.8600000000001</v>
      </c>
      <c r="V467" s="42">
        <f t="shared" si="53"/>
        <v>1989.1330199999998</v>
      </c>
      <c r="W467" s="44">
        <f t="shared" si="54"/>
        <v>0.57773367777550699</v>
      </c>
    </row>
    <row r="468" spans="1:23" x14ac:dyDescent="0.3">
      <c r="A468" s="45" t="s">
        <v>1035</v>
      </c>
      <c r="B468" s="46">
        <v>45278</v>
      </c>
      <c r="C468" s="47">
        <v>45305</v>
      </c>
      <c r="D468" s="48">
        <f t="shared" si="55"/>
        <v>27</v>
      </c>
      <c r="E468" s="48" t="str">
        <f>TEXT(Data!B468,"MMM-YYYY")</f>
        <v>Dec-2023</v>
      </c>
      <c r="F468" s="48" t="str">
        <f t="shared" si="51"/>
        <v>Q4-2023</v>
      </c>
      <c r="G468" s="38" t="s">
        <v>45</v>
      </c>
      <c r="H468" s="38" t="s">
        <v>60</v>
      </c>
      <c r="I468" s="38" t="s">
        <v>220</v>
      </c>
      <c r="J468" s="38" t="s">
        <v>48</v>
      </c>
      <c r="K468" s="38" t="s">
        <v>55</v>
      </c>
      <c r="L468" s="38" t="s">
        <v>145</v>
      </c>
      <c r="M468" s="38" t="s">
        <v>35</v>
      </c>
      <c r="N468" s="38" t="s">
        <v>1036</v>
      </c>
      <c r="O468" s="48">
        <v>1408.3</v>
      </c>
      <c r="P468" s="49" t="str">
        <f t="shared" si="52"/>
        <v>High</v>
      </c>
      <c r="Q468" s="48">
        <v>2193.13</v>
      </c>
      <c r="R468" s="48">
        <v>7.0999999999999994E-2</v>
      </c>
      <c r="S468" s="48">
        <v>7</v>
      </c>
      <c r="T468" s="48">
        <f t="shared" si="49"/>
        <v>82.523070000000004</v>
      </c>
      <c r="U468" s="38">
        <f t="shared" si="50"/>
        <v>9858.1</v>
      </c>
      <c r="V468" s="48">
        <f t="shared" si="53"/>
        <v>-9775.5769300000011</v>
      </c>
      <c r="W468" s="50">
        <f t="shared" si="54"/>
        <v>-118.45871621111527</v>
      </c>
    </row>
    <row r="469" spans="1:23" x14ac:dyDescent="0.3">
      <c r="A469" s="39" t="s">
        <v>1037</v>
      </c>
      <c r="B469" s="40">
        <v>45809</v>
      </c>
      <c r="C469" s="41">
        <v>45813</v>
      </c>
      <c r="D469" s="42">
        <f t="shared" si="55"/>
        <v>4</v>
      </c>
      <c r="E469" s="42" t="str">
        <f>TEXT(Data!B469,"MMM-YYYY")</f>
        <v>Jun-2025</v>
      </c>
      <c r="F469" s="42" t="str">
        <f t="shared" si="51"/>
        <v>Q2-2025</v>
      </c>
      <c r="G469" s="37" t="s">
        <v>78</v>
      </c>
      <c r="H469" s="37" t="s">
        <v>79</v>
      </c>
      <c r="I469" s="37" t="s">
        <v>159</v>
      </c>
      <c r="J469" s="37" t="s">
        <v>105</v>
      </c>
      <c r="K469" s="37" t="s">
        <v>98</v>
      </c>
      <c r="L469" s="37" t="s">
        <v>110</v>
      </c>
      <c r="M469" s="37" t="s">
        <v>22</v>
      </c>
      <c r="N469" s="37" t="s">
        <v>1038</v>
      </c>
      <c r="O469" s="42">
        <v>1171.42</v>
      </c>
      <c r="P469" s="43" t="str">
        <f t="shared" si="52"/>
        <v>High</v>
      </c>
      <c r="Q469" s="42">
        <v>2187.8000000000002</v>
      </c>
      <c r="R469" s="42">
        <v>0.23</v>
      </c>
      <c r="S469" s="42">
        <v>15</v>
      </c>
      <c r="T469" s="42">
        <f t="shared" si="49"/>
        <v>7525.518</v>
      </c>
      <c r="U469" s="37">
        <f t="shared" si="50"/>
        <v>17571.300000000003</v>
      </c>
      <c r="V469" s="42">
        <f t="shared" si="53"/>
        <v>-10045.782000000003</v>
      </c>
      <c r="W469" s="44">
        <f t="shared" si="54"/>
        <v>-1.3348957506978261</v>
      </c>
    </row>
    <row r="470" spans="1:23" x14ac:dyDescent="0.3">
      <c r="A470" s="45" t="s">
        <v>1039</v>
      </c>
      <c r="B470" s="46">
        <v>45739</v>
      </c>
      <c r="C470" s="47">
        <v>45749</v>
      </c>
      <c r="D470" s="48">
        <f t="shared" si="55"/>
        <v>10</v>
      </c>
      <c r="E470" s="48" t="str">
        <f>TEXT(Data!B470,"MMM-YYYY")</f>
        <v>Mar-2025</v>
      </c>
      <c r="F470" s="48" t="str">
        <f t="shared" si="51"/>
        <v>Q1-2025</v>
      </c>
      <c r="G470" s="38" t="s">
        <v>78</v>
      </c>
      <c r="H470" s="38" t="s">
        <v>79</v>
      </c>
      <c r="I470" s="38" t="s">
        <v>80</v>
      </c>
      <c r="J470" s="38" t="s">
        <v>105</v>
      </c>
      <c r="K470" s="38" t="s">
        <v>28</v>
      </c>
      <c r="L470" s="38" t="s">
        <v>63</v>
      </c>
      <c r="M470" s="38" t="s">
        <v>30</v>
      </c>
      <c r="N470" s="38" t="s">
        <v>1040</v>
      </c>
      <c r="O470" s="48">
        <v>663.61</v>
      </c>
      <c r="P470" s="49" t="str">
        <f t="shared" si="52"/>
        <v>High</v>
      </c>
      <c r="Q470" s="48">
        <v>1002.11</v>
      </c>
      <c r="R470" s="48">
        <v>4.5999999999999999E-2</v>
      </c>
      <c r="S470" s="48">
        <v>17</v>
      </c>
      <c r="T470" s="48">
        <f t="shared" si="49"/>
        <v>12231.93996</v>
      </c>
      <c r="U470" s="38">
        <f t="shared" si="50"/>
        <v>11281.37</v>
      </c>
      <c r="V470" s="48">
        <f t="shared" si="53"/>
        <v>950.5699599999989</v>
      </c>
      <c r="W470" s="50">
        <f t="shared" si="54"/>
        <v>7.7712117874064429E-2</v>
      </c>
    </row>
    <row r="471" spans="1:23" x14ac:dyDescent="0.3">
      <c r="A471" s="39" t="s">
        <v>1041</v>
      </c>
      <c r="B471" s="40">
        <v>45060</v>
      </c>
      <c r="C471" s="41">
        <v>45068</v>
      </c>
      <c r="D471" s="42">
        <f t="shared" si="55"/>
        <v>8</v>
      </c>
      <c r="E471" s="42" t="str">
        <f>TEXT(Data!B471,"MMM-YYYY")</f>
        <v>May-2023</v>
      </c>
      <c r="F471" s="42" t="str">
        <f t="shared" si="51"/>
        <v>Q2-2023</v>
      </c>
      <c r="G471" s="37" t="s">
        <v>16</v>
      </c>
      <c r="H471" s="37" t="s">
        <v>17</v>
      </c>
      <c r="I471" s="37" t="s">
        <v>113</v>
      </c>
      <c r="J471" s="37" t="s">
        <v>62</v>
      </c>
      <c r="K471" s="37" t="s">
        <v>55</v>
      </c>
      <c r="L471" s="37" t="s">
        <v>84</v>
      </c>
      <c r="M471" s="37" t="s">
        <v>30</v>
      </c>
      <c r="N471" s="37" t="s">
        <v>1042</v>
      </c>
      <c r="O471" s="42">
        <v>432.01</v>
      </c>
      <c r="P471" s="43" t="str">
        <f t="shared" si="52"/>
        <v>High</v>
      </c>
      <c r="Q471" s="42">
        <v>913.78</v>
      </c>
      <c r="R471" s="42">
        <v>4.9000000000000002E-2</v>
      </c>
      <c r="S471" s="42">
        <v>12</v>
      </c>
      <c r="T471" s="42">
        <f t="shared" si="49"/>
        <v>34019.286120000004</v>
      </c>
      <c r="U471" s="37">
        <f t="shared" si="50"/>
        <v>5184.12</v>
      </c>
      <c r="V471" s="42">
        <f t="shared" si="53"/>
        <v>28835.166120000005</v>
      </c>
      <c r="W471" s="44">
        <f t="shared" si="54"/>
        <v>0.84761232255981278</v>
      </c>
    </row>
    <row r="472" spans="1:23" x14ac:dyDescent="0.3">
      <c r="A472" s="45" t="s">
        <v>1043</v>
      </c>
      <c r="B472" s="46">
        <v>45167</v>
      </c>
      <c r="C472" s="47">
        <v>45188</v>
      </c>
      <c r="D472" s="48">
        <f t="shared" si="55"/>
        <v>21</v>
      </c>
      <c r="E472" s="48" t="str">
        <f>TEXT(Data!B472,"MMM-YYYY")</f>
        <v>Aug-2023</v>
      </c>
      <c r="F472" s="48" t="str">
        <f t="shared" si="51"/>
        <v>Q3-2023</v>
      </c>
      <c r="G472" s="38" t="s">
        <v>78</v>
      </c>
      <c r="H472" s="38" t="s">
        <v>90</v>
      </c>
      <c r="I472" s="38" t="s">
        <v>138</v>
      </c>
      <c r="J472" s="38" t="s">
        <v>62</v>
      </c>
      <c r="K472" s="38" t="s">
        <v>98</v>
      </c>
      <c r="L472" s="38" t="s">
        <v>56</v>
      </c>
      <c r="M472" s="38" t="s">
        <v>30</v>
      </c>
      <c r="N472" s="38" t="s">
        <v>1044</v>
      </c>
      <c r="O472" s="48">
        <v>784.46</v>
      </c>
      <c r="P472" s="49" t="str">
        <f t="shared" si="52"/>
        <v>High</v>
      </c>
      <c r="Q472" s="48">
        <v>1843.51</v>
      </c>
      <c r="R472" s="48">
        <v>0.13800000000000001</v>
      </c>
      <c r="S472" s="48">
        <v>23</v>
      </c>
      <c r="T472" s="48">
        <f t="shared" si="49"/>
        <v>19353.546419999999</v>
      </c>
      <c r="U472" s="38">
        <f t="shared" si="50"/>
        <v>18042.580000000002</v>
      </c>
      <c r="V472" s="48">
        <f t="shared" si="53"/>
        <v>1310.966419999997</v>
      </c>
      <c r="W472" s="50">
        <f t="shared" si="54"/>
        <v>6.7737787770268371E-2</v>
      </c>
    </row>
    <row r="473" spans="1:23" x14ac:dyDescent="0.3">
      <c r="A473" s="39" t="s">
        <v>1045</v>
      </c>
      <c r="B473" s="40">
        <v>45841</v>
      </c>
      <c r="C473" s="41">
        <v>45861</v>
      </c>
      <c r="D473" s="42">
        <f t="shared" si="55"/>
        <v>20</v>
      </c>
      <c r="E473" s="42" t="str">
        <f>TEXT(Data!B473,"MMM-YYYY")</f>
        <v>Jul-2025</v>
      </c>
      <c r="F473" s="42" t="str">
        <f t="shared" si="51"/>
        <v>Q3-2025</v>
      </c>
      <c r="G473" s="37" t="s">
        <v>45</v>
      </c>
      <c r="H473" s="37" t="s">
        <v>116</v>
      </c>
      <c r="I473" s="37" t="s">
        <v>338</v>
      </c>
      <c r="J473" s="37" t="s">
        <v>62</v>
      </c>
      <c r="K473" s="37" t="s">
        <v>28</v>
      </c>
      <c r="L473" s="37" t="s">
        <v>110</v>
      </c>
      <c r="M473" s="37" t="s">
        <v>22</v>
      </c>
      <c r="N473" s="37" t="s">
        <v>1046</v>
      </c>
      <c r="O473" s="42">
        <v>647.36</v>
      </c>
      <c r="P473" s="43" t="str">
        <f t="shared" si="52"/>
        <v>High</v>
      </c>
      <c r="Q473" s="42">
        <v>1383.6</v>
      </c>
      <c r="R473" s="42">
        <v>7.3999999999999996E-2</v>
      </c>
      <c r="S473" s="42">
        <v>12</v>
      </c>
      <c r="T473" s="42">
        <f t="shared" si="49"/>
        <v>12733.240800000001</v>
      </c>
      <c r="U473" s="37">
        <f t="shared" si="50"/>
        <v>7768.32</v>
      </c>
      <c r="V473" s="42">
        <f t="shared" si="53"/>
        <v>4964.9208000000017</v>
      </c>
      <c r="W473" s="44">
        <f t="shared" si="54"/>
        <v>0.38991807961410746</v>
      </c>
    </row>
    <row r="474" spans="1:23" x14ac:dyDescent="0.3">
      <c r="A474" s="45" t="s">
        <v>1047</v>
      </c>
      <c r="B474" s="46">
        <v>45328</v>
      </c>
      <c r="C474" s="47">
        <v>45350</v>
      </c>
      <c r="D474" s="48">
        <f t="shared" si="55"/>
        <v>22</v>
      </c>
      <c r="E474" s="48" t="str">
        <f>TEXT(Data!B474,"MMM-YYYY")</f>
        <v>Feb-2024</v>
      </c>
      <c r="F474" s="48" t="str">
        <f t="shared" si="51"/>
        <v>Q1-2024</v>
      </c>
      <c r="G474" s="38" t="s">
        <v>16</v>
      </c>
      <c r="H474" s="38" t="s">
        <v>17</v>
      </c>
      <c r="I474" s="38" t="s">
        <v>18</v>
      </c>
      <c r="J474" s="38" t="s">
        <v>39</v>
      </c>
      <c r="K474" s="38" t="s">
        <v>28</v>
      </c>
      <c r="L474" s="38" t="s">
        <v>95</v>
      </c>
      <c r="M474" s="38" t="s">
        <v>64</v>
      </c>
      <c r="N474" s="38" t="s">
        <v>1048</v>
      </c>
      <c r="O474" s="48">
        <v>834.93</v>
      </c>
      <c r="P474" s="49" t="str">
        <f t="shared" si="52"/>
        <v>High</v>
      </c>
      <c r="Q474" s="48">
        <v>1588.53</v>
      </c>
      <c r="R474" s="48">
        <v>0.126</v>
      </c>
      <c r="S474" s="48">
        <v>6</v>
      </c>
      <c r="T474" s="48">
        <f t="shared" si="49"/>
        <v>8549.7651600000008</v>
      </c>
      <c r="U474" s="38">
        <f t="shared" si="50"/>
        <v>5009.58</v>
      </c>
      <c r="V474" s="48">
        <f t="shared" si="53"/>
        <v>3540.1851600000009</v>
      </c>
      <c r="W474" s="50">
        <f t="shared" si="54"/>
        <v>0.4140681169305942</v>
      </c>
    </row>
    <row r="475" spans="1:23" x14ac:dyDescent="0.3">
      <c r="A475" s="39" t="s">
        <v>1049</v>
      </c>
      <c r="B475" s="40">
        <v>45882</v>
      </c>
      <c r="C475" s="41">
        <v>45903</v>
      </c>
      <c r="D475" s="42">
        <f t="shared" si="55"/>
        <v>21</v>
      </c>
      <c r="E475" s="42" t="str">
        <f>TEXT(Data!B475,"MMM-YYYY")</f>
        <v>Aug-2025</v>
      </c>
      <c r="F475" s="42" t="str">
        <f t="shared" si="51"/>
        <v>Q3-2025</v>
      </c>
      <c r="G475" s="37" t="s">
        <v>78</v>
      </c>
      <c r="H475" s="37" t="s">
        <v>90</v>
      </c>
      <c r="I475" s="37" t="s">
        <v>217</v>
      </c>
      <c r="J475" s="37" t="s">
        <v>27</v>
      </c>
      <c r="K475" s="37" t="s">
        <v>20</v>
      </c>
      <c r="L475" s="37" t="s">
        <v>34</v>
      </c>
      <c r="M475" s="37" t="s">
        <v>42</v>
      </c>
      <c r="N475" s="37" t="s">
        <v>1050</v>
      </c>
      <c r="O475" s="42">
        <v>603.47</v>
      </c>
      <c r="P475" s="43" t="str">
        <f t="shared" si="52"/>
        <v>High</v>
      </c>
      <c r="Q475" s="42">
        <v>1344.05</v>
      </c>
      <c r="R475" s="42">
        <v>0.20499999999999999</v>
      </c>
      <c r="S475" s="42">
        <v>18</v>
      </c>
      <c r="T475" s="42">
        <f t="shared" si="49"/>
        <v>13790.9763</v>
      </c>
      <c r="U475" s="37">
        <f t="shared" si="50"/>
        <v>10862.460000000001</v>
      </c>
      <c r="V475" s="42">
        <f t="shared" si="53"/>
        <v>2928.5162999999993</v>
      </c>
      <c r="W475" s="44">
        <f t="shared" si="54"/>
        <v>0.21235018002315031</v>
      </c>
    </row>
    <row r="476" spans="1:23" x14ac:dyDescent="0.3">
      <c r="A476" s="45" t="s">
        <v>1051</v>
      </c>
      <c r="B476" s="46">
        <v>45069</v>
      </c>
      <c r="C476" s="47">
        <v>45071</v>
      </c>
      <c r="D476" s="48">
        <f t="shared" si="55"/>
        <v>2</v>
      </c>
      <c r="E476" s="48" t="str">
        <f>TEXT(Data!B476,"MMM-YYYY")</f>
        <v>May-2023</v>
      </c>
      <c r="F476" s="48" t="str">
        <f t="shared" si="51"/>
        <v>Q2-2023</v>
      </c>
      <c r="G476" s="38" t="s">
        <v>52</v>
      </c>
      <c r="H476" s="38" t="s">
        <v>73</v>
      </c>
      <c r="I476" s="38" t="s">
        <v>225</v>
      </c>
      <c r="J476" s="38" t="s">
        <v>105</v>
      </c>
      <c r="K476" s="38" t="s">
        <v>20</v>
      </c>
      <c r="L476" s="38" t="s">
        <v>110</v>
      </c>
      <c r="M476" s="38" t="s">
        <v>30</v>
      </c>
      <c r="N476" s="38" t="s">
        <v>1052</v>
      </c>
      <c r="O476" s="48">
        <v>690.49</v>
      </c>
      <c r="P476" s="49" t="str">
        <f t="shared" si="52"/>
        <v>High</v>
      </c>
      <c r="Q476" s="48">
        <v>1290.29</v>
      </c>
      <c r="R476" s="48">
        <v>4.2000000000000003E-2</v>
      </c>
      <c r="S476" s="48">
        <v>22</v>
      </c>
      <c r="T476" s="48">
        <f t="shared" si="49"/>
        <v>18794.101480000001</v>
      </c>
      <c r="U476" s="38">
        <f t="shared" si="50"/>
        <v>15190.78</v>
      </c>
      <c r="V476" s="48">
        <f t="shared" si="53"/>
        <v>3603.3214800000005</v>
      </c>
      <c r="W476" s="50">
        <f t="shared" si="54"/>
        <v>0.19172619046643566</v>
      </c>
    </row>
    <row r="477" spans="1:23" x14ac:dyDescent="0.3">
      <c r="A477" s="39" t="s">
        <v>1053</v>
      </c>
      <c r="B477" s="40">
        <v>45422</v>
      </c>
      <c r="C477" s="41">
        <v>45428</v>
      </c>
      <c r="D477" s="42">
        <f t="shared" si="55"/>
        <v>6</v>
      </c>
      <c r="E477" s="42" t="str">
        <f>TEXT(Data!B477,"MMM-YYYY")</f>
        <v>May-2024</v>
      </c>
      <c r="F477" s="42" t="str">
        <f t="shared" si="51"/>
        <v>Q2-2024</v>
      </c>
      <c r="G477" s="37" t="s">
        <v>78</v>
      </c>
      <c r="H477" s="37" t="s">
        <v>108</v>
      </c>
      <c r="I477" s="37" t="s">
        <v>109</v>
      </c>
      <c r="J477" s="37" t="s">
        <v>39</v>
      </c>
      <c r="K477" s="37" t="s">
        <v>98</v>
      </c>
      <c r="L477" s="37" t="s">
        <v>41</v>
      </c>
      <c r="M477" s="37" t="s">
        <v>57</v>
      </c>
      <c r="N477" s="37" t="s">
        <v>1054</v>
      </c>
      <c r="O477" s="42">
        <v>210.76</v>
      </c>
      <c r="P477" s="43" t="str">
        <f t="shared" si="52"/>
        <v>High</v>
      </c>
      <c r="Q477" s="42">
        <v>221.58</v>
      </c>
      <c r="R477" s="42">
        <v>8.8999999999999996E-2</v>
      </c>
      <c r="S477" s="42">
        <v>5</v>
      </c>
      <c r="T477" s="42">
        <f t="shared" si="49"/>
        <v>7596.9201000000003</v>
      </c>
      <c r="U477" s="37">
        <f t="shared" si="50"/>
        <v>1053.8</v>
      </c>
      <c r="V477" s="42">
        <f t="shared" si="53"/>
        <v>6543.1201000000001</v>
      </c>
      <c r="W477" s="44">
        <f t="shared" si="54"/>
        <v>0.86128589137063583</v>
      </c>
    </row>
    <row r="478" spans="1:23" x14ac:dyDescent="0.3">
      <c r="A478" s="45" t="s">
        <v>1055</v>
      </c>
      <c r="B478" s="46">
        <v>44999</v>
      </c>
      <c r="C478" s="47">
        <v>45003</v>
      </c>
      <c r="D478" s="48">
        <f t="shared" si="55"/>
        <v>4</v>
      </c>
      <c r="E478" s="48" t="str">
        <f>TEXT(Data!B478,"MMM-YYYY")</f>
        <v>Mar-2023</v>
      </c>
      <c r="F478" s="48" t="str">
        <f t="shared" si="51"/>
        <v>Q1-2023</v>
      </c>
      <c r="G478" s="38" t="s">
        <v>78</v>
      </c>
      <c r="H478" s="38" t="s">
        <v>79</v>
      </c>
      <c r="I478" s="38" t="s">
        <v>335</v>
      </c>
      <c r="J478" s="38" t="s">
        <v>105</v>
      </c>
      <c r="K478" s="38" t="s">
        <v>98</v>
      </c>
      <c r="L478" s="38" t="s">
        <v>75</v>
      </c>
      <c r="M478" s="38" t="s">
        <v>22</v>
      </c>
      <c r="N478" s="38" t="s">
        <v>1056</v>
      </c>
      <c r="O478" s="48">
        <v>472.33</v>
      </c>
      <c r="P478" s="49" t="str">
        <f t="shared" si="52"/>
        <v>High</v>
      </c>
      <c r="Q478" s="48">
        <v>360.34</v>
      </c>
      <c r="R478" s="48">
        <v>0.16500000000000001</v>
      </c>
      <c r="S478" s="48">
        <v>14</v>
      </c>
      <c r="T478" s="48">
        <f t="shared" si="49"/>
        <v>22462.4519</v>
      </c>
      <c r="U478" s="38">
        <f t="shared" si="50"/>
        <v>6612.62</v>
      </c>
      <c r="V478" s="48">
        <f t="shared" si="53"/>
        <v>15849.831900000001</v>
      </c>
      <c r="W478" s="50">
        <f t="shared" si="54"/>
        <v>0.70561450595693875</v>
      </c>
    </row>
    <row r="479" spans="1:23" x14ac:dyDescent="0.3">
      <c r="A479" s="39" t="s">
        <v>1057</v>
      </c>
      <c r="B479" s="40">
        <v>45123</v>
      </c>
      <c r="C479" s="41">
        <v>45151</v>
      </c>
      <c r="D479" s="42">
        <f t="shared" si="55"/>
        <v>28</v>
      </c>
      <c r="E479" s="42" t="str">
        <f>TEXT(Data!B479,"MMM-YYYY")</f>
        <v>Jul-2023</v>
      </c>
      <c r="F479" s="42" t="str">
        <f t="shared" si="51"/>
        <v>Q3-2023</v>
      </c>
      <c r="G479" s="37" t="s">
        <v>78</v>
      </c>
      <c r="H479" s="37" t="s">
        <v>108</v>
      </c>
      <c r="I479" s="37" t="s">
        <v>228</v>
      </c>
      <c r="J479" s="37" t="s">
        <v>39</v>
      </c>
      <c r="K479" s="37" t="s">
        <v>28</v>
      </c>
      <c r="L479" s="37" t="s">
        <v>29</v>
      </c>
      <c r="M479" s="37" t="s">
        <v>57</v>
      </c>
      <c r="N479" s="37" t="s">
        <v>1058</v>
      </c>
      <c r="O479" s="42">
        <v>1039.03</v>
      </c>
      <c r="P479" s="43" t="str">
        <f t="shared" si="52"/>
        <v>High</v>
      </c>
      <c r="Q479" s="42">
        <v>2545.81</v>
      </c>
      <c r="R479" s="42">
        <v>0.216</v>
      </c>
      <c r="S479" s="42">
        <v>21</v>
      </c>
      <c r="T479" s="42">
        <f t="shared" si="49"/>
        <v>20043.767520000001</v>
      </c>
      <c r="U479" s="37">
        <f t="shared" si="50"/>
        <v>21819.63</v>
      </c>
      <c r="V479" s="42">
        <f t="shared" si="53"/>
        <v>-1775.8624799999998</v>
      </c>
      <c r="W479" s="44">
        <f t="shared" si="54"/>
        <v>-8.8599235559283701E-2</v>
      </c>
    </row>
    <row r="480" spans="1:23" x14ac:dyDescent="0.3">
      <c r="A480" s="45" t="s">
        <v>1059</v>
      </c>
      <c r="B480" s="46">
        <v>45032</v>
      </c>
      <c r="C480" s="47">
        <v>45035</v>
      </c>
      <c r="D480" s="48">
        <f t="shared" si="55"/>
        <v>3</v>
      </c>
      <c r="E480" s="48" t="str">
        <f>TEXT(Data!B480,"MMM-YYYY")</f>
        <v>Apr-2023</v>
      </c>
      <c r="F480" s="48" t="str">
        <f t="shared" si="51"/>
        <v>Q2-2023</v>
      </c>
      <c r="G480" s="38" t="s">
        <v>78</v>
      </c>
      <c r="H480" s="38" t="s">
        <v>79</v>
      </c>
      <c r="I480" s="38" t="s">
        <v>159</v>
      </c>
      <c r="J480" s="38" t="s">
        <v>19</v>
      </c>
      <c r="K480" s="38" t="s">
        <v>98</v>
      </c>
      <c r="L480" s="38" t="s">
        <v>56</v>
      </c>
      <c r="M480" s="38" t="s">
        <v>81</v>
      </c>
      <c r="N480" s="38" t="s">
        <v>1060</v>
      </c>
      <c r="O480" s="48">
        <v>553.61</v>
      </c>
      <c r="P480" s="49" t="str">
        <f t="shared" si="52"/>
        <v>High</v>
      </c>
      <c r="Q480" s="48">
        <v>699.47</v>
      </c>
      <c r="R480" s="48">
        <v>0.02</v>
      </c>
      <c r="S480" s="48">
        <v>33</v>
      </c>
      <c r="T480" s="48">
        <f t="shared" si="49"/>
        <v>31378.531800000001</v>
      </c>
      <c r="U480" s="38">
        <f t="shared" si="50"/>
        <v>18269.13</v>
      </c>
      <c r="V480" s="48">
        <f t="shared" si="53"/>
        <v>13109.4018</v>
      </c>
      <c r="W480" s="50">
        <f t="shared" si="54"/>
        <v>0.41778251078018885</v>
      </c>
    </row>
    <row r="481" spans="1:23" x14ac:dyDescent="0.3">
      <c r="A481" s="39" t="s">
        <v>1061</v>
      </c>
      <c r="B481" s="40">
        <v>45293</v>
      </c>
      <c r="C481" s="41">
        <v>45306</v>
      </c>
      <c r="D481" s="42">
        <f t="shared" si="55"/>
        <v>13</v>
      </c>
      <c r="E481" s="42" t="str">
        <f>TEXT(Data!B481,"MMM-YYYY")</f>
        <v>Jan-2024</v>
      </c>
      <c r="F481" s="42" t="str">
        <f t="shared" si="51"/>
        <v>Q1-2024</v>
      </c>
      <c r="G481" s="37" t="s">
        <v>45</v>
      </c>
      <c r="H481" s="37" t="s">
        <v>46</v>
      </c>
      <c r="I481" s="37" t="s">
        <v>231</v>
      </c>
      <c r="J481" s="37" t="s">
        <v>62</v>
      </c>
      <c r="K481" s="37" t="s">
        <v>40</v>
      </c>
      <c r="L481" s="37" t="s">
        <v>41</v>
      </c>
      <c r="M481" s="37" t="s">
        <v>35</v>
      </c>
      <c r="N481" s="37" t="s">
        <v>1062</v>
      </c>
      <c r="O481" s="42">
        <v>1219.06</v>
      </c>
      <c r="P481" s="43" t="str">
        <f t="shared" si="52"/>
        <v>High</v>
      </c>
      <c r="Q481" s="42">
        <v>2738.69</v>
      </c>
      <c r="R481" s="42">
        <v>7.5999999999999998E-2</v>
      </c>
      <c r="S481" s="42">
        <v>16</v>
      </c>
      <c r="T481" s="42">
        <f t="shared" si="49"/>
        <v>24019.121280000003</v>
      </c>
      <c r="U481" s="37">
        <f t="shared" si="50"/>
        <v>19504.96</v>
      </c>
      <c r="V481" s="42">
        <f t="shared" si="53"/>
        <v>4514.1612800000039</v>
      </c>
      <c r="W481" s="44">
        <f t="shared" si="54"/>
        <v>0.18794031752355611</v>
      </c>
    </row>
    <row r="482" spans="1:23" x14ac:dyDescent="0.3">
      <c r="A482" s="45" t="s">
        <v>1063</v>
      </c>
      <c r="B482" s="46">
        <v>45538</v>
      </c>
      <c r="C482" s="47">
        <v>45542</v>
      </c>
      <c r="D482" s="48">
        <f t="shared" si="55"/>
        <v>4</v>
      </c>
      <c r="E482" s="48" t="str">
        <f>TEXT(Data!B482,"MMM-YYYY")</f>
        <v>Sept-2024</v>
      </c>
      <c r="F482" s="48" t="str">
        <f t="shared" si="51"/>
        <v>Q3-2024</v>
      </c>
      <c r="G482" s="38" t="s">
        <v>45</v>
      </c>
      <c r="H482" s="38" t="s">
        <v>46</v>
      </c>
      <c r="I482" s="38" t="s">
        <v>214</v>
      </c>
      <c r="J482" s="38" t="s">
        <v>62</v>
      </c>
      <c r="K482" s="38" t="s">
        <v>55</v>
      </c>
      <c r="L482" s="38" t="s">
        <v>126</v>
      </c>
      <c r="M482" s="38" t="s">
        <v>30</v>
      </c>
      <c r="N482" s="38" t="s">
        <v>1064</v>
      </c>
      <c r="O482" s="48">
        <v>43.23</v>
      </c>
      <c r="P482" s="49" t="str">
        <f t="shared" si="52"/>
        <v>Medium</v>
      </c>
      <c r="Q482" s="48">
        <v>94.78</v>
      </c>
      <c r="R482" s="48">
        <v>9.0999999999999998E-2</v>
      </c>
      <c r="S482" s="48">
        <v>55</v>
      </c>
      <c r="T482" s="48">
        <f t="shared" si="49"/>
        <v>130292.46945000002</v>
      </c>
      <c r="U482" s="38">
        <f t="shared" si="50"/>
        <v>2377.6499999999996</v>
      </c>
      <c r="V482" s="48">
        <f t="shared" si="53"/>
        <v>127914.81945000002</v>
      </c>
      <c r="W482" s="50">
        <f t="shared" si="54"/>
        <v>0.98175143958790023</v>
      </c>
    </row>
    <row r="483" spans="1:23" x14ac:dyDescent="0.3">
      <c r="A483" s="39" t="s">
        <v>1065</v>
      </c>
      <c r="B483" s="40">
        <v>45899</v>
      </c>
      <c r="C483" s="41">
        <v>45903</v>
      </c>
      <c r="D483" s="42">
        <f t="shared" si="55"/>
        <v>4</v>
      </c>
      <c r="E483" s="42" t="str">
        <f>TEXT(Data!B483,"MMM-YYYY")</f>
        <v>Aug-2025</v>
      </c>
      <c r="F483" s="42" t="str">
        <f t="shared" si="51"/>
        <v>Q3-2025</v>
      </c>
      <c r="G483" s="37" t="s">
        <v>78</v>
      </c>
      <c r="H483" s="37" t="s">
        <v>90</v>
      </c>
      <c r="I483" s="37" t="s">
        <v>91</v>
      </c>
      <c r="J483" s="37" t="s">
        <v>62</v>
      </c>
      <c r="K483" s="37" t="s">
        <v>40</v>
      </c>
      <c r="L483" s="37" t="s">
        <v>29</v>
      </c>
      <c r="M483" s="37" t="s">
        <v>57</v>
      </c>
      <c r="N483" s="37" t="s">
        <v>1066</v>
      </c>
      <c r="O483" s="42">
        <v>1286.56</v>
      </c>
      <c r="P483" s="43" t="str">
        <f t="shared" si="52"/>
        <v>High</v>
      </c>
      <c r="Q483" s="42">
        <v>2777.35</v>
      </c>
      <c r="R483" s="42">
        <v>0.13200000000000001</v>
      </c>
      <c r="S483" s="42">
        <v>15</v>
      </c>
      <c r="T483" s="42">
        <f t="shared" si="49"/>
        <v>5660.0544</v>
      </c>
      <c r="U483" s="37">
        <f t="shared" si="50"/>
        <v>19298.399999999998</v>
      </c>
      <c r="V483" s="42">
        <f t="shared" si="53"/>
        <v>-13638.345599999997</v>
      </c>
      <c r="W483" s="44">
        <f t="shared" si="54"/>
        <v>-2.4095785369130014</v>
      </c>
    </row>
    <row r="484" spans="1:23" x14ac:dyDescent="0.3">
      <c r="A484" s="45" t="s">
        <v>1067</v>
      </c>
      <c r="B484" s="46">
        <v>45775</v>
      </c>
      <c r="C484" s="47">
        <v>45796</v>
      </c>
      <c r="D484" s="48">
        <f t="shared" si="55"/>
        <v>21</v>
      </c>
      <c r="E484" s="48" t="str">
        <f>TEXT(Data!B484,"MMM-YYYY")</f>
        <v>Apr-2025</v>
      </c>
      <c r="F484" s="48" t="str">
        <f t="shared" si="51"/>
        <v>Q2-2025</v>
      </c>
      <c r="G484" s="38" t="s">
        <v>78</v>
      </c>
      <c r="H484" s="38" t="s">
        <v>79</v>
      </c>
      <c r="I484" s="38" t="s">
        <v>80</v>
      </c>
      <c r="J484" s="38" t="s">
        <v>19</v>
      </c>
      <c r="K484" s="38" t="s">
        <v>55</v>
      </c>
      <c r="L484" s="38" t="s">
        <v>56</v>
      </c>
      <c r="M484" s="38" t="s">
        <v>42</v>
      </c>
      <c r="N484" s="38" t="s">
        <v>1068</v>
      </c>
      <c r="O484" s="48">
        <v>350.76</v>
      </c>
      <c r="P484" s="49" t="str">
        <f t="shared" si="52"/>
        <v>High</v>
      </c>
      <c r="Q484" s="48">
        <v>492.18</v>
      </c>
      <c r="R484" s="48">
        <v>5.2999999999999999E-2</v>
      </c>
      <c r="S484" s="48">
        <v>11</v>
      </c>
      <c r="T484" s="48">
        <f t="shared" si="49"/>
        <v>19379.89097</v>
      </c>
      <c r="U484" s="38">
        <f t="shared" si="50"/>
        <v>3858.3599999999997</v>
      </c>
      <c r="V484" s="48">
        <f t="shared" si="53"/>
        <v>15521.53097</v>
      </c>
      <c r="W484" s="50">
        <f t="shared" si="54"/>
        <v>0.80090909665215726</v>
      </c>
    </row>
    <row r="485" spans="1:23" x14ac:dyDescent="0.3">
      <c r="A485" s="39" t="s">
        <v>1069</v>
      </c>
      <c r="B485" s="40">
        <v>45148</v>
      </c>
      <c r="C485" s="41">
        <v>45153</v>
      </c>
      <c r="D485" s="42">
        <f t="shared" si="55"/>
        <v>5</v>
      </c>
      <c r="E485" s="42" t="str">
        <f>TEXT(Data!B485,"MMM-YYYY")</f>
        <v>Aug-2023</v>
      </c>
      <c r="F485" s="42" t="str">
        <f t="shared" si="51"/>
        <v>Q3-2023</v>
      </c>
      <c r="G485" s="37" t="s">
        <v>52</v>
      </c>
      <c r="H485" s="37" t="s">
        <v>73</v>
      </c>
      <c r="I485" s="37" t="s">
        <v>74</v>
      </c>
      <c r="J485" s="37" t="s">
        <v>27</v>
      </c>
      <c r="K485" s="37" t="s">
        <v>98</v>
      </c>
      <c r="L485" s="37" t="s">
        <v>41</v>
      </c>
      <c r="M485" s="37" t="s">
        <v>35</v>
      </c>
      <c r="N485" s="37" t="s">
        <v>1070</v>
      </c>
      <c r="O485" s="42">
        <v>1307.52</v>
      </c>
      <c r="P485" s="43" t="str">
        <f t="shared" si="52"/>
        <v>High</v>
      </c>
      <c r="Q485" s="42">
        <v>1921.65</v>
      </c>
      <c r="R485" s="42">
        <v>0.123</v>
      </c>
      <c r="S485" s="42">
        <v>13</v>
      </c>
      <c r="T485" s="42">
        <f t="shared" si="49"/>
        <v>9504.8996900000002</v>
      </c>
      <c r="U485" s="37">
        <f t="shared" si="50"/>
        <v>16997.759999999998</v>
      </c>
      <c r="V485" s="42">
        <f t="shared" si="53"/>
        <v>-7492.8603099999982</v>
      </c>
      <c r="W485" s="44">
        <f t="shared" si="54"/>
        <v>-0.78831555875157244</v>
      </c>
    </row>
    <row r="486" spans="1:23" x14ac:dyDescent="0.3">
      <c r="A486" s="45" t="s">
        <v>1071</v>
      </c>
      <c r="B486" s="46">
        <v>45634</v>
      </c>
      <c r="C486" s="47">
        <v>45634</v>
      </c>
      <c r="D486" s="48">
        <f t="shared" si="55"/>
        <v>0</v>
      </c>
      <c r="E486" s="48" t="str">
        <f>TEXT(Data!B486,"MMM-YYYY")</f>
        <v>Dec-2024</v>
      </c>
      <c r="F486" s="48" t="str">
        <f t="shared" si="51"/>
        <v>Q4-2024</v>
      </c>
      <c r="G486" s="38" t="s">
        <v>78</v>
      </c>
      <c r="H486" s="38" t="s">
        <v>90</v>
      </c>
      <c r="I486" s="38" t="s">
        <v>138</v>
      </c>
      <c r="J486" s="38" t="s">
        <v>105</v>
      </c>
      <c r="K486" s="38" t="s">
        <v>20</v>
      </c>
      <c r="L486" s="38" t="s">
        <v>92</v>
      </c>
      <c r="M486" s="38" t="s">
        <v>22</v>
      </c>
      <c r="N486" s="38" t="s">
        <v>1072</v>
      </c>
      <c r="O486" s="48">
        <v>257.44</v>
      </c>
      <c r="P486" s="49" t="str">
        <f t="shared" si="52"/>
        <v>High</v>
      </c>
      <c r="Q486" s="48">
        <v>290.33</v>
      </c>
      <c r="R486" s="48">
        <v>9.1999999999999998E-2</v>
      </c>
      <c r="S486" s="48">
        <v>23</v>
      </c>
      <c r="T486" s="48">
        <f t="shared" si="49"/>
        <v>6964.3963200000007</v>
      </c>
      <c r="U486" s="38">
        <f t="shared" si="50"/>
        <v>5921.12</v>
      </c>
      <c r="V486" s="48">
        <f t="shared" si="53"/>
        <v>1043.2763200000009</v>
      </c>
      <c r="W486" s="50">
        <f t="shared" si="54"/>
        <v>0.14980140015926044</v>
      </c>
    </row>
    <row r="487" spans="1:23" x14ac:dyDescent="0.3">
      <c r="A487" s="39" t="s">
        <v>1073</v>
      </c>
      <c r="B487" s="40">
        <v>45224</v>
      </c>
      <c r="C487" s="41">
        <v>45254</v>
      </c>
      <c r="D487" s="42">
        <f t="shared" si="55"/>
        <v>30</v>
      </c>
      <c r="E487" s="42" t="str">
        <f>TEXT(Data!B487,"MMM-YYYY")</f>
        <v>Oct-2023</v>
      </c>
      <c r="F487" s="42" t="str">
        <f t="shared" si="51"/>
        <v>Q4-2023</v>
      </c>
      <c r="G487" s="37" t="s">
        <v>78</v>
      </c>
      <c r="H487" s="37" t="s">
        <v>90</v>
      </c>
      <c r="I487" s="37" t="s">
        <v>217</v>
      </c>
      <c r="J487" s="37" t="s">
        <v>105</v>
      </c>
      <c r="K487" s="37" t="s">
        <v>55</v>
      </c>
      <c r="L487" s="37" t="s">
        <v>21</v>
      </c>
      <c r="M487" s="37" t="s">
        <v>42</v>
      </c>
      <c r="N487" s="37" t="s">
        <v>1074</v>
      </c>
      <c r="O487" s="42">
        <v>287.85000000000002</v>
      </c>
      <c r="P487" s="43" t="str">
        <f t="shared" si="52"/>
        <v>High</v>
      </c>
      <c r="Q487" s="42">
        <v>602.91999999999996</v>
      </c>
      <c r="R487" s="42">
        <v>0.222</v>
      </c>
      <c r="S487" s="42">
        <v>11</v>
      </c>
      <c r="T487" s="42">
        <f t="shared" si="49"/>
        <v>15273.462600000001</v>
      </c>
      <c r="U487" s="37">
        <f t="shared" si="50"/>
        <v>3166.3500000000004</v>
      </c>
      <c r="V487" s="42">
        <f t="shared" si="53"/>
        <v>12107.1126</v>
      </c>
      <c r="W487" s="44">
        <f t="shared" si="54"/>
        <v>0.79268944554851628</v>
      </c>
    </row>
    <row r="488" spans="1:23" x14ac:dyDescent="0.3">
      <c r="A488" s="45" t="s">
        <v>1075</v>
      </c>
      <c r="B488" s="46">
        <v>45613</v>
      </c>
      <c r="C488" s="47">
        <v>45624</v>
      </c>
      <c r="D488" s="48">
        <f t="shared" si="55"/>
        <v>11</v>
      </c>
      <c r="E488" s="48" t="str">
        <f>TEXT(Data!B488,"MMM-YYYY")</f>
        <v>Nov-2024</v>
      </c>
      <c r="F488" s="48" t="str">
        <f t="shared" si="51"/>
        <v>Q4-2024</v>
      </c>
      <c r="G488" s="38" t="s">
        <v>52</v>
      </c>
      <c r="H488" s="38" t="s">
        <v>53</v>
      </c>
      <c r="I488" s="38" t="s">
        <v>1364</v>
      </c>
      <c r="J488" s="38" t="s">
        <v>48</v>
      </c>
      <c r="K488" s="38" t="s">
        <v>55</v>
      </c>
      <c r="L488" s="38" t="s">
        <v>75</v>
      </c>
      <c r="M488" s="38" t="s">
        <v>30</v>
      </c>
      <c r="N488" s="38" t="s">
        <v>1076</v>
      </c>
      <c r="O488" s="48">
        <v>1008.16</v>
      </c>
      <c r="P488" s="49" t="str">
        <f t="shared" si="52"/>
        <v>High</v>
      </c>
      <c r="Q488" s="48">
        <v>2077.5</v>
      </c>
      <c r="R488" s="48">
        <v>7.3999999999999996E-2</v>
      </c>
      <c r="S488" s="48">
        <v>15</v>
      </c>
      <c r="T488" s="48">
        <f t="shared" si="49"/>
        <v>14894.108099999999</v>
      </c>
      <c r="U488" s="38">
        <f t="shared" si="50"/>
        <v>15122.4</v>
      </c>
      <c r="V488" s="48">
        <f t="shared" si="53"/>
        <v>-228.29190000000017</v>
      </c>
      <c r="W488" s="50">
        <f t="shared" si="54"/>
        <v>-1.5327665038230801E-2</v>
      </c>
    </row>
    <row r="489" spans="1:23" x14ac:dyDescent="0.3">
      <c r="A489" s="39" t="s">
        <v>1077</v>
      </c>
      <c r="B489" s="40">
        <v>45424</v>
      </c>
      <c r="C489" s="41">
        <v>45436</v>
      </c>
      <c r="D489" s="42">
        <f t="shared" si="55"/>
        <v>12</v>
      </c>
      <c r="E489" s="42" t="str">
        <f>TEXT(Data!B489,"MMM-YYYY")</f>
        <v>May-2024</v>
      </c>
      <c r="F489" s="42" t="str">
        <f t="shared" si="51"/>
        <v>Q2-2024</v>
      </c>
      <c r="G489" s="37" t="s">
        <v>78</v>
      </c>
      <c r="H489" s="37" t="s">
        <v>108</v>
      </c>
      <c r="I489" s="37" t="s">
        <v>228</v>
      </c>
      <c r="J489" s="37" t="s">
        <v>27</v>
      </c>
      <c r="K489" s="37" t="s">
        <v>40</v>
      </c>
      <c r="L489" s="37" t="s">
        <v>95</v>
      </c>
      <c r="M489" s="37" t="s">
        <v>30</v>
      </c>
      <c r="N489" s="37" t="s">
        <v>1078</v>
      </c>
      <c r="O489" s="42">
        <v>111.02</v>
      </c>
      <c r="P489" s="43" t="str">
        <f t="shared" si="52"/>
        <v>Medium</v>
      </c>
      <c r="Q489" s="42">
        <v>172.88</v>
      </c>
      <c r="R489" s="42">
        <v>0.19700000000000001</v>
      </c>
      <c r="S489" s="42">
        <v>29</v>
      </c>
      <c r="T489" s="42">
        <f t="shared" si="49"/>
        <v>70514.200349999999</v>
      </c>
      <c r="U489" s="37">
        <f t="shared" si="50"/>
        <v>3219.58</v>
      </c>
      <c r="V489" s="42">
        <f t="shared" si="53"/>
        <v>67294.620349999997</v>
      </c>
      <c r="W489" s="44">
        <f t="shared" si="54"/>
        <v>0.95434139529315387</v>
      </c>
    </row>
    <row r="490" spans="1:23" x14ac:dyDescent="0.3">
      <c r="A490" s="45" t="s">
        <v>1079</v>
      </c>
      <c r="B490" s="46">
        <v>45792</v>
      </c>
      <c r="C490" s="47">
        <v>45813</v>
      </c>
      <c r="D490" s="48">
        <f t="shared" si="55"/>
        <v>21</v>
      </c>
      <c r="E490" s="48" t="str">
        <f>TEXT(Data!B490,"MMM-YYYY")</f>
        <v>May-2025</v>
      </c>
      <c r="F490" s="48" t="str">
        <f t="shared" si="51"/>
        <v>Q2-2025</v>
      </c>
      <c r="G490" s="38" t="s">
        <v>45</v>
      </c>
      <c r="H490" s="38" t="s">
        <v>46</v>
      </c>
      <c r="I490" s="38" t="s">
        <v>47</v>
      </c>
      <c r="J490" s="38" t="s">
        <v>105</v>
      </c>
      <c r="K490" s="38" t="s">
        <v>98</v>
      </c>
      <c r="L490" s="38" t="s">
        <v>92</v>
      </c>
      <c r="M490" s="38" t="s">
        <v>42</v>
      </c>
      <c r="N490" s="38" t="s">
        <v>1080</v>
      </c>
      <c r="O490" s="48">
        <v>1466.5</v>
      </c>
      <c r="P490" s="49" t="str">
        <f t="shared" si="52"/>
        <v>High</v>
      </c>
      <c r="Q490" s="48">
        <v>2778.74</v>
      </c>
      <c r="R490" s="48">
        <v>0.13500000000000001</v>
      </c>
      <c r="S490" s="48">
        <v>4</v>
      </c>
      <c r="T490" s="48">
        <f t="shared" si="49"/>
        <v>3415.8503999999998</v>
      </c>
      <c r="U490" s="38">
        <f t="shared" si="50"/>
        <v>5866</v>
      </c>
      <c r="V490" s="48">
        <f t="shared" si="53"/>
        <v>-2450.1496000000002</v>
      </c>
      <c r="W490" s="50">
        <f t="shared" si="54"/>
        <v>-0.71728832152602473</v>
      </c>
    </row>
    <row r="491" spans="1:23" x14ac:dyDescent="0.3">
      <c r="A491" s="39" t="s">
        <v>1081</v>
      </c>
      <c r="B491" s="40">
        <v>45403</v>
      </c>
      <c r="C491" s="41">
        <v>45431</v>
      </c>
      <c r="D491" s="42">
        <f t="shared" si="55"/>
        <v>28</v>
      </c>
      <c r="E491" s="42" t="str">
        <f>TEXT(Data!B491,"MMM-YYYY")</f>
        <v>Apr-2024</v>
      </c>
      <c r="F491" s="42" t="str">
        <f t="shared" si="51"/>
        <v>Q2-2024</v>
      </c>
      <c r="G491" s="37" t="s">
        <v>16</v>
      </c>
      <c r="H491" s="37" t="s">
        <v>25</v>
      </c>
      <c r="I491" s="37" t="s">
        <v>38</v>
      </c>
      <c r="J491" s="37" t="s">
        <v>19</v>
      </c>
      <c r="K491" s="37" t="s">
        <v>55</v>
      </c>
      <c r="L491" s="37" t="s">
        <v>75</v>
      </c>
      <c r="M491" s="37" t="s">
        <v>81</v>
      </c>
      <c r="N491" s="37" t="s">
        <v>1082</v>
      </c>
      <c r="O491" s="42">
        <v>187.22</v>
      </c>
      <c r="P491" s="43" t="str">
        <f t="shared" si="52"/>
        <v>High</v>
      </c>
      <c r="Q491" s="42">
        <v>309.47000000000003</v>
      </c>
      <c r="R491" s="42">
        <v>0</v>
      </c>
      <c r="S491" s="42">
        <v>5</v>
      </c>
      <c r="T491" s="42">
        <f t="shared" si="49"/>
        <v>4877.1499999999996</v>
      </c>
      <c r="U491" s="37">
        <f t="shared" si="50"/>
        <v>936.1</v>
      </c>
      <c r="V491" s="42">
        <f t="shared" si="53"/>
        <v>3941.0499999999997</v>
      </c>
      <c r="W491" s="44">
        <f t="shared" si="54"/>
        <v>0.8080641358170243</v>
      </c>
    </row>
    <row r="492" spans="1:23" x14ac:dyDescent="0.3">
      <c r="A492" s="45" t="s">
        <v>1083</v>
      </c>
      <c r="B492" s="46">
        <v>45523</v>
      </c>
      <c r="C492" s="47">
        <v>45542</v>
      </c>
      <c r="D492" s="48">
        <f t="shared" si="55"/>
        <v>19</v>
      </c>
      <c r="E492" s="48" t="str">
        <f>TEXT(Data!B492,"MMM-YYYY")</f>
        <v>Aug-2024</v>
      </c>
      <c r="F492" s="48" t="str">
        <f t="shared" si="51"/>
        <v>Q3-2024</v>
      </c>
      <c r="G492" s="38" t="s">
        <v>78</v>
      </c>
      <c r="H492" s="38" t="s">
        <v>90</v>
      </c>
      <c r="I492" s="38" t="s">
        <v>138</v>
      </c>
      <c r="J492" s="38" t="s">
        <v>19</v>
      </c>
      <c r="K492" s="38" t="s">
        <v>98</v>
      </c>
      <c r="L492" s="38" t="s">
        <v>29</v>
      </c>
      <c r="M492" s="38" t="s">
        <v>22</v>
      </c>
      <c r="N492" s="38" t="s">
        <v>1084</v>
      </c>
      <c r="O492" s="48">
        <v>297.58999999999997</v>
      </c>
      <c r="P492" s="49" t="str">
        <f t="shared" si="52"/>
        <v>High</v>
      </c>
      <c r="Q492" s="48">
        <v>666.41</v>
      </c>
      <c r="R492" s="48">
        <v>0</v>
      </c>
      <c r="S492" s="48">
        <v>10</v>
      </c>
      <c r="T492" s="48">
        <f t="shared" si="49"/>
        <v>1414.3000000000002</v>
      </c>
      <c r="U492" s="38">
        <f t="shared" si="50"/>
        <v>2975.8999999999996</v>
      </c>
      <c r="V492" s="48">
        <f t="shared" si="53"/>
        <v>-1561.5999999999995</v>
      </c>
      <c r="W492" s="50">
        <f t="shared" si="54"/>
        <v>-1.1041504631266346</v>
      </c>
    </row>
    <row r="493" spans="1:23" x14ac:dyDescent="0.3">
      <c r="A493" s="39" t="s">
        <v>1085</v>
      </c>
      <c r="B493" s="40">
        <v>45861</v>
      </c>
      <c r="C493" s="41">
        <v>45888</v>
      </c>
      <c r="D493" s="42">
        <f t="shared" si="55"/>
        <v>27</v>
      </c>
      <c r="E493" s="42" t="str">
        <f>TEXT(Data!B493,"MMM-YYYY")</f>
        <v>Jul-2025</v>
      </c>
      <c r="F493" s="42" t="str">
        <f t="shared" si="51"/>
        <v>Q3-2025</v>
      </c>
      <c r="G493" s="37" t="s">
        <v>45</v>
      </c>
      <c r="H493" s="37" t="s">
        <v>46</v>
      </c>
      <c r="I493" s="37" t="s">
        <v>231</v>
      </c>
      <c r="J493" s="37" t="s">
        <v>48</v>
      </c>
      <c r="K493" s="37" t="s">
        <v>40</v>
      </c>
      <c r="L493" s="37" t="s">
        <v>56</v>
      </c>
      <c r="M493" s="37" t="s">
        <v>81</v>
      </c>
      <c r="N493" s="37" t="s">
        <v>1086</v>
      </c>
      <c r="O493" s="42">
        <v>896.09</v>
      </c>
      <c r="P493" s="43" t="str">
        <f t="shared" si="52"/>
        <v>High</v>
      </c>
      <c r="Q493" s="42">
        <v>744.27</v>
      </c>
      <c r="R493" s="42">
        <v>8.3000000000000004E-2</v>
      </c>
      <c r="S493" s="42">
        <v>11</v>
      </c>
      <c r="T493" s="42">
        <f t="shared" si="49"/>
        <v>16395.611540000002</v>
      </c>
      <c r="U493" s="37">
        <f t="shared" si="50"/>
        <v>9856.99</v>
      </c>
      <c r="V493" s="42">
        <f t="shared" si="53"/>
        <v>6538.6215400000019</v>
      </c>
      <c r="W493" s="44">
        <f t="shared" si="54"/>
        <v>0.3988031507118765</v>
      </c>
    </row>
    <row r="494" spans="1:23" x14ac:dyDescent="0.3">
      <c r="A494" s="45" t="s">
        <v>1087</v>
      </c>
      <c r="B494" s="46">
        <v>45352</v>
      </c>
      <c r="C494" s="47">
        <v>45351</v>
      </c>
      <c r="D494" s="48">
        <f>DATEDIF(C494,B494, "MD")</f>
        <v>1</v>
      </c>
      <c r="E494" s="48" t="str">
        <f>TEXT(Data!B494,"MMM-YYYY")</f>
        <v>Mar-2024</v>
      </c>
      <c r="F494" s="48" t="str">
        <f t="shared" si="51"/>
        <v>Q1-2024</v>
      </c>
      <c r="G494" s="38" t="s">
        <v>52</v>
      </c>
      <c r="H494" s="38" t="s">
        <v>73</v>
      </c>
      <c r="I494" s="38" t="s">
        <v>74</v>
      </c>
      <c r="J494" s="38" t="s">
        <v>39</v>
      </c>
      <c r="K494" s="38" t="s">
        <v>98</v>
      </c>
      <c r="L494" s="38" t="s">
        <v>34</v>
      </c>
      <c r="M494" s="38" t="s">
        <v>42</v>
      </c>
      <c r="N494" s="38" t="s">
        <v>1088</v>
      </c>
      <c r="O494" s="48">
        <v>5.34</v>
      </c>
      <c r="P494" s="49" t="str">
        <f t="shared" si="52"/>
        <v>Low</v>
      </c>
      <c r="Q494" s="48">
        <v>12.69</v>
      </c>
      <c r="R494" s="48">
        <v>0.13200000000000001</v>
      </c>
      <c r="S494" s="48">
        <v>10</v>
      </c>
      <c r="T494" s="48">
        <f t="shared" si="49"/>
        <v>2603.4792000000002</v>
      </c>
      <c r="U494" s="38">
        <f t="shared" si="50"/>
        <v>53.4</v>
      </c>
      <c r="V494" s="48">
        <f t="shared" si="53"/>
        <v>2550.0792000000001</v>
      </c>
      <c r="W494" s="50">
        <f t="shared" si="54"/>
        <v>0.97948898535467455</v>
      </c>
    </row>
    <row r="495" spans="1:23" x14ac:dyDescent="0.3">
      <c r="A495" s="39" t="s">
        <v>1089</v>
      </c>
      <c r="B495" s="40">
        <v>45439</v>
      </c>
      <c r="C495" s="41">
        <v>45460</v>
      </c>
      <c r="D495" s="42">
        <f t="shared" si="55"/>
        <v>21</v>
      </c>
      <c r="E495" s="42" t="str">
        <f>TEXT(Data!B495,"MMM-YYYY")</f>
        <v>May-2024</v>
      </c>
      <c r="F495" s="42" t="str">
        <f t="shared" si="51"/>
        <v>Q2-2024</v>
      </c>
      <c r="G495" s="37" t="s">
        <v>45</v>
      </c>
      <c r="H495" s="37" t="s">
        <v>60</v>
      </c>
      <c r="I495" s="37" t="s">
        <v>141</v>
      </c>
      <c r="J495" s="37" t="s">
        <v>62</v>
      </c>
      <c r="K495" s="37" t="s">
        <v>28</v>
      </c>
      <c r="L495" s="37" t="s">
        <v>92</v>
      </c>
      <c r="M495" s="37" t="s">
        <v>81</v>
      </c>
      <c r="N495" s="37" t="s">
        <v>1090</v>
      </c>
      <c r="O495" s="42">
        <v>465.02</v>
      </c>
      <c r="P495" s="43" t="str">
        <f t="shared" si="52"/>
        <v>High</v>
      </c>
      <c r="Q495" s="42">
        <v>651.55999999999995</v>
      </c>
      <c r="R495" s="42">
        <v>4.2000000000000003E-2</v>
      </c>
      <c r="S495" s="42">
        <v>19</v>
      </c>
      <c r="T495" s="42">
        <f t="shared" si="49"/>
        <v>27375.07992</v>
      </c>
      <c r="U495" s="37">
        <f t="shared" si="50"/>
        <v>8835.3799999999992</v>
      </c>
      <c r="V495" s="42">
        <f t="shared" si="53"/>
        <v>18539.699919999999</v>
      </c>
      <c r="W495" s="44">
        <f t="shared" si="54"/>
        <v>0.67724733495499501</v>
      </c>
    </row>
    <row r="496" spans="1:23" x14ac:dyDescent="0.3">
      <c r="A496" s="45" t="s">
        <v>1091</v>
      </c>
      <c r="B496" s="46">
        <v>45508</v>
      </c>
      <c r="C496" s="47">
        <v>45521</v>
      </c>
      <c r="D496" s="48">
        <f t="shared" si="55"/>
        <v>13</v>
      </c>
      <c r="E496" s="48" t="str">
        <f>TEXT(Data!B496,"MMM-YYYY")</f>
        <v>Aug-2024</v>
      </c>
      <c r="F496" s="48" t="str">
        <f t="shared" si="51"/>
        <v>Q3-2024</v>
      </c>
      <c r="G496" s="38" t="s">
        <v>52</v>
      </c>
      <c r="H496" s="38" t="s">
        <v>122</v>
      </c>
      <c r="I496" s="38" t="s">
        <v>326</v>
      </c>
      <c r="J496" s="38" t="s">
        <v>48</v>
      </c>
      <c r="K496" s="38" t="s">
        <v>20</v>
      </c>
      <c r="L496" s="38" t="s">
        <v>145</v>
      </c>
      <c r="M496" s="38" t="s">
        <v>64</v>
      </c>
      <c r="N496" s="38" t="s">
        <v>1092</v>
      </c>
      <c r="O496" s="48">
        <v>352.79</v>
      </c>
      <c r="P496" s="49" t="str">
        <f t="shared" si="52"/>
        <v>High</v>
      </c>
      <c r="Q496" s="48">
        <v>754.22</v>
      </c>
      <c r="R496" s="48">
        <v>0.113</v>
      </c>
      <c r="S496" s="48">
        <v>7</v>
      </c>
      <c r="T496" s="48">
        <f t="shared" si="49"/>
        <v>19254.791990000002</v>
      </c>
      <c r="U496" s="38">
        <f t="shared" si="50"/>
        <v>2469.5300000000002</v>
      </c>
      <c r="V496" s="48">
        <f t="shared" si="53"/>
        <v>16785.261990000003</v>
      </c>
      <c r="W496" s="50">
        <f t="shared" si="54"/>
        <v>0.87174465445887173</v>
      </c>
    </row>
    <row r="497" spans="1:23" x14ac:dyDescent="0.3">
      <c r="A497" s="39" t="s">
        <v>1093</v>
      </c>
      <c r="B497" s="40">
        <v>45097</v>
      </c>
      <c r="C497" s="41">
        <v>45111</v>
      </c>
      <c r="D497" s="42">
        <f t="shared" si="55"/>
        <v>14</v>
      </c>
      <c r="E497" s="42" t="str">
        <f>TEXT(Data!B497,"MMM-YYYY")</f>
        <v>Jun-2023</v>
      </c>
      <c r="F497" s="42" t="str">
        <f t="shared" si="51"/>
        <v>Q2-2023</v>
      </c>
      <c r="G497" s="37" t="s">
        <v>52</v>
      </c>
      <c r="H497" s="37" t="s">
        <v>73</v>
      </c>
      <c r="I497" s="37" t="s">
        <v>87</v>
      </c>
      <c r="J497" s="37" t="s">
        <v>39</v>
      </c>
      <c r="K497" s="37" t="s">
        <v>98</v>
      </c>
      <c r="L497" s="37" t="s">
        <v>21</v>
      </c>
      <c r="M497" s="37" t="s">
        <v>35</v>
      </c>
      <c r="N497" s="37" t="s">
        <v>1094</v>
      </c>
      <c r="O497" s="42">
        <v>1292.8599999999999</v>
      </c>
      <c r="P497" s="43" t="str">
        <f t="shared" si="52"/>
        <v>High</v>
      </c>
      <c r="Q497" s="42">
        <v>2981.01</v>
      </c>
      <c r="R497" s="42">
        <v>0.14199999999999999</v>
      </c>
      <c r="S497" s="42">
        <v>12</v>
      </c>
      <c r="T497" s="42">
        <f t="shared" si="49"/>
        <v>10084.108319999999</v>
      </c>
      <c r="U497" s="37">
        <f t="shared" si="50"/>
        <v>15514.32</v>
      </c>
      <c r="V497" s="42">
        <f t="shared" si="53"/>
        <v>-5430.2116800000003</v>
      </c>
      <c r="W497" s="44">
        <f t="shared" si="54"/>
        <v>-0.5384920022358507</v>
      </c>
    </row>
    <row r="498" spans="1:23" x14ac:dyDescent="0.3">
      <c r="A498" s="45" t="s">
        <v>1095</v>
      </c>
      <c r="B498" s="46">
        <v>45544</v>
      </c>
      <c r="C498" s="47">
        <v>45548</v>
      </c>
      <c r="D498" s="48">
        <f t="shared" si="55"/>
        <v>4</v>
      </c>
      <c r="E498" s="48" t="str">
        <f>TEXT(Data!B498,"MMM-YYYY")</f>
        <v>Sept-2024</v>
      </c>
      <c r="F498" s="48" t="str">
        <f t="shared" si="51"/>
        <v>Q3-2024</v>
      </c>
      <c r="G498" s="38" t="s">
        <v>78</v>
      </c>
      <c r="H498" s="38" t="s">
        <v>108</v>
      </c>
      <c r="I498" s="38" t="s">
        <v>152</v>
      </c>
      <c r="J498" s="38" t="s">
        <v>48</v>
      </c>
      <c r="K498" s="38" t="s">
        <v>40</v>
      </c>
      <c r="L498" s="38" t="s">
        <v>84</v>
      </c>
      <c r="M498" s="38" t="s">
        <v>35</v>
      </c>
      <c r="N498" s="38" t="s">
        <v>1096</v>
      </c>
      <c r="O498" s="48">
        <v>1133.08</v>
      </c>
      <c r="P498" s="49" t="str">
        <f t="shared" si="52"/>
        <v>High</v>
      </c>
      <c r="Q498" s="48">
        <v>976.17</v>
      </c>
      <c r="R498" s="48">
        <v>4.2000000000000003E-2</v>
      </c>
      <c r="S498" s="48">
        <v>27</v>
      </c>
      <c r="T498" s="48">
        <f t="shared" si="49"/>
        <v>30683.801159999999</v>
      </c>
      <c r="U498" s="38">
        <f t="shared" si="50"/>
        <v>30593.159999999996</v>
      </c>
      <c r="V498" s="48">
        <f t="shared" si="53"/>
        <v>90.641160000002856</v>
      </c>
      <c r="W498" s="50">
        <f t="shared" si="54"/>
        <v>2.9540394792469337E-3</v>
      </c>
    </row>
    <row r="499" spans="1:23" x14ac:dyDescent="0.3">
      <c r="A499" s="39" t="s">
        <v>1097</v>
      </c>
      <c r="B499" s="40">
        <v>45224</v>
      </c>
      <c r="C499" s="41">
        <v>45227</v>
      </c>
      <c r="D499" s="42">
        <f t="shared" si="55"/>
        <v>3</v>
      </c>
      <c r="E499" s="42" t="str">
        <f>TEXT(Data!B499,"MMM-YYYY")</f>
        <v>Oct-2023</v>
      </c>
      <c r="F499" s="42" t="str">
        <f t="shared" si="51"/>
        <v>Q4-2023</v>
      </c>
      <c r="G499" s="37" t="s">
        <v>52</v>
      </c>
      <c r="H499" s="37" t="s">
        <v>73</v>
      </c>
      <c r="I499" s="37" t="s">
        <v>87</v>
      </c>
      <c r="J499" s="37" t="s">
        <v>19</v>
      </c>
      <c r="K499" s="37" t="s">
        <v>55</v>
      </c>
      <c r="L499" s="37" t="s">
        <v>49</v>
      </c>
      <c r="M499" s="37" t="s">
        <v>81</v>
      </c>
      <c r="N499" s="37" t="s">
        <v>1098</v>
      </c>
      <c r="O499" s="42">
        <v>509.31</v>
      </c>
      <c r="P499" s="43" t="str">
        <f t="shared" si="52"/>
        <v>High</v>
      </c>
      <c r="Q499" s="42">
        <v>1145.9000000000001</v>
      </c>
      <c r="R499" s="42">
        <v>5.7000000000000002E-2</v>
      </c>
      <c r="S499" s="42">
        <v>8</v>
      </c>
      <c r="T499" s="42">
        <f t="shared" si="49"/>
        <v>14622.761519999998</v>
      </c>
      <c r="U499" s="37">
        <f t="shared" si="50"/>
        <v>4074.48</v>
      </c>
      <c r="V499" s="42">
        <f t="shared" si="53"/>
        <v>10548.281519999999</v>
      </c>
      <c r="W499" s="44">
        <f t="shared" si="54"/>
        <v>0.7213604287789821</v>
      </c>
    </row>
    <row r="500" spans="1:23" x14ac:dyDescent="0.3">
      <c r="A500" s="45" t="s">
        <v>1099</v>
      </c>
      <c r="B500" s="46">
        <v>45908</v>
      </c>
      <c r="C500" s="47">
        <v>45935</v>
      </c>
      <c r="D500" s="48">
        <f t="shared" si="55"/>
        <v>27</v>
      </c>
      <c r="E500" s="48" t="str">
        <f>TEXT(Data!B500,"MMM-YYYY")</f>
        <v>Sept-2025</v>
      </c>
      <c r="F500" s="48" t="str">
        <f t="shared" si="51"/>
        <v>Q3-2025</v>
      </c>
      <c r="G500" s="38" t="s">
        <v>52</v>
      </c>
      <c r="H500" s="38" t="s">
        <v>73</v>
      </c>
      <c r="I500" s="38" t="s">
        <v>225</v>
      </c>
      <c r="J500" s="38" t="s">
        <v>27</v>
      </c>
      <c r="K500" s="38" t="s">
        <v>28</v>
      </c>
      <c r="L500" s="38" t="s">
        <v>21</v>
      </c>
      <c r="M500" s="38" t="s">
        <v>64</v>
      </c>
      <c r="N500" s="38" t="s">
        <v>1100</v>
      </c>
      <c r="O500" s="48">
        <v>660.78</v>
      </c>
      <c r="P500" s="49" t="str">
        <f t="shared" si="52"/>
        <v>High</v>
      </c>
      <c r="Q500" s="48">
        <v>1630.39</v>
      </c>
      <c r="R500" s="48">
        <v>0.218</v>
      </c>
      <c r="S500" s="48">
        <v>13</v>
      </c>
      <c r="T500" s="48">
        <f t="shared" si="49"/>
        <v>8401.8940200000015</v>
      </c>
      <c r="U500" s="38">
        <f t="shared" si="50"/>
        <v>8590.14</v>
      </c>
      <c r="V500" s="48">
        <f t="shared" si="53"/>
        <v>-188.24597999999787</v>
      </c>
      <c r="W500" s="50">
        <f t="shared" si="54"/>
        <v>-2.2405183825443903E-2</v>
      </c>
    </row>
    <row r="501" spans="1:23" x14ac:dyDescent="0.3">
      <c r="A501" s="39" t="s">
        <v>1101</v>
      </c>
      <c r="B501" s="40">
        <v>45048</v>
      </c>
      <c r="C501" s="41">
        <v>45062</v>
      </c>
      <c r="D501" s="42">
        <f t="shared" si="55"/>
        <v>14</v>
      </c>
      <c r="E501" s="42" t="str">
        <f>TEXT(Data!B501,"MMM-YYYY")</f>
        <v>May-2023</v>
      </c>
      <c r="F501" s="42" t="str">
        <f t="shared" si="51"/>
        <v>Q2-2023</v>
      </c>
      <c r="G501" s="37" t="s">
        <v>45</v>
      </c>
      <c r="H501" s="37" t="s">
        <v>60</v>
      </c>
      <c r="I501" s="37" t="s">
        <v>61</v>
      </c>
      <c r="J501" s="37" t="s">
        <v>39</v>
      </c>
      <c r="K501" s="37" t="s">
        <v>20</v>
      </c>
      <c r="L501" s="37" t="s">
        <v>49</v>
      </c>
      <c r="M501" s="37" t="s">
        <v>64</v>
      </c>
      <c r="N501" s="37" t="s">
        <v>1102</v>
      </c>
      <c r="O501" s="42">
        <v>475.37</v>
      </c>
      <c r="P501" s="43" t="str">
        <f t="shared" si="52"/>
        <v>High</v>
      </c>
      <c r="Q501" s="42">
        <v>963.73</v>
      </c>
      <c r="R501" s="42">
        <v>4.1000000000000002E-2</v>
      </c>
      <c r="S501" s="42">
        <v>22</v>
      </c>
      <c r="T501" s="42">
        <f t="shared" si="49"/>
        <v>2493.1506600000002</v>
      </c>
      <c r="U501" s="37">
        <f t="shared" si="50"/>
        <v>10458.14</v>
      </c>
      <c r="V501" s="42">
        <f t="shared" si="53"/>
        <v>-7964.9893399999992</v>
      </c>
      <c r="W501" s="44">
        <f t="shared" si="54"/>
        <v>-3.194748503485946</v>
      </c>
    </row>
    <row r="502" spans="1:23" x14ac:dyDescent="0.3">
      <c r="A502" s="45" t="s">
        <v>1103</v>
      </c>
      <c r="B502" s="46">
        <v>45408</v>
      </c>
      <c r="C502" s="47">
        <v>45406</v>
      </c>
      <c r="D502" s="48">
        <f>DATEDIF(C502,B502, "MD")</f>
        <v>2</v>
      </c>
      <c r="E502" s="48" t="str">
        <f>TEXT(Data!B502,"MMM-YYYY")</f>
        <v>Apr-2024</v>
      </c>
      <c r="F502" s="48" t="str">
        <f t="shared" si="51"/>
        <v>Q2-2024</v>
      </c>
      <c r="G502" s="38" t="s">
        <v>78</v>
      </c>
      <c r="H502" s="38" t="s">
        <v>108</v>
      </c>
      <c r="I502" s="38" t="s">
        <v>152</v>
      </c>
      <c r="J502" s="38" t="s">
        <v>39</v>
      </c>
      <c r="K502" s="38" t="s">
        <v>55</v>
      </c>
      <c r="L502" s="38" t="s">
        <v>126</v>
      </c>
      <c r="M502" s="38" t="s">
        <v>42</v>
      </c>
      <c r="N502" s="38" t="s">
        <v>1104</v>
      </c>
      <c r="O502" s="48">
        <v>1232.77</v>
      </c>
      <c r="P502" s="49" t="str">
        <f t="shared" si="52"/>
        <v>High</v>
      </c>
      <c r="Q502" s="48">
        <v>891.73</v>
      </c>
      <c r="R502" s="48">
        <v>0.16700000000000001</v>
      </c>
      <c r="S502" s="48">
        <v>10</v>
      </c>
      <c r="T502" s="48">
        <f t="shared" si="49"/>
        <v>11877.497099999999</v>
      </c>
      <c r="U502" s="38">
        <f t="shared" si="50"/>
        <v>12327.7</v>
      </c>
      <c r="V502" s="48">
        <f t="shared" si="53"/>
        <v>-450.20290000000205</v>
      </c>
      <c r="W502" s="50">
        <f t="shared" si="54"/>
        <v>-3.7903852655960836E-2</v>
      </c>
    </row>
    <row r="503" spans="1:23" x14ac:dyDescent="0.3">
      <c r="A503" s="39" t="s">
        <v>1105</v>
      </c>
      <c r="B503" s="40">
        <v>44980</v>
      </c>
      <c r="C503" s="41">
        <v>45003</v>
      </c>
      <c r="D503" s="42">
        <f t="shared" si="55"/>
        <v>23</v>
      </c>
      <c r="E503" s="42" t="str">
        <f>TEXT(Data!B503,"MMM-YYYY")</f>
        <v>Feb-2023</v>
      </c>
      <c r="F503" s="42" t="str">
        <f t="shared" si="51"/>
        <v>Q1-2023</v>
      </c>
      <c r="G503" s="37" t="s">
        <v>45</v>
      </c>
      <c r="H503" s="37" t="s">
        <v>116</v>
      </c>
      <c r="I503" s="37" t="s">
        <v>338</v>
      </c>
      <c r="J503" s="37" t="s">
        <v>27</v>
      </c>
      <c r="K503" s="37" t="s">
        <v>55</v>
      </c>
      <c r="L503" s="37" t="s">
        <v>95</v>
      </c>
      <c r="M503" s="37" t="s">
        <v>30</v>
      </c>
      <c r="N503" s="37" t="s">
        <v>1106</v>
      </c>
      <c r="O503" s="42">
        <v>770.11</v>
      </c>
      <c r="P503" s="43" t="str">
        <f t="shared" si="52"/>
        <v>High</v>
      </c>
      <c r="Q503" s="42">
        <v>1667.82</v>
      </c>
      <c r="R503" s="42">
        <v>6.9000000000000006E-2</v>
      </c>
      <c r="S503" s="42">
        <v>7</v>
      </c>
      <c r="T503" s="42">
        <f t="shared" si="49"/>
        <v>10393.181259999999</v>
      </c>
      <c r="U503" s="37">
        <f t="shared" si="50"/>
        <v>5390.77</v>
      </c>
      <c r="V503" s="42">
        <f t="shared" si="53"/>
        <v>5002.4112599999989</v>
      </c>
      <c r="W503" s="44">
        <f t="shared" si="54"/>
        <v>0.48131665703288229</v>
      </c>
    </row>
    <row r="504" spans="1:23" x14ac:dyDescent="0.3">
      <c r="A504" s="45" t="s">
        <v>1107</v>
      </c>
      <c r="B504" s="46">
        <v>45740</v>
      </c>
      <c r="C504" s="47">
        <v>45741</v>
      </c>
      <c r="D504" s="48">
        <f t="shared" si="55"/>
        <v>1</v>
      </c>
      <c r="E504" s="48" t="str">
        <f>TEXT(Data!B504,"MMM-YYYY")</f>
        <v>Mar-2025</v>
      </c>
      <c r="F504" s="48" t="str">
        <f t="shared" si="51"/>
        <v>Q1-2025</v>
      </c>
      <c r="G504" s="38" t="s">
        <v>45</v>
      </c>
      <c r="H504" s="38" t="s">
        <v>116</v>
      </c>
      <c r="I504" s="38" t="s">
        <v>338</v>
      </c>
      <c r="J504" s="38" t="s">
        <v>39</v>
      </c>
      <c r="K504" s="38" t="s">
        <v>28</v>
      </c>
      <c r="L504" s="38" t="s">
        <v>41</v>
      </c>
      <c r="M504" s="38" t="s">
        <v>35</v>
      </c>
      <c r="N504" s="38" t="s">
        <v>1108</v>
      </c>
      <c r="O504" s="48">
        <v>1133.03</v>
      </c>
      <c r="P504" s="49" t="str">
        <f t="shared" si="52"/>
        <v>High</v>
      </c>
      <c r="Q504" s="48">
        <v>1921.51</v>
      </c>
      <c r="R504" s="48">
        <v>0.10100000000000001</v>
      </c>
      <c r="S504" s="48">
        <v>5</v>
      </c>
      <c r="T504" s="48">
        <f t="shared" si="49"/>
        <v>15022.784449999999</v>
      </c>
      <c r="U504" s="38">
        <f t="shared" si="50"/>
        <v>5665.15</v>
      </c>
      <c r="V504" s="48">
        <f t="shared" si="53"/>
        <v>9357.6344499999996</v>
      </c>
      <c r="W504" s="50">
        <f t="shared" si="54"/>
        <v>0.62289614026912299</v>
      </c>
    </row>
    <row r="505" spans="1:23" x14ac:dyDescent="0.3">
      <c r="A505" s="39" t="s">
        <v>1109</v>
      </c>
      <c r="B505" s="40">
        <v>45726</v>
      </c>
      <c r="C505" s="41">
        <v>45743</v>
      </c>
      <c r="D505" s="42">
        <f t="shared" si="55"/>
        <v>17</v>
      </c>
      <c r="E505" s="42" t="str">
        <f>TEXT(Data!B505,"MMM-YYYY")</f>
        <v>Mar-2025</v>
      </c>
      <c r="F505" s="42" t="str">
        <f t="shared" si="51"/>
        <v>Q1-2025</v>
      </c>
      <c r="G505" s="37" t="s">
        <v>52</v>
      </c>
      <c r="H505" s="37" t="s">
        <v>73</v>
      </c>
      <c r="I505" s="37" t="s">
        <v>225</v>
      </c>
      <c r="J505" s="37" t="s">
        <v>105</v>
      </c>
      <c r="K505" s="37" t="s">
        <v>98</v>
      </c>
      <c r="L505" s="37" t="s">
        <v>84</v>
      </c>
      <c r="M505" s="37" t="s">
        <v>35</v>
      </c>
      <c r="N505" s="37" t="s">
        <v>1110</v>
      </c>
      <c r="O505" s="42">
        <v>996.73</v>
      </c>
      <c r="P505" s="43" t="str">
        <f t="shared" si="52"/>
        <v>High</v>
      </c>
      <c r="Q505" s="42">
        <v>1217.43</v>
      </c>
      <c r="R505" s="42">
        <v>7.0000000000000007E-2</v>
      </c>
      <c r="S505" s="42">
        <v>9</v>
      </c>
      <c r="T505" s="42">
        <f t="shared" si="49"/>
        <v>8953.9748999999993</v>
      </c>
      <c r="U505" s="37">
        <f t="shared" si="50"/>
        <v>8970.57</v>
      </c>
      <c r="V505" s="42">
        <f t="shared" si="53"/>
        <v>-16.595100000000457</v>
      </c>
      <c r="W505" s="44">
        <f t="shared" si="54"/>
        <v>-1.8533779897015859E-3</v>
      </c>
    </row>
    <row r="506" spans="1:23" x14ac:dyDescent="0.3">
      <c r="A506" s="45" t="s">
        <v>1111</v>
      </c>
      <c r="B506" s="46">
        <v>45387</v>
      </c>
      <c r="C506" s="47">
        <v>45391</v>
      </c>
      <c r="D506" s="48">
        <f t="shared" si="55"/>
        <v>4</v>
      </c>
      <c r="E506" s="48" t="str">
        <f>TEXT(Data!B506,"MMM-YYYY")</f>
        <v>Apr-2024</v>
      </c>
      <c r="F506" s="48" t="str">
        <f t="shared" si="51"/>
        <v>Q2-2024</v>
      </c>
      <c r="G506" s="38" t="s">
        <v>16</v>
      </c>
      <c r="H506" s="38" t="s">
        <v>25</v>
      </c>
      <c r="I506" s="38" t="s">
        <v>38</v>
      </c>
      <c r="J506" s="38" t="s">
        <v>39</v>
      </c>
      <c r="K506" s="38" t="s">
        <v>98</v>
      </c>
      <c r="L506" s="38" t="s">
        <v>95</v>
      </c>
      <c r="M506" s="38" t="s">
        <v>22</v>
      </c>
      <c r="N506" s="38" t="s">
        <v>1112</v>
      </c>
      <c r="O506" s="48">
        <v>395.07</v>
      </c>
      <c r="P506" s="49" t="str">
        <f t="shared" si="52"/>
        <v>High</v>
      </c>
      <c r="Q506" s="48">
        <v>970.27</v>
      </c>
      <c r="R506" s="48">
        <v>0.123</v>
      </c>
      <c r="S506" s="48">
        <v>38</v>
      </c>
      <c r="T506" s="48">
        <f t="shared" si="49"/>
        <v>4692.9673199999997</v>
      </c>
      <c r="U506" s="38">
        <f t="shared" si="50"/>
        <v>15012.66</v>
      </c>
      <c r="V506" s="48">
        <f t="shared" si="53"/>
        <v>-10319.69268</v>
      </c>
      <c r="W506" s="50">
        <f t="shared" si="54"/>
        <v>-2.1989696446469185</v>
      </c>
    </row>
    <row r="507" spans="1:23" x14ac:dyDescent="0.3">
      <c r="A507" s="39" t="s">
        <v>1113</v>
      </c>
      <c r="B507" s="40">
        <v>45774</v>
      </c>
      <c r="C507" s="41">
        <v>45794</v>
      </c>
      <c r="D507" s="42">
        <f t="shared" si="55"/>
        <v>20</v>
      </c>
      <c r="E507" s="42" t="str">
        <f>TEXT(Data!B507,"MMM-YYYY")</f>
        <v>Apr-2025</v>
      </c>
      <c r="F507" s="42" t="str">
        <f t="shared" si="51"/>
        <v>Q2-2025</v>
      </c>
      <c r="G507" s="37" t="s">
        <v>52</v>
      </c>
      <c r="H507" s="37" t="s">
        <v>122</v>
      </c>
      <c r="I507" s="37" t="s">
        <v>326</v>
      </c>
      <c r="J507" s="37" t="s">
        <v>19</v>
      </c>
      <c r="K507" s="37" t="s">
        <v>98</v>
      </c>
      <c r="L507" s="37" t="s">
        <v>126</v>
      </c>
      <c r="M507" s="37" t="s">
        <v>42</v>
      </c>
      <c r="N507" s="37" t="s">
        <v>1114</v>
      </c>
      <c r="O507" s="42">
        <v>932.26</v>
      </c>
      <c r="P507" s="43" t="str">
        <f t="shared" si="52"/>
        <v>High</v>
      </c>
      <c r="Q507" s="42">
        <v>1624.67</v>
      </c>
      <c r="R507" s="42">
        <v>0.23499999999999999</v>
      </c>
      <c r="S507" s="42">
        <v>28</v>
      </c>
      <c r="T507" s="42">
        <f t="shared" si="49"/>
        <v>1435.9968000000001</v>
      </c>
      <c r="U507" s="37">
        <f t="shared" si="50"/>
        <v>26103.279999999999</v>
      </c>
      <c r="V507" s="42">
        <f t="shared" si="53"/>
        <v>-24667.283199999998</v>
      </c>
      <c r="W507" s="44">
        <f t="shared" si="54"/>
        <v>-17.177812095402995</v>
      </c>
    </row>
    <row r="508" spans="1:23" x14ac:dyDescent="0.3">
      <c r="A508" s="45" t="s">
        <v>1115</v>
      </c>
      <c r="B508" s="46">
        <v>45589</v>
      </c>
      <c r="C508" s="47">
        <v>45593</v>
      </c>
      <c r="D508" s="48">
        <f t="shared" si="55"/>
        <v>4</v>
      </c>
      <c r="E508" s="48" t="str">
        <f>TEXT(Data!B508,"MMM-YYYY")</f>
        <v>Oct-2024</v>
      </c>
      <c r="F508" s="48" t="str">
        <f t="shared" si="51"/>
        <v>Q4-2024</v>
      </c>
      <c r="G508" s="38" t="s">
        <v>45</v>
      </c>
      <c r="H508" s="38" t="s">
        <v>116</v>
      </c>
      <c r="I508" s="38" t="s">
        <v>162</v>
      </c>
      <c r="J508" s="38" t="s">
        <v>62</v>
      </c>
      <c r="K508" s="38" t="s">
        <v>55</v>
      </c>
      <c r="L508" s="38" t="s">
        <v>34</v>
      </c>
      <c r="M508" s="38" t="s">
        <v>35</v>
      </c>
      <c r="N508" s="38" t="s">
        <v>1116</v>
      </c>
      <c r="O508" s="48">
        <v>1331.77</v>
      </c>
      <c r="P508" s="49" t="str">
        <f t="shared" si="52"/>
        <v>High</v>
      </c>
      <c r="Q508" s="48">
        <v>2606.11</v>
      </c>
      <c r="R508" s="48">
        <v>0.02</v>
      </c>
      <c r="S508" s="48">
        <v>6</v>
      </c>
      <c r="T508" s="48">
        <f t="shared" si="49"/>
        <v>7506.8196000000007</v>
      </c>
      <c r="U508" s="38">
        <f t="shared" si="50"/>
        <v>7990.62</v>
      </c>
      <c r="V508" s="48">
        <f t="shared" si="53"/>
        <v>-483.80039999999917</v>
      </c>
      <c r="W508" s="50">
        <f t="shared" si="54"/>
        <v>-6.444811861470591E-2</v>
      </c>
    </row>
    <row r="509" spans="1:23" x14ac:dyDescent="0.3">
      <c r="A509" s="39" t="s">
        <v>1117</v>
      </c>
      <c r="B509" s="40">
        <v>45029</v>
      </c>
      <c r="C509" s="41">
        <v>45036</v>
      </c>
      <c r="D509" s="42">
        <f t="shared" si="55"/>
        <v>7</v>
      </c>
      <c r="E509" s="42" t="str">
        <f>TEXT(Data!B509,"MMM-YYYY")</f>
        <v>Apr-2023</v>
      </c>
      <c r="F509" s="42" t="str">
        <f t="shared" si="51"/>
        <v>Q2-2023</v>
      </c>
      <c r="G509" s="37" t="s">
        <v>78</v>
      </c>
      <c r="H509" s="37" t="s">
        <v>90</v>
      </c>
      <c r="I509" s="37" t="s">
        <v>138</v>
      </c>
      <c r="J509" s="37" t="s">
        <v>62</v>
      </c>
      <c r="K509" s="37" t="s">
        <v>28</v>
      </c>
      <c r="L509" s="37" t="s">
        <v>75</v>
      </c>
      <c r="M509" s="37" t="s">
        <v>57</v>
      </c>
      <c r="N509" s="37" t="s">
        <v>1118</v>
      </c>
      <c r="O509" s="42">
        <v>227.02</v>
      </c>
      <c r="P509" s="43" t="str">
        <f t="shared" si="52"/>
        <v>High</v>
      </c>
      <c r="Q509" s="42">
        <v>434.72</v>
      </c>
      <c r="R509" s="42">
        <v>9.8000000000000004E-2</v>
      </c>
      <c r="S509" s="42">
        <v>10</v>
      </c>
      <c r="T509" s="42">
        <f t="shared" si="49"/>
        <v>25448.667200000004</v>
      </c>
      <c r="U509" s="37">
        <f t="shared" si="50"/>
        <v>2270.2000000000003</v>
      </c>
      <c r="V509" s="42">
        <f t="shared" si="53"/>
        <v>23178.467200000003</v>
      </c>
      <c r="W509" s="44">
        <f t="shared" si="54"/>
        <v>0.91079297072186161</v>
      </c>
    </row>
    <row r="510" spans="1:23" x14ac:dyDescent="0.3">
      <c r="A510" s="45" t="s">
        <v>1119</v>
      </c>
      <c r="B510" s="46">
        <v>45608</v>
      </c>
      <c r="C510" s="47">
        <v>45617</v>
      </c>
      <c r="D510" s="48">
        <f t="shared" si="55"/>
        <v>9</v>
      </c>
      <c r="E510" s="48" t="str">
        <f>TEXT(Data!B510,"MMM-YYYY")</f>
        <v>Nov-2024</v>
      </c>
      <c r="F510" s="48" t="str">
        <f t="shared" si="51"/>
        <v>Q4-2024</v>
      </c>
      <c r="G510" s="38" t="s">
        <v>45</v>
      </c>
      <c r="H510" s="38" t="s">
        <v>60</v>
      </c>
      <c r="I510" s="38" t="s">
        <v>220</v>
      </c>
      <c r="J510" s="38" t="s">
        <v>19</v>
      </c>
      <c r="K510" s="38" t="s">
        <v>98</v>
      </c>
      <c r="L510" s="38" t="s">
        <v>92</v>
      </c>
      <c r="M510" s="38" t="s">
        <v>57</v>
      </c>
      <c r="N510" s="38" t="s">
        <v>1120</v>
      </c>
      <c r="O510" s="48">
        <v>903.41</v>
      </c>
      <c r="P510" s="49" t="str">
        <f t="shared" si="52"/>
        <v>High</v>
      </c>
      <c r="Q510" s="48">
        <v>1860.41</v>
      </c>
      <c r="R510" s="48">
        <v>0.108</v>
      </c>
      <c r="S510" s="48">
        <v>5</v>
      </c>
      <c r="T510" s="48">
        <f t="shared" si="49"/>
        <v>6953.9874000000009</v>
      </c>
      <c r="U510" s="38">
        <f t="shared" si="50"/>
        <v>4517.05</v>
      </c>
      <c r="V510" s="48">
        <f t="shared" si="53"/>
        <v>2436.9374000000007</v>
      </c>
      <c r="W510" s="50">
        <f t="shared" si="54"/>
        <v>0.35043741954436103</v>
      </c>
    </row>
    <row r="511" spans="1:23" x14ac:dyDescent="0.3">
      <c r="A511" s="39" t="s">
        <v>1121</v>
      </c>
      <c r="B511" s="40">
        <v>45056</v>
      </c>
      <c r="C511" s="41">
        <v>45060</v>
      </c>
      <c r="D511" s="42">
        <f t="shared" si="55"/>
        <v>4</v>
      </c>
      <c r="E511" s="42" t="str">
        <f>TEXT(Data!B511,"MMM-YYYY")</f>
        <v>May-2023</v>
      </c>
      <c r="F511" s="42" t="str">
        <f t="shared" si="51"/>
        <v>Q2-2023</v>
      </c>
      <c r="G511" s="37" t="s">
        <v>45</v>
      </c>
      <c r="H511" s="37" t="s">
        <v>60</v>
      </c>
      <c r="I511" s="37" t="s">
        <v>141</v>
      </c>
      <c r="J511" s="37" t="s">
        <v>39</v>
      </c>
      <c r="K511" s="37" t="s">
        <v>55</v>
      </c>
      <c r="L511" s="37" t="s">
        <v>21</v>
      </c>
      <c r="M511" s="37" t="s">
        <v>64</v>
      </c>
      <c r="N511" s="37" t="s">
        <v>1122</v>
      </c>
      <c r="O511" s="42">
        <v>622.6</v>
      </c>
      <c r="P511" s="43" t="str">
        <f t="shared" si="52"/>
        <v>High</v>
      </c>
      <c r="Q511" s="42">
        <v>833.69</v>
      </c>
      <c r="R511" s="42">
        <v>0.20899999999999999</v>
      </c>
      <c r="S511" s="42">
        <v>14</v>
      </c>
      <c r="T511" s="42">
        <f t="shared" si="49"/>
        <v>7271.8528400000005</v>
      </c>
      <c r="U511" s="37">
        <f t="shared" si="50"/>
        <v>8716.4</v>
      </c>
      <c r="V511" s="42">
        <f t="shared" si="53"/>
        <v>-1444.5471599999992</v>
      </c>
      <c r="W511" s="44">
        <f t="shared" si="54"/>
        <v>-0.19864911897749557</v>
      </c>
    </row>
    <row r="512" spans="1:23" x14ac:dyDescent="0.3">
      <c r="A512" s="45" t="s">
        <v>1123</v>
      </c>
      <c r="B512" s="46">
        <v>45353</v>
      </c>
      <c r="C512" s="47">
        <v>45374</v>
      </c>
      <c r="D512" s="48">
        <f t="shared" si="55"/>
        <v>21</v>
      </c>
      <c r="E512" s="48" t="str">
        <f>TEXT(Data!B512,"MMM-YYYY")</f>
        <v>Mar-2024</v>
      </c>
      <c r="F512" s="48" t="str">
        <f t="shared" si="51"/>
        <v>Q1-2024</v>
      </c>
      <c r="G512" s="38" t="s">
        <v>52</v>
      </c>
      <c r="H512" s="38" t="s">
        <v>122</v>
      </c>
      <c r="I512" s="38" t="s">
        <v>123</v>
      </c>
      <c r="J512" s="38" t="s">
        <v>62</v>
      </c>
      <c r="K512" s="38" t="s">
        <v>28</v>
      </c>
      <c r="L512" s="38" t="s">
        <v>84</v>
      </c>
      <c r="M512" s="38" t="s">
        <v>22</v>
      </c>
      <c r="N512" s="38" t="s">
        <v>1124</v>
      </c>
      <c r="O512" s="48">
        <v>225.01</v>
      </c>
      <c r="P512" s="49" t="str">
        <f t="shared" si="52"/>
        <v>High</v>
      </c>
      <c r="Q512" s="48">
        <v>333.48</v>
      </c>
      <c r="R512" s="48">
        <v>0.11899999999999999</v>
      </c>
      <c r="S512" s="48">
        <v>12</v>
      </c>
      <c r="T512" s="48">
        <f t="shared" si="49"/>
        <v>28098.68448</v>
      </c>
      <c r="U512" s="38">
        <f t="shared" si="50"/>
        <v>2700.12</v>
      </c>
      <c r="V512" s="48">
        <f t="shared" si="53"/>
        <v>25398.564480000001</v>
      </c>
      <c r="W512" s="50">
        <f t="shared" si="54"/>
        <v>0.90390582157246957</v>
      </c>
    </row>
    <row r="513" spans="1:23" x14ac:dyDescent="0.3">
      <c r="A513" s="39" t="s">
        <v>1125</v>
      </c>
      <c r="B513" s="40">
        <v>45575</v>
      </c>
      <c r="C513" s="41">
        <v>45576</v>
      </c>
      <c r="D513" s="42">
        <f t="shared" si="55"/>
        <v>1</v>
      </c>
      <c r="E513" s="42" t="str">
        <f>TEXT(Data!B513,"MMM-YYYY")</f>
        <v>Oct-2024</v>
      </c>
      <c r="F513" s="42" t="str">
        <f t="shared" si="51"/>
        <v>Q4-2024</v>
      </c>
      <c r="G513" s="37" t="s">
        <v>78</v>
      </c>
      <c r="H513" s="37" t="s">
        <v>108</v>
      </c>
      <c r="I513" s="37" t="s">
        <v>228</v>
      </c>
      <c r="J513" s="37" t="s">
        <v>39</v>
      </c>
      <c r="K513" s="37" t="s">
        <v>55</v>
      </c>
      <c r="L513" s="37" t="s">
        <v>49</v>
      </c>
      <c r="M513" s="37" t="s">
        <v>22</v>
      </c>
      <c r="N513" s="37" t="s">
        <v>1126</v>
      </c>
      <c r="O513" s="42">
        <v>1389.46</v>
      </c>
      <c r="P513" s="43" t="str">
        <f t="shared" si="52"/>
        <v>High</v>
      </c>
      <c r="Q513" s="42">
        <v>1784.7</v>
      </c>
      <c r="R513" s="42">
        <v>0.14599999999999999</v>
      </c>
      <c r="S513" s="42">
        <v>33</v>
      </c>
      <c r="T513" s="42">
        <f t="shared" ref="T513:T576" si="56">(Q539*S513)*(1-R513)</f>
        <v>40152.022679999995</v>
      </c>
      <c r="U513" s="37">
        <f t="shared" ref="U513:U576" si="57">(O513*S513)</f>
        <v>45852.18</v>
      </c>
      <c r="V513" s="42">
        <f t="shared" si="53"/>
        <v>-5700.1573200000057</v>
      </c>
      <c r="W513" s="44">
        <f t="shared" si="54"/>
        <v>-0.14196438783242904</v>
      </c>
    </row>
    <row r="514" spans="1:23" x14ac:dyDescent="0.3">
      <c r="A514" s="45" t="s">
        <v>1127</v>
      </c>
      <c r="B514" s="46">
        <v>45078</v>
      </c>
      <c r="C514" s="47">
        <v>45085</v>
      </c>
      <c r="D514" s="48">
        <f t="shared" si="55"/>
        <v>7</v>
      </c>
      <c r="E514" s="48" t="str">
        <f>TEXT(Data!B514,"MMM-YYYY")</f>
        <v>Jun-2023</v>
      </c>
      <c r="F514" s="48" t="str">
        <f t="shared" ref="F514:F577" si="58">"Q"&amp;ROUNDUP(MONTH(B514)/3,0)&amp;"-"&amp;YEAR(B514)</f>
        <v>Q2-2023</v>
      </c>
      <c r="G514" s="38" t="s">
        <v>78</v>
      </c>
      <c r="H514" s="38" t="s">
        <v>79</v>
      </c>
      <c r="I514" s="38" t="s">
        <v>335</v>
      </c>
      <c r="J514" s="38" t="s">
        <v>48</v>
      </c>
      <c r="K514" s="38" t="s">
        <v>28</v>
      </c>
      <c r="L514" s="38" t="s">
        <v>75</v>
      </c>
      <c r="M514" s="38" t="s">
        <v>42</v>
      </c>
      <c r="N514" s="38" t="s">
        <v>1128</v>
      </c>
      <c r="O514" s="48">
        <v>804.17</v>
      </c>
      <c r="P514" s="49" t="str">
        <f t="shared" ref="P514:P577" si="59">IF(Q514&lt;50, "Low", IF(Q514&lt;200, "Medium", "High"))</f>
        <v>High</v>
      </c>
      <c r="Q514" s="48">
        <v>1072.29</v>
      </c>
      <c r="R514" s="48">
        <v>3.2000000000000001E-2</v>
      </c>
      <c r="S514" s="48">
        <v>5</v>
      </c>
      <c r="T514" s="48">
        <f t="shared" si="56"/>
        <v>11222.701599999999</v>
      </c>
      <c r="U514" s="38">
        <f t="shared" si="57"/>
        <v>4020.85</v>
      </c>
      <c r="V514" s="48">
        <f t="shared" ref="V514:V577" si="60">(T514-U514)</f>
        <v>7201.8515999999981</v>
      </c>
      <c r="W514" s="50">
        <f t="shared" ref="W514:W577" si="61">IF(T514=0, 0, V514/T514)</f>
        <v>0.64172174015568584</v>
      </c>
    </row>
    <row r="515" spans="1:23" x14ac:dyDescent="0.3">
      <c r="A515" s="39" t="s">
        <v>1129</v>
      </c>
      <c r="B515" s="40">
        <v>45661</v>
      </c>
      <c r="C515" s="41">
        <v>45662</v>
      </c>
      <c r="D515" s="42">
        <f t="shared" si="55"/>
        <v>1</v>
      </c>
      <c r="E515" s="42" t="str">
        <f>TEXT(Data!B515,"MMM-YYYY")</f>
        <v>Jan-2025</v>
      </c>
      <c r="F515" s="42" t="str">
        <f t="shared" si="58"/>
        <v>Q1-2025</v>
      </c>
      <c r="G515" s="37" t="s">
        <v>45</v>
      </c>
      <c r="H515" s="37" t="s">
        <v>60</v>
      </c>
      <c r="I515" s="37" t="s">
        <v>141</v>
      </c>
      <c r="J515" s="37" t="s">
        <v>27</v>
      </c>
      <c r="K515" s="37" t="s">
        <v>20</v>
      </c>
      <c r="L515" s="37" t="s">
        <v>34</v>
      </c>
      <c r="M515" s="37" t="s">
        <v>22</v>
      </c>
      <c r="N515" s="37" t="s">
        <v>1130</v>
      </c>
      <c r="O515" s="42">
        <v>1428.33</v>
      </c>
      <c r="P515" s="43" t="str">
        <f t="shared" si="59"/>
        <v>High</v>
      </c>
      <c r="Q515" s="42">
        <v>3028.05</v>
      </c>
      <c r="R515" s="42">
        <v>0</v>
      </c>
      <c r="S515" s="42">
        <v>11</v>
      </c>
      <c r="T515" s="42">
        <f t="shared" si="56"/>
        <v>4033.7</v>
      </c>
      <c r="U515" s="37">
        <f t="shared" si="57"/>
        <v>15711.63</v>
      </c>
      <c r="V515" s="42">
        <f t="shared" si="60"/>
        <v>-11677.93</v>
      </c>
      <c r="W515" s="44">
        <f t="shared" si="61"/>
        <v>-2.8950913553313335</v>
      </c>
    </row>
    <row r="516" spans="1:23" x14ac:dyDescent="0.3">
      <c r="A516" s="45" t="s">
        <v>1131</v>
      </c>
      <c r="B516" s="46">
        <v>45874</v>
      </c>
      <c r="C516" s="47">
        <v>45897</v>
      </c>
      <c r="D516" s="48">
        <f t="shared" ref="D516:D579" si="62">DATEDIF(B516,C516, "MD")</f>
        <v>23</v>
      </c>
      <c r="E516" s="48" t="str">
        <f>TEXT(Data!B516,"MMM-YYYY")</f>
        <v>Aug-2025</v>
      </c>
      <c r="F516" s="48" t="str">
        <f t="shared" si="58"/>
        <v>Q3-2025</v>
      </c>
      <c r="G516" s="38" t="s">
        <v>45</v>
      </c>
      <c r="H516" s="38" t="s">
        <v>60</v>
      </c>
      <c r="I516" s="38" t="s">
        <v>220</v>
      </c>
      <c r="J516" s="38" t="s">
        <v>39</v>
      </c>
      <c r="K516" s="38" t="s">
        <v>55</v>
      </c>
      <c r="L516" s="38" t="s">
        <v>126</v>
      </c>
      <c r="M516" s="38" t="s">
        <v>57</v>
      </c>
      <c r="N516" s="38" t="s">
        <v>1132</v>
      </c>
      <c r="O516" s="48">
        <v>638.54</v>
      </c>
      <c r="P516" s="49" t="str">
        <f t="shared" si="59"/>
        <v>High</v>
      </c>
      <c r="Q516" s="48">
        <v>987.24</v>
      </c>
      <c r="R516" s="48">
        <v>0</v>
      </c>
      <c r="S516" s="48">
        <v>11</v>
      </c>
      <c r="T516" s="48">
        <f t="shared" si="56"/>
        <v>30771.51</v>
      </c>
      <c r="U516" s="38">
        <f t="shared" si="57"/>
        <v>7023.94</v>
      </c>
      <c r="V516" s="48">
        <f t="shared" si="60"/>
        <v>23747.57</v>
      </c>
      <c r="W516" s="50">
        <f t="shared" si="61"/>
        <v>0.77173885844406076</v>
      </c>
    </row>
    <row r="517" spans="1:23" x14ac:dyDescent="0.3">
      <c r="A517" s="39" t="s">
        <v>1133</v>
      </c>
      <c r="B517" s="40">
        <v>45199</v>
      </c>
      <c r="C517" s="41">
        <v>45229</v>
      </c>
      <c r="D517" s="42">
        <f t="shared" si="62"/>
        <v>0</v>
      </c>
      <c r="E517" s="42" t="str">
        <f>TEXT(Data!B517,"MMM-YYYY")</f>
        <v>Sept-2023</v>
      </c>
      <c r="F517" s="42" t="str">
        <f t="shared" si="58"/>
        <v>Q3-2023</v>
      </c>
      <c r="G517" s="37" t="s">
        <v>45</v>
      </c>
      <c r="H517" s="37" t="s">
        <v>46</v>
      </c>
      <c r="I517" s="37" t="s">
        <v>214</v>
      </c>
      <c r="J517" s="37" t="s">
        <v>105</v>
      </c>
      <c r="K517" s="37" t="s">
        <v>28</v>
      </c>
      <c r="L517" s="37" t="s">
        <v>145</v>
      </c>
      <c r="M517" s="37" t="s">
        <v>30</v>
      </c>
      <c r="N517" s="37" t="s">
        <v>1134</v>
      </c>
      <c r="O517" s="42">
        <v>649.13</v>
      </c>
      <c r="P517" s="43" t="str">
        <f t="shared" si="59"/>
        <v>High</v>
      </c>
      <c r="Q517" s="42">
        <v>975.43</v>
      </c>
      <c r="R517" s="42">
        <v>0.157</v>
      </c>
      <c r="S517" s="42">
        <v>27</v>
      </c>
      <c r="T517" s="42">
        <f t="shared" si="56"/>
        <v>50294.07125999999</v>
      </c>
      <c r="U517" s="37">
        <f t="shared" si="57"/>
        <v>17526.509999999998</v>
      </c>
      <c r="V517" s="42">
        <f t="shared" si="60"/>
        <v>32767.561259999991</v>
      </c>
      <c r="W517" s="44">
        <f t="shared" si="61"/>
        <v>0.65151936280133227</v>
      </c>
    </row>
    <row r="518" spans="1:23" x14ac:dyDescent="0.3">
      <c r="A518" s="45" t="s">
        <v>1135</v>
      </c>
      <c r="B518" s="46">
        <v>45794</v>
      </c>
      <c r="C518" s="47">
        <v>45807</v>
      </c>
      <c r="D518" s="48">
        <f t="shared" si="62"/>
        <v>13</v>
      </c>
      <c r="E518" s="48" t="str">
        <f>TEXT(Data!B518,"MMM-YYYY")</f>
        <v>May-2025</v>
      </c>
      <c r="F518" s="48" t="str">
        <f t="shared" si="58"/>
        <v>Q2-2025</v>
      </c>
      <c r="G518" s="38" t="s">
        <v>16</v>
      </c>
      <c r="H518" s="38" t="s">
        <v>25</v>
      </c>
      <c r="I518" s="38" t="s">
        <v>38</v>
      </c>
      <c r="J518" s="38" t="s">
        <v>48</v>
      </c>
      <c r="K518" s="38" t="s">
        <v>55</v>
      </c>
      <c r="L518" s="38" t="s">
        <v>84</v>
      </c>
      <c r="M518" s="38" t="s">
        <v>81</v>
      </c>
      <c r="N518" s="38" t="s">
        <v>1136</v>
      </c>
      <c r="O518" s="48">
        <v>66.400000000000006</v>
      </c>
      <c r="P518" s="49" t="str">
        <f t="shared" si="59"/>
        <v>Medium</v>
      </c>
      <c r="Q518" s="48">
        <v>141.43</v>
      </c>
      <c r="R518" s="48">
        <v>0.107</v>
      </c>
      <c r="S518" s="48">
        <v>8</v>
      </c>
      <c r="T518" s="48">
        <f t="shared" si="56"/>
        <v>5994.1017599999996</v>
      </c>
      <c r="U518" s="38">
        <f t="shared" si="57"/>
        <v>531.20000000000005</v>
      </c>
      <c r="V518" s="48">
        <f t="shared" si="60"/>
        <v>5462.9017599999997</v>
      </c>
      <c r="W518" s="50">
        <f t="shared" si="61"/>
        <v>0.91137954921873066</v>
      </c>
    </row>
    <row r="519" spans="1:23" x14ac:dyDescent="0.3">
      <c r="A519" s="39" t="s">
        <v>1137</v>
      </c>
      <c r="B519" s="40">
        <v>45413</v>
      </c>
      <c r="C519" s="41">
        <v>45438</v>
      </c>
      <c r="D519" s="42">
        <f t="shared" si="62"/>
        <v>25</v>
      </c>
      <c r="E519" s="42" t="str">
        <f>TEXT(Data!B519,"MMM-YYYY")</f>
        <v>May-2024</v>
      </c>
      <c r="F519" s="42" t="str">
        <f t="shared" si="58"/>
        <v>Q2-2024</v>
      </c>
      <c r="G519" s="37" t="s">
        <v>78</v>
      </c>
      <c r="H519" s="37" t="s">
        <v>79</v>
      </c>
      <c r="I519" s="37" t="s">
        <v>80</v>
      </c>
      <c r="J519" s="37" t="s">
        <v>39</v>
      </c>
      <c r="K519" s="37" t="s">
        <v>20</v>
      </c>
      <c r="L519" s="37" t="s">
        <v>56</v>
      </c>
      <c r="M519" s="37" t="s">
        <v>35</v>
      </c>
      <c r="N519" s="37" t="s">
        <v>1138</v>
      </c>
      <c r="O519" s="42">
        <v>930.71</v>
      </c>
      <c r="P519" s="43" t="str">
        <f t="shared" si="59"/>
        <v>High</v>
      </c>
      <c r="Q519" s="42">
        <v>1625.42</v>
      </c>
      <c r="R519" s="42">
        <v>0.13800000000000001</v>
      </c>
      <c r="S519" s="42">
        <v>7</v>
      </c>
      <c r="T519" s="42">
        <f t="shared" si="56"/>
        <v>6873.6311000000005</v>
      </c>
      <c r="U519" s="37">
        <f t="shared" si="57"/>
        <v>6514.97</v>
      </c>
      <c r="V519" s="42">
        <f t="shared" si="60"/>
        <v>358.66110000000026</v>
      </c>
      <c r="W519" s="44">
        <f t="shared" si="61"/>
        <v>5.2179276830844216E-2</v>
      </c>
    </row>
    <row r="520" spans="1:23" x14ac:dyDescent="0.3">
      <c r="A520" s="45" t="s">
        <v>1139</v>
      </c>
      <c r="B520" s="46">
        <v>45047</v>
      </c>
      <c r="C520" s="47">
        <v>45064</v>
      </c>
      <c r="D520" s="48">
        <f t="shared" si="62"/>
        <v>17</v>
      </c>
      <c r="E520" s="48" t="str">
        <f>TEXT(Data!B520,"MMM-YYYY")</f>
        <v>May-2023</v>
      </c>
      <c r="F520" s="48" t="str">
        <f t="shared" si="58"/>
        <v>Q2-2023</v>
      </c>
      <c r="G520" s="38" t="s">
        <v>16</v>
      </c>
      <c r="H520" s="38" t="s">
        <v>25</v>
      </c>
      <c r="I520" s="38" t="s">
        <v>26</v>
      </c>
      <c r="J520" s="38" t="s">
        <v>19</v>
      </c>
      <c r="K520" s="38" t="s">
        <v>98</v>
      </c>
      <c r="L520" s="38" t="s">
        <v>84</v>
      </c>
      <c r="M520" s="38" t="s">
        <v>22</v>
      </c>
      <c r="N520" s="38" t="s">
        <v>1140</v>
      </c>
      <c r="O520" s="48">
        <v>327.97</v>
      </c>
      <c r="P520" s="49" t="str">
        <f t="shared" si="59"/>
        <v>High</v>
      </c>
      <c r="Q520" s="48">
        <v>299.94</v>
      </c>
      <c r="R520" s="48">
        <v>4.9000000000000002E-2</v>
      </c>
      <c r="S520" s="48">
        <v>3</v>
      </c>
      <c r="T520" s="48">
        <f t="shared" si="56"/>
        <v>4884.4215899999999</v>
      </c>
      <c r="U520" s="38">
        <f t="shared" si="57"/>
        <v>983.91000000000008</v>
      </c>
      <c r="V520" s="48">
        <f t="shared" si="60"/>
        <v>3900.5115900000001</v>
      </c>
      <c r="W520" s="50">
        <f t="shared" si="61"/>
        <v>0.79856161433435968</v>
      </c>
    </row>
    <row r="521" spans="1:23" x14ac:dyDescent="0.3">
      <c r="A521" s="39" t="s">
        <v>1141</v>
      </c>
      <c r="B521" s="40">
        <v>45482</v>
      </c>
      <c r="C521" s="41">
        <v>45512</v>
      </c>
      <c r="D521" s="42">
        <f t="shared" si="62"/>
        <v>30</v>
      </c>
      <c r="E521" s="42" t="str">
        <f>TEXT(Data!B521,"MMM-YYYY")</f>
        <v>Jul-2024</v>
      </c>
      <c r="F521" s="42" t="str">
        <f t="shared" si="58"/>
        <v>Q3-2024</v>
      </c>
      <c r="G521" s="37" t="s">
        <v>78</v>
      </c>
      <c r="H521" s="37" t="s">
        <v>90</v>
      </c>
      <c r="I521" s="37" t="s">
        <v>91</v>
      </c>
      <c r="J521" s="37" t="s">
        <v>19</v>
      </c>
      <c r="K521" s="37" t="s">
        <v>98</v>
      </c>
      <c r="L521" s="37" t="s">
        <v>29</v>
      </c>
      <c r="M521" s="37" t="s">
        <v>22</v>
      </c>
      <c r="N521" s="37" t="s">
        <v>1142</v>
      </c>
      <c r="O521" s="42">
        <v>1062.3800000000001</v>
      </c>
      <c r="P521" s="43" t="str">
        <f t="shared" si="59"/>
        <v>High</v>
      </c>
      <c r="Q521" s="42">
        <v>1503.96</v>
      </c>
      <c r="R521" s="42">
        <v>0.18</v>
      </c>
      <c r="S521" s="42">
        <v>6</v>
      </c>
      <c r="T521" s="42">
        <f t="shared" si="56"/>
        <v>5187.1068000000005</v>
      </c>
      <c r="U521" s="37">
        <f t="shared" si="57"/>
        <v>6374.2800000000007</v>
      </c>
      <c r="V521" s="42">
        <f t="shared" si="60"/>
        <v>-1187.1732000000002</v>
      </c>
      <c r="W521" s="44">
        <f t="shared" si="61"/>
        <v>-0.22887001285572142</v>
      </c>
    </row>
    <row r="522" spans="1:23" x14ac:dyDescent="0.3">
      <c r="A522" s="45" t="s">
        <v>1143</v>
      </c>
      <c r="B522" s="46">
        <v>45056</v>
      </c>
      <c r="C522" s="47">
        <v>45073</v>
      </c>
      <c r="D522" s="48">
        <f t="shared" si="62"/>
        <v>17</v>
      </c>
      <c r="E522" s="48" t="str">
        <f>TEXT(Data!B522,"MMM-YYYY")</f>
        <v>May-2023</v>
      </c>
      <c r="F522" s="48" t="str">
        <f t="shared" si="58"/>
        <v>Q2-2023</v>
      </c>
      <c r="G522" s="38" t="s">
        <v>45</v>
      </c>
      <c r="H522" s="38" t="s">
        <v>60</v>
      </c>
      <c r="I522" s="38" t="s">
        <v>220</v>
      </c>
      <c r="J522" s="38" t="s">
        <v>48</v>
      </c>
      <c r="K522" s="38" t="s">
        <v>20</v>
      </c>
      <c r="L522" s="38" t="s">
        <v>110</v>
      </c>
      <c r="M522" s="38" t="s">
        <v>57</v>
      </c>
      <c r="N522" s="38" t="s">
        <v>1144</v>
      </c>
      <c r="O522" s="48">
        <v>1286.1600000000001</v>
      </c>
      <c r="P522" s="49" t="str">
        <f t="shared" si="59"/>
        <v>High</v>
      </c>
      <c r="Q522" s="48">
        <v>3101.11</v>
      </c>
      <c r="R522" s="48">
        <v>0.1</v>
      </c>
      <c r="S522" s="48">
        <v>23</v>
      </c>
      <c r="T522" s="48">
        <f t="shared" si="56"/>
        <v>50740.254000000001</v>
      </c>
      <c r="U522" s="38">
        <f t="shared" si="57"/>
        <v>29581.68</v>
      </c>
      <c r="V522" s="48">
        <f t="shared" si="60"/>
        <v>21158.574000000001</v>
      </c>
      <c r="W522" s="50">
        <f t="shared" si="61"/>
        <v>0.41699779429562966</v>
      </c>
    </row>
    <row r="523" spans="1:23" x14ac:dyDescent="0.3">
      <c r="A523" s="39" t="s">
        <v>1145</v>
      </c>
      <c r="B523" s="40">
        <v>45482</v>
      </c>
      <c r="C523" s="41">
        <v>45485</v>
      </c>
      <c r="D523" s="42">
        <f t="shared" si="62"/>
        <v>3</v>
      </c>
      <c r="E523" s="42" t="str">
        <f>TEXT(Data!B523,"MMM-YYYY")</f>
        <v>Jul-2024</v>
      </c>
      <c r="F523" s="42" t="str">
        <f t="shared" si="58"/>
        <v>Q3-2024</v>
      </c>
      <c r="G523" s="37" t="s">
        <v>45</v>
      </c>
      <c r="H523" s="37" t="s">
        <v>116</v>
      </c>
      <c r="I523" s="37" t="s">
        <v>162</v>
      </c>
      <c r="J523" s="37" t="s">
        <v>62</v>
      </c>
      <c r="K523" s="37" t="s">
        <v>20</v>
      </c>
      <c r="L523" s="37" t="s">
        <v>145</v>
      </c>
      <c r="M523" s="37" t="s">
        <v>81</v>
      </c>
      <c r="N523" s="37" t="s">
        <v>1146</v>
      </c>
      <c r="O523" s="42">
        <v>748.39</v>
      </c>
      <c r="P523" s="43" t="str">
        <f t="shared" si="59"/>
        <v>High</v>
      </c>
      <c r="Q523" s="42">
        <v>979.42</v>
      </c>
      <c r="R523" s="42">
        <v>0</v>
      </c>
      <c r="S523" s="42">
        <v>23</v>
      </c>
      <c r="T523" s="42">
        <f t="shared" si="56"/>
        <v>28777.83</v>
      </c>
      <c r="U523" s="37">
        <f t="shared" si="57"/>
        <v>17212.97</v>
      </c>
      <c r="V523" s="42">
        <f t="shared" si="60"/>
        <v>11564.86</v>
      </c>
      <c r="W523" s="44">
        <f t="shared" si="61"/>
        <v>0.401866992751017</v>
      </c>
    </row>
    <row r="524" spans="1:23" x14ac:dyDescent="0.3">
      <c r="A524" s="45" t="s">
        <v>1147</v>
      </c>
      <c r="B524" s="46">
        <v>45406</v>
      </c>
      <c r="C524" s="47">
        <v>45422</v>
      </c>
      <c r="D524" s="48">
        <f t="shared" si="62"/>
        <v>16</v>
      </c>
      <c r="E524" s="48" t="str">
        <f>TEXT(Data!B524,"MMM-YYYY")</f>
        <v>Apr-2024</v>
      </c>
      <c r="F524" s="48" t="str">
        <f t="shared" si="58"/>
        <v>Q2-2024</v>
      </c>
      <c r="G524" s="38" t="s">
        <v>16</v>
      </c>
      <c r="H524" s="38" t="s">
        <v>17</v>
      </c>
      <c r="I524" s="38" t="s">
        <v>18</v>
      </c>
      <c r="J524" s="38" t="s">
        <v>39</v>
      </c>
      <c r="K524" s="38" t="s">
        <v>28</v>
      </c>
      <c r="L524" s="38" t="s">
        <v>126</v>
      </c>
      <c r="M524" s="38" t="s">
        <v>64</v>
      </c>
      <c r="N524" s="38" t="s">
        <v>1148</v>
      </c>
      <c r="O524" s="48">
        <v>513.30999999999995</v>
      </c>
      <c r="P524" s="49" t="str">
        <f t="shared" si="59"/>
        <v>High</v>
      </c>
      <c r="Q524" s="48">
        <v>1186.26</v>
      </c>
      <c r="R524" s="48">
        <v>9.4E-2</v>
      </c>
      <c r="S524" s="48">
        <v>15</v>
      </c>
      <c r="T524" s="48">
        <f t="shared" si="56"/>
        <v>15014.232</v>
      </c>
      <c r="U524" s="38">
        <f t="shared" si="57"/>
        <v>7699.65</v>
      </c>
      <c r="V524" s="48">
        <f t="shared" si="60"/>
        <v>7314.5820000000003</v>
      </c>
      <c r="W524" s="50">
        <f t="shared" si="61"/>
        <v>0.48717656687335059</v>
      </c>
    </row>
    <row r="525" spans="1:23" x14ac:dyDescent="0.3">
      <c r="A525" s="39" t="s">
        <v>1149</v>
      </c>
      <c r="B525" s="40">
        <v>45304</v>
      </c>
      <c r="C525" s="41">
        <v>45306</v>
      </c>
      <c r="D525" s="42">
        <f t="shared" si="62"/>
        <v>2</v>
      </c>
      <c r="E525" s="42" t="str">
        <f>TEXT(Data!B525,"MMM-YYYY")</f>
        <v>Jan-2024</v>
      </c>
      <c r="F525" s="42" t="str">
        <f t="shared" si="58"/>
        <v>Q1-2024</v>
      </c>
      <c r="G525" s="37" t="s">
        <v>52</v>
      </c>
      <c r="H525" s="37" t="s">
        <v>122</v>
      </c>
      <c r="I525" s="37" t="s">
        <v>167</v>
      </c>
      <c r="J525" s="37" t="s">
        <v>39</v>
      </c>
      <c r="K525" s="37" t="s">
        <v>98</v>
      </c>
      <c r="L525" s="37" t="s">
        <v>63</v>
      </c>
      <c r="M525" s="37" t="s">
        <v>22</v>
      </c>
      <c r="N525" s="37" t="s">
        <v>1150</v>
      </c>
      <c r="O525" s="42">
        <v>1061.3699999999999</v>
      </c>
      <c r="P525" s="43" t="str">
        <f t="shared" si="59"/>
        <v>High</v>
      </c>
      <c r="Q525" s="42">
        <v>1938.33</v>
      </c>
      <c r="R525" s="42">
        <v>0.17</v>
      </c>
      <c r="S525" s="42">
        <v>4</v>
      </c>
      <c r="T525" s="42">
        <f t="shared" si="56"/>
        <v>7912.9211999999989</v>
      </c>
      <c r="U525" s="37">
        <f t="shared" si="57"/>
        <v>4245.4799999999996</v>
      </c>
      <c r="V525" s="42">
        <f t="shared" si="60"/>
        <v>3667.4411999999993</v>
      </c>
      <c r="W525" s="44">
        <f t="shared" si="61"/>
        <v>0.46347500591816837</v>
      </c>
    </row>
    <row r="526" spans="1:23" x14ac:dyDescent="0.3">
      <c r="A526" s="45" t="s">
        <v>1151</v>
      </c>
      <c r="B526" s="46">
        <v>45398</v>
      </c>
      <c r="C526" s="47">
        <v>45409</v>
      </c>
      <c r="D526" s="48">
        <f t="shared" si="62"/>
        <v>11</v>
      </c>
      <c r="E526" s="48" t="str">
        <f>TEXT(Data!B526,"MMM-YYYY")</f>
        <v>Apr-2024</v>
      </c>
      <c r="F526" s="48" t="str">
        <f t="shared" si="58"/>
        <v>Q2-2024</v>
      </c>
      <c r="G526" s="38" t="s">
        <v>16</v>
      </c>
      <c r="H526" s="38" t="s">
        <v>17</v>
      </c>
      <c r="I526" s="38" t="s">
        <v>135</v>
      </c>
      <c r="J526" s="38" t="s">
        <v>105</v>
      </c>
      <c r="K526" s="38" t="s">
        <v>28</v>
      </c>
      <c r="L526" s="38" t="s">
        <v>145</v>
      </c>
      <c r="M526" s="38" t="s">
        <v>30</v>
      </c>
      <c r="N526" s="38" t="s">
        <v>1152</v>
      </c>
      <c r="O526" s="48">
        <v>401.3</v>
      </c>
      <c r="P526" s="49" t="str">
        <f t="shared" si="59"/>
        <v>High</v>
      </c>
      <c r="Q526" s="48">
        <v>826.47</v>
      </c>
      <c r="R526" s="48">
        <v>0.22500000000000001</v>
      </c>
      <c r="S526" s="48">
        <v>13</v>
      </c>
      <c r="T526" s="48">
        <f t="shared" si="56"/>
        <v>2146.5795000000003</v>
      </c>
      <c r="U526" s="38">
        <f t="shared" si="57"/>
        <v>5216.9000000000005</v>
      </c>
      <c r="V526" s="48">
        <f t="shared" si="60"/>
        <v>-3070.3205000000003</v>
      </c>
      <c r="W526" s="50">
        <f t="shared" si="61"/>
        <v>-1.4303316043034977</v>
      </c>
    </row>
    <row r="527" spans="1:23" x14ac:dyDescent="0.3">
      <c r="A527" s="39" t="s">
        <v>1153</v>
      </c>
      <c r="B527" s="40">
        <v>45695</v>
      </c>
      <c r="C527" s="41">
        <v>45704</v>
      </c>
      <c r="D527" s="42">
        <f t="shared" si="62"/>
        <v>9</v>
      </c>
      <c r="E527" s="42" t="str">
        <f>TEXT(Data!B527,"MMM-YYYY")</f>
        <v>Feb-2025</v>
      </c>
      <c r="F527" s="42" t="str">
        <f t="shared" si="58"/>
        <v>Q1-2025</v>
      </c>
      <c r="G527" s="37" t="s">
        <v>16</v>
      </c>
      <c r="H527" s="37" t="s">
        <v>25</v>
      </c>
      <c r="I527" s="37" t="s">
        <v>38</v>
      </c>
      <c r="J527" s="37" t="s">
        <v>62</v>
      </c>
      <c r="K527" s="37" t="s">
        <v>55</v>
      </c>
      <c r="L527" s="37" t="s">
        <v>21</v>
      </c>
      <c r="M527" s="37" t="s">
        <v>30</v>
      </c>
      <c r="N527" s="37" t="s">
        <v>1154</v>
      </c>
      <c r="O527" s="42">
        <v>90.68</v>
      </c>
      <c r="P527" s="43" t="str">
        <f t="shared" si="59"/>
        <v>Medium</v>
      </c>
      <c r="Q527" s="42">
        <v>118.17</v>
      </c>
      <c r="R527" s="42">
        <v>0.13500000000000001</v>
      </c>
      <c r="S527" s="42">
        <v>21</v>
      </c>
      <c r="T527" s="42">
        <f t="shared" si="56"/>
        <v>36886.575600000004</v>
      </c>
      <c r="U527" s="37">
        <f t="shared" si="57"/>
        <v>1904.2800000000002</v>
      </c>
      <c r="V527" s="42">
        <f t="shared" si="60"/>
        <v>34982.295600000005</v>
      </c>
      <c r="W527" s="44">
        <f t="shared" si="61"/>
        <v>0.94837471440422894</v>
      </c>
    </row>
    <row r="528" spans="1:23" x14ac:dyDescent="0.3">
      <c r="A528" s="45" t="s">
        <v>1155</v>
      </c>
      <c r="B528" s="46">
        <v>44938</v>
      </c>
      <c r="C528" s="47">
        <v>44952</v>
      </c>
      <c r="D528" s="48">
        <f t="shared" si="62"/>
        <v>14</v>
      </c>
      <c r="E528" s="48" t="str">
        <f>TEXT(Data!B528,"MMM-YYYY")</f>
        <v>Jan-2023</v>
      </c>
      <c r="F528" s="48" t="str">
        <f t="shared" si="58"/>
        <v>Q1-2023</v>
      </c>
      <c r="G528" s="38" t="s">
        <v>45</v>
      </c>
      <c r="H528" s="38" t="s">
        <v>116</v>
      </c>
      <c r="I528" s="38" t="s">
        <v>117</v>
      </c>
      <c r="J528" s="38" t="s">
        <v>39</v>
      </c>
      <c r="K528" s="38" t="s">
        <v>20</v>
      </c>
      <c r="L528" s="38" t="s">
        <v>110</v>
      </c>
      <c r="M528" s="38" t="s">
        <v>30</v>
      </c>
      <c r="N528" s="38" t="s">
        <v>1156</v>
      </c>
      <c r="O528" s="48">
        <v>1083.0899999999999</v>
      </c>
      <c r="P528" s="49" t="str">
        <f t="shared" si="59"/>
        <v>High</v>
      </c>
      <c r="Q528" s="48">
        <v>1425.87</v>
      </c>
      <c r="R528" s="48">
        <v>0</v>
      </c>
      <c r="S528" s="48">
        <v>8</v>
      </c>
      <c r="T528" s="48">
        <f t="shared" si="56"/>
        <v>7653.6</v>
      </c>
      <c r="U528" s="38">
        <f t="shared" si="57"/>
        <v>8664.7199999999993</v>
      </c>
      <c r="V528" s="48">
        <f t="shared" si="60"/>
        <v>-1011.119999999999</v>
      </c>
      <c r="W528" s="50">
        <f t="shared" si="61"/>
        <v>-0.13211037942928805</v>
      </c>
    </row>
    <row r="529" spans="1:23" x14ac:dyDescent="0.3">
      <c r="A529" s="39" t="s">
        <v>1157</v>
      </c>
      <c r="B529" s="40">
        <v>45448</v>
      </c>
      <c r="C529" s="41">
        <v>45466</v>
      </c>
      <c r="D529" s="42">
        <f t="shared" si="62"/>
        <v>18</v>
      </c>
      <c r="E529" s="42" t="str">
        <f>TEXT(Data!B529,"MMM-YYYY")</f>
        <v>Jun-2024</v>
      </c>
      <c r="F529" s="42" t="str">
        <f t="shared" si="58"/>
        <v>Q2-2024</v>
      </c>
      <c r="G529" s="37" t="s">
        <v>16</v>
      </c>
      <c r="H529" s="37" t="s">
        <v>17</v>
      </c>
      <c r="I529" s="37" t="s">
        <v>33</v>
      </c>
      <c r="J529" s="37" t="s">
        <v>48</v>
      </c>
      <c r="K529" s="37" t="s">
        <v>55</v>
      </c>
      <c r="L529" s="37" t="s">
        <v>145</v>
      </c>
      <c r="M529" s="37" t="s">
        <v>57</v>
      </c>
      <c r="N529" s="37" t="s">
        <v>1158</v>
      </c>
      <c r="O529" s="42">
        <v>1208.74</v>
      </c>
      <c r="P529" s="43" t="str">
        <f t="shared" si="59"/>
        <v>High</v>
      </c>
      <c r="Q529" s="42">
        <v>1594.78</v>
      </c>
      <c r="R529" s="42">
        <v>5.8999999999999997E-2</v>
      </c>
      <c r="S529" s="42">
        <v>39</v>
      </c>
      <c r="T529" s="42">
        <f t="shared" si="56"/>
        <v>53128.40832000001</v>
      </c>
      <c r="U529" s="37">
        <f t="shared" si="57"/>
        <v>47140.86</v>
      </c>
      <c r="V529" s="42">
        <f t="shared" si="60"/>
        <v>5987.548320000009</v>
      </c>
      <c r="W529" s="44">
        <f t="shared" si="61"/>
        <v>0.11269956148387032</v>
      </c>
    </row>
    <row r="530" spans="1:23" x14ac:dyDescent="0.3">
      <c r="A530" s="45" t="s">
        <v>1159</v>
      </c>
      <c r="B530" s="46">
        <v>45162</v>
      </c>
      <c r="C530" s="47">
        <v>45189</v>
      </c>
      <c r="D530" s="48">
        <f t="shared" si="62"/>
        <v>27</v>
      </c>
      <c r="E530" s="48" t="str">
        <f>TEXT(Data!B530,"MMM-YYYY")</f>
        <v>Aug-2023</v>
      </c>
      <c r="F530" s="48" t="str">
        <f t="shared" si="58"/>
        <v>Q3-2023</v>
      </c>
      <c r="G530" s="38" t="s">
        <v>16</v>
      </c>
      <c r="H530" s="38" t="s">
        <v>148</v>
      </c>
      <c r="I530" s="38" t="s">
        <v>172</v>
      </c>
      <c r="J530" s="38" t="s">
        <v>62</v>
      </c>
      <c r="K530" s="38" t="s">
        <v>40</v>
      </c>
      <c r="L530" s="38" t="s">
        <v>110</v>
      </c>
      <c r="M530" s="38" t="s">
        <v>30</v>
      </c>
      <c r="N530" s="38" t="s">
        <v>1160</v>
      </c>
      <c r="O530" s="48">
        <v>1399.64</v>
      </c>
      <c r="P530" s="49" t="str">
        <f t="shared" si="59"/>
        <v>High</v>
      </c>
      <c r="Q530" s="48">
        <v>3342.11</v>
      </c>
      <c r="R530" s="48">
        <v>0</v>
      </c>
      <c r="S530" s="48">
        <v>10</v>
      </c>
      <c r="T530" s="48">
        <f t="shared" si="56"/>
        <v>29496.199999999997</v>
      </c>
      <c r="U530" s="38">
        <f t="shared" si="57"/>
        <v>13996.400000000001</v>
      </c>
      <c r="V530" s="48">
        <f t="shared" si="60"/>
        <v>15499.799999999996</v>
      </c>
      <c r="W530" s="50">
        <f t="shared" si="61"/>
        <v>0.52548463869922213</v>
      </c>
    </row>
    <row r="531" spans="1:23" x14ac:dyDescent="0.3">
      <c r="A531" s="39" t="s">
        <v>1161</v>
      </c>
      <c r="B531" s="40">
        <v>45316</v>
      </c>
      <c r="C531" s="41">
        <v>45330</v>
      </c>
      <c r="D531" s="42">
        <f t="shared" si="62"/>
        <v>14</v>
      </c>
      <c r="E531" s="42" t="str">
        <f>TEXT(Data!B531,"MMM-YYYY")</f>
        <v>Jan-2024</v>
      </c>
      <c r="F531" s="42" t="str">
        <f t="shared" si="58"/>
        <v>Q1-2024</v>
      </c>
      <c r="G531" s="37" t="s">
        <v>45</v>
      </c>
      <c r="H531" s="37" t="s">
        <v>46</v>
      </c>
      <c r="I531" s="37" t="s">
        <v>47</v>
      </c>
      <c r="J531" s="37" t="s">
        <v>48</v>
      </c>
      <c r="K531" s="37" t="s">
        <v>40</v>
      </c>
      <c r="L531" s="37" t="s">
        <v>34</v>
      </c>
      <c r="M531" s="37" t="s">
        <v>35</v>
      </c>
      <c r="N531" s="37" t="s">
        <v>1162</v>
      </c>
      <c r="O531" s="42">
        <v>937.16</v>
      </c>
      <c r="P531" s="43" t="str">
        <f t="shared" si="59"/>
        <v>High</v>
      </c>
      <c r="Q531" s="42">
        <v>1069.77</v>
      </c>
      <c r="R531" s="42">
        <v>3.7999999999999999E-2</v>
      </c>
      <c r="S531" s="42">
        <v>9</v>
      </c>
      <c r="T531" s="42">
        <f t="shared" si="56"/>
        <v>22342.575059999999</v>
      </c>
      <c r="U531" s="37">
        <f t="shared" si="57"/>
        <v>8434.44</v>
      </c>
      <c r="V531" s="42">
        <f t="shared" si="60"/>
        <v>13908.135059999999</v>
      </c>
      <c r="W531" s="44">
        <f t="shared" si="61"/>
        <v>0.62249472241450754</v>
      </c>
    </row>
    <row r="532" spans="1:23" x14ac:dyDescent="0.3">
      <c r="A532" s="45" t="s">
        <v>1163</v>
      </c>
      <c r="B532" s="46">
        <v>45727</v>
      </c>
      <c r="C532" s="47">
        <v>45742</v>
      </c>
      <c r="D532" s="48">
        <f t="shared" si="62"/>
        <v>15</v>
      </c>
      <c r="E532" s="48" t="str">
        <f>TEXT(Data!B532,"MMM-YYYY")</f>
        <v>Mar-2025</v>
      </c>
      <c r="F532" s="48" t="str">
        <f t="shared" si="58"/>
        <v>Q1-2025</v>
      </c>
      <c r="G532" s="38" t="s">
        <v>78</v>
      </c>
      <c r="H532" s="38" t="s">
        <v>79</v>
      </c>
      <c r="I532" s="38" t="s">
        <v>80</v>
      </c>
      <c r="J532" s="38" t="s">
        <v>62</v>
      </c>
      <c r="K532" s="38" t="s">
        <v>28</v>
      </c>
      <c r="L532" s="38" t="s">
        <v>34</v>
      </c>
      <c r="M532" s="38" t="s">
        <v>42</v>
      </c>
      <c r="N532" s="38" t="s">
        <v>1164</v>
      </c>
      <c r="O532" s="48">
        <v>116.97</v>
      </c>
      <c r="P532" s="49" t="str">
        <f t="shared" si="59"/>
        <v>Medium</v>
      </c>
      <c r="Q532" s="48">
        <v>140.82</v>
      </c>
      <c r="R532" s="48">
        <v>0.122</v>
      </c>
      <c r="S532" s="48">
        <v>5</v>
      </c>
      <c r="T532" s="48">
        <f t="shared" si="56"/>
        <v>8687.4149000000016</v>
      </c>
      <c r="U532" s="38">
        <f t="shared" si="57"/>
        <v>584.85</v>
      </c>
      <c r="V532" s="48">
        <f t="shared" si="60"/>
        <v>8102.5649000000012</v>
      </c>
      <c r="W532" s="50">
        <f t="shared" si="61"/>
        <v>0.93267847723032082</v>
      </c>
    </row>
    <row r="533" spans="1:23" x14ac:dyDescent="0.3">
      <c r="A533" s="39" t="s">
        <v>1165</v>
      </c>
      <c r="B533" s="40">
        <v>45769</v>
      </c>
      <c r="C533" s="41">
        <v>45789</v>
      </c>
      <c r="D533" s="42">
        <f t="shared" si="62"/>
        <v>20</v>
      </c>
      <c r="E533" s="42" t="str">
        <f>TEXT(Data!B533,"MMM-YYYY")</f>
        <v>Apr-2025</v>
      </c>
      <c r="F533" s="42" t="str">
        <f t="shared" si="58"/>
        <v>Q2-2025</v>
      </c>
      <c r="G533" s="37" t="s">
        <v>78</v>
      </c>
      <c r="H533" s="37" t="s">
        <v>90</v>
      </c>
      <c r="I533" s="37" t="s">
        <v>138</v>
      </c>
      <c r="J533" s="37" t="s">
        <v>105</v>
      </c>
      <c r="K533" s="37" t="s">
        <v>40</v>
      </c>
      <c r="L533" s="37" t="s">
        <v>95</v>
      </c>
      <c r="M533" s="37" t="s">
        <v>64</v>
      </c>
      <c r="N533" s="37" t="s">
        <v>1166</v>
      </c>
      <c r="O533" s="42">
        <v>59.51</v>
      </c>
      <c r="P533" s="43" t="str">
        <f t="shared" si="59"/>
        <v>Medium</v>
      </c>
      <c r="Q533" s="42">
        <v>67.040000000000006</v>
      </c>
      <c r="R533" s="42">
        <v>0.114</v>
      </c>
      <c r="S533" s="42">
        <v>9</v>
      </c>
      <c r="T533" s="42">
        <f t="shared" si="56"/>
        <v>11813.082300000002</v>
      </c>
      <c r="U533" s="37">
        <f t="shared" si="57"/>
        <v>535.59</v>
      </c>
      <c r="V533" s="42">
        <f t="shared" si="60"/>
        <v>11277.492300000002</v>
      </c>
      <c r="W533" s="44">
        <f t="shared" si="61"/>
        <v>0.95466128260191674</v>
      </c>
    </row>
    <row r="534" spans="1:23" x14ac:dyDescent="0.3">
      <c r="A534" s="45" t="s">
        <v>1167</v>
      </c>
      <c r="B534" s="46">
        <v>45155</v>
      </c>
      <c r="C534" s="47">
        <v>45172</v>
      </c>
      <c r="D534" s="48">
        <f t="shared" si="62"/>
        <v>17</v>
      </c>
      <c r="E534" s="48" t="str">
        <f>TEXT(Data!B534,"MMM-YYYY")</f>
        <v>Aug-2023</v>
      </c>
      <c r="F534" s="48" t="str">
        <f t="shared" si="58"/>
        <v>Q3-2023</v>
      </c>
      <c r="G534" s="38" t="s">
        <v>16</v>
      </c>
      <c r="H534" s="38" t="s">
        <v>148</v>
      </c>
      <c r="I534" s="38" t="s">
        <v>172</v>
      </c>
      <c r="J534" s="38" t="s">
        <v>105</v>
      </c>
      <c r="K534" s="38" t="s">
        <v>20</v>
      </c>
      <c r="L534" s="38" t="s">
        <v>75</v>
      </c>
      <c r="M534" s="38" t="s">
        <v>42</v>
      </c>
      <c r="N534" s="38" t="s">
        <v>1168</v>
      </c>
      <c r="O534" s="48">
        <v>676.37</v>
      </c>
      <c r="P534" s="49" t="str">
        <f t="shared" si="59"/>
        <v>High</v>
      </c>
      <c r="Q534" s="48">
        <v>1276.67</v>
      </c>
      <c r="R534" s="48">
        <v>6.6000000000000003E-2</v>
      </c>
      <c r="S534" s="48">
        <v>10</v>
      </c>
      <c r="T534" s="48">
        <f t="shared" si="56"/>
        <v>15494.3128</v>
      </c>
      <c r="U534" s="38">
        <f t="shared" si="57"/>
        <v>6763.7</v>
      </c>
      <c r="V534" s="48">
        <f t="shared" si="60"/>
        <v>8730.612799999999</v>
      </c>
      <c r="W534" s="50">
        <f t="shared" si="61"/>
        <v>0.56347208893317291</v>
      </c>
    </row>
    <row r="535" spans="1:23" x14ac:dyDescent="0.3">
      <c r="A535" s="39" t="s">
        <v>1169</v>
      </c>
      <c r="B535" s="40">
        <v>45832</v>
      </c>
      <c r="C535" s="41">
        <v>45852</v>
      </c>
      <c r="D535" s="42">
        <f t="shared" si="62"/>
        <v>20</v>
      </c>
      <c r="E535" s="42" t="str">
        <f>TEXT(Data!B535,"MMM-YYYY")</f>
        <v>Jun-2025</v>
      </c>
      <c r="F535" s="42" t="str">
        <f t="shared" si="58"/>
        <v>Q2-2025</v>
      </c>
      <c r="G535" s="37" t="s">
        <v>16</v>
      </c>
      <c r="H535" s="37" t="s">
        <v>148</v>
      </c>
      <c r="I535" s="37" t="s">
        <v>149</v>
      </c>
      <c r="J535" s="37" t="s">
        <v>105</v>
      </c>
      <c r="K535" s="37" t="s">
        <v>40</v>
      </c>
      <c r="L535" s="37" t="s">
        <v>29</v>
      </c>
      <c r="M535" s="37" t="s">
        <v>57</v>
      </c>
      <c r="N535" s="37" t="s">
        <v>1170</v>
      </c>
      <c r="O535" s="42">
        <v>1151.06</v>
      </c>
      <c r="P535" s="43" t="str">
        <f t="shared" si="59"/>
        <v>High</v>
      </c>
      <c r="Q535" s="42">
        <v>2821.36</v>
      </c>
      <c r="R535" s="42">
        <v>0.248</v>
      </c>
      <c r="S535" s="42">
        <v>20</v>
      </c>
      <c r="T535" s="42">
        <f t="shared" si="56"/>
        <v>9059.1936000000005</v>
      </c>
      <c r="U535" s="37">
        <f t="shared" si="57"/>
        <v>23021.199999999997</v>
      </c>
      <c r="V535" s="42">
        <f t="shared" si="60"/>
        <v>-13962.006399999997</v>
      </c>
      <c r="W535" s="44">
        <f t="shared" si="61"/>
        <v>-1.5411974858336173</v>
      </c>
    </row>
    <row r="536" spans="1:23" x14ac:dyDescent="0.3">
      <c r="A536" s="45" t="s">
        <v>1171</v>
      </c>
      <c r="B536" s="46">
        <v>45667</v>
      </c>
      <c r="C536" s="47">
        <v>45694</v>
      </c>
      <c r="D536" s="48">
        <f t="shared" si="62"/>
        <v>27</v>
      </c>
      <c r="E536" s="48" t="str">
        <f>TEXT(Data!B536,"MMM-YYYY")</f>
        <v>Jan-2025</v>
      </c>
      <c r="F536" s="48" t="str">
        <f t="shared" si="58"/>
        <v>Q1-2025</v>
      </c>
      <c r="G536" s="38" t="s">
        <v>52</v>
      </c>
      <c r="H536" s="38" t="s">
        <v>73</v>
      </c>
      <c r="I536" s="38" t="s">
        <v>87</v>
      </c>
      <c r="J536" s="38" t="s">
        <v>39</v>
      </c>
      <c r="K536" s="38" t="s">
        <v>20</v>
      </c>
      <c r="L536" s="38" t="s">
        <v>56</v>
      </c>
      <c r="M536" s="38" t="s">
        <v>57</v>
      </c>
      <c r="N536" s="38" t="s">
        <v>1172</v>
      </c>
      <c r="O536" s="48">
        <v>725.62</v>
      </c>
      <c r="P536" s="49" t="str">
        <f t="shared" si="59"/>
        <v>High</v>
      </c>
      <c r="Q536" s="48">
        <v>1559.19</v>
      </c>
      <c r="R536" s="48">
        <v>0.19</v>
      </c>
      <c r="S536" s="48">
        <v>12</v>
      </c>
      <c r="T536" s="48">
        <f t="shared" si="56"/>
        <v>5128.6608000000006</v>
      </c>
      <c r="U536" s="38">
        <f t="shared" si="57"/>
        <v>8707.44</v>
      </c>
      <c r="V536" s="48">
        <f t="shared" si="60"/>
        <v>-3578.7791999999999</v>
      </c>
      <c r="W536" s="50">
        <f t="shared" si="61"/>
        <v>-0.69779994028850567</v>
      </c>
    </row>
    <row r="537" spans="1:23" x14ac:dyDescent="0.3">
      <c r="A537" s="39" t="s">
        <v>1173</v>
      </c>
      <c r="B537" s="40">
        <v>45108</v>
      </c>
      <c r="C537" s="41">
        <v>45118</v>
      </c>
      <c r="D537" s="42">
        <f t="shared" si="62"/>
        <v>10</v>
      </c>
      <c r="E537" s="42" t="str">
        <f>TEXT(Data!B537,"MMM-YYYY")</f>
        <v>Jul-2023</v>
      </c>
      <c r="F537" s="42" t="str">
        <f t="shared" si="58"/>
        <v>Q3-2023</v>
      </c>
      <c r="G537" s="37" t="s">
        <v>78</v>
      </c>
      <c r="H537" s="37" t="s">
        <v>90</v>
      </c>
      <c r="I537" s="37" t="s">
        <v>217</v>
      </c>
      <c r="J537" s="37" t="s">
        <v>19</v>
      </c>
      <c r="K537" s="37" t="s">
        <v>98</v>
      </c>
      <c r="L537" s="37" t="s">
        <v>84</v>
      </c>
      <c r="M537" s="37" t="s">
        <v>35</v>
      </c>
      <c r="N537" s="37" t="s">
        <v>1174</v>
      </c>
      <c r="O537" s="42">
        <v>479.5</v>
      </c>
      <c r="P537" s="43" t="str">
        <f t="shared" si="59"/>
        <v>High</v>
      </c>
      <c r="Q537" s="42">
        <v>656.66</v>
      </c>
      <c r="R537" s="42">
        <v>0.14899999999999999</v>
      </c>
      <c r="S537" s="42">
        <v>14</v>
      </c>
      <c r="T537" s="42">
        <f t="shared" si="56"/>
        <v>21944.3966</v>
      </c>
      <c r="U537" s="37">
        <f t="shared" si="57"/>
        <v>6713</v>
      </c>
      <c r="V537" s="42">
        <f t="shared" si="60"/>
        <v>15231.3966</v>
      </c>
      <c r="W537" s="44">
        <f t="shared" si="61"/>
        <v>0.69409047228029042</v>
      </c>
    </row>
    <row r="538" spans="1:23" x14ac:dyDescent="0.3">
      <c r="A538" s="45" t="s">
        <v>1175</v>
      </c>
      <c r="B538" s="46">
        <v>45520</v>
      </c>
      <c r="C538" s="47">
        <v>45530</v>
      </c>
      <c r="D538" s="48">
        <f t="shared" si="62"/>
        <v>10</v>
      </c>
      <c r="E538" s="48" t="str">
        <f>TEXT(Data!B538,"MMM-YYYY")</f>
        <v>Aug-2024</v>
      </c>
      <c r="F538" s="48" t="str">
        <f t="shared" si="58"/>
        <v>Q3-2024</v>
      </c>
      <c r="G538" s="38" t="s">
        <v>52</v>
      </c>
      <c r="H538" s="38" t="s">
        <v>122</v>
      </c>
      <c r="I538" s="38" t="s">
        <v>123</v>
      </c>
      <c r="J538" s="38" t="s">
        <v>19</v>
      </c>
      <c r="K538" s="38" t="s">
        <v>55</v>
      </c>
      <c r="L538" s="38" t="s">
        <v>49</v>
      </c>
      <c r="M538" s="38" t="s">
        <v>57</v>
      </c>
      <c r="N538" s="38" t="s">
        <v>878</v>
      </c>
      <c r="O538" s="48">
        <v>1291.7</v>
      </c>
      <c r="P538" s="49" t="str">
        <f t="shared" si="59"/>
        <v>High</v>
      </c>
      <c r="Q538" s="48">
        <v>2657.84</v>
      </c>
      <c r="R538" s="48">
        <v>8.6999999999999994E-2</v>
      </c>
      <c r="S538" s="48">
        <v>21</v>
      </c>
      <c r="T538" s="48">
        <f t="shared" si="56"/>
        <v>31548.788040000003</v>
      </c>
      <c r="U538" s="38">
        <f t="shared" si="57"/>
        <v>27125.7</v>
      </c>
      <c r="V538" s="48">
        <f t="shared" si="60"/>
        <v>4423.0880400000024</v>
      </c>
      <c r="W538" s="50">
        <f t="shared" si="61"/>
        <v>0.14019835038962727</v>
      </c>
    </row>
    <row r="539" spans="1:23" x14ac:dyDescent="0.3">
      <c r="A539" s="39" t="s">
        <v>1176</v>
      </c>
      <c r="B539" s="40">
        <v>45114</v>
      </c>
      <c r="C539" s="41">
        <v>45120</v>
      </c>
      <c r="D539" s="42">
        <f t="shared" si="62"/>
        <v>6</v>
      </c>
      <c r="E539" s="42" t="str">
        <f>TEXT(Data!B539,"MMM-YYYY")</f>
        <v>Jul-2023</v>
      </c>
      <c r="F539" s="42" t="str">
        <f t="shared" si="58"/>
        <v>Q3-2023</v>
      </c>
      <c r="G539" s="37" t="s">
        <v>16</v>
      </c>
      <c r="H539" s="37" t="s">
        <v>148</v>
      </c>
      <c r="I539" s="37" t="s">
        <v>258</v>
      </c>
      <c r="J539" s="37" t="s">
        <v>62</v>
      </c>
      <c r="K539" s="37" t="s">
        <v>40</v>
      </c>
      <c r="L539" s="37" t="s">
        <v>56</v>
      </c>
      <c r="M539" s="37" t="s">
        <v>81</v>
      </c>
      <c r="N539" s="37" t="s">
        <v>1177</v>
      </c>
      <c r="O539" s="42">
        <v>612.59</v>
      </c>
      <c r="P539" s="43" t="str">
        <f t="shared" si="59"/>
        <v>High</v>
      </c>
      <c r="Q539" s="42">
        <v>1424.74</v>
      </c>
      <c r="R539" s="42">
        <v>4.3999999999999997E-2</v>
      </c>
      <c r="S539" s="42">
        <v>15</v>
      </c>
      <c r="T539" s="42">
        <f t="shared" si="56"/>
        <v>10428.334800000001</v>
      </c>
      <c r="U539" s="37">
        <f t="shared" si="57"/>
        <v>9188.85</v>
      </c>
      <c r="V539" s="42">
        <f t="shared" si="60"/>
        <v>1239.4848000000002</v>
      </c>
      <c r="W539" s="44">
        <f t="shared" si="61"/>
        <v>0.11885740377265219</v>
      </c>
    </row>
    <row r="540" spans="1:23" x14ac:dyDescent="0.3">
      <c r="A540" s="45" t="s">
        <v>1178</v>
      </c>
      <c r="B540" s="46">
        <v>45288</v>
      </c>
      <c r="C540" s="47">
        <v>45292</v>
      </c>
      <c r="D540" s="48">
        <f t="shared" si="62"/>
        <v>4</v>
      </c>
      <c r="E540" s="48" t="str">
        <f>TEXT(Data!B540,"MMM-YYYY")</f>
        <v>Dec-2023</v>
      </c>
      <c r="F540" s="48" t="str">
        <f t="shared" si="58"/>
        <v>Q4-2023</v>
      </c>
      <c r="G540" s="38" t="s">
        <v>16</v>
      </c>
      <c r="H540" s="38" t="s">
        <v>148</v>
      </c>
      <c r="I540" s="38" t="s">
        <v>258</v>
      </c>
      <c r="J540" s="38" t="s">
        <v>27</v>
      </c>
      <c r="K540" s="38" t="s">
        <v>55</v>
      </c>
      <c r="L540" s="38" t="s">
        <v>75</v>
      </c>
      <c r="M540" s="38" t="s">
        <v>30</v>
      </c>
      <c r="N540" s="38" t="s">
        <v>1179</v>
      </c>
      <c r="O540" s="48">
        <v>1141.8</v>
      </c>
      <c r="P540" s="49" t="str">
        <f t="shared" si="59"/>
        <v>High</v>
      </c>
      <c r="Q540" s="48">
        <v>2318.7399999999998</v>
      </c>
      <c r="R540" s="48">
        <v>0.107</v>
      </c>
      <c r="S540" s="48">
        <v>32</v>
      </c>
      <c r="T540" s="48">
        <f t="shared" si="56"/>
        <v>35256.783040000002</v>
      </c>
      <c r="U540" s="38">
        <f t="shared" si="57"/>
        <v>36537.599999999999</v>
      </c>
      <c r="V540" s="48">
        <f t="shared" si="60"/>
        <v>-1280.8169599999965</v>
      </c>
      <c r="W540" s="50">
        <f t="shared" si="61"/>
        <v>-3.6328242385213268E-2</v>
      </c>
    </row>
    <row r="541" spans="1:23" x14ac:dyDescent="0.3">
      <c r="A541" s="39" t="s">
        <v>1180</v>
      </c>
      <c r="B541" s="40">
        <v>44952</v>
      </c>
      <c r="C541" s="41">
        <v>44972</v>
      </c>
      <c r="D541" s="42">
        <f t="shared" si="62"/>
        <v>20</v>
      </c>
      <c r="E541" s="42" t="str">
        <f>TEXT(Data!B541,"MMM-YYYY")</f>
        <v>Jan-2023</v>
      </c>
      <c r="F541" s="42" t="str">
        <f t="shared" si="58"/>
        <v>Q1-2023</v>
      </c>
      <c r="G541" s="37" t="s">
        <v>78</v>
      </c>
      <c r="H541" s="37" t="s">
        <v>79</v>
      </c>
      <c r="I541" s="37" t="s">
        <v>80</v>
      </c>
      <c r="J541" s="37" t="s">
        <v>62</v>
      </c>
      <c r="K541" s="37" t="s">
        <v>28</v>
      </c>
      <c r="L541" s="37" t="s">
        <v>68</v>
      </c>
      <c r="M541" s="37" t="s">
        <v>35</v>
      </c>
      <c r="N541" s="37" t="s">
        <v>1181</v>
      </c>
      <c r="O541" s="42">
        <v>492.62</v>
      </c>
      <c r="P541" s="43" t="str">
        <f t="shared" si="59"/>
        <v>High</v>
      </c>
      <c r="Q541" s="42">
        <v>366.7</v>
      </c>
      <c r="R541" s="42">
        <v>8.8999999999999996E-2</v>
      </c>
      <c r="S541" s="42">
        <v>10</v>
      </c>
      <c r="T541" s="42">
        <f t="shared" si="56"/>
        <v>14063.653600000001</v>
      </c>
      <c r="U541" s="37">
        <f t="shared" si="57"/>
        <v>4926.2</v>
      </c>
      <c r="V541" s="42">
        <f t="shared" si="60"/>
        <v>9137.4536000000007</v>
      </c>
      <c r="W541" s="44">
        <f t="shared" si="61"/>
        <v>0.6497211791393952</v>
      </c>
    </row>
    <row r="542" spans="1:23" x14ac:dyDescent="0.3">
      <c r="A542" s="45" t="s">
        <v>1182</v>
      </c>
      <c r="B542" s="46">
        <v>45115</v>
      </c>
      <c r="C542" s="47">
        <v>45116</v>
      </c>
      <c r="D542" s="48">
        <f t="shared" si="62"/>
        <v>1</v>
      </c>
      <c r="E542" s="48" t="str">
        <f>TEXT(Data!B542,"MMM-YYYY")</f>
        <v>Jul-2023</v>
      </c>
      <c r="F542" s="48" t="str">
        <f t="shared" si="58"/>
        <v>Q3-2023</v>
      </c>
      <c r="G542" s="38" t="s">
        <v>16</v>
      </c>
      <c r="H542" s="38" t="s">
        <v>17</v>
      </c>
      <c r="I542" s="38" t="s">
        <v>33</v>
      </c>
      <c r="J542" s="38" t="s">
        <v>48</v>
      </c>
      <c r="K542" s="38" t="s">
        <v>28</v>
      </c>
      <c r="L542" s="38" t="s">
        <v>145</v>
      </c>
      <c r="M542" s="38" t="s">
        <v>57</v>
      </c>
      <c r="N542" s="38" t="s">
        <v>1183</v>
      </c>
      <c r="O542" s="48">
        <v>1258.72</v>
      </c>
      <c r="P542" s="49" t="str">
        <f t="shared" si="59"/>
        <v>High</v>
      </c>
      <c r="Q542" s="48">
        <v>2797.41</v>
      </c>
      <c r="R542" s="48">
        <v>0</v>
      </c>
      <c r="S542" s="48">
        <v>7</v>
      </c>
      <c r="T542" s="48">
        <f t="shared" si="56"/>
        <v>14806.33</v>
      </c>
      <c r="U542" s="38">
        <f t="shared" si="57"/>
        <v>8811.0400000000009</v>
      </c>
      <c r="V542" s="48">
        <f t="shared" si="60"/>
        <v>5995.2899999999991</v>
      </c>
      <c r="W542" s="50">
        <f t="shared" si="61"/>
        <v>0.40491397935882822</v>
      </c>
    </row>
    <row r="543" spans="1:23" x14ac:dyDescent="0.3">
      <c r="A543" s="39" t="s">
        <v>1184</v>
      </c>
      <c r="B543" s="40">
        <v>45450</v>
      </c>
      <c r="C543" s="41">
        <v>45452</v>
      </c>
      <c r="D543" s="42">
        <f t="shared" si="62"/>
        <v>2</v>
      </c>
      <c r="E543" s="42" t="str">
        <f>TEXT(Data!B543,"MMM-YYYY")</f>
        <v>Jun-2024</v>
      </c>
      <c r="F543" s="42" t="str">
        <f t="shared" si="58"/>
        <v>Q2-2024</v>
      </c>
      <c r="G543" s="37" t="s">
        <v>45</v>
      </c>
      <c r="H543" s="37" t="s">
        <v>116</v>
      </c>
      <c r="I543" s="37" t="s">
        <v>162</v>
      </c>
      <c r="J543" s="37" t="s">
        <v>19</v>
      </c>
      <c r="K543" s="37" t="s">
        <v>20</v>
      </c>
      <c r="L543" s="37" t="s">
        <v>68</v>
      </c>
      <c r="M543" s="37" t="s">
        <v>64</v>
      </c>
      <c r="N543" s="37" t="s">
        <v>1185</v>
      </c>
      <c r="O543" s="42">
        <v>1370.28</v>
      </c>
      <c r="P543" s="43" t="str">
        <f t="shared" si="59"/>
        <v>High</v>
      </c>
      <c r="Q543" s="42">
        <v>2209.66</v>
      </c>
      <c r="R543" s="42">
        <v>0.13300000000000001</v>
      </c>
      <c r="S543" s="42">
        <v>16</v>
      </c>
      <c r="T543" s="42">
        <f t="shared" si="56"/>
        <v>25485.499680000001</v>
      </c>
      <c r="U543" s="37">
        <f t="shared" si="57"/>
        <v>21924.48</v>
      </c>
      <c r="V543" s="42">
        <f t="shared" si="60"/>
        <v>3561.0196800000012</v>
      </c>
      <c r="W543" s="44">
        <f t="shared" si="61"/>
        <v>0.13972728511164123</v>
      </c>
    </row>
    <row r="544" spans="1:23" x14ac:dyDescent="0.3">
      <c r="A544" s="45" t="s">
        <v>1186</v>
      </c>
      <c r="B544" s="46">
        <v>44968</v>
      </c>
      <c r="C544" s="47">
        <v>44969</v>
      </c>
      <c r="D544" s="48">
        <f t="shared" si="62"/>
        <v>1</v>
      </c>
      <c r="E544" s="48" t="str">
        <f>TEXT(Data!B544,"MMM-YYYY")</f>
        <v>Feb-2023</v>
      </c>
      <c r="F544" s="48" t="str">
        <f t="shared" si="58"/>
        <v>Q1-2023</v>
      </c>
      <c r="G544" s="38" t="s">
        <v>16</v>
      </c>
      <c r="H544" s="38" t="s">
        <v>25</v>
      </c>
      <c r="I544" s="38" t="s">
        <v>26</v>
      </c>
      <c r="J544" s="38" t="s">
        <v>39</v>
      </c>
      <c r="K544" s="38" t="s">
        <v>98</v>
      </c>
      <c r="L544" s="38" t="s">
        <v>145</v>
      </c>
      <c r="M544" s="38" t="s">
        <v>81</v>
      </c>
      <c r="N544" s="38" t="s">
        <v>1187</v>
      </c>
      <c r="O544" s="48">
        <v>944.61</v>
      </c>
      <c r="P544" s="49" t="str">
        <f t="shared" si="59"/>
        <v>High</v>
      </c>
      <c r="Q544" s="48">
        <v>839.04</v>
      </c>
      <c r="R544" s="48">
        <v>5.8999999999999997E-2</v>
      </c>
      <c r="S544" s="48">
        <v>6</v>
      </c>
      <c r="T544" s="48">
        <f t="shared" si="56"/>
        <v>16141.518779999999</v>
      </c>
      <c r="U544" s="38">
        <f t="shared" si="57"/>
        <v>5667.66</v>
      </c>
      <c r="V544" s="48">
        <f t="shared" si="60"/>
        <v>10473.858779999999</v>
      </c>
      <c r="W544" s="50">
        <f t="shared" si="61"/>
        <v>0.64887690698458544</v>
      </c>
    </row>
    <row r="545" spans="1:23" x14ac:dyDescent="0.3">
      <c r="A545" s="39" t="s">
        <v>1188</v>
      </c>
      <c r="B545" s="40">
        <v>45108</v>
      </c>
      <c r="C545" s="41">
        <v>45115</v>
      </c>
      <c r="D545" s="42">
        <f t="shared" si="62"/>
        <v>7</v>
      </c>
      <c r="E545" s="42" t="str">
        <f>TEXT(Data!B545,"MMM-YYYY")</f>
        <v>Jul-2023</v>
      </c>
      <c r="F545" s="42" t="str">
        <f t="shared" si="58"/>
        <v>Q3-2023</v>
      </c>
      <c r="G545" s="37" t="s">
        <v>78</v>
      </c>
      <c r="H545" s="37" t="s">
        <v>79</v>
      </c>
      <c r="I545" s="37" t="s">
        <v>335</v>
      </c>
      <c r="J545" s="37" t="s">
        <v>62</v>
      </c>
      <c r="K545" s="37" t="s">
        <v>55</v>
      </c>
      <c r="L545" s="37" t="s">
        <v>126</v>
      </c>
      <c r="M545" s="37" t="s">
        <v>57</v>
      </c>
      <c r="N545" s="37" t="s">
        <v>1189</v>
      </c>
      <c r="O545" s="42">
        <v>460.21</v>
      </c>
      <c r="P545" s="43" t="str">
        <f t="shared" si="59"/>
        <v>High</v>
      </c>
      <c r="Q545" s="42">
        <v>1139.1500000000001</v>
      </c>
      <c r="R545" s="42">
        <v>0.115</v>
      </c>
      <c r="S545" s="42">
        <v>14</v>
      </c>
      <c r="T545" s="42">
        <f t="shared" si="56"/>
        <v>3592.1088</v>
      </c>
      <c r="U545" s="37">
        <f t="shared" si="57"/>
        <v>6442.94</v>
      </c>
      <c r="V545" s="42">
        <f t="shared" si="60"/>
        <v>-2850.8311999999996</v>
      </c>
      <c r="W545" s="44">
        <f t="shared" si="61"/>
        <v>-0.79363720831618456</v>
      </c>
    </row>
    <row r="546" spans="1:23" x14ac:dyDescent="0.3">
      <c r="A546" s="45" t="s">
        <v>1190</v>
      </c>
      <c r="B546" s="46">
        <v>45889</v>
      </c>
      <c r="C546" s="47">
        <v>45895</v>
      </c>
      <c r="D546" s="48">
        <f t="shared" si="62"/>
        <v>6</v>
      </c>
      <c r="E546" s="48" t="str">
        <f>TEXT(Data!B546,"MMM-YYYY")</f>
        <v>Aug-2025</v>
      </c>
      <c r="F546" s="48" t="str">
        <f t="shared" si="58"/>
        <v>Q3-2025</v>
      </c>
      <c r="G546" s="38" t="s">
        <v>52</v>
      </c>
      <c r="H546" s="38" t="s">
        <v>122</v>
      </c>
      <c r="I546" s="38" t="s">
        <v>387</v>
      </c>
      <c r="J546" s="38" t="s">
        <v>19</v>
      </c>
      <c r="K546" s="38" t="s">
        <v>20</v>
      </c>
      <c r="L546" s="38" t="s">
        <v>110</v>
      </c>
      <c r="M546" s="38" t="s">
        <v>35</v>
      </c>
      <c r="N546" s="38" t="s">
        <v>1191</v>
      </c>
      <c r="O546" s="48">
        <v>1304.95</v>
      </c>
      <c r="P546" s="49" t="str">
        <f t="shared" si="59"/>
        <v>High</v>
      </c>
      <c r="Q546" s="48">
        <v>1712.03</v>
      </c>
      <c r="R546" s="48">
        <v>0.21199999999999999</v>
      </c>
      <c r="S546" s="48">
        <v>8</v>
      </c>
      <c r="T546" s="48">
        <f t="shared" si="56"/>
        <v>6286.3488000000007</v>
      </c>
      <c r="U546" s="38">
        <f t="shared" si="57"/>
        <v>10439.6</v>
      </c>
      <c r="V546" s="48">
        <f t="shared" si="60"/>
        <v>-4153.2511999999997</v>
      </c>
      <c r="W546" s="50">
        <f t="shared" si="61"/>
        <v>-0.66067781666839731</v>
      </c>
    </row>
    <row r="547" spans="1:23" x14ac:dyDescent="0.3">
      <c r="A547" s="39" t="s">
        <v>1192</v>
      </c>
      <c r="B547" s="40">
        <v>45355</v>
      </c>
      <c r="C547" s="41">
        <v>45367</v>
      </c>
      <c r="D547" s="42">
        <f t="shared" si="62"/>
        <v>12</v>
      </c>
      <c r="E547" s="42" t="str">
        <f>TEXT(Data!B547,"MMM-YYYY")</f>
        <v>Mar-2024</v>
      </c>
      <c r="F547" s="42" t="str">
        <f t="shared" si="58"/>
        <v>Q1-2024</v>
      </c>
      <c r="G547" s="37" t="s">
        <v>16</v>
      </c>
      <c r="H547" s="37" t="s">
        <v>148</v>
      </c>
      <c r="I547" s="37" t="s">
        <v>149</v>
      </c>
      <c r="J547" s="37" t="s">
        <v>105</v>
      </c>
      <c r="K547" s="37" t="s">
        <v>55</v>
      </c>
      <c r="L547" s="37" t="s">
        <v>110</v>
      </c>
      <c r="M547" s="37" t="s">
        <v>64</v>
      </c>
      <c r="N547" s="37" t="s">
        <v>1193</v>
      </c>
      <c r="O547" s="42">
        <v>441.08</v>
      </c>
      <c r="P547" s="43" t="str">
        <f t="shared" si="59"/>
        <v>High</v>
      </c>
      <c r="Q547" s="42">
        <v>1054.29</v>
      </c>
      <c r="R547" s="42">
        <v>0.23699999999999999</v>
      </c>
      <c r="S547" s="42">
        <v>6</v>
      </c>
      <c r="T547" s="42">
        <f t="shared" si="56"/>
        <v>216.49362000000002</v>
      </c>
      <c r="U547" s="37">
        <f t="shared" si="57"/>
        <v>2646.48</v>
      </c>
      <c r="V547" s="42">
        <f t="shared" si="60"/>
        <v>-2429.9863799999998</v>
      </c>
      <c r="W547" s="44">
        <f t="shared" si="61"/>
        <v>-11.224286332317782</v>
      </c>
    </row>
    <row r="548" spans="1:23" x14ac:dyDescent="0.3">
      <c r="A548" s="45" t="s">
        <v>1194</v>
      </c>
      <c r="B548" s="46">
        <v>45177</v>
      </c>
      <c r="C548" s="47">
        <v>45201</v>
      </c>
      <c r="D548" s="48">
        <f t="shared" si="62"/>
        <v>24</v>
      </c>
      <c r="E548" s="48" t="str">
        <f>TEXT(Data!B548,"MMM-YYYY")</f>
        <v>Sept-2023</v>
      </c>
      <c r="F548" s="48" t="str">
        <f t="shared" si="58"/>
        <v>Q3-2023</v>
      </c>
      <c r="G548" s="38" t="s">
        <v>52</v>
      </c>
      <c r="H548" s="38" t="s">
        <v>53</v>
      </c>
      <c r="I548" s="38" t="s">
        <v>54</v>
      </c>
      <c r="J548" s="38" t="s">
        <v>27</v>
      </c>
      <c r="K548" s="38" t="s">
        <v>98</v>
      </c>
      <c r="L548" s="38" t="s">
        <v>75</v>
      </c>
      <c r="M548" s="38" t="s">
        <v>81</v>
      </c>
      <c r="N548" s="38" t="s">
        <v>1195</v>
      </c>
      <c r="O548" s="48">
        <v>1299.03</v>
      </c>
      <c r="P548" s="49" t="str">
        <f t="shared" si="59"/>
        <v>High</v>
      </c>
      <c r="Q548" s="48">
        <v>2451.2199999999998</v>
      </c>
      <c r="R548" s="48">
        <v>0.20799999999999999</v>
      </c>
      <c r="S548" s="48">
        <v>8</v>
      </c>
      <c r="T548" s="48">
        <f t="shared" si="56"/>
        <v>4778.8646400000007</v>
      </c>
      <c r="U548" s="38">
        <f t="shared" si="57"/>
        <v>10392.24</v>
      </c>
      <c r="V548" s="48">
        <f t="shared" si="60"/>
        <v>-5613.3753599999991</v>
      </c>
      <c r="W548" s="50">
        <f t="shared" si="61"/>
        <v>-1.1746253101657214</v>
      </c>
    </row>
    <row r="549" spans="1:23" x14ac:dyDescent="0.3">
      <c r="A549" s="39" t="s">
        <v>1196</v>
      </c>
      <c r="B549" s="40">
        <v>44985</v>
      </c>
      <c r="C549" s="41">
        <v>44991</v>
      </c>
      <c r="D549" s="42">
        <f t="shared" si="62"/>
        <v>6</v>
      </c>
      <c r="E549" s="42" t="str">
        <f>TEXT(Data!B549,"MMM-YYYY")</f>
        <v>Feb-2023</v>
      </c>
      <c r="F549" s="42" t="str">
        <f t="shared" si="58"/>
        <v>Q1-2023</v>
      </c>
      <c r="G549" s="37" t="s">
        <v>78</v>
      </c>
      <c r="H549" s="37" t="s">
        <v>79</v>
      </c>
      <c r="I549" s="37" t="s">
        <v>335</v>
      </c>
      <c r="J549" s="37" t="s">
        <v>62</v>
      </c>
      <c r="K549" s="37" t="s">
        <v>40</v>
      </c>
      <c r="L549" s="37" t="s">
        <v>145</v>
      </c>
      <c r="M549" s="37" t="s">
        <v>30</v>
      </c>
      <c r="N549" s="37" t="s">
        <v>1197</v>
      </c>
      <c r="O549" s="42">
        <v>880.02</v>
      </c>
      <c r="P549" s="43" t="str">
        <f t="shared" si="59"/>
        <v>High</v>
      </c>
      <c r="Q549" s="42">
        <v>1251.21</v>
      </c>
      <c r="R549" s="42">
        <v>0.123</v>
      </c>
      <c r="S549" s="42">
        <v>29</v>
      </c>
      <c r="T549" s="42">
        <f t="shared" si="56"/>
        <v>22927.340840000001</v>
      </c>
      <c r="U549" s="37">
        <f t="shared" si="57"/>
        <v>25520.579999999998</v>
      </c>
      <c r="V549" s="42">
        <f t="shared" si="60"/>
        <v>-2593.2391599999974</v>
      </c>
      <c r="W549" s="44">
        <f t="shared" si="61"/>
        <v>-0.1131068438375428</v>
      </c>
    </row>
    <row r="550" spans="1:23" x14ac:dyDescent="0.3">
      <c r="A550" s="45" t="s">
        <v>1198</v>
      </c>
      <c r="B550" s="46">
        <v>45486</v>
      </c>
      <c r="C550" s="47">
        <v>45507</v>
      </c>
      <c r="D550" s="48">
        <f t="shared" si="62"/>
        <v>21</v>
      </c>
      <c r="E550" s="48" t="str">
        <f>TEXT(Data!B550,"MMM-YYYY")</f>
        <v>Jul-2024</v>
      </c>
      <c r="F550" s="48" t="str">
        <f t="shared" si="58"/>
        <v>Q3-2024</v>
      </c>
      <c r="G550" s="38" t="s">
        <v>52</v>
      </c>
      <c r="H550" s="38" t="s">
        <v>73</v>
      </c>
      <c r="I550" s="38" t="s">
        <v>225</v>
      </c>
      <c r="J550" s="38" t="s">
        <v>19</v>
      </c>
      <c r="K550" s="38" t="s">
        <v>40</v>
      </c>
      <c r="L550" s="38" t="s">
        <v>110</v>
      </c>
      <c r="M550" s="38" t="s">
        <v>64</v>
      </c>
      <c r="N550" s="38" t="s">
        <v>1199</v>
      </c>
      <c r="O550" s="48">
        <v>702.98</v>
      </c>
      <c r="P550" s="49" t="str">
        <f t="shared" si="59"/>
        <v>High</v>
      </c>
      <c r="Q550" s="48">
        <v>1104.8</v>
      </c>
      <c r="R550" s="48">
        <v>0.17499999999999999</v>
      </c>
      <c r="S550" s="48">
        <v>12</v>
      </c>
      <c r="T550" s="48">
        <f t="shared" si="56"/>
        <v>1119.492</v>
      </c>
      <c r="U550" s="38">
        <f t="shared" si="57"/>
        <v>8435.76</v>
      </c>
      <c r="V550" s="48">
        <f t="shared" si="60"/>
        <v>-7316.268</v>
      </c>
      <c r="W550" s="50">
        <f t="shared" si="61"/>
        <v>-6.5353463892551265</v>
      </c>
    </row>
    <row r="551" spans="1:23" x14ac:dyDescent="0.3">
      <c r="A551" s="39" t="s">
        <v>1200</v>
      </c>
      <c r="B551" s="40">
        <v>45633</v>
      </c>
      <c r="C551" s="41">
        <v>45652</v>
      </c>
      <c r="D551" s="42">
        <f t="shared" si="62"/>
        <v>19</v>
      </c>
      <c r="E551" s="42" t="str">
        <f>TEXT(Data!B551,"MMM-YYYY")</f>
        <v>Dec-2024</v>
      </c>
      <c r="F551" s="42" t="str">
        <f t="shared" si="58"/>
        <v>Q4-2024</v>
      </c>
      <c r="G551" s="37" t="s">
        <v>78</v>
      </c>
      <c r="H551" s="37" t="s">
        <v>108</v>
      </c>
      <c r="I551" s="37" t="s">
        <v>152</v>
      </c>
      <c r="J551" s="37" t="s">
        <v>105</v>
      </c>
      <c r="K551" s="37" t="s">
        <v>28</v>
      </c>
      <c r="L551" s="37" t="s">
        <v>145</v>
      </c>
      <c r="M551" s="37" t="s">
        <v>35</v>
      </c>
      <c r="N551" s="37" t="s">
        <v>1201</v>
      </c>
      <c r="O551" s="42">
        <v>1035.24</v>
      </c>
      <c r="P551" s="43" t="str">
        <f t="shared" si="59"/>
        <v>High</v>
      </c>
      <c r="Q551" s="42">
        <v>2383.41</v>
      </c>
      <c r="R551" s="42">
        <v>0.17</v>
      </c>
      <c r="S551" s="42">
        <v>15</v>
      </c>
      <c r="T551" s="42">
        <f t="shared" si="56"/>
        <v>10814.319</v>
      </c>
      <c r="U551" s="37">
        <f t="shared" si="57"/>
        <v>15528.6</v>
      </c>
      <c r="V551" s="42">
        <f t="shared" si="60"/>
        <v>-4714.2810000000009</v>
      </c>
      <c r="W551" s="44">
        <f t="shared" si="61"/>
        <v>-0.43592953009801183</v>
      </c>
    </row>
    <row r="552" spans="1:23" x14ac:dyDescent="0.3">
      <c r="A552" s="45" t="s">
        <v>1202</v>
      </c>
      <c r="B552" s="46">
        <v>45875</v>
      </c>
      <c r="C552" s="47">
        <v>45892</v>
      </c>
      <c r="D552" s="48">
        <f t="shared" si="62"/>
        <v>17</v>
      </c>
      <c r="E552" s="48" t="str">
        <f>TEXT(Data!B552,"MMM-YYYY")</f>
        <v>Aug-2025</v>
      </c>
      <c r="F552" s="48" t="str">
        <f t="shared" si="58"/>
        <v>Q3-2025</v>
      </c>
      <c r="G552" s="38" t="s">
        <v>52</v>
      </c>
      <c r="H552" s="38" t="s">
        <v>73</v>
      </c>
      <c r="I552" s="38" t="s">
        <v>87</v>
      </c>
      <c r="J552" s="38" t="s">
        <v>48</v>
      </c>
      <c r="K552" s="38" t="s">
        <v>55</v>
      </c>
      <c r="L552" s="38" t="s">
        <v>75</v>
      </c>
      <c r="M552" s="38" t="s">
        <v>64</v>
      </c>
      <c r="N552" s="38" t="s">
        <v>1203</v>
      </c>
      <c r="O552" s="48">
        <v>86.64</v>
      </c>
      <c r="P552" s="49" t="str">
        <f t="shared" si="59"/>
        <v>High</v>
      </c>
      <c r="Q552" s="48">
        <v>213.06</v>
      </c>
      <c r="R552" s="48">
        <v>0.21199999999999999</v>
      </c>
      <c r="S552" s="48">
        <v>11</v>
      </c>
      <c r="T552" s="48">
        <f t="shared" si="56"/>
        <v>3015.5971999999997</v>
      </c>
      <c r="U552" s="38">
        <f t="shared" si="57"/>
        <v>953.04</v>
      </c>
      <c r="V552" s="48">
        <f t="shared" si="60"/>
        <v>2062.5571999999997</v>
      </c>
      <c r="W552" s="50">
        <f t="shared" si="61"/>
        <v>0.68396309692819712</v>
      </c>
    </row>
    <row r="553" spans="1:23" x14ac:dyDescent="0.3">
      <c r="A553" s="39" t="s">
        <v>1204</v>
      </c>
      <c r="B553" s="40">
        <v>44988</v>
      </c>
      <c r="C553" s="41">
        <v>45005</v>
      </c>
      <c r="D553" s="42">
        <f t="shared" si="62"/>
        <v>17</v>
      </c>
      <c r="E553" s="42" t="str">
        <f>TEXT(Data!B553,"MMM-YYYY")</f>
        <v>Mar-2023</v>
      </c>
      <c r="F553" s="42" t="str">
        <f t="shared" si="58"/>
        <v>Q1-2023</v>
      </c>
      <c r="G553" s="37" t="s">
        <v>45</v>
      </c>
      <c r="H553" s="37" t="s">
        <v>46</v>
      </c>
      <c r="I553" s="37" t="s">
        <v>231</v>
      </c>
      <c r="J553" s="37" t="s">
        <v>62</v>
      </c>
      <c r="K553" s="37" t="s">
        <v>28</v>
      </c>
      <c r="L553" s="37" t="s">
        <v>145</v>
      </c>
      <c r="M553" s="37" t="s">
        <v>35</v>
      </c>
      <c r="N553" s="37" t="s">
        <v>1205</v>
      </c>
      <c r="O553" s="42">
        <v>1171.17</v>
      </c>
      <c r="P553" s="43" t="str">
        <f t="shared" si="59"/>
        <v>High</v>
      </c>
      <c r="Q553" s="42">
        <v>2030.64</v>
      </c>
      <c r="R553" s="42">
        <v>0.157</v>
      </c>
      <c r="S553" s="42">
        <v>11</v>
      </c>
      <c r="T553" s="42">
        <f t="shared" si="56"/>
        <v>10310.463239999999</v>
      </c>
      <c r="U553" s="37">
        <f t="shared" si="57"/>
        <v>12882.87</v>
      </c>
      <c r="V553" s="42">
        <f t="shared" si="60"/>
        <v>-2572.4067600000017</v>
      </c>
      <c r="W553" s="44">
        <f t="shared" si="61"/>
        <v>-0.24949478021707217</v>
      </c>
    </row>
    <row r="554" spans="1:23" x14ac:dyDescent="0.3">
      <c r="A554" s="45" t="s">
        <v>1206</v>
      </c>
      <c r="B554" s="46">
        <v>45704</v>
      </c>
      <c r="C554" s="47">
        <v>45733</v>
      </c>
      <c r="D554" s="48">
        <f t="shared" si="62"/>
        <v>1</v>
      </c>
      <c r="E554" s="48" t="str">
        <f>TEXT(Data!B554,"MMM-YYYY")</f>
        <v>Feb-2025</v>
      </c>
      <c r="F554" s="48" t="str">
        <f t="shared" si="58"/>
        <v>Q1-2025</v>
      </c>
      <c r="G554" s="38" t="s">
        <v>78</v>
      </c>
      <c r="H554" s="38" t="s">
        <v>79</v>
      </c>
      <c r="I554" s="38" t="s">
        <v>159</v>
      </c>
      <c r="J554" s="38" t="s">
        <v>48</v>
      </c>
      <c r="K554" s="38" t="s">
        <v>20</v>
      </c>
      <c r="L554" s="38" t="s">
        <v>49</v>
      </c>
      <c r="M554" s="38" t="s">
        <v>81</v>
      </c>
      <c r="N554" s="38" t="s">
        <v>1207</v>
      </c>
      <c r="O554" s="48">
        <v>730.42</v>
      </c>
      <c r="P554" s="49" t="str">
        <f t="shared" si="59"/>
        <v>High</v>
      </c>
      <c r="Q554" s="48">
        <v>956.7</v>
      </c>
      <c r="R554" s="48">
        <v>4.2000000000000003E-2</v>
      </c>
      <c r="S554" s="48">
        <v>22</v>
      </c>
      <c r="T554" s="48">
        <f t="shared" si="56"/>
        <v>6907.0267199999998</v>
      </c>
      <c r="U554" s="38">
        <f t="shared" si="57"/>
        <v>16069.24</v>
      </c>
      <c r="V554" s="48">
        <f t="shared" si="60"/>
        <v>-9162.2132799999999</v>
      </c>
      <c r="W554" s="50">
        <f t="shared" si="61"/>
        <v>-1.3265061293986133</v>
      </c>
    </row>
    <row r="555" spans="1:23" x14ac:dyDescent="0.3">
      <c r="A555" s="39" t="s">
        <v>1208</v>
      </c>
      <c r="B555" s="40">
        <v>45703</v>
      </c>
      <c r="C555" s="41">
        <v>45717</v>
      </c>
      <c r="D555" s="42">
        <f t="shared" si="62"/>
        <v>14</v>
      </c>
      <c r="E555" s="42" t="str">
        <f>TEXT(Data!B555,"MMM-YYYY")</f>
        <v>Feb-2025</v>
      </c>
      <c r="F555" s="42" t="str">
        <f t="shared" si="58"/>
        <v>Q1-2025</v>
      </c>
      <c r="G555" s="37" t="s">
        <v>16</v>
      </c>
      <c r="H555" s="37" t="s">
        <v>17</v>
      </c>
      <c r="I555" s="37" t="s">
        <v>113</v>
      </c>
      <c r="J555" s="37" t="s">
        <v>27</v>
      </c>
      <c r="K555" s="37" t="s">
        <v>98</v>
      </c>
      <c r="L555" s="37" t="s">
        <v>49</v>
      </c>
      <c r="M555" s="37" t="s">
        <v>81</v>
      </c>
      <c r="N555" s="37" t="s">
        <v>1209</v>
      </c>
      <c r="O555" s="42">
        <v>1162.8599999999999</v>
      </c>
      <c r="P555" s="43" t="str">
        <f t="shared" si="59"/>
        <v>High</v>
      </c>
      <c r="Q555" s="42">
        <v>1447.68</v>
      </c>
      <c r="R555" s="42">
        <v>8.6999999999999994E-2</v>
      </c>
      <c r="S555" s="42">
        <v>12</v>
      </c>
      <c r="T555" s="42">
        <f t="shared" si="56"/>
        <v>5326.0402800000002</v>
      </c>
      <c r="U555" s="37">
        <f t="shared" si="57"/>
        <v>13954.32</v>
      </c>
      <c r="V555" s="42">
        <f t="shared" si="60"/>
        <v>-8628.2797199999986</v>
      </c>
      <c r="W555" s="44">
        <f t="shared" si="61"/>
        <v>-1.6200177367040112</v>
      </c>
    </row>
    <row r="556" spans="1:23" x14ac:dyDescent="0.3">
      <c r="A556" s="45" t="s">
        <v>1210</v>
      </c>
      <c r="B556" s="46">
        <v>45535</v>
      </c>
      <c r="C556" s="47">
        <v>45561</v>
      </c>
      <c r="D556" s="48">
        <f t="shared" si="62"/>
        <v>26</v>
      </c>
      <c r="E556" s="48" t="str">
        <f>TEXT(Data!B556,"MMM-YYYY")</f>
        <v>Aug-2024</v>
      </c>
      <c r="F556" s="48" t="str">
        <f t="shared" si="58"/>
        <v>Q3-2024</v>
      </c>
      <c r="G556" s="38" t="s">
        <v>45</v>
      </c>
      <c r="H556" s="38" t="s">
        <v>46</v>
      </c>
      <c r="I556" s="38" t="s">
        <v>214</v>
      </c>
      <c r="J556" s="38" t="s">
        <v>27</v>
      </c>
      <c r="K556" s="38" t="s">
        <v>28</v>
      </c>
      <c r="L556" s="38" t="s">
        <v>34</v>
      </c>
      <c r="M556" s="38" t="s">
        <v>42</v>
      </c>
      <c r="N556" s="38" t="s">
        <v>1211</v>
      </c>
      <c r="O556" s="48">
        <v>1189.03</v>
      </c>
      <c r="P556" s="49" t="str">
        <f t="shared" si="59"/>
        <v>High</v>
      </c>
      <c r="Q556" s="48">
        <v>2949.62</v>
      </c>
      <c r="R556" s="48">
        <v>0.125</v>
      </c>
      <c r="S556" s="48">
        <v>13</v>
      </c>
      <c r="T556" s="48">
        <f t="shared" si="56"/>
        <v>23507.575000000001</v>
      </c>
      <c r="U556" s="38">
        <f t="shared" si="57"/>
        <v>15457.39</v>
      </c>
      <c r="V556" s="48">
        <f t="shared" si="60"/>
        <v>8050.1850000000013</v>
      </c>
      <c r="W556" s="50">
        <f t="shared" si="61"/>
        <v>0.34245067813247437</v>
      </c>
    </row>
    <row r="557" spans="1:23" x14ac:dyDescent="0.3">
      <c r="A557" s="39" t="s">
        <v>1212</v>
      </c>
      <c r="B557" s="40">
        <v>45053</v>
      </c>
      <c r="C557" s="41">
        <v>45066</v>
      </c>
      <c r="D557" s="42">
        <f t="shared" si="62"/>
        <v>13</v>
      </c>
      <c r="E557" s="42" t="str">
        <f>TEXT(Data!B557,"MMM-YYYY")</f>
        <v>May-2023</v>
      </c>
      <c r="F557" s="42" t="str">
        <f t="shared" si="58"/>
        <v>Q2-2023</v>
      </c>
      <c r="G557" s="37" t="s">
        <v>45</v>
      </c>
      <c r="H557" s="37" t="s">
        <v>60</v>
      </c>
      <c r="I557" s="37" t="s">
        <v>220</v>
      </c>
      <c r="J557" s="37" t="s">
        <v>105</v>
      </c>
      <c r="K557" s="37" t="s">
        <v>20</v>
      </c>
      <c r="L557" s="37" t="s">
        <v>145</v>
      </c>
      <c r="M557" s="37" t="s">
        <v>81</v>
      </c>
      <c r="N557" s="37" t="s">
        <v>1213</v>
      </c>
      <c r="O557" s="42">
        <v>1443.28</v>
      </c>
      <c r="P557" s="43" t="str">
        <f t="shared" si="59"/>
        <v>High</v>
      </c>
      <c r="Q557" s="42">
        <v>2580.5700000000002</v>
      </c>
      <c r="R557" s="42">
        <v>0</v>
      </c>
      <c r="S557" s="42">
        <v>18</v>
      </c>
      <c r="T557" s="42">
        <f t="shared" si="56"/>
        <v>1551.6000000000001</v>
      </c>
      <c r="U557" s="37">
        <f t="shared" si="57"/>
        <v>25979.040000000001</v>
      </c>
      <c r="V557" s="42">
        <f t="shared" si="60"/>
        <v>-24427.440000000002</v>
      </c>
      <c r="W557" s="44">
        <f t="shared" si="61"/>
        <v>-15.74338747099768</v>
      </c>
    </row>
    <row r="558" spans="1:23" x14ac:dyDescent="0.3">
      <c r="A558" s="45" t="s">
        <v>1214</v>
      </c>
      <c r="B558" s="46">
        <v>45791</v>
      </c>
      <c r="C558" s="47">
        <v>45789</v>
      </c>
      <c r="D558" s="48">
        <f>DATEDIF(C558,B558, "MD")</f>
        <v>2</v>
      </c>
      <c r="E558" s="48" t="str">
        <f>TEXT(Data!B558,"MMM-YYYY")</f>
        <v>May-2025</v>
      </c>
      <c r="F558" s="48" t="str">
        <f t="shared" si="58"/>
        <v>Q2-2025</v>
      </c>
      <c r="G558" s="38" t="s">
        <v>52</v>
      </c>
      <c r="H558" s="38" t="s">
        <v>53</v>
      </c>
      <c r="I558" s="38" t="s">
        <v>179</v>
      </c>
      <c r="J558" s="38" t="s">
        <v>39</v>
      </c>
      <c r="K558" s="38" t="s">
        <v>55</v>
      </c>
      <c r="L558" s="38" t="s">
        <v>84</v>
      </c>
      <c r="M558" s="38" t="s">
        <v>30</v>
      </c>
      <c r="N558" s="38" t="s">
        <v>1215</v>
      </c>
      <c r="O558" s="48">
        <v>883.5</v>
      </c>
      <c r="P558" s="49" t="str">
        <f t="shared" si="59"/>
        <v>High</v>
      </c>
      <c r="Q558" s="48">
        <v>1978.91</v>
      </c>
      <c r="R558" s="48">
        <v>5.3999999999999999E-2</v>
      </c>
      <c r="S558" s="48">
        <v>27</v>
      </c>
      <c r="T558" s="48">
        <f t="shared" si="56"/>
        <v>58944.550499999998</v>
      </c>
      <c r="U558" s="38">
        <f t="shared" si="57"/>
        <v>23854.5</v>
      </c>
      <c r="V558" s="48">
        <f t="shared" si="60"/>
        <v>35090.050499999998</v>
      </c>
      <c r="W558" s="50">
        <f t="shared" si="61"/>
        <v>0.59530610043416987</v>
      </c>
    </row>
    <row r="559" spans="1:23" x14ac:dyDescent="0.3">
      <c r="A559" s="39" t="s">
        <v>1216</v>
      </c>
      <c r="B559" s="40">
        <v>45362</v>
      </c>
      <c r="C559" s="41">
        <v>45380</v>
      </c>
      <c r="D559" s="42">
        <f t="shared" si="62"/>
        <v>18</v>
      </c>
      <c r="E559" s="42" t="str">
        <f>TEXT(Data!B559,"MMM-YYYY")</f>
        <v>Mar-2024</v>
      </c>
      <c r="F559" s="42" t="str">
        <f t="shared" si="58"/>
        <v>Q1-2024</v>
      </c>
      <c r="G559" s="37" t="s">
        <v>52</v>
      </c>
      <c r="H559" s="37" t="s">
        <v>122</v>
      </c>
      <c r="I559" s="37" t="s">
        <v>387</v>
      </c>
      <c r="J559" s="37" t="s">
        <v>19</v>
      </c>
      <c r="K559" s="37" t="s">
        <v>20</v>
      </c>
      <c r="L559" s="37" t="s">
        <v>110</v>
      </c>
      <c r="M559" s="37" t="s">
        <v>64</v>
      </c>
      <c r="N559" s="37" t="s">
        <v>1217</v>
      </c>
      <c r="O559" s="42">
        <v>710.98</v>
      </c>
      <c r="P559" s="43" t="str">
        <f t="shared" si="59"/>
        <v>High</v>
      </c>
      <c r="Q559" s="42">
        <v>1481.45</v>
      </c>
      <c r="R559" s="42">
        <v>0.21099999999999999</v>
      </c>
      <c r="S559" s="42">
        <v>9</v>
      </c>
      <c r="T559" s="42">
        <f t="shared" si="56"/>
        <v>7902.0638099999996</v>
      </c>
      <c r="U559" s="37">
        <f t="shared" si="57"/>
        <v>6398.82</v>
      </c>
      <c r="V559" s="42">
        <f t="shared" si="60"/>
        <v>1503.2438099999999</v>
      </c>
      <c r="W559" s="44">
        <f t="shared" si="61"/>
        <v>0.19023432942893434</v>
      </c>
    </row>
    <row r="560" spans="1:23" x14ac:dyDescent="0.3">
      <c r="A560" s="45" t="s">
        <v>1218</v>
      </c>
      <c r="B560" s="46">
        <v>45430</v>
      </c>
      <c r="C560" s="47">
        <v>45434</v>
      </c>
      <c r="D560" s="48">
        <f t="shared" si="62"/>
        <v>4</v>
      </c>
      <c r="E560" s="48" t="str">
        <f>TEXT(Data!B560,"MMM-YYYY")</f>
        <v>May-2024</v>
      </c>
      <c r="F560" s="48" t="str">
        <f t="shared" si="58"/>
        <v>Q2-2024</v>
      </c>
      <c r="G560" s="38" t="s">
        <v>16</v>
      </c>
      <c r="H560" s="38" t="s">
        <v>17</v>
      </c>
      <c r="I560" s="38" t="s">
        <v>33</v>
      </c>
      <c r="J560" s="38" t="s">
        <v>19</v>
      </c>
      <c r="K560" s="38" t="s">
        <v>98</v>
      </c>
      <c r="L560" s="38" t="s">
        <v>92</v>
      </c>
      <c r="M560" s="38" t="s">
        <v>81</v>
      </c>
      <c r="N560" s="38" t="s">
        <v>1219</v>
      </c>
      <c r="O560" s="48">
        <v>857.42</v>
      </c>
      <c r="P560" s="49" t="str">
        <f t="shared" si="59"/>
        <v>High</v>
      </c>
      <c r="Q560" s="48">
        <v>1658.92</v>
      </c>
      <c r="R560" s="48">
        <v>0.122</v>
      </c>
      <c r="S560" s="48">
        <v>9</v>
      </c>
      <c r="T560" s="48">
        <f t="shared" si="56"/>
        <v>8897.572979999999</v>
      </c>
      <c r="U560" s="38">
        <f t="shared" si="57"/>
        <v>7716.78</v>
      </c>
      <c r="V560" s="48">
        <f t="shared" si="60"/>
        <v>1180.7929799999993</v>
      </c>
      <c r="W560" s="50">
        <f t="shared" si="61"/>
        <v>0.13270955828675871</v>
      </c>
    </row>
    <row r="561" spans="1:23" x14ac:dyDescent="0.3">
      <c r="A561" s="39" t="s">
        <v>1220</v>
      </c>
      <c r="B561" s="40">
        <v>45299</v>
      </c>
      <c r="C561" s="41">
        <v>45303</v>
      </c>
      <c r="D561" s="42">
        <f t="shared" si="62"/>
        <v>4</v>
      </c>
      <c r="E561" s="42" t="str">
        <f>TEXT(Data!B561,"MMM-YYYY")</f>
        <v>Jan-2024</v>
      </c>
      <c r="F561" s="42" t="str">
        <f t="shared" si="58"/>
        <v>Q1-2024</v>
      </c>
      <c r="G561" s="37" t="s">
        <v>45</v>
      </c>
      <c r="H561" s="37" t="s">
        <v>60</v>
      </c>
      <c r="I561" s="37" t="s">
        <v>61</v>
      </c>
      <c r="J561" s="37" t="s">
        <v>19</v>
      </c>
      <c r="K561" s="37" t="s">
        <v>98</v>
      </c>
      <c r="L561" s="37" t="s">
        <v>63</v>
      </c>
      <c r="M561" s="37" t="s">
        <v>30</v>
      </c>
      <c r="N561" s="37" t="s">
        <v>1221</v>
      </c>
      <c r="O561" s="42">
        <v>802.32</v>
      </c>
      <c r="P561" s="43" t="str">
        <f t="shared" si="59"/>
        <v>High</v>
      </c>
      <c r="Q561" s="42">
        <v>602.34</v>
      </c>
      <c r="R561" s="42">
        <v>0.12</v>
      </c>
      <c r="S561" s="42">
        <v>25</v>
      </c>
      <c r="T561" s="42">
        <f t="shared" si="56"/>
        <v>2719.64</v>
      </c>
      <c r="U561" s="37">
        <f t="shared" si="57"/>
        <v>20058</v>
      </c>
      <c r="V561" s="42">
        <f t="shared" si="60"/>
        <v>-17338.36</v>
      </c>
      <c r="W561" s="44">
        <f t="shared" si="61"/>
        <v>-6.3752408406995045</v>
      </c>
    </row>
    <row r="562" spans="1:23" x14ac:dyDescent="0.3">
      <c r="A562" s="45" t="s">
        <v>1222</v>
      </c>
      <c r="B562" s="46">
        <v>45590</v>
      </c>
      <c r="C562" s="47">
        <v>45601</v>
      </c>
      <c r="D562" s="48">
        <f t="shared" si="62"/>
        <v>11</v>
      </c>
      <c r="E562" s="48" t="str">
        <f>TEXT(Data!B562,"MMM-YYYY")</f>
        <v>Oct-2024</v>
      </c>
      <c r="F562" s="48" t="str">
        <f t="shared" si="58"/>
        <v>Q4-2024</v>
      </c>
      <c r="G562" s="38" t="s">
        <v>52</v>
      </c>
      <c r="H562" s="38" t="s">
        <v>122</v>
      </c>
      <c r="I562" s="38" t="s">
        <v>387</v>
      </c>
      <c r="J562" s="38" t="s">
        <v>19</v>
      </c>
      <c r="K562" s="38" t="s">
        <v>55</v>
      </c>
      <c r="L562" s="38" t="s">
        <v>126</v>
      </c>
      <c r="M562" s="38" t="s">
        <v>22</v>
      </c>
      <c r="N562" s="38" t="s">
        <v>1223</v>
      </c>
      <c r="O562" s="48">
        <v>446.66</v>
      </c>
      <c r="P562" s="49" t="str">
        <f t="shared" si="59"/>
        <v>High</v>
      </c>
      <c r="Q562" s="48">
        <v>527.64</v>
      </c>
      <c r="R562" s="48">
        <v>0.14499999999999999</v>
      </c>
      <c r="S562" s="48">
        <v>15</v>
      </c>
      <c r="T562" s="48">
        <f t="shared" si="56"/>
        <v>22209.693749999999</v>
      </c>
      <c r="U562" s="38">
        <f t="shared" si="57"/>
        <v>6699.9000000000005</v>
      </c>
      <c r="V562" s="48">
        <f t="shared" si="60"/>
        <v>15509.793749999997</v>
      </c>
      <c r="W562" s="50">
        <f t="shared" si="61"/>
        <v>0.6983344266059498</v>
      </c>
    </row>
    <row r="563" spans="1:23" x14ac:dyDescent="0.3">
      <c r="A563" s="39" t="s">
        <v>1224</v>
      </c>
      <c r="B563" s="40">
        <v>45626</v>
      </c>
      <c r="C563" s="41">
        <v>45645</v>
      </c>
      <c r="D563" s="42">
        <f t="shared" si="62"/>
        <v>19</v>
      </c>
      <c r="E563" s="42" t="str">
        <f>TEXT(Data!B563,"MMM-YYYY")</f>
        <v>Nov-2024</v>
      </c>
      <c r="F563" s="42" t="str">
        <f t="shared" si="58"/>
        <v>Q4-2024</v>
      </c>
      <c r="G563" s="37" t="s">
        <v>16</v>
      </c>
      <c r="H563" s="37" t="s">
        <v>17</v>
      </c>
      <c r="I563" s="37" t="s">
        <v>18</v>
      </c>
      <c r="J563" s="37" t="s">
        <v>19</v>
      </c>
      <c r="K563" s="37" t="s">
        <v>28</v>
      </c>
      <c r="L563" s="37" t="s">
        <v>49</v>
      </c>
      <c r="M563" s="37" t="s">
        <v>42</v>
      </c>
      <c r="N563" s="37" t="s">
        <v>1225</v>
      </c>
      <c r="O563" s="42">
        <v>1195.98</v>
      </c>
      <c r="P563" s="43" t="str">
        <f t="shared" si="59"/>
        <v>High</v>
      </c>
      <c r="Q563" s="42">
        <v>1841.9</v>
      </c>
      <c r="R563" s="42">
        <v>5.5E-2</v>
      </c>
      <c r="S563" s="42">
        <v>19</v>
      </c>
      <c r="T563" s="42">
        <f t="shared" si="56"/>
        <v>54978.38955</v>
      </c>
      <c r="U563" s="37">
        <f t="shared" si="57"/>
        <v>22723.62</v>
      </c>
      <c r="V563" s="42">
        <f t="shared" si="60"/>
        <v>32254.769550000001</v>
      </c>
      <c r="W563" s="44">
        <f t="shared" si="61"/>
        <v>0.58668087250293055</v>
      </c>
    </row>
    <row r="564" spans="1:23" x14ac:dyDescent="0.3">
      <c r="A564" s="45" t="s">
        <v>1226</v>
      </c>
      <c r="B564" s="46">
        <v>45029</v>
      </c>
      <c r="C564" s="47">
        <v>45048</v>
      </c>
      <c r="D564" s="48">
        <f t="shared" si="62"/>
        <v>19</v>
      </c>
      <c r="E564" s="48" t="str">
        <f>TEXT(Data!B564,"MMM-YYYY")</f>
        <v>Apr-2023</v>
      </c>
      <c r="F564" s="48" t="str">
        <f t="shared" si="58"/>
        <v>Q2-2023</v>
      </c>
      <c r="G564" s="38" t="s">
        <v>52</v>
      </c>
      <c r="H564" s="38" t="s">
        <v>53</v>
      </c>
      <c r="I564" s="38" t="s">
        <v>144</v>
      </c>
      <c r="J564" s="38" t="s">
        <v>48</v>
      </c>
      <c r="K564" s="38" t="s">
        <v>55</v>
      </c>
      <c r="L564" s="38" t="s">
        <v>63</v>
      </c>
      <c r="M564" s="38" t="s">
        <v>64</v>
      </c>
      <c r="N564" s="38" t="s">
        <v>1227</v>
      </c>
      <c r="O564" s="48">
        <v>671.05</v>
      </c>
      <c r="P564" s="49" t="str">
        <f t="shared" si="59"/>
        <v>High</v>
      </c>
      <c r="Q564" s="48">
        <v>1645.48</v>
      </c>
      <c r="R564" s="48">
        <v>0.13700000000000001</v>
      </c>
      <c r="S564" s="48">
        <v>6</v>
      </c>
      <c r="T564" s="48">
        <f t="shared" si="56"/>
        <v>11393.722979999999</v>
      </c>
      <c r="U564" s="38">
        <f t="shared" si="57"/>
        <v>4026.2999999999997</v>
      </c>
      <c r="V564" s="48">
        <f t="shared" si="60"/>
        <v>7367.4229799999994</v>
      </c>
      <c r="W564" s="50">
        <f t="shared" si="61"/>
        <v>0.64662121353419111</v>
      </c>
    </row>
    <row r="565" spans="1:23" x14ac:dyDescent="0.3">
      <c r="A565" s="39" t="s">
        <v>1228</v>
      </c>
      <c r="B565" s="40">
        <v>45692</v>
      </c>
      <c r="C565" s="41">
        <v>45696</v>
      </c>
      <c r="D565" s="42">
        <f t="shared" si="62"/>
        <v>4</v>
      </c>
      <c r="E565" s="42" t="str">
        <f>TEXT(Data!B565,"MMM-YYYY")</f>
        <v>Feb-2025</v>
      </c>
      <c r="F565" s="42" t="str">
        <f t="shared" si="58"/>
        <v>Q1-2025</v>
      </c>
      <c r="G565" s="37" t="s">
        <v>78</v>
      </c>
      <c r="H565" s="37" t="s">
        <v>108</v>
      </c>
      <c r="I565" s="37" t="s">
        <v>228</v>
      </c>
      <c r="J565" s="37" t="s">
        <v>105</v>
      </c>
      <c r="K565" s="37" t="s">
        <v>40</v>
      </c>
      <c r="L565" s="37" t="s">
        <v>49</v>
      </c>
      <c r="M565" s="37" t="s">
        <v>35</v>
      </c>
      <c r="N565" s="37" t="s">
        <v>1229</v>
      </c>
      <c r="O565" s="42">
        <v>586.21</v>
      </c>
      <c r="P565" s="43" t="str">
        <f t="shared" si="59"/>
        <v>High</v>
      </c>
      <c r="Q565" s="42">
        <v>727.22</v>
      </c>
      <c r="R565" s="42">
        <v>6.8000000000000005E-2</v>
      </c>
      <c r="S565" s="42">
        <v>15</v>
      </c>
      <c r="T565" s="42">
        <f t="shared" si="56"/>
        <v>8408.8302000000003</v>
      </c>
      <c r="U565" s="37">
        <f t="shared" si="57"/>
        <v>8793.1500000000015</v>
      </c>
      <c r="V565" s="42">
        <f t="shared" si="60"/>
        <v>-384.31980000000112</v>
      </c>
      <c r="W565" s="44">
        <f t="shared" si="61"/>
        <v>-4.5704312117041096E-2</v>
      </c>
    </row>
    <row r="566" spans="1:23" x14ac:dyDescent="0.3">
      <c r="A566" s="45" t="s">
        <v>1230</v>
      </c>
      <c r="B566" s="46">
        <v>45315</v>
      </c>
      <c r="C566" s="47">
        <v>45326</v>
      </c>
      <c r="D566" s="48">
        <f t="shared" si="62"/>
        <v>11</v>
      </c>
      <c r="E566" s="48" t="str">
        <f>TEXT(Data!B566,"MMM-YYYY")</f>
        <v>Jan-2024</v>
      </c>
      <c r="F566" s="48" t="str">
        <f t="shared" si="58"/>
        <v>Q1-2024</v>
      </c>
      <c r="G566" s="38" t="s">
        <v>78</v>
      </c>
      <c r="H566" s="38" t="s">
        <v>108</v>
      </c>
      <c r="I566" s="38" t="s">
        <v>228</v>
      </c>
      <c r="J566" s="38" t="s">
        <v>48</v>
      </c>
      <c r="K566" s="38" t="s">
        <v>20</v>
      </c>
      <c r="L566" s="38" t="s">
        <v>56</v>
      </c>
      <c r="M566" s="38" t="s">
        <v>57</v>
      </c>
      <c r="N566" s="38" t="s">
        <v>1231</v>
      </c>
      <c r="O566" s="48">
        <v>525.34</v>
      </c>
      <c r="P566" s="49" t="str">
        <f t="shared" si="59"/>
        <v>High</v>
      </c>
      <c r="Q566" s="48">
        <v>1233.79</v>
      </c>
      <c r="R566" s="48">
        <v>0.14299999999999999</v>
      </c>
      <c r="S566" s="48">
        <v>4</v>
      </c>
      <c r="T566" s="48">
        <f t="shared" si="56"/>
        <v>3248.9555599999999</v>
      </c>
      <c r="U566" s="38">
        <f t="shared" si="57"/>
        <v>2101.36</v>
      </c>
      <c r="V566" s="48">
        <f t="shared" si="60"/>
        <v>1147.5955599999998</v>
      </c>
      <c r="W566" s="50">
        <f t="shared" si="61"/>
        <v>0.35321983905498533</v>
      </c>
    </row>
    <row r="567" spans="1:23" x14ac:dyDescent="0.3">
      <c r="A567" s="39" t="s">
        <v>1232</v>
      </c>
      <c r="B567" s="40">
        <v>45330</v>
      </c>
      <c r="C567" s="41">
        <v>45331</v>
      </c>
      <c r="D567" s="42">
        <f t="shared" si="62"/>
        <v>1</v>
      </c>
      <c r="E567" s="42" t="str">
        <f>TEXT(Data!B567,"MMM-YYYY")</f>
        <v>Feb-2024</v>
      </c>
      <c r="F567" s="42" t="str">
        <f t="shared" si="58"/>
        <v>Q1-2024</v>
      </c>
      <c r="G567" s="37" t="s">
        <v>16</v>
      </c>
      <c r="H567" s="37" t="s">
        <v>17</v>
      </c>
      <c r="I567" s="37" t="s">
        <v>113</v>
      </c>
      <c r="J567" s="37" t="s">
        <v>19</v>
      </c>
      <c r="K567" s="37" t="s">
        <v>98</v>
      </c>
      <c r="L567" s="37" t="s">
        <v>84</v>
      </c>
      <c r="M567" s="37" t="s">
        <v>22</v>
      </c>
      <c r="N567" s="37" t="s">
        <v>1233</v>
      </c>
      <c r="O567" s="42">
        <v>1233.52</v>
      </c>
      <c r="P567" s="43" t="str">
        <f t="shared" si="59"/>
        <v>High</v>
      </c>
      <c r="Q567" s="42">
        <v>1543.76</v>
      </c>
      <c r="R567" s="42">
        <v>0.126</v>
      </c>
      <c r="S567" s="42">
        <v>13</v>
      </c>
      <c r="T567" s="42">
        <f t="shared" si="56"/>
        <v>26490.27576</v>
      </c>
      <c r="U567" s="37">
        <f t="shared" si="57"/>
        <v>16035.76</v>
      </c>
      <c r="V567" s="42">
        <f t="shared" si="60"/>
        <v>10454.51576</v>
      </c>
      <c r="W567" s="44">
        <f t="shared" si="61"/>
        <v>0.39465484824382968</v>
      </c>
    </row>
    <row r="568" spans="1:23" x14ac:dyDescent="0.3">
      <c r="A568" s="45" t="s">
        <v>1234</v>
      </c>
      <c r="B568" s="46">
        <v>45834</v>
      </c>
      <c r="C568" s="47">
        <v>45849</v>
      </c>
      <c r="D568" s="48">
        <f t="shared" si="62"/>
        <v>15</v>
      </c>
      <c r="E568" s="48" t="str">
        <f>TEXT(Data!B568,"MMM-YYYY")</f>
        <v>Jun-2025</v>
      </c>
      <c r="F568" s="48" t="str">
        <f t="shared" si="58"/>
        <v>Q2-2025</v>
      </c>
      <c r="G568" s="38" t="s">
        <v>16</v>
      </c>
      <c r="H568" s="38" t="s">
        <v>25</v>
      </c>
      <c r="I568" s="38" t="s">
        <v>26</v>
      </c>
      <c r="J568" s="38" t="s">
        <v>62</v>
      </c>
      <c r="K568" s="38" t="s">
        <v>28</v>
      </c>
      <c r="L568" s="38" t="s">
        <v>75</v>
      </c>
      <c r="M568" s="38" t="s">
        <v>57</v>
      </c>
      <c r="N568" s="38" t="s">
        <v>1235</v>
      </c>
      <c r="O568" s="48">
        <v>1170.1500000000001</v>
      </c>
      <c r="P568" s="49" t="str">
        <f t="shared" si="59"/>
        <v>High</v>
      </c>
      <c r="Q568" s="48">
        <v>2115.19</v>
      </c>
      <c r="R568" s="48">
        <v>9.1999999999999998E-2</v>
      </c>
      <c r="S568" s="48">
        <v>23</v>
      </c>
      <c r="T568" s="48">
        <f t="shared" si="56"/>
        <v>29597.640160000003</v>
      </c>
      <c r="U568" s="38">
        <f t="shared" si="57"/>
        <v>26913.45</v>
      </c>
      <c r="V568" s="48">
        <f t="shared" si="60"/>
        <v>2684.1901600000019</v>
      </c>
      <c r="W568" s="50">
        <f t="shared" si="61"/>
        <v>9.0689330145569333E-2</v>
      </c>
    </row>
    <row r="569" spans="1:23" x14ac:dyDescent="0.3">
      <c r="A569" s="39" t="s">
        <v>1236</v>
      </c>
      <c r="B569" s="40">
        <v>45600</v>
      </c>
      <c r="C569" s="41">
        <v>45603</v>
      </c>
      <c r="D569" s="42">
        <f t="shared" si="62"/>
        <v>3</v>
      </c>
      <c r="E569" s="42" t="str">
        <f>TEXT(Data!B569,"MMM-YYYY")</f>
        <v>Nov-2024</v>
      </c>
      <c r="F569" s="42" t="str">
        <f t="shared" si="58"/>
        <v>Q4-2024</v>
      </c>
      <c r="G569" s="37" t="s">
        <v>78</v>
      </c>
      <c r="H569" s="37" t="s">
        <v>90</v>
      </c>
      <c r="I569" s="37" t="s">
        <v>138</v>
      </c>
      <c r="J569" s="37" t="s">
        <v>19</v>
      </c>
      <c r="K569" s="37" t="s">
        <v>28</v>
      </c>
      <c r="L569" s="37" t="s">
        <v>68</v>
      </c>
      <c r="M569" s="37" t="s">
        <v>64</v>
      </c>
      <c r="N569" s="37" t="s">
        <v>1237</v>
      </c>
      <c r="O569" s="42">
        <v>740.68</v>
      </c>
      <c r="P569" s="43" t="str">
        <f t="shared" si="59"/>
        <v>High</v>
      </c>
      <c r="Q569" s="42">
        <v>1837.19</v>
      </c>
      <c r="R569" s="42">
        <v>0.19700000000000001</v>
      </c>
      <c r="S569" s="42">
        <v>17</v>
      </c>
      <c r="T569" s="42">
        <f t="shared" si="56"/>
        <v>9548.8744999999999</v>
      </c>
      <c r="U569" s="37">
        <f t="shared" si="57"/>
        <v>12591.56</v>
      </c>
      <c r="V569" s="42">
        <f t="shared" si="60"/>
        <v>-3042.6854999999996</v>
      </c>
      <c r="W569" s="44">
        <f t="shared" si="61"/>
        <v>-0.31864336472324561</v>
      </c>
    </row>
    <row r="570" spans="1:23" x14ac:dyDescent="0.3">
      <c r="A570" s="45" t="s">
        <v>1238</v>
      </c>
      <c r="B570" s="46">
        <v>45342</v>
      </c>
      <c r="C570" s="47">
        <v>45342</v>
      </c>
      <c r="D570" s="48">
        <f t="shared" si="62"/>
        <v>0</v>
      </c>
      <c r="E570" s="48" t="str">
        <f>TEXT(Data!B570,"MMM-YYYY")</f>
        <v>Feb-2024</v>
      </c>
      <c r="F570" s="48" t="str">
        <f t="shared" si="58"/>
        <v>Q1-2024</v>
      </c>
      <c r="G570" s="38" t="s">
        <v>52</v>
      </c>
      <c r="H570" s="38" t="s">
        <v>122</v>
      </c>
      <c r="I570" s="38" t="s">
        <v>387</v>
      </c>
      <c r="J570" s="38" t="s">
        <v>105</v>
      </c>
      <c r="K570" s="38" t="s">
        <v>28</v>
      </c>
      <c r="L570" s="38" t="s">
        <v>21</v>
      </c>
      <c r="M570" s="38" t="s">
        <v>35</v>
      </c>
      <c r="N570" s="38" t="s">
        <v>1239</v>
      </c>
      <c r="O570" s="48">
        <v>1407.05</v>
      </c>
      <c r="P570" s="49" t="str">
        <f t="shared" si="59"/>
        <v>High</v>
      </c>
      <c r="Q570" s="48">
        <v>2858.93</v>
      </c>
      <c r="R570" s="48">
        <v>0</v>
      </c>
      <c r="S570" s="48">
        <v>12</v>
      </c>
      <c r="T570" s="48">
        <f t="shared" si="56"/>
        <v>21446.400000000001</v>
      </c>
      <c r="U570" s="38">
        <f t="shared" si="57"/>
        <v>16884.599999999999</v>
      </c>
      <c r="V570" s="48">
        <f t="shared" si="60"/>
        <v>4561.8000000000029</v>
      </c>
      <c r="W570" s="50">
        <f t="shared" si="61"/>
        <v>0.2127070277529097</v>
      </c>
    </row>
    <row r="571" spans="1:23" x14ac:dyDescent="0.3">
      <c r="A571" s="39" t="s">
        <v>1240</v>
      </c>
      <c r="B571" s="40">
        <v>45760</v>
      </c>
      <c r="C571" s="41">
        <v>45761</v>
      </c>
      <c r="D571" s="42">
        <f t="shared" si="62"/>
        <v>1</v>
      </c>
      <c r="E571" s="42" t="str">
        <f>TEXT(Data!B571,"MMM-YYYY")</f>
        <v>Apr-2025</v>
      </c>
      <c r="F571" s="42" t="str">
        <f t="shared" si="58"/>
        <v>Q2-2025</v>
      </c>
      <c r="G571" s="37" t="s">
        <v>45</v>
      </c>
      <c r="H571" s="37" t="s">
        <v>46</v>
      </c>
      <c r="I571" s="37" t="s">
        <v>47</v>
      </c>
      <c r="J571" s="37" t="s">
        <v>105</v>
      </c>
      <c r="K571" s="37" t="s">
        <v>28</v>
      </c>
      <c r="L571" s="37" t="s">
        <v>41</v>
      </c>
      <c r="M571" s="37" t="s">
        <v>22</v>
      </c>
      <c r="N571" s="37" t="s">
        <v>1241</v>
      </c>
      <c r="O571" s="42">
        <v>138.9</v>
      </c>
      <c r="P571" s="43" t="str">
        <f t="shared" si="59"/>
        <v>High</v>
      </c>
      <c r="Q571" s="42">
        <v>289.92</v>
      </c>
      <c r="R571" s="42">
        <v>2.9000000000000001E-2</v>
      </c>
      <c r="S571" s="42">
        <v>12</v>
      </c>
      <c r="T571" s="42">
        <f t="shared" si="56"/>
        <v>19793.834999999999</v>
      </c>
      <c r="U571" s="37">
        <f t="shared" si="57"/>
        <v>1666.8000000000002</v>
      </c>
      <c r="V571" s="42">
        <f t="shared" si="60"/>
        <v>18127.035</v>
      </c>
      <c r="W571" s="44">
        <f t="shared" si="61"/>
        <v>0.91579196249741401</v>
      </c>
    </row>
    <row r="572" spans="1:23" x14ac:dyDescent="0.3">
      <c r="A572" s="45" t="s">
        <v>1242</v>
      </c>
      <c r="B572" s="46">
        <v>45078</v>
      </c>
      <c r="C572" s="47">
        <v>45078</v>
      </c>
      <c r="D572" s="48">
        <f t="shared" si="62"/>
        <v>0</v>
      </c>
      <c r="E572" s="48" t="str">
        <f>TEXT(Data!B572,"MMM-YYYY")</f>
        <v>Jun-2023</v>
      </c>
      <c r="F572" s="48" t="str">
        <f t="shared" si="58"/>
        <v>Q2-2023</v>
      </c>
      <c r="G572" s="38" t="s">
        <v>45</v>
      </c>
      <c r="H572" s="38" t="s">
        <v>60</v>
      </c>
      <c r="I572" s="38" t="s">
        <v>61</v>
      </c>
      <c r="J572" s="38" t="s">
        <v>19</v>
      </c>
      <c r="K572" s="38" t="s">
        <v>20</v>
      </c>
      <c r="L572" s="38" t="s">
        <v>63</v>
      </c>
      <c r="M572" s="38" t="s">
        <v>81</v>
      </c>
      <c r="N572" s="38" t="s">
        <v>1243</v>
      </c>
      <c r="O572" s="48">
        <v>669.37</v>
      </c>
      <c r="P572" s="49" t="str">
        <f t="shared" si="59"/>
        <v>High</v>
      </c>
      <c r="Q572" s="48">
        <v>997.2</v>
      </c>
      <c r="R572" s="48">
        <v>8.2000000000000003E-2</v>
      </c>
      <c r="S572" s="48">
        <v>5</v>
      </c>
      <c r="T572" s="48">
        <f t="shared" si="56"/>
        <v>3326.373</v>
      </c>
      <c r="U572" s="38">
        <f t="shared" si="57"/>
        <v>3346.85</v>
      </c>
      <c r="V572" s="48">
        <f t="shared" si="60"/>
        <v>-20.476999999999862</v>
      </c>
      <c r="W572" s="50">
        <f t="shared" si="61"/>
        <v>-6.1559542480653434E-3</v>
      </c>
    </row>
    <row r="573" spans="1:23" x14ac:dyDescent="0.3">
      <c r="A573" s="39" t="s">
        <v>1244</v>
      </c>
      <c r="B573" s="40">
        <v>45740</v>
      </c>
      <c r="C573" s="41">
        <v>45751</v>
      </c>
      <c r="D573" s="42">
        <f t="shared" si="62"/>
        <v>11</v>
      </c>
      <c r="E573" s="42" t="str">
        <f>TEXT(Data!B573,"MMM-YYYY")</f>
        <v>Mar-2025</v>
      </c>
      <c r="F573" s="42" t="str">
        <f t="shared" si="58"/>
        <v>Q1-2025</v>
      </c>
      <c r="G573" s="37" t="s">
        <v>45</v>
      </c>
      <c r="H573" s="37" t="s">
        <v>60</v>
      </c>
      <c r="I573" s="37" t="s">
        <v>220</v>
      </c>
      <c r="J573" s="37" t="s">
        <v>27</v>
      </c>
      <c r="K573" s="37" t="s">
        <v>40</v>
      </c>
      <c r="L573" s="37" t="s">
        <v>29</v>
      </c>
      <c r="M573" s="37" t="s">
        <v>42</v>
      </c>
      <c r="N573" s="37" t="s">
        <v>1245</v>
      </c>
      <c r="O573" s="42">
        <v>23.83</v>
      </c>
      <c r="P573" s="43" t="str">
        <f t="shared" si="59"/>
        <v>Low</v>
      </c>
      <c r="Q573" s="42">
        <v>47.29</v>
      </c>
      <c r="R573" s="42">
        <v>6.4000000000000001E-2</v>
      </c>
      <c r="S573" s="42">
        <v>19</v>
      </c>
      <c r="T573" s="42">
        <f t="shared" si="56"/>
        <v>24114.036959999998</v>
      </c>
      <c r="U573" s="37">
        <f t="shared" si="57"/>
        <v>452.77</v>
      </c>
      <c r="V573" s="42">
        <f t="shared" si="60"/>
        <v>23661.266959999997</v>
      </c>
      <c r="W573" s="44">
        <f t="shared" si="61"/>
        <v>0.98122379920247083</v>
      </c>
    </row>
    <row r="574" spans="1:23" x14ac:dyDescent="0.3">
      <c r="A574" s="45" t="s">
        <v>1246</v>
      </c>
      <c r="B574" s="46">
        <v>45293</v>
      </c>
      <c r="C574" s="47">
        <v>45293</v>
      </c>
      <c r="D574" s="48">
        <f t="shared" si="62"/>
        <v>0</v>
      </c>
      <c r="E574" s="48" t="str">
        <f>TEXT(Data!B574,"MMM-YYYY")</f>
        <v>Jan-2024</v>
      </c>
      <c r="F574" s="48" t="str">
        <f t="shared" si="58"/>
        <v>Q1-2024</v>
      </c>
      <c r="G574" s="38" t="s">
        <v>52</v>
      </c>
      <c r="H574" s="38" t="s">
        <v>53</v>
      </c>
      <c r="I574" s="38" t="s">
        <v>179</v>
      </c>
      <c r="J574" s="38" t="s">
        <v>27</v>
      </c>
      <c r="K574" s="38" t="s">
        <v>98</v>
      </c>
      <c r="L574" s="38" t="s">
        <v>75</v>
      </c>
      <c r="M574" s="38" t="s">
        <v>57</v>
      </c>
      <c r="N574" s="38" t="s">
        <v>1247</v>
      </c>
      <c r="O574" s="48">
        <v>444.41</v>
      </c>
      <c r="P574" s="49" t="str">
        <f t="shared" si="59"/>
        <v>High</v>
      </c>
      <c r="Q574" s="48">
        <v>754.24</v>
      </c>
      <c r="R574" s="48">
        <v>0.20699999999999999</v>
      </c>
      <c r="S574" s="48">
        <v>32</v>
      </c>
      <c r="T574" s="48">
        <f t="shared" si="56"/>
        <v>6980.1763200000005</v>
      </c>
      <c r="U574" s="38">
        <f t="shared" si="57"/>
        <v>14221.12</v>
      </c>
      <c r="V574" s="48">
        <f t="shared" si="60"/>
        <v>-7240.9436800000003</v>
      </c>
      <c r="W574" s="50">
        <f t="shared" si="61"/>
        <v>-1.0373582769324659</v>
      </c>
    </row>
    <row r="575" spans="1:23" x14ac:dyDescent="0.3">
      <c r="A575" s="39" t="s">
        <v>1248</v>
      </c>
      <c r="B575" s="40">
        <v>45279</v>
      </c>
      <c r="C575" s="41">
        <v>45292</v>
      </c>
      <c r="D575" s="42">
        <f t="shared" si="62"/>
        <v>13</v>
      </c>
      <c r="E575" s="42" t="str">
        <f>TEXT(Data!B575,"MMM-YYYY")</f>
        <v>Dec-2023</v>
      </c>
      <c r="F575" s="42" t="str">
        <f t="shared" si="58"/>
        <v>Q4-2023</v>
      </c>
      <c r="G575" s="37" t="s">
        <v>52</v>
      </c>
      <c r="H575" s="37" t="s">
        <v>53</v>
      </c>
      <c r="I575" s="37" t="s">
        <v>54</v>
      </c>
      <c r="J575" s="37" t="s">
        <v>105</v>
      </c>
      <c r="K575" s="37" t="s">
        <v>20</v>
      </c>
      <c r="L575" s="37" t="s">
        <v>95</v>
      </c>
      <c r="M575" s="37" t="s">
        <v>64</v>
      </c>
      <c r="N575" s="37" t="s">
        <v>1249</v>
      </c>
      <c r="O575" s="42">
        <v>856.1</v>
      </c>
      <c r="P575" s="43" t="str">
        <f t="shared" si="59"/>
        <v>High</v>
      </c>
      <c r="Q575" s="42">
        <v>901.48</v>
      </c>
      <c r="R575" s="42">
        <v>5.6000000000000001E-2</v>
      </c>
      <c r="S575" s="42">
        <v>17</v>
      </c>
      <c r="T575" s="42">
        <f t="shared" si="56"/>
        <v>28925.557119999998</v>
      </c>
      <c r="U575" s="37">
        <f t="shared" si="57"/>
        <v>14553.7</v>
      </c>
      <c r="V575" s="42">
        <f t="shared" si="60"/>
        <v>14371.857119999997</v>
      </c>
      <c r="W575" s="44">
        <f t="shared" si="61"/>
        <v>0.49685670911634278</v>
      </c>
    </row>
    <row r="576" spans="1:23" x14ac:dyDescent="0.3">
      <c r="A576" s="45" t="s">
        <v>1250</v>
      </c>
      <c r="B576" s="46">
        <v>45042</v>
      </c>
      <c r="C576" s="47">
        <v>45042</v>
      </c>
      <c r="D576" s="48">
        <f t="shared" si="62"/>
        <v>0</v>
      </c>
      <c r="E576" s="48" t="str">
        <f>TEXT(Data!B576,"MMM-YYYY")</f>
        <v>Apr-2023</v>
      </c>
      <c r="F576" s="48" t="str">
        <f t="shared" si="58"/>
        <v>Q2-2023</v>
      </c>
      <c r="G576" s="38" t="s">
        <v>78</v>
      </c>
      <c r="H576" s="38" t="s">
        <v>90</v>
      </c>
      <c r="I576" s="38" t="s">
        <v>91</v>
      </c>
      <c r="J576" s="38" t="s">
        <v>48</v>
      </c>
      <c r="K576" s="38" t="s">
        <v>98</v>
      </c>
      <c r="L576" s="38" t="s">
        <v>110</v>
      </c>
      <c r="M576" s="38" t="s">
        <v>22</v>
      </c>
      <c r="N576" s="38" t="s">
        <v>1251</v>
      </c>
      <c r="O576" s="48">
        <v>81.489999999999995</v>
      </c>
      <c r="P576" s="49" t="str">
        <f t="shared" si="59"/>
        <v>Medium</v>
      </c>
      <c r="Q576" s="48">
        <v>113.08</v>
      </c>
      <c r="R576" s="48">
        <v>0.121</v>
      </c>
      <c r="S576" s="48">
        <v>5</v>
      </c>
      <c r="T576" s="48">
        <f t="shared" si="56"/>
        <v>5580.6830999999993</v>
      </c>
      <c r="U576" s="38">
        <f t="shared" si="57"/>
        <v>407.45</v>
      </c>
      <c r="V576" s="48">
        <f t="shared" si="60"/>
        <v>5173.2330999999995</v>
      </c>
      <c r="W576" s="50">
        <f t="shared" si="61"/>
        <v>0.92698922467036338</v>
      </c>
    </row>
    <row r="577" spans="1:23" x14ac:dyDescent="0.3">
      <c r="A577" s="39" t="s">
        <v>1252</v>
      </c>
      <c r="B577" s="40">
        <v>45872</v>
      </c>
      <c r="C577" s="41">
        <v>45885</v>
      </c>
      <c r="D577" s="42">
        <f t="shared" si="62"/>
        <v>13</v>
      </c>
      <c r="E577" s="42" t="str">
        <f>TEXT(Data!B577,"MMM-YYYY")</f>
        <v>Aug-2025</v>
      </c>
      <c r="F577" s="42" t="str">
        <f t="shared" si="58"/>
        <v>Q3-2025</v>
      </c>
      <c r="G577" s="37" t="s">
        <v>52</v>
      </c>
      <c r="H577" s="37" t="s">
        <v>53</v>
      </c>
      <c r="I577" s="37" t="s">
        <v>144</v>
      </c>
      <c r="J577" s="37" t="s">
        <v>105</v>
      </c>
      <c r="K577" s="37" t="s">
        <v>55</v>
      </c>
      <c r="L577" s="37" t="s">
        <v>68</v>
      </c>
      <c r="M577" s="37" t="s">
        <v>35</v>
      </c>
      <c r="N577" s="37" t="s">
        <v>1253</v>
      </c>
      <c r="O577" s="42">
        <v>698.66</v>
      </c>
      <c r="P577" s="43" t="str">
        <f t="shared" si="59"/>
        <v>High</v>
      </c>
      <c r="Q577" s="42">
        <v>868.62</v>
      </c>
      <c r="R577" s="42">
        <v>7.1999999999999995E-2</v>
      </c>
      <c r="S577" s="42">
        <v>15</v>
      </c>
      <c r="T577" s="42">
        <f t="shared" ref="T577:T632" si="63">(Q603*S577)*(1-R577)</f>
        <v>7960.848</v>
      </c>
      <c r="U577" s="37">
        <f t="shared" ref="U577:U632" si="64">(O577*S577)</f>
        <v>10479.9</v>
      </c>
      <c r="V577" s="42">
        <f t="shared" si="60"/>
        <v>-2519.0519999999997</v>
      </c>
      <c r="W577" s="44">
        <f t="shared" si="61"/>
        <v>-0.31643010895321699</v>
      </c>
    </row>
    <row r="578" spans="1:23" x14ac:dyDescent="0.3">
      <c r="A578" s="45" t="s">
        <v>1254</v>
      </c>
      <c r="B578" s="46">
        <v>45140</v>
      </c>
      <c r="C578" s="47">
        <v>45157</v>
      </c>
      <c r="D578" s="48">
        <f t="shared" si="62"/>
        <v>17</v>
      </c>
      <c r="E578" s="48" t="str">
        <f>TEXT(Data!B578,"MMM-YYYY")</f>
        <v>Aug-2023</v>
      </c>
      <c r="F578" s="48" t="str">
        <f t="shared" ref="F578:F632" si="65">"Q"&amp;ROUNDUP(MONTH(B578)/3,0)&amp;"-"&amp;YEAR(B578)</f>
        <v>Q3-2023</v>
      </c>
      <c r="G578" s="38" t="s">
        <v>52</v>
      </c>
      <c r="H578" s="38" t="s">
        <v>53</v>
      </c>
      <c r="I578" s="38" t="s">
        <v>179</v>
      </c>
      <c r="J578" s="38" t="s">
        <v>19</v>
      </c>
      <c r="K578" s="38" t="s">
        <v>28</v>
      </c>
      <c r="L578" s="38" t="s">
        <v>84</v>
      </c>
      <c r="M578" s="38" t="s">
        <v>35</v>
      </c>
      <c r="N578" s="38" t="s">
        <v>1255</v>
      </c>
      <c r="O578" s="48">
        <v>175.38</v>
      </c>
      <c r="P578" s="49" t="str">
        <f t="shared" ref="P578:P632" si="66">IF(Q578&lt;50, "Low", IF(Q578&lt;200, "Medium", "High"))</f>
        <v>High</v>
      </c>
      <c r="Q578" s="48">
        <v>347.9</v>
      </c>
      <c r="R578" s="48">
        <v>7.1999999999999995E-2</v>
      </c>
      <c r="S578" s="48">
        <v>43</v>
      </c>
      <c r="T578" s="48">
        <f t="shared" si="63"/>
        <v>109937.11616000001</v>
      </c>
      <c r="U578" s="38">
        <f t="shared" si="64"/>
        <v>7541.34</v>
      </c>
      <c r="V578" s="48">
        <f t="shared" ref="V578:V632" si="67">(T578-U578)</f>
        <v>102395.77616000001</v>
      </c>
      <c r="W578" s="50">
        <f t="shared" ref="W578:W632" si="68">IF(T578=0, 0, V578/T578)</f>
        <v>0.93140314878712571</v>
      </c>
    </row>
    <row r="579" spans="1:23" x14ac:dyDescent="0.3">
      <c r="A579" s="39" t="s">
        <v>1256</v>
      </c>
      <c r="B579" s="40">
        <v>45092</v>
      </c>
      <c r="C579" s="41">
        <v>45119</v>
      </c>
      <c r="D579" s="42">
        <f t="shared" si="62"/>
        <v>27</v>
      </c>
      <c r="E579" s="42" t="str">
        <f>TEXT(Data!B579,"MMM-YYYY")</f>
        <v>Jun-2023</v>
      </c>
      <c r="F579" s="42" t="str">
        <f t="shared" si="65"/>
        <v>Q2-2023</v>
      </c>
      <c r="G579" s="37" t="s">
        <v>78</v>
      </c>
      <c r="H579" s="37" t="s">
        <v>108</v>
      </c>
      <c r="I579" s="37" t="s">
        <v>228</v>
      </c>
      <c r="J579" s="37" t="s">
        <v>48</v>
      </c>
      <c r="K579" s="37" t="s">
        <v>98</v>
      </c>
      <c r="L579" s="37" t="s">
        <v>34</v>
      </c>
      <c r="M579" s="37" t="s">
        <v>81</v>
      </c>
      <c r="N579" s="37" t="s">
        <v>1257</v>
      </c>
      <c r="O579" s="42">
        <v>751.28</v>
      </c>
      <c r="P579" s="43" t="str">
        <f t="shared" si="66"/>
        <v>High</v>
      </c>
      <c r="Q579" s="42">
        <v>1111.8800000000001</v>
      </c>
      <c r="R579" s="42">
        <v>0.13500000000000001</v>
      </c>
      <c r="S579" s="42">
        <v>7</v>
      </c>
      <c r="T579" s="42">
        <f t="shared" si="63"/>
        <v>5827.9980499999992</v>
      </c>
      <c r="U579" s="37">
        <f t="shared" si="64"/>
        <v>5258.96</v>
      </c>
      <c r="V579" s="42">
        <f t="shared" si="67"/>
        <v>569.0380499999992</v>
      </c>
      <c r="W579" s="44">
        <f t="shared" si="68"/>
        <v>9.7638682291597417E-2</v>
      </c>
    </row>
    <row r="580" spans="1:23" x14ac:dyDescent="0.3">
      <c r="A580" s="45" t="s">
        <v>1258</v>
      </c>
      <c r="B580" s="46">
        <v>45607</v>
      </c>
      <c r="C580" s="47">
        <v>45620</v>
      </c>
      <c r="D580" s="48">
        <f t="shared" ref="D580:D632" si="69">DATEDIF(B580,C580, "MD")</f>
        <v>13</v>
      </c>
      <c r="E580" s="48" t="str">
        <f>TEXT(Data!B580,"MMM-YYYY")</f>
        <v>Nov-2024</v>
      </c>
      <c r="F580" s="48" t="str">
        <f t="shared" si="65"/>
        <v>Q4-2024</v>
      </c>
      <c r="G580" s="38" t="s">
        <v>78</v>
      </c>
      <c r="H580" s="38" t="s">
        <v>108</v>
      </c>
      <c r="I580" s="38" t="s">
        <v>152</v>
      </c>
      <c r="J580" s="38" t="s">
        <v>19</v>
      </c>
      <c r="K580" s="38" t="s">
        <v>20</v>
      </c>
      <c r="L580" s="38" t="s">
        <v>63</v>
      </c>
      <c r="M580" s="38" t="s">
        <v>35</v>
      </c>
      <c r="N580" s="38" t="s">
        <v>1259</v>
      </c>
      <c r="O580" s="48">
        <v>164.53</v>
      </c>
      <c r="P580" s="49" t="str">
        <f t="shared" si="66"/>
        <v>High</v>
      </c>
      <c r="Q580" s="48">
        <v>327.72</v>
      </c>
      <c r="R580" s="48">
        <v>6.7000000000000004E-2</v>
      </c>
      <c r="S580" s="48">
        <v>14</v>
      </c>
      <c r="T580" s="48">
        <f t="shared" si="63"/>
        <v>8728.9427399999986</v>
      </c>
      <c r="U580" s="38">
        <f t="shared" si="64"/>
        <v>2303.42</v>
      </c>
      <c r="V580" s="48">
        <f t="shared" si="67"/>
        <v>6425.5227399999985</v>
      </c>
      <c r="W580" s="50">
        <f t="shared" si="68"/>
        <v>0.73611695383855846</v>
      </c>
    </row>
    <row r="581" spans="1:23" x14ac:dyDescent="0.3">
      <c r="A581" s="39" t="s">
        <v>1260</v>
      </c>
      <c r="B581" s="40">
        <v>45849</v>
      </c>
      <c r="C581" s="41">
        <v>45872</v>
      </c>
      <c r="D581" s="42">
        <f t="shared" si="69"/>
        <v>23</v>
      </c>
      <c r="E581" s="42" t="str">
        <f>TEXT(Data!B581,"MMM-YYYY")</f>
        <v>Jul-2025</v>
      </c>
      <c r="F581" s="42" t="str">
        <f t="shared" si="65"/>
        <v>Q3-2025</v>
      </c>
      <c r="G581" s="37" t="s">
        <v>16</v>
      </c>
      <c r="H581" s="37" t="s">
        <v>17</v>
      </c>
      <c r="I581" s="37" t="s">
        <v>135</v>
      </c>
      <c r="J581" s="37" t="s">
        <v>62</v>
      </c>
      <c r="K581" s="37" t="s">
        <v>20</v>
      </c>
      <c r="L581" s="37" t="s">
        <v>21</v>
      </c>
      <c r="M581" s="37" t="s">
        <v>42</v>
      </c>
      <c r="N581" s="37" t="s">
        <v>1261</v>
      </c>
      <c r="O581" s="42">
        <v>389.93</v>
      </c>
      <c r="P581" s="43" t="str">
        <f t="shared" si="66"/>
        <v>High</v>
      </c>
      <c r="Q581" s="42">
        <v>486.13</v>
      </c>
      <c r="R581" s="42">
        <v>0.13200000000000001</v>
      </c>
      <c r="S581" s="42">
        <v>17</v>
      </c>
      <c r="T581" s="42">
        <f t="shared" si="63"/>
        <v>20722.29348</v>
      </c>
      <c r="U581" s="37">
        <f t="shared" si="64"/>
        <v>6628.81</v>
      </c>
      <c r="V581" s="42">
        <f t="shared" si="67"/>
        <v>14093.483479999999</v>
      </c>
      <c r="W581" s="44">
        <f t="shared" si="68"/>
        <v>0.6801121455789747</v>
      </c>
    </row>
    <row r="582" spans="1:23" x14ac:dyDescent="0.3">
      <c r="A582" s="45" t="s">
        <v>1262</v>
      </c>
      <c r="B582" s="46">
        <v>45080</v>
      </c>
      <c r="C582" s="47">
        <v>45108</v>
      </c>
      <c r="D582" s="48">
        <f t="shared" si="69"/>
        <v>28</v>
      </c>
      <c r="E582" s="48" t="str">
        <f>TEXT(Data!B582,"MMM-YYYY")</f>
        <v>Jun-2023</v>
      </c>
      <c r="F582" s="48" t="str">
        <f t="shared" si="65"/>
        <v>Q2-2023</v>
      </c>
      <c r="G582" s="38" t="s">
        <v>52</v>
      </c>
      <c r="H582" s="38" t="s">
        <v>73</v>
      </c>
      <c r="I582" s="38" t="s">
        <v>87</v>
      </c>
      <c r="J582" s="38" t="s">
        <v>62</v>
      </c>
      <c r="K582" s="38" t="s">
        <v>40</v>
      </c>
      <c r="L582" s="38" t="s">
        <v>75</v>
      </c>
      <c r="M582" s="38" t="s">
        <v>22</v>
      </c>
      <c r="N582" s="38" t="s">
        <v>1263</v>
      </c>
      <c r="O582" s="48">
        <v>860.4</v>
      </c>
      <c r="P582" s="49" t="str">
        <f t="shared" si="66"/>
        <v>High</v>
      </c>
      <c r="Q582" s="48">
        <v>2066.6</v>
      </c>
      <c r="R582" s="48">
        <v>0.01</v>
      </c>
      <c r="S582" s="48">
        <v>3</v>
      </c>
      <c r="T582" s="48">
        <f t="shared" si="63"/>
        <v>10661.9733</v>
      </c>
      <c r="U582" s="38">
        <f t="shared" si="64"/>
        <v>2581.1999999999998</v>
      </c>
      <c r="V582" s="48">
        <f t="shared" si="67"/>
        <v>8080.7732999999998</v>
      </c>
      <c r="W582" s="50">
        <f t="shared" si="68"/>
        <v>0.7579059778737206</v>
      </c>
    </row>
    <row r="583" spans="1:23" x14ac:dyDescent="0.3">
      <c r="A583" s="39" t="s">
        <v>1264</v>
      </c>
      <c r="B583" s="40">
        <v>44955</v>
      </c>
      <c r="C583" s="41">
        <v>44963</v>
      </c>
      <c r="D583" s="42">
        <f t="shared" si="69"/>
        <v>8</v>
      </c>
      <c r="E583" s="42" t="str">
        <f>TEXT(Data!B583,"MMM-YYYY")</f>
        <v>Jan-2023</v>
      </c>
      <c r="F583" s="42" t="str">
        <f t="shared" si="65"/>
        <v>Q1-2023</v>
      </c>
      <c r="G583" s="37" t="s">
        <v>52</v>
      </c>
      <c r="H583" s="37" t="s">
        <v>73</v>
      </c>
      <c r="I583" s="37" t="s">
        <v>87</v>
      </c>
      <c r="J583" s="37" t="s">
        <v>19</v>
      </c>
      <c r="K583" s="37" t="s">
        <v>40</v>
      </c>
      <c r="L583" s="37" t="s">
        <v>145</v>
      </c>
      <c r="M583" s="37" t="s">
        <v>64</v>
      </c>
      <c r="N583" s="37" t="s">
        <v>1265</v>
      </c>
      <c r="O583" s="42">
        <v>41.84</v>
      </c>
      <c r="P583" s="43" t="str">
        <f t="shared" si="66"/>
        <v>Medium</v>
      </c>
      <c r="Q583" s="42">
        <v>86.2</v>
      </c>
      <c r="R583" s="42">
        <v>0.22600000000000001</v>
      </c>
      <c r="S583" s="42">
        <v>27</v>
      </c>
      <c r="T583" s="42">
        <f t="shared" si="63"/>
        <v>4879.8919799999994</v>
      </c>
      <c r="U583" s="37">
        <f t="shared" si="64"/>
        <v>1129.68</v>
      </c>
      <c r="V583" s="42">
        <f t="shared" si="67"/>
        <v>3750.2119799999991</v>
      </c>
      <c r="W583" s="44">
        <f t="shared" si="68"/>
        <v>0.76850307247989524</v>
      </c>
    </row>
    <row r="584" spans="1:23" x14ac:dyDescent="0.3">
      <c r="A584" s="45" t="s">
        <v>1266</v>
      </c>
      <c r="B584" s="46">
        <v>45541</v>
      </c>
      <c r="C584" s="47">
        <v>45539</v>
      </c>
      <c r="D584" s="48">
        <f>DATEDIF(C584,B584, "MD")</f>
        <v>2</v>
      </c>
      <c r="E584" s="48" t="str">
        <f>TEXT(Data!B584,"MMM-YYYY")</f>
        <v>Sept-2024</v>
      </c>
      <c r="F584" s="48" t="str">
        <f t="shared" si="65"/>
        <v>Q3-2024</v>
      </c>
      <c r="G584" s="38" t="s">
        <v>45</v>
      </c>
      <c r="H584" s="38" t="s">
        <v>46</v>
      </c>
      <c r="I584" s="38" t="s">
        <v>47</v>
      </c>
      <c r="J584" s="38" t="s">
        <v>19</v>
      </c>
      <c r="K584" s="38" t="s">
        <v>98</v>
      </c>
      <c r="L584" s="38" t="s">
        <v>75</v>
      </c>
      <c r="M584" s="38" t="s">
        <v>57</v>
      </c>
      <c r="N584" s="38" t="s">
        <v>1267</v>
      </c>
      <c r="O584" s="48">
        <v>1368.17</v>
      </c>
      <c r="P584" s="49" t="str">
        <f t="shared" si="66"/>
        <v>High</v>
      </c>
      <c r="Q584" s="48">
        <v>2307.75</v>
      </c>
      <c r="R584" s="48">
        <v>0.16300000000000001</v>
      </c>
      <c r="S584" s="48">
        <v>21</v>
      </c>
      <c r="T584" s="48">
        <f t="shared" si="63"/>
        <v>2183.9422500000001</v>
      </c>
      <c r="U584" s="38">
        <f t="shared" si="64"/>
        <v>28731.57</v>
      </c>
      <c r="V584" s="48">
        <f t="shared" si="67"/>
        <v>-26547.62775</v>
      </c>
      <c r="W584" s="50">
        <f t="shared" si="68"/>
        <v>-12.155828639699607</v>
      </c>
    </row>
    <row r="585" spans="1:23" x14ac:dyDescent="0.3">
      <c r="A585" s="39" t="s">
        <v>1268</v>
      </c>
      <c r="B585" s="40">
        <v>45507</v>
      </c>
      <c r="C585" s="41">
        <v>45513</v>
      </c>
      <c r="D585" s="42">
        <f t="shared" si="69"/>
        <v>6</v>
      </c>
      <c r="E585" s="42" t="str">
        <f>TEXT(Data!B585,"MMM-YYYY")</f>
        <v>Aug-2024</v>
      </c>
      <c r="F585" s="42" t="str">
        <f t="shared" si="65"/>
        <v>Q3-2024</v>
      </c>
      <c r="G585" s="37" t="s">
        <v>16</v>
      </c>
      <c r="H585" s="37" t="s">
        <v>17</v>
      </c>
      <c r="I585" s="37" t="s">
        <v>113</v>
      </c>
      <c r="J585" s="37" t="s">
        <v>48</v>
      </c>
      <c r="K585" s="37" t="s">
        <v>40</v>
      </c>
      <c r="L585" s="37" t="s">
        <v>92</v>
      </c>
      <c r="M585" s="37" t="s">
        <v>57</v>
      </c>
      <c r="N585" s="37" t="s">
        <v>1269</v>
      </c>
      <c r="O585" s="42">
        <v>643.21</v>
      </c>
      <c r="P585" s="43" t="str">
        <f t="shared" si="66"/>
        <v>High</v>
      </c>
      <c r="Q585" s="42">
        <v>1112.81</v>
      </c>
      <c r="R585" s="42">
        <v>0.14099999999999999</v>
      </c>
      <c r="S585" s="42">
        <v>4</v>
      </c>
      <c r="T585" s="42">
        <f t="shared" si="63"/>
        <v>4918.1873199999991</v>
      </c>
      <c r="U585" s="37">
        <f t="shared" si="64"/>
        <v>2572.84</v>
      </c>
      <c r="V585" s="42">
        <f t="shared" si="67"/>
        <v>2345.3473199999989</v>
      </c>
      <c r="W585" s="44">
        <f t="shared" si="68"/>
        <v>0.47687230424562183</v>
      </c>
    </row>
    <row r="586" spans="1:23" x14ac:dyDescent="0.3">
      <c r="A586" s="45" t="s">
        <v>1270</v>
      </c>
      <c r="B586" s="46">
        <v>45764</v>
      </c>
      <c r="C586" s="47">
        <v>45764</v>
      </c>
      <c r="D586" s="48">
        <f t="shared" si="69"/>
        <v>0</v>
      </c>
      <c r="E586" s="48" t="str">
        <f>TEXT(Data!B586,"MMM-YYYY")</f>
        <v>Apr-2025</v>
      </c>
      <c r="F586" s="48" t="str">
        <f t="shared" si="65"/>
        <v>Q2-2025</v>
      </c>
      <c r="G586" s="38" t="s">
        <v>52</v>
      </c>
      <c r="H586" s="38" t="s">
        <v>73</v>
      </c>
      <c r="I586" s="38" t="s">
        <v>74</v>
      </c>
      <c r="J586" s="38" t="s">
        <v>19</v>
      </c>
      <c r="K586" s="38" t="s">
        <v>55</v>
      </c>
      <c r="L586" s="38" t="s">
        <v>49</v>
      </c>
      <c r="M586" s="38" t="s">
        <v>42</v>
      </c>
      <c r="N586" s="38" t="s">
        <v>1271</v>
      </c>
      <c r="O586" s="48">
        <v>719.41</v>
      </c>
      <c r="P586" s="49" t="str">
        <f t="shared" si="66"/>
        <v>High</v>
      </c>
      <c r="Q586" s="48">
        <v>1125.99</v>
      </c>
      <c r="R586" s="48">
        <v>4.1000000000000002E-2</v>
      </c>
      <c r="S586" s="48">
        <v>21</v>
      </c>
      <c r="T586" s="48">
        <f t="shared" si="63"/>
        <v>32132.177279999996</v>
      </c>
      <c r="U586" s="38">
        <f t="shared" si="64"/>
        <v>15107.609999999999</v>
      </c>
      <c r="V586" s="48">
        <f t="shared" si="67"/>
        <v>17024.567279999996</v>
      </c>
      <c r="W586" s="50">
        <f t="shared" si="68"/>
        <v>0.52982924660373332</v>
      </c>
    </row>
    <row r="587" spans="1:23" x14ac:dyDescent="0.3">
      <c r="A587" s="39" t="s">
        <v>1272</v>
      </c>
      <c r="B587" s="40">
        <v>45049</v>
      </c>
      <c r="C587" s="41">
        <v>45062</v>
      </c>
      <c r="D587" s="42">
        <f t="shared" si="69"/>
        <v>13</v>
      </c>
      <c r="E587" s="42" t="str">
        <f>TEXT(Data!B587,"MMM-YYYY")</f>
        <v>May-2023</v>
      </c>
      <c r="F587" s="42" t="str">
        <f t="shared" si="65"/>
        <v>Q2-2023</v>
      </c>
      <c r="G587" s="37" t="s">
        <v>52</v>
      </c>
      <c r="H587" s="37" t="s">
        <v>122</v>
      </c>
      <c r="I587" s="37" t="s">
        <v>387</v>
      </c>
      <c r="J587" s="37" t="s">
        <v>19</v>
      </c>
      <c r="K587" s="37" t="s">
        <v>40</v>
      </c>
      <c r="L587" s="37" t="s">
        <v>49</v>
      </c>
      <c r="M587" s="37" t="s">
        <v>42</v>
      </c>
      <c r="N587" s="37" t="s">
        <v>1273</v>
      </c>
      <c r="O587" s="42">
        <v>64.5</v>
      </c>
      <c r="P587" s="43" t="str">
        <f t="shared" si="66"/>
        <v>Medium</v>
      </c>
      <c r="Q587" s="42">
        <v>123.62</v>
      </c>
      <c r="R587" s="42">
        <v>0</v>
      </c>
      <c r="S587" s="42">
        <v>3</v>
      </c>
      <c r="T587" s="42">
        <f t="shared" si="63"/>
        <v>3085.38</v>
      </c>
      <c r="U587" s="37">
        <f t="shared" si="64"/>
        <v>193.5</v>
      </c>
      <c r="V587" s="42">
        <f t="shared" si="67"/>
        <v>2891.88</v>
      </c>
      <c r="W587" s="44">
        <f t="shared" si="68"/>
        <v>0.93728487252785719</v>
      </c>
    </row>
    <row r="588" spans="1:23" x14ac:dyDescent="0.3">
      <c r="A588" s="45" t="s">
        <v>1274</v>
      </c>
      <c r="B588" s="46">
        <v>45364</v>
      </c>
      <c r="C588" s="47">
        <v>45388</v>
      </c>
      <c r="D588" s="48">
        <f t="shared" si="69"/>
        <v>24</v>
      </c>
      <c r="E588" s="48" t="str">
        <f>TEXT(Data!B588,"MMM-YYYY")</f>
        <v>Mar-2024</v>
      </c>
      <c r="F588" s="48" t="str">
        <f t="shared" si="65"/>
        <v>Q1-2024</v>
      </c>
      <c r="G588" s="38" t="s">
        <v>16</v>
      </c>
      <c r="H588" s="38" t="s">
        <v>25</v>
      </c>
      <c r="I588" s="38" t="s">
        <v>67</v>
      </c>
      <c r="J588" s="38" t="s">
        <v>48</v>
      </c>
      <c r="K588" s="38" t="s">
        <v>55</v>
      </c>
      <c r="L588" s="38" t="s">
        <v>49</v>
      </c>
      <c r="M588" s="38" t="s">
        <v>22</v>
      </c>
      <c r="N588" s="38" t="s">
        <v>1275</v>
      </c>
      <c r="O588" s="48">
        <v>1232.78</v>
      </c>
      <c r="P588" s="49" t="str">
        <f t="shared" si="66"/>
        <v>High</v>
      </c>
      <c r="Q588" s="48">
        <v>1731.75</v>
      </c>
      <c r="R588" s="48">
        <v>9.2999999999999999E-2</v>
      </c>
      <c r="S588" s="48">
        <v>16</v>
      </c>
      <c r="T588" s="48">
        <f t="shared" si="63"/>
        <v>46878.839200000002</v>
      </c>
      <c r="U588" s="38">
        <f t="shared" si="64"/>
        <v>19724.48</v>
      </c>
      <c r="V588" s="48">
        <f t="shared" si="67"/>
        <v>27154.359200000003</v>
      </c>
      <c r="W588" s="50">
        <f t="shared" si="68"/>
        <v>0.5792455543566446</v>
      </c>
    </row>
    <row r="589" spans="1:23" x14ac:dyDescent="0.3">
      <c r="A589" s="39" t="s">
        <v>1276</v>
      </c>
      <c r="B589" s="40">
        <v>45459</v>
      </c>
      <c r="C589" s="41">
        <v>45464</v>
      </c>
      <c r="D589" s="42">
        <f t="shared" si="69"/>
        <v>5</v>
      </c>
      <c r="E589" s="42" t="str">
        <f>TEXT(Data!B589,"MMM-YYYY")</f>
        <v>Jun-2024</v>
      </c>
      <c r="F589" s="42" t="str">
        <f t="shared" si="65"/>
        <v>Q2-2024</v>
      </c>
      <c r="G589" s="37" t="s">
        <v>45</v>
      </c>
      <c r="H589" s="37" t="s">
        <v>46</v>
      </c>
      <c r="I589" s="37" t="s">
        <v>214</v>
      </c>
      <c r="J589" s="37" t="s">
        <v>62</v>
      </c>
      <c r="K589" s="37" t="s">
        <v>55</v>
      </c>
      <c r="L589" s="37" t="s">
        <v>84</v>
      </c>
      <c r="M589" s="37" t="s">
        <v>42</v>
      </c>
      <c r="N589" s="37" t="s">
        <v>1277</v>
      </c>
      <c r="O589" s="42">
        <v>1367.13</v>
      </c>
      <c r="P589" s="43" t="str">
        <f t="shared" si="66"/>
        <v>High</v>
      </c>
      <c r="Q589" s="42">
        <v>3062.01</v>
      </c>
      <c r="R589" s="42">
        <v>0.10299999999999999</v>
      </c>
      <c r="S589" s="42">
        <v>25</v>
      </c>
      <c r="T589" s="42">
        <f t="shared" si="63"/>
        <v>62557.004249999998</v>
      </c>
      <c r="U589" s="37">
        <f t="shared" si="64"/>
        <v>34178.25</v>
      </c>
      <c r="V589" s="42">
        <f t="shared" si="67"/>
        <v>28378.754249999998</v>
      </c>
      <c r="W589" s="44">
        <f t="shared" si="68"/>
        <v>0.45364631171576603</v>
      </c>
    </row>
    <row r="590" spans="1:23" x14ac:dyDescent="0.3">
      <c r="A590" s="45" t="s">
        <v>1278</v>
      </c>
      <c r="B590" s="46">
        <v>45703</v>
      </c>
      <c r="C590" s="47">
        <v>45715</v>
      </c>
      <c r="D590" s="48">
        <f t="shared" si="69"/>
        <v>12</v>
      </c>
      <c r="E590" s="48" t="str">
        <f>TEXT(Data!B590,"MMM-YYYY")</f>
        <v>Feb-2025</v>
      </c>
      <c r="F590" s="48" t="str">
        <f t="shared" si="65"/>
        <v>Q1-2025</v>
      </c>
      <c r="G590" s="38" t="s">
        <v>78</v>
      </c>
      <c r="H590" s="38" t="s">
        <v>90</v>
      </c>
      <c r="I590" s="38" t="s">
        <v>138</v>
      </c>
      <c r="J590" s="38" t="s">
        <v>39</v>
      </c>
      <c r="K590" s="38" t="s">
        <v>98</v>
      </c>
      <c r="L590" s="38" t="s">
        <v>95</v>
      </c>
      <c r="M590" s="38" t="s">
        <v>81</v>
      </c>
      <c r="N590" s="38" t="s">
        <v>1279</v>
      </c>
      <c r="O590" s="48">
        <v>1027.26</v>
      </c>
      <c r="P590" s="49" t="str">
        <f t="shared" si="66"/>
        <v>High</v>
      </c>
      <c r="Q590" s="48">
        <v>2200.41</v>
      </c>
      <c r="R590" s="48">
        <v>8.7999999999999995E-2</v>
      </c>
      <c r="S590" s="48">
        <v>6</v>
      </c>
      <c r="T590" s="48">
        <f t="shared" si="63"/>
        <v>10384.433280000001</v>
      </c>
      <c r="U590" s="38">
        <f t="shared" si="64"/>
        <v>6163.5599999999995</v>
      </c>
      <c r="V590" s="48">
        <f t="shared" si="67"/>
        <v>4220.8732800000016</v>
      </c>
      <c r="W590" s="50">
        <f t="shared" si="68"/>
        <v>0.40646159171047236</v>
      </c>
    </row>
    <row r="591" spans="1:23" x14ac:dyDescent="0.3">
      <c r="A591" s="39" t="s">
        <v>1280</v>
      </c>
      <c r="B591" s="40">
        <v>45019</v>
      </c>
      <c r="C591" s="41">
        <v>45032</v>
      </c>
      <c r="D591" s="42">
        <f t="shared" si="69"/>
        <v>13</v>
      </c>
      <c r="E591" s="42" t="str">
        <f>TEXT(Data!B591,"MMM-YYYY")</f>
        <v>Apr-2023</v>
      </c>
      <c r="F591" s="42" t="str">
        <f t="shared" si="65"/>
        <v>Q2-2023</v>
      </c>
      <c r="G591" s="37" t="s">
        <v>78</v>
      </c>
      <c r="H591" s="37" t="s">
        <v>90</v>
      </c>
      <c r="I591" s="37" t="s">
        <v>91</v>
      </c>
      <c r="J591" s="37" t="s">
        <v>39</v>
      </c>
      <c r="K591" s="37" t="s">
        <v>40</v>
      </c>
      <c r="L591" s="37" t="s">
        <v>110</v>
      </c>
      <c r="M591" s="37" t="s">
        <v>81</v>
      </c>
      <c r="N591" s="37" t="s">
        <v>1281</v>
      </c>
      <c r="O591" s="42">
        <v>790.54</v>
      </c>
      <c r="P591" s="43" t="str">
        <f t="shared" si="66"/>
        <v>High</v>
      </c>
      <c r="Q591" s="42">
        <v>601.49</v>
      </c>
      <c r="R591" s="42">
        <v>0</v>
      </c>
      <c r="S591" s="42">
        <v>15</v>
      </c>
      <c r="T591" s="42">
        <f t="shared" si="63"/>
        <v>13537.050000000001</v>
      </c>
      <c r="U591" s="37">
        <f t="shared" si="64"/>
        <v>11858.099999999999</v>
      </c>
      <c r="V591" s="42">
        <f t="shared" si="67"/>
        <v>1678.9500000000025</v>
      </c>
      <c r="W591" s="44">
        <f t="shared" si="68"/>
        <v>0.12402628342216379</v>
      </c>
    </row>
    <row r="592" spans="1:23" x14ac:dyDescent="0.3">
      <c r="A592" s="45" t="s">
        <v>1282</v>
      </c>
      <c r="B592" s="46">
        <v>45899</v>
      </c>
      <c r="C592" s="47">
        <v>45922</v>
      </c>
      <c r="D592" s="48">
        <f t="shared" si="69"/>
        <v>23</v>
      </c>
      <c r="E592" s="48" t="str">
        <f>TEXT(Data!B592,"MMM-YYYY")</f>
        <v>Aug-2025</v>
      </c>
      <c r="F592" s="48" t="str">
        <f t="shared" si="65"/>
        <v>Q3-2025</v>
      </c>
      <c r="G592" s="38" t="s">
        <v>78</v>
      </c>
      <c r="H592" s="38" t="s">
        <v>90</v>
      </c>
      <c r="I592" s="38" t="s">
        <v>91</v>
      </c>
      <c r="J592" s="38" t="s">
        <v>19</v>
      </c>
      <c r="K592" s="38" t="s">
        <v>98</v>
      </c>
      <c r="L592" s="38" t="s">
        <v>63</v>
      </c>
      <c r="M592" s="38" t="s">
        <v>22</v>
      </c>
      <c r="N592" s="38" t="s">
        <v>1283</v>
      </c>
      <c r="O592" s="48">
        <v>663.9</v>
      </c>
      <c r="P592" s="49" t="str">
        <f t="shared" si="66"/>
        <v>High</v>
      </c>
      <c r="Q592" s="48">
        <v>947.77</v>
      </c>
      <c r="R592" s="48">
        <v>0.17399999999999999</v>
      </c>
      <c r="S592" s="48">
        <v>15</v>
      </c>
      <c r="T592" s="48">
        <f t="shared" si="63"/>
        <v>-417.04740000000004</v>
      </c>
      <c r="U592" s="38">
        <f t="shared" si="64"/>
        <v>9958.5</v>
      </c>
      <c r="V592" s="48">
        <f t="shared" si="67"/>
        <v>-10375.547399999999</v>
      </c>
      <c r="W592" s="50">
        <f t="shared" si="68"/>
        <v>24.878580708092169</v>
      </c>
    </row>
    <row r="593" spans="1:23" x14ac:dyDescent="0.3">
      <c r="A593" s="39" t="s">
        <v>1284</v>
      </c>
      <c r="B593" s="40">
        <v>44984</v>
      </c>
      <c r="C593" s="41">
        <v>44983</v>
      </c>
      <c r="D593" s="42">
        <f>DATEDIF(C593,B593, "MD")</f>
        <v>1</v>
      </c>
      <c r="E593" s="42" t="str">
        <f>TEXT(Data!B593,"MMM-YYYY")</f>
        <v>Feb-2023</v>
      </c>
      <c r="F593" s="42" t="str">
        <f t="shared" si="65"/>
        <v>Q1-2023</v>
      </c>
      <c r="G593" s="37" t="s">
        <v>52</v>
      </c>
      <c r="H593" s="37" t="s">
        <v>122</v>
      </c>
      <c r="I593" s="37" t="s">
        <v>167</v>
      </c>
      <c r="J593" s="37" t="s">
        <v>39</v>
      </c>
      <c r="K593" s="37" t="s">
        <v>28</v>
      </c>
      <c r="L593" s="37" t="s">
        <v>49</v>
      </c>
      <c r="M593" s="37" t="s">
        <v>35</v>
      </c>
      <c r="N593" s="37" t="s">
        <v>1285</v>
      </c>
      <c r="O593" s="42">
        <v>1015.91</v>
      </c>
      <c r="P593" s="43" t="str">
        <f t="shared" si="66"/>
        <v>High</v>
      </c>
      <c r="Q593" s="42">
        <v>2331.48</v>
      </c>
      <c r="R593" s="42">
        <v>0.14599999999999999</v>
      </c>
      <c r="S593" s="42">
        <v>26</v>
      </c>
      <c r="T593" s="42">
        <f t="shared" si="63"/>
        <v>24128.64272</v>
      </c>
      <c r="U593" s="37">
        <f t="shared" si="64"/>
        <v>26413.66</v>
      </c>
      <c r="V593" s="42">
        <f t="shared" si="67"/>
        <v>-2285.01728</v>
      </c>
      <c r="W593" s="44">
        <f t="shared" si="68"/>
        <v>-9.4701442866737429E-2</v>
      </c>
    </row>
    <row r="594" spans="1:23" x14ac:dyDescent="0.3">
      <c r="A594" s="45" t="s">
        <v>1286</v>
      </c>
      <c r="B594" s="46">
        <v>45504</v>
      </c>
      <c r="C594" s="47">
        <v>45519</v>
      </c>
      <c r="D594" s="48">
        <f t="shared" si="69"/>
        <v>15</v>
      </c>
      <c r="E594" s="48" t="str">
        <f>TEXT(Data!B594,"MMM-YYYY")</f>
        <v>Jul-2024</v>
      </c>
      <c r="F594" s="48" t="str">
        <f t="shared" si="65"/>
        <v>Q3-2024</v>
      </c>
      <c r="G594" s="38" t="s">
        <v>45</v>
      </c>
      <c r="H594" s="38" t="s">
        <v>46</v>
      </c>
      <c r="I594" s="38" t="s">
        <v>214</v>
      </c>
      <c r="J594" s="38" t="s">
        <v>19</v>
      </c>
      <c r="K594" s="38" t="s">
        <v>40</v>
      </c>
      <c r="L594" s="38" t="s">
        <v>84</v>
      </c>
      <c r="M594" s="38" t="s">
        <v>64</v>
      </c>
      <c r="N594" s="38" t="s">
        <v>1287</v>
      </c>
      <c r="O594" s="48">
        <v>1252.52</v>
      </c>
      <c r="P594" s="49" t="str">
        <f t="shared" si="66"/>
        <v>High</v>
      </c>
      <c r="Q594" s="48">
        <v>1417.24</v>
      </c>
      <c r="R594" s="48">
        <v>0.192</v>
      </c>
      <c r="S594" s="48">
        <v>5</v>
      </c>
      <c r="T594" s="48">
        <f t="shared" si="63"/>
        <v>4083.4300000000003</v>
      </c>
      <c r="U594" s="38">
        <f t="shared" si="64"/>
        <v>6262.6</v>
      </c>
      <c r="V594" s="48">
        <f t="shared" si="67"/>
        <v>-2179.17</v>
      </c>
      <c r="W594" s="50">
        <f t="shared" si="68"/>
        <v>-0.53366165209150151</v>
      </c>
    </row>
    <row r="595" spans="1:23" x14ac:dyDescent="0.3">
      <c r="A595" s="39" t="s">
        <v>1288</v>
      </c>
      <c r="B595" s="40">
        <v>45823</v>
      </c>
      <c r="C595" s="41">
        <v>45850</v>
      </c>
      <c r="D595" s="42">
        <f t="shared" si="69"/>
        <v>27</v>
      </c>
      <c r="E595" s="42" t="str">
        <f>TEXT(Data!B595,"MMM-YYYY")</f>
        <v>Jun-2025</v>
      </c>
      <c r="F595" s="42" t="str">
        <f t="shared" si="65"/>
        <v>Q2-2025</v>
      </c>
      <c r="G595" s="37" t="s">
        <v>78</v>
      </c>
      <c r="H595" s="37" t="s">
        <v>90</v>
      </c>
      <c r="I595" s="37" t="s">
        <v>91</v>
      </c>
      <c r="J595" s="37" t="s">
        <v>48</v>
      </c>
      <c r="K595" s="37" t="s">
        <v>98</v>
      </c>
      <c r="L595" s="37" t="s">
        <v>21</v>
      </c>
      <c r="M595" s="37" t="s">
        <v>81</v>
      </c>
      <c r="N595" s="37" t="s">
        <v>1289</v>
      </c>
      <c r="O595" s="42">
        <v>318.83</v>
      </c>
      <c r="P595" s="43" t="str">
        <f t="shared" si="66"/>
        <v>High</v>
      </c>
      <c r="Q595" s="42">
        <v>699.5</v>
      </c>
      <c r="R595" s="42">
        <v>0.08</v>
      </c>
      <c r="S595" s="42">
        <v>13</v>
      </c>
      <c r="T595" s="42">
        <f t="shared" si="63"/>
        <v>4921.3008</v>
      </c>
      <c r="U595" s="37">
        <f t="shared" si="64"/>
        <v>4144.79</v>
      </c>
      <c r="V595" s="42">
        <f t="shared" si="67"/>
        <v>776.51080000000002</v>
      </c>
      <c r="W595" s="44">
        <f t="shared" si="68"/>
        <v>0.15778568137919957</v>
      </c>
    </row>
    <row r="596" spans="1:23" x14ac:dyDescent="0.3">
      <c r="A596" s="45" t="s">
        <v>1290</v>
      </c>
      <c r="B596" s="46">
        <v>45473</v>
      </c>
      <c r="C596" s="47">
        <v>45494</v>
      </c>
      <c r="D596" s="48">
        <f t="shared" si="69"/>
        <v>21</v>
      </c>
      <c r="E596" s="48" t="str">
        <f>TEXT(Data!B596,"MMM-YYYY")</f>
        <v>Jun-2024</v>
      </c>
      <c r="F596" s="48" t="str">
        <f t="shared" si="65"/>
        <v>Q2-2024</v>
      </c>
      <c r="G596" s="38" t="s">
        <v>16</v>
      </c>
      <c r="H596" s="38" t="s">
        <v>17</v>
      </c>
      <c r="I596" s="38" t="s">
        <v>18</v>
      </c>
      <c r="J596" s="38" t="s">
        <v>62</v>
      </c>
      <c r="K596" s="38" t="s">
        <v>20</v>
      </c>
      <c r="L596" s="38" t="s">
        <v>95</v>
      </c>
      <c r="M596" s="38" t="s">
        <v>57</v>
      </c>
      <c r="N596" s="38" t="s">
        <v>1291</v>
      </c>
      <c r="O596" s="48">
        <v>753.43</v>
      </c>
      <c r="P596" s="49" t="str">
        <f t="shared" si="66"/>
        <v>High</v>
      </c>
      <c r="Q596" s="48">
        <v>1787.2</v>
      </c>
      <c r="R596" s="48">
        <v>7.2999999999999995E-2</v>
      </c>
      <c r="S596" s="48">
        <v>9</v>
      </c>
      <c r="T596" s="48">
        <f t="shared" si="63"/>
        <v>3448.4956200000001</v>
      </c>
      <c r="U596" s="38">
        <f t="shared" si="64"/>
        <v>6780.87</v>
      </c>
      <c r="V596" s="48">
        <f t="shared" si="67"/>
        <v>-3332.3743799999997</v>
      </c>
      <c r="W596" s="50">
        <f t="shared" si="68"/>
        <v>-0.9663269863744236</v>
      </c>
    </row>
    <row r="597" spans="1:23" x14ac:dyDescent="0.3">
      <c r="A597" s="39" t="s">
        <v>1292</v>
      </c>
      <c r="B597" s="40">
        <v>45705</v>
      </c>
      <c r="C597" s="41">
        <v>45703</v>
      </c>
      <c r="D597" s="42">
        <f>DATEDIF(C597,B597, "MD")</f>
        <v>2</v>
      </c>
      <c r="E597" s="42" t="str">
        <f>TEXT(Data!B597,"MMM-YYYY")</f>
        <v>Feb-2025</v>
      </c>
      <c r="F597" s="42" t="str">
        <f t="shared" si="65"/>
        <v>Q1-2025</v>
      </c>
      <c r="G597" s="37" t="s">
        <v>52</v>
      </c>
      <c r="H597" s="37" t="s">
        <v>53</v>
      </c>
      <c r="I597" s="37" t="s">
        <v>54</v>
      </c>
      <c r="J597" s="37" t="s">
        <v>62</v>
      </c>
      <c r="K597" s="37" t="s">
        <v>20</v>
      </c>
      <c r="L597" s="37" t="s">
        <v>145</v>
      </c>
      <c r="M597" s="37" t="s">
        <v>22</v>
      </c>
      <c r="N597" s="37" t="s">
        <v>1293</v>
      </c>
      <c r="O597" s="42">
        <v>1133.47</v>
      </c>
      <c r="P597" s="43" t="str">
        <f t="shared" si="66"/>
        <v>High</v>
      </c>
      <c r="Q597" s="42">
        <v>1698.75</v>
      </c>
      <c r="R597" s="42">
        <v>4.2999999999999997E-2</v>
      </c>
      <c r="S597" s="42">
        <v>5</v>
      </c>
      <c r="T597" s="42">
        <f t="shared" si="63"/>
        <v>7459.2886500000004</v>
      </c>
      <c r="U597" s="37">
        <f t="shared" si="64"/>
        <v>5667.35</v>
      </c>
      <c r="V597" s="42">
        <f t="shared" si="67"/>
        <v>1791.9386500000001</v>
      </c>
      <c r="W597" s="44">
        <f t="shared" si="68"/>
        <v>0.24022916045754578</v>
      </c>
    </row>
    <row r="598" spans="1:23" x14ac:dyDescent="0.3">
      <c r="A598" s="45" t="s">
        <v>1294</v>
      </c>
      <c r="B598" s="46">
        <v>44933</v>
      </c>
      <c r="C598" s="47">
        <v>44956</v>
      </c>
      <c r="D598" s="48">
        <f t="shared" si="69"/>
        <v>23</v>
      </c>
      <c r="E598" s="48" t="str">
        <f>TEXT(Data!B598,"MMM-YYYY")</f>
        <v>Jan-2023</v>
      </c>
      <c r="F598" s="48" t="str">
        <f t="shared" si="65"/>
        <v>Q1-2023</v>
      </c>
      <c r="G598" s="38" t="s">
        <v>16</v>
      </c>
      <c r="H598" s="38" t="s">
        <v>148</v>
      </c>
      <c r="I598" s="38" t="s">
        <v>258</v>
      </c>
      <c r="J598" s="38" t="s">
        <v>48</v>
      </c>
      <c r="K598" s="38" t="s">
        <v>28</v>
      </c>
      <c r="L598" s="38" t="s">
        <v>75</v>
      </c>
      <c r="M598" s="38" t="s">
        <v>30</v>
      </c>
      <c r="N598" s="38" t="s">
        <v>1295</v>
      </c>
      <c r="O598" s="48">
        <v>299.02</v>
      </c>
      <c r="P598" s="49" t="str">
        <f t="shared" si="66"/>
        <v>High</v>
      </c>
      <c r="Q598" s="48">
        <v>724.7</v>
      </c>
      <c r="R598" s="48">
        <v>0.14000000000000001</v>
      </c>
      <c r="S598" s="48">
        <v>5</v>
      </c>
      <c r="T598" s="48">
        <f t="shared" si="63"/>
        <v>3702.9880000000003</v>
      </c>
      <c r="U598" s="38">
        <f t="shared" si="64"/>
        <v>1495.1</v>
      </c>
      <c r="V598" s="48">
        <f t="shared" si="67"/>
        <v>2207.8880000000004</v>
      </c>
      <c r="W598" s="50">
        <f t="shared" si="68"/>
        <v>0.59624497837962209</v>
      </c>
    </row>
    <row r="599" spans="1:23" x14ac:dyDescent="0.3">
      <c r="A599" s="39" t="s">
        <v>1296</v>
      </c>
      <c r="B599" s="40">
        <v>45726</v>
      </c>
      <c r="C599" s="41">
        <v>45751</v>
      </c>
      <c r="D599" s="42">
        <f t="shared" si="69"/>
        <v>25</v>
      </c>
      <c r="E599" s="42" t="str">
        <f>TEXT(Data!B599,"MMM-YYYY")</f>
        <v>Mar-2025</v>
      </c>
      <c r="F599" s="42" t="str">
        <f t="shared" si="65"/>
        <v>Q1-2025</v>
      </c>
      <c r="G599" s="37" t="s">
        <v>45</v>
      </c>
      <c r="H599" s="37" t="s">
        <v>46</v>
      </c>
      <c r="I599" s="37" t="s">
        <v>47</v>
      </c>
      <c r="J599" s="37" t="s">
        <v>19</v>
      </c>
      <c r="K599" s="37" t="s">
        <v>98</v>
      </c>
      <c r="L599" s="37" t="s">
        <v>92</v>
      </c>
      <c r="M599" s="37" t="s">
        <v>30</v>
      </c>
      <c r="N599" s="37" t="s">
        <v>1297</v>
      </c>
      <c r="O599" s="42">
        <v>783.72</v>
      </c>
      <c r="P599" s="43" t="str">
        <f t="shared" si="66"/>
        <v>High</v>
      </c>
      <c r="Q599" s="42">
        <v>1355.94</v>
      </c>
      <c r="R599" s="42">
        <v>0.187</v>
      </c>
      <c r="S599" s="42">
        <v>4</v>
      </c>
      <c r="T599" s="42">
        <f t="shared" si="63"/>
        <v>7467.4049999999997</v>
      </c>
      <c r="U599" s="37">
        <f t="shared" si="64"/>
        <v>3134.88</v>
      </c>
      <c r="V599" s="42">
        <f t="shared" si="67"/>
        <v>4332.5249999999996</v>
      </c>
      <c r="W599" s="44">
        <f t="shared" si="68"/>
        <v>0.58019151231251009</v>
      </c>
    </row>
    <row r="600" spans="1:23" x14ac:dyDescent="0.3">
      <c r="A600" s="45" t="s">
        <v>1298</v>
      </c>
      <c r="B600" s="46">
        <v>45521</v>
      </c>
      <c r="C600" s="47">
        <v>45519</v>
      </c>
      <c r="D600" s="48">
        <f>DATEDIF(C600,B600, "MD")</f>
        <v>2</v>
      </c>
      <c r="E600" s="48" t="str">
        <f>TEXT(Data!B600,"MMM-YYYY")</f>
        <v>Aug-2024</v>
      </c>
      <c r="F600" s="48" t="str">
        <f t="shared" si="65"/>
        <v>Q3-2024</v>
      </c>
      <c r="G600" s="38" t="s">
        <v>52</v>
      </c>
      <c r="H600" s="38" t="s">
        <v>73</v>
      </c>
      <c r="I600" s="38" t="s">
        <v>225</v>
      </c>
      <c r="J600" s="38" t="s">
        <v>48</v>
      </c>
      <c r="K600" s="38" t="s">
        <v>98</v>
      </c>
      <c r="L600" s="38" t="s">
        <v>110</v>
      </c>
      <c r="M600" s="38" t="s">
        <v>64</v>
      </c>
      <c r="N600" s="38" t="s">
        <v>1299</v>
      </c>
      <c r="O600" s="48">
        <v>165.3</v>
      </c>
      <c r="P600" s="49" t="str">
        <f t="shared" si="66"/>
        <v>High</v>
      </c>
      <c r="Q600" s="48">
        <v>275.07</v>
      </c>
      <c r="R600" s="48">
        <v>0.13300000000000001</v>
      </c>
      <c r="S600" s="48">
        <v>25</v>
      </c>
      <c r="T600" s="48">
        <f t="shared" si="63"/>
        <v>57148.305</v>
      </c>
      <c r="U600" s="38">
        <f t="shared" si="64"/>
        <v>4132.5</v>
      </c>
      <c r="V600" s="48">
        <f t="shared" si="67"/>
        <v>53015.805</v>
      </c>
      <c r="W600" s="50">
        <f t="shared" si="68"/>
        <v>0.92768814403156841</v>
      </c>
    </row>
    <row r="601" spans="1:23" x14ac:dyDescent="0.3">
      <c r="A601" s="39" t="s">
        <v>1300</v>
      </c>
      <c r="B601" s="40">
        <v>45360</v>
      </c>
      <c r="C601" s="41">
        <v>45373</v>
      </c>
      <c r="D601" s="42">
        <f t="shared" si="69"/>
        <v>13</v>
      </c>
      <c r="E601" s="42" t="str">
        <f>TEXT(Data!B601,"MMM-YYYY")</f>
        <v>Mar-2024</v>
      </c>
      <c r="F601" s="42" t="str">
        <f t="shared" si="65"/>
        <v>Q1-2024</v>
      </c>
      <c r="G601" s="37" t="s">
        <v>78</v>
      </c>
      <c r="H601" s="37" t="s">
        <v>108</v>
      </c>
      <c r="I601" s="37" t="s">
        <v>228</v>
      </c>
      <c r="J601" s="37" t="s">
        <v>48</v>
      </c>
      <c r="K601" s="37" t="s">
        <v>28</v>
      </c>
      <c r="L601" s="37" t="s">
        <v>63</v>
      </c>
      <c r="M601" s="37" t="s">
        <v>57</v>
      </c>
      <c r="N601" s="37" t="s">
        <v>1301</v>
      </c>
      <c r="O601" s="42">
        <v>985.45</v>
      </c>
      <c r="P601" s="43" t="str">
        <f t="shared" si="66"/>
        <v>High</v>
      </c>
      <c r="Q601" s="42">
        <v>1802.44</v>
      </c>
      <c r="R601" s="42">
        <v>8.9999999999999993E-3</v>
      </c>
      <c r="S601" s="42">
        <v>19</v>
      </c>
      <c r="T601" s="42">
        <f t="shared" si="63"/>
        <v>18416.456609999997</v>
      </c>
      <c r="U601" s="37">
        <f t="shared" si="64"/>
        <v>18723.55</v>
      </c>
      <c r="V601" s="42">
        <f t="shared" si="67"/>
        <v>-307.09339000000182</v>
      </c>
      <c r="W601" s="44">
        <f t="shared" si="68"/>
        <v>-1.6674944399089911E-2</v>
      </c>
    </row>
    <row r="602" spans="1:23" x14ac:dyDescent="0.3">
      <c r="A602" s="45" t="s">
        <v>1302</v>
      </c>
      <c r="B602" s="46">
        <v>45523</v>
      </c>
      <c r="C602" s="47">
        <v>45537</v>
      </c>
      <c r="D602" s="48">
        <f t="shared" si="69"/>
        <v>14</v>
      </c>
      <c r="E602" s="48" t="str">
        <f>TEXT(Data!B602,"MMM-YYYY")</f>
        <v>Aug-2024</v>
      </c>
      <c r="F602" s="48" t="str">
        <f t="shared" si="65"/>
        <v>Q3-2024</v>
      </c>
      <c r="G602" s="38" t="s">
        <v>52</v>
      </c>
      <c r="H602" s="38" t="s">
        <v>53</v>
      </c>
      <c r="I602" s="38" t="s">
        <v>54</v>
      </c>
      <c r="J602" s="38" t="s">
        <v>48</v>
      </c>
      <c r="K602" s="38" t="s">
        <v>55</v>
      </c>
      <c r="L602" s="38" t="s">
        <v>21</v>
      </c>
      <c r="M602" s="38" t="s">
        <v>30</v>
      </c>
      <c r="N602" s="38" t="s">
        <v>1303</v>
      </c>
      <c r="O602" s="48">
        <v>1337.01</v>
      </c>
      <c r="P602" s="49" t="str">
        <f t="shared" si="66"/>
        <v>High</v>
      </c>
      <c r="Q602" s="48">
        <v>1269.78</v>
      </c>
      <c r="R602" s="48">
        <v>0.16</v>
      </c>
      <c r="S602" s="48">
        <v>7</v>
      </c>
      <c r="T602" s="48">
        <f t="shared" si="63"/>
        <v>3208.8335999999999</v>
      </c>
      <c r="U602" s="38">
        <f t="shared" si="64"/>
        <v>9359.07</v>
      </c>
      <c r="V602" s="48">
        <f t="shared" si="67"/>
        <v>-6150.2363999999998</v>
      </c>
      <c r="W602" s="50">
        <f t="shared" si="68"/>
        <v>-1.916657940754547</v>
      </c>
    </row>
    <row r="603" spans="1:23" x14ac:dyDescent="0.3">
      <c r="A603" s="39" t="s">
        <v>1304</v>
      </c>
      <c r="B603" s="40">
        <v>45880</v>
      </c>
      <c r="C603" s="41">
        <v>45897</v>
      </c>
      <c r="D603" s="42">
        <f t="shared" si="69"/>
        <v>17</v>
      </c>
      <c r="E603" s="42" t="str">
        <f>TEXT(Data!B603,"MMM-YYYY")</f>
        <v>Aug-2025</v>
      </c>
      <c r="F603" s="42" t="str">
        <f t="shared" si="65"/>
        <v>Q3-2025</v>
      </c>
      <c r="G603" s="37" t="s">
        <v>78</v>
      </c>
      <c r="H603" s="37" t="s">
        <v>90</v>
      </c>
      <c r="I603" s="37" t="s">
        <v>217</v>
      </c>
      <c r="J603" s="37" t="s">
        <v>27</v>
      </c>
      <c r="K603" s="37" t="s">
        <v>28</v>
      </c>
      <c r="L603" s="37" t="s">
        <v>84</v>
      </c>
      <c r="M603" s="37" t="s">
        <v>35</v>
      </c>
      <c r="N603" s="37" t="s">
        <v>1305</v>
      </c>
      <c r="O603" s="42">
        <v>416.16</v>
      </c>
      <c r="P603" s="43" t="str">
        <f t="shared" si="66"/>
        <v>High</v>
      </c>
      <c r="Q603" s="42">
        <v>571.9</v>
      </c>
      <c r="R603" s="42">
        <v>7.0999999999999994E-2</v>
      </c>
      <c r="S603" s="42">
        <v>2</v>
      </c>
      <c r="T603" s="42">
        <f t="shared" si="63"/>
        <v>2667.2333200000003</v>
      </c>
      <c r="U603" s="37">
        <f t="shared" si="64"/>
        <v>832.32</v>
      </c>
      <c r="V603" s="42">
        <f t="shared" si="67"/>
        <v>1834.9133200000001</v>
      </c>
      <c r="W603" s="44">
        <f t="shared" si="68"/>
        <v>0.6879463098488886</v>
      </c>
    </row>
    <row r="604" spans="1:23" x14ac:dyDescent="0.3">
      <c r="A604" s="45" t="s">
        <v>1306</v>
      </c>
      <c r="B604" s="46">
        <v>45793</v>
      </c>
      <c r="C604" s="47">
        <v>45795</v>
      </c>
      <c r="D604" s="48">
        <f t="shared" si="69"/>
        <v>2</v>
      </c>
      <c r="E604" s="48" t="str">
        <f>TEXT(Data!B604,"MMM-YYYY")</f>
        <v>May-2025</v>
      </c>
      <c r="F604" s="48" t="str">
        <f t="shared" si="65"/>
        <v>Q2-2025</v>
      </c>
      <c r="G604" s="38" t="s">
        <v>45</v>
      </c>
      <c r="H604" s="38" t="s">
        <v>46</v>
      </c>
      <c r="I604" s="38" t="s">
        <v>214</v>
      </c>
      <c r="J604" s="38" t="s">
        <v>105</v>
      </c>
      <c r="K604" s="38" t="s">
        <v>20</v>
      </c>
      <c r="L604" s="38" t="s">
        <v>29</v>
      </c>
      <c r="M604" s="38" t="s">
        <v>30</v>
      </c>
      <c r="N604" s="38" t="s">
        <v>1307</v>
      </c>
      <c r="O604" s="48">
        <v>1144.3800000000001</v>
      </c>
      <c r="P604" s="49" t="str">
        <f t="shared" si="66"/>
        <v>High</v>
      </c>
      <c r="Q604" s="48">
        <v>2755.04</v>
      </c>
      <c r="R604" s="48">
        <v>0.15</v>
      </c>
      <c r="S604" s="48">
        <v>17</v>
      </c>
      <c r="T604" s="48">
        <f t="shared" si="63"/>
        <v>34640.985000000001</v>
      </c>
      <c r="U604" s="38">
        <f t="shared" si="64"/>
        <v>19454.460000000003</v>
      </c>
      <c r="V604" s="48">
        <f t="shared" si="67"/>
        <v>15186.524999999998</v>
      </c>
      <c r="W604" s="50">
        <f t="shared" si="68"/>
        <v>0.4383976090749151</v>
      </c>
    </row>
    <row r="605" spans="1:23" x14ac:dyDescent="0.3">
      <c r="A605" s="39" t="s">
        <v>1308</v>
      </c>
      <c r="B605" s="40">
        <v>45026</v>
      </c>
      <c r="C605" s="41">
        <v>45041</v>
      </c>
      <c r="D605" s="42">
        <f t="shared" si="69"/>
        <v>15</v>
      </c>
      <c r="E605" s="42" t="str">
        <f>TEXT(Data!B605,"MMM-YYYY")</f>
        <v>Apr-2023</v>
      </c>
      <c r="F605" s="42" t="str">
        <f t="shared" si="65"/>
        <v>Q2-2023</v>
      </c>
      <c r="G605" s="37" t="s">
        <v>78</v>
      </c>
      <c r="H605" s="37" t="s">
        <v>108</v>
      </c>
      <c r="I605" s="37" t="s">
        <v>152</v>
      </c>
      <c r="J605" s="37" t="s">
        <v>62</v>
      </c>
      <c r="K605" s="37" t="s">
        <v>20</v>
      </c>
      <c r="L605" s="37" t="s">
        <v>145</v>
      </c>
      <c r="M605" s="37" t="s">
        <v>30</v>
      </c>
      <c r="N605" s="37" t="s">
        <v>1309</v>
      </c>
      <c r="O605" s="42">
        <v>405.66</v>
      </c>
      <c r="P605" s="43" t="str">
        <f t="shared" si="66"/>
        <v>High</v>
      </c>
      <c r="Q605" s="42">
        <v>962.51</v>
      </c>
      <c r="R605" s="42">
        <v>0.19</v>
      </c>
      <c r="S605" s="42">
        <v>7</v>
      </c>
      <c r="T605" s="42">
        <f t="shared" si="63"/>
        <v>10511.386199999999</v>
      </c>
      <c r="U605" s="37">
        <f t="shared" si="64"/>
        <v>2839.6200000000003</v>
      </c>
      <c r="V605" s="42">
        <f t="shared" si="67"/>
        <v>7671.7661999999982</v>
      </c>
      <c r="W605" s="44">
        <f t="shared" si="68"/>
        <v>0.72985294746377016</v>
      </c>
    </row>
    <row r="606" spans="1:23" x14ac:dyDescent="0.3">
      <c r="A606" s="45" t="s">
        <v>1310</v>
      </c>
      <c r="B606" s="46">
        <v>45186</v>
      </c>
      <c r="C606" s="47">
        <v>45201</v>
      </c>
      <c r="D606" s="48">
        <f t="shared" si="69"/>
        <v>15</v>
      </c>
      <c r="E606" s="48" t="str">
        <f>TEXT(Data!B606,"MMM-YYYY")</f>
        <v>Sept-2023</v>
      </c>
      <c r="F606" s="48" t="str">
        <f t="shared" si="65"/>
        <v>Q3-2023</v>
      </c>
      <c r="G606" s="38" t="s">
        <v>52</v>
      </c>
      <c r="H606" s="38" t="s">
        <v>73</v>
      </c>
      <c r="I606" s="38" t="s">
        <v>225</v>
      </c>
      <c r="J606" s="38" t="s">
        <v>62</v>
      </c>
      <c r="K606" s="38" t="s">
        <v>20</v>
      </c>
      <c r="L606" s="38" t="s">
        <v>56</v>
      </c>
      <c r="M606" s="38" t="s">
        <v>57</v>
      </c>
      <c r="N606" s="38" t="s">
        <v>1311</v>
      </c>
      <c r="O606" s="48">
        <v>689.33</v>
      </c>
      <c r="P606" s="49" t="str">
        <f t="shared" si="66"/>
        <v>High</v>
      </c>
      <c r="Q606" s="48">
        <v>668.27</v>
      </c>
      <c r="R606" s="48">
        <v>0.186</v>
      </c>
      <c r="S606" s="48">
        <v>13</v>
      </c>
      <c r="T606" s="48">
        <f t="shared" si="63"/>
        <v>486.56036000000006</v>
      </c>
      <c r="U606" s="38">
        <f t="shared" si="64"/>
        <v>8961.2900000000009</v>
      </c>
      <c r="V606" s="48">
        <f t="shared" si="67"/>
        <v>-8474.7296400000014</v>
      </c>
      <c r="W606" s="50">
        <f t="shared" si="68"/>
        <v>-17.417632706453933</v>
      </c>
    </row>
    <row r="607" spans="1:23" x14ac:dyDescent="0.3">
      <c r="A607" s="39" t="s">
        <v>1312</v>
      </c>
      <c r="B607" s="40">
        <v>45038</v>
      </c>
      <c r="C607" s="41">
        <v>45060</v>
      </c>
      <c r="D607" s="42">
        <f t="shared" si="69"/>
        <v>22</v>
      </c>
      <c r="E607" s="42" t="str">
        <f>TEXT(Data!B607,"MMM-YYYY")</f>
        <v>Apr-2023</v>
      </c>
      <c r="F607" s="42" t="str">
        <f t="shared" si="65"/>
        <v>Q2-2023</v>
      </c>
      <c r="G607" s="37" t="s">
        <v>45</v>
      </c>
      <c r="H607" s="37" t="s">
        <v>46</v>
      </c>
      <c r="I607" s="37" t="s">
        <v>231</v>
      </c>
      <c r="J607" s="37" t="s">
        <v>105</v>
      </c>
      <c r="K607" s="37" t="s">
        <v>20</v>
      </c>
      <c r="L607" s="37" t="s">
        <v>75</v>
      </c>
      <c r="M607" s="37" t="s">
        <v>81</v>
      </c>
      <c r="N607" s="37" t="s">
        <v>1313</v>
      </c>
      <c r="O607" s="42">
        <v>1209.22</v>
      </c>
      <c r="P607" s="43" t="str">
        <f t="shared" si="66"/>
        <v>High</v>
      </c>
      <c r="Q607" s="42">
        <v>1404.33</v>
      </c>
      <c r="R607" s="42">
        <v>0.10299999999999999</v>
      </c>
      <c r="S607" s="42">
        <v>11</v>
      </c>
      <c r="T607" s="42">
        <f t="shared" si="63"/>
        <v>453.68466000000001</v>
      </c>
      <c r="U607" s="37">
        <f t="shared" si="64"/>
        <v>13301.42</v>
      </c>
      <c r="V607" s="42">
        <f t="shared" si="67"/>
        <v>-12847.735339999999</v>
      </c>
      <c r="W607" s="44">
        <f t="shared" si="68"/>
        <v>-28.318646127466597</v>
      </c>
    </row>
    <row r="608" spans="1:23" x14ac:dyDescent="0.3">
      <c r="A608" s="45" t="s">
        <v>1314</v>
      </c>
      <c r="B608" s="46">
        <v>45827</v>
      </c>
      <c r="C608" s="47">
        <v>45829</v>
      </c>
      <c r="D608" s="48">
        <f t="shared" si="69"/>
        <v>2</v>
      </c>
      <c r="E608" s="48" t="str">
        <f>TEXT(Data!B608,"MMM-YYYY")</f>
        <v>Jun-2025</v>
      </c>
      <c r="F608" s="48" t="str">
        <f t="shared" si="65"/>
        <v>Q2-2025</v>
      </c>
      <c r="G608" s="38" t="s">
        <v>16</v>
      </c>
      <c r="H608" s="38" t="s">
        <v>148</v>
      </c>
      <c r="I608" s="38" t="s">
        <v>149</v>
      </c>
      <c r="J608" s="38" t="s">
        <v>62</v>
      </c>
      <c r="K608" s="38" t="s">
        <v>1364</v>
      </c>
      <c r="L608" s="38" t="s">
        <v>92</v>
      </c>
      <c r="M608" s="38" t="s">
        <v>42</v>
      </c>
      <c r="N608" s="38" t="s">
        <v>1315</v>
      </c>
      <c r="O608" s="48">
        <v>1466.27</v>
      </c>
      <c r="P608" s="49" t="str">
        <f t="shared" si="66"/>
        <v>High</v>
      </c>
      <c r="Q608" s="48">
        <v>3589.89</v>
      </c>
      <c r="R608" s="48">
        <v>9.7000000000000003E-2</v>
      </c>
      <c r="S608" s="48">
        <v>9</v>
      </c>
      <c r="T608" s="48">
        <f t="shared" si="63"/>
        <v>0</v>
      </c>
      <c r="U608" s="38">
        <f t="shared" si="64"/>
        <v>13196.43</v>
      </c>
      <c r="V608" s="48">
        <f t="shared" si="67"/>
        <v>-13196.43</v>
      </c>
      <c r="W608" s="50">
        <f t="shared" si="68"/>
        <v>0</v>
      </c>
    </row>
    <row r="609" spans="1:23" x14ac:dyDescent="0.3">
      <c r="A609" s="39" t="s">
        <v>1316</v>
      </c>
      <c r="B609" s="40">
        <v>45623</v>
      </c>
      <c r="C609" s="41">
        <v>45650</v>
      </c>
      <c r="D609" s="42">
        <f t="shared" si="69"/>
        <v>27</v>
      </c>
      <c r="E609" s="42" t="str">
        <f>TEXT(Data!B609,"MMM-YYYY")</f>
        <v>Nov-2024</v>
      </c>
      <c r="F609" s="42" t="str">
        <f t="shared" si="65"/>
        <v>Q4-2024</v>
      </c>
      <c r="G609" s="37" t="s">
        <v>16</v>
      </c>
      <c r="H609" s="37" t="s">
        <v>17</v>
      </c>
      <c r="I609" s="37" t="s">
        <v>113</v>
      </c>
      <c r="J609" s="37" t="s">
        <v>19</v>
      </c>
      <c r="K609" s="37" t="s">
        <v>55</v>
      </c>
      <c r="L609" s="37" t="s">
        <v>56</v>
      </c>
      <c r="M609" s="37" t="s">
        <v>30</v>
      </c>
      <c r="N609" s="37" t="s">
        <v>1317</v>
      </c>
      <c r="O609" s="42">
        <v>143.33000000000001</v>
      </c>
      <c r="P609" s="43" t="str">
        <f t="shared" si="66"/>
        <v>High</v>
      </c>
      <c r="Q609" s="42">
        <v>233.51</v>
      </c>
      <c r="R609" s="42">
        <v>0.16300000000000001</v>
      </c>
      <c r="S609" s="42">
        <v>14</v>
      </c>
      <c r="T609" s="42">
        <f t="shared" si="63"/>
        <v>0</v>
      </c>
      <c r="U609" s="37">
        <f t="shared" si="64"/>
        <v>2006.6200000000001</v>
      </c>
      <c r="V609" s="42">
        <f t="shared" si="67"/>
        <v>-2006.6200000000001</v>
      </c>
      <c r="W609" s="44">
        <f t="shared" si="68"/>
        <v>0</v>
      </c>
    </row>
    <row r="610" spans="1:23" x14ac:dyDescent="0.3">
      <c r="A610" s="45" t="s">
        <v>1318</v>
      </c>
      <c r="B610" s="46">
        <v>45319</v>
      </c>
      <c r="C610" s="47">
        <v>45318</v>
      </c>
      <c r="D610" s="48">
        <f>DATEDIF(C610,B610, "MD")</f>
        <v>1</v>
      </c>
      <c r="E610" s="48" t="str">
        <f>TEXT(Data!B610,"MMM-YYYY")</f>
        <v>Jan-2024</v>
      </c>
      <c r="F610" s="48" t="str">
        <f t="shared" si="65"/>
        <v>Q1-2024</v>
      </c>
      <c r="G610" s="38" t="s">
        <v>16</v>
      </c>
      <c r="H610" s="38" t="s">
        <v>148</v>
      </c>
      <c r="I610" s="38" t="s">
        <v>258</v>
      </c>
      <c r="J610" s="38" t="s">
        <v>105</v>
      </c>
      <c r="K610" s="38" t="s">
        <v>98</v>
      </c>
      <c r="L610" s="38" t="s">
        <v>68</v>
      </c>
      <c r="M610" s="38" t="s">
        <v>22</v>
      </c>
      <c r="N610" s="38" t="s">
        <v>1319</v>
      </c>
      <c r="O610" s="48">
        <v>109.75</v>
      </c>
      <c r="P610" s="49" t="str">
        <f t="shared" si="66"/>
        <v>Medium</v>
      </c>
      <c r="Q610" s="48">
        <v>124.25</v>
      </c>
      <c r="R610" s="48">
        <v>0.12</v>
      </c>
      <c r="S610" s="48">
        <v>19</v>
      </c>
      <c r="T610" s="48">
        <f t="shared" si="63"/>
        <v>0</v>
      </c>
      <c r="U610" s="38">
        <f t="shared" si="64"/>
        <v>2085.25</v>
      </c>
      <c r="V610" s="48">
        <f t="shared" si="67"/>
        <v>-2085.25</v>
      </c>
      <c r="W610" s="50">
        <f t="shared" si="68"/>
        <v>0</v>
      </c>
    </row>
    <row r="611" spans="1:23" x14ac:dyDescent="0.3">
      <c r="A611" s="39" t="s">
        <v>1320</v>
      </c>
      <c r="B611" s="40">
        <v>45032</v>
      </c>
      <c r="C611" s="41">
        <v>45039</v>
      </c>
      <c r="D611" s="42">
        <f t="shared" si="69"/>
        <v>7</v>
      </c>
      <c r="E611" s="42" t="str">
        <f>TEXT(Data!B611,"MMM-YYYY")</f>
        <v>Apr-2023</v>
      </c>
      <c r="F611" s="42" t="str">
        <f t="shared" si="65"/>
        <v>Q2-2023</v>
      </c>
      <c r="G611" s="37" t="s">
        <v>52</v>
      </c>
      <c r="H611" s="37" t="s">
        <v>122</v>
      </c>
      <c r="I611" s="37" t="s">
        <v>326</v>
      </c>
      <c r="J611" s="37" t="s">
        <v>19</v>
      </c>
      <c r="K611" s="37" t="s">
        <v>55</v>
      </c>
      <c r="L611" s="37" t="s">
        <v>68</v>
      </c>
      <c r="M611" s="37" t="s">
        <v>30</v>
      </c>
      <c r="N611" s="37" t="s">
        <v>1321</v>
      </c>
      <c r="O611" s="42">
        <v>1099.1500000000001</v>
      </c>
      <c r="P611" s="43" t="str">
        <f t="shared" si="66"/>
        <v>High</v>
      </c>
      <c r="Q611" s="42">
        <v>1431.37</v>
      </c>
      <c r="R611" s="42">
        <v>0.104</v>
      </c>
      <c r="S611" s="42">
        <v>8</v>
      </c>
      <c r="T611" s="42">
        <f t="shared" si="63"/>
        <v>0</v>
      </c>
      <c r="U611" s="37">
        <f t="shared" si="64"/>
        <v>8793.2000000000007</v>
      </c>
      <c r="V611" s="42">
        <f t="shared" si="67"/>
        <v>-8793.2000000000007</v>
      </c>
      <c r="W611" s="44">
        <f t="shared" si="68"/>
        <v>0</v>
      </c>
    </row>
    <row r="612" spans="1:23" x14ac:dyDescent="0.3">
      <c r="A612" s="45" t="s">
        <v>1322</v>
      </c>
      <c r="B612" s="46">
        <v>45323</v>
      </c>
      <c r="C612" s="47">
        <v>45323</v>
      </c>
      <c r="D612" s="48">
        <f t="shared" si="69"/>
        <v>0</v>
      </c>
      <c r="E612" s="48" t="str">
        <f>TEXT(Data!B612,"MMM-YYYY")</f>
        <v>Feb-2024</v>
      </c>
      <c r="F612" s="48" t="str">
        <f t="shared" si="65"/>
        <v>Q1-2024</v>
      </c>
      <c r="G612" s="38" t="s">
        <v>52</v>
      </c>
      <c r="H612" s="38" t="s">
        <v>122</v>
      </c>
      <c r="I612" s="38" t="s">
        <v>326</v>
      </c>
      <c r="J612" s="38" t="s">
        <v>48</v>
      </c>
      <c r="K612" s="38" t="s">
        <v>55</v>
      </c>
      <c r="L612" s="38" t="s">
        <v>92</v>
      </c>
      <c r="M612" s="38" t="s">
        <v>30</v>
      </c>
      <c r="N612" s="38" t="s">
        <v>1323</v>
      </c>
      <c r="O612" s="48">
        <v>714.43</v>
      </c>
      <c r="P612" s="49" t="str">
        <f t="shared" si="66"/>
        <v>High</v>
      </c>
      <c r="Q612" s="48">
        <v>1595.52</v>
      </c>
      <c r="R612" s="48">
        <v>0.19400000000000001</v>
      </c>
      <c r="S612" s="48">
        <v>14</v>
      </c>
      <c r="T612" s="48">
        <f t="shared" si="63"/>
        <v>0</v>
      </c>
      <c r="U612" s="38">
        <f t="shared" si="64"/>
        <v>10002.019999999999</v>
      </c>
      <c r="V612" s="48">
        <f t="shared" si="67"/>
        <v>-10002.019999999999</v>
      </c>
      <c r="W612" s="50">
        <f t="shared" si="68"/>
        <v>0</v>
      </c>
    </row>
    <row r="613" spans="1:23" x14ac:dyDescent="0.3">
      <c r="A613" s="39" t="s">
        <v>1324</v>
      </c>
      <c r="B613" s="40">
        <v>45584</v>
      </c>
      <c r="C613" s="41">
        <v>45602</v>
      </c>
      <c r="D613" s="42">
        <f t="shared" si="69"/>
        <v>18</v>
      </c>
      <c r="E613" s="42" t="str">
        <f>TEXT(Data!B613,"MMM-YYYY")</f>
        <v>Oct-2024</v>
      </c>
      <c r="F613" s="42" t="str">
        <f t="shared" si="65"/>
        <v>Q4-2024</v>
      </c>
      <c r="G613" s="37" t="s">
        <v>52</v>
      </c>
      <c r="H613" s="37" t="s">
        <v>122</v>
      </c>
      <c r="I613" s="37" t="s">
        <v>123</v>
      </c>
      <c r="J613" s="37" t="s">
        <v>27</v>
      </c>
      <c r="K613" s="37" t="s">
        <v>1364</v>
      </c>
      <c r="L613" s="37" t="s">
        <v>21</v>
      </c>
      <c r="M613" s="37" t="s">
        <v>64</v>
      </c>
      <c r="N613" s="37" t="s">
        <v>1325</v>
      </c>
      <c r="O613" s="42">
        <v>942.02</v>
      </c>
      <c r="P613" s="43" t="str">
        <f t="shared" si="66"/>
        <v>High</v>
      </c>
      <c r="Q613" s="42">
        <v>1028.46</v>
      </c>
      <c r="R613" s="42">
        <v>0</v>
      </c>
      <c r="S613" s="42">
        <v>9</v>
      </c>
      <c r="T613" s="42">
        <f t="shared" si="63"/>
        <v>0</v>
      </c>
      <c r="U613" s="37">
        <f t="shared" si="64"/>
        <v>8478.18</v>
      </c>
      <c r="V613" s="42">
        <f t="shared" si="67"/>
        <v>-8478.18</v>
      </c>
      <c r="W613" s="44">
        <f t="shared" si="68"/>
        <v>0</v>
      </c>
    </row>
    <row r="614" spans="1:23" x14ac:dyDescent="0.3">
      <c r="A614" s="45" t="s">
        <v>1326</v>
      </c>
      <c r="B614" s="46">
        <v>45468</v>
      </c>
      <c r="C614" s="47">
        <v>45473</v>
      </c>
      <c r="D614" s="48">
        <f t="shared" si="69"/>
        <v>5</v>
      </c>
      <c r="E614" s="48" t="str">
        <f>TEXT(Data!B614,"MMM-YYYY")</f>
        <v>Jun-2024</v>
      </c>
      <c r="F614" s="48" t="str">
        <f t="shared" si="65"/>
        <v>Q2-2024</v>
      </c>
      <c r="G614" s="38" t="s">
        <v>16</v>
      </c>
      <c r="H614" s="38" t="s">
        <v>17</v>
      </c>
      <c r="I614" s="38" t="s">
        <v>18</v>
      </c>
      <c r="J614" s="38" t="s">
        <v>27</v>
      </c>
      <c r="K614" s="38" t="s">
        <v>98</v>
      </c>
      <c r="L614" s="38" t="s">
        <v>110</v>
      </c>
      <c r="M614" s="38" t="s">
        <v>35</v>
      </c>
      <c r="N614" s="38" t="s">
        <v>1327</v>
      </c>
      <c r="O614" s="48">
        <v>1323.55</v>
      </c>
      <c r="P614" s="49" t="str">
        <f t="shared" si="66"/>
        <v>High</v>
      </c>
      <c r="Q614" s="48">
        <v>3230.35</v>
      </c>
      <c r="R614" s="48">
        <v>2.1999999999999999E-2</v>
      </c>
      <c r="S614" s="48">
        <v>26</v>
      </c>
      <c r="T614" s="48">
        <f t="shared" si="63"/>
        <v>0</v>
      </c>
      <c r="U614" s="38">
        <f t="shared" si="64"/>
        <v>34412.299999999996</v>
      </c>
      <c r="V614" s="48">
        <f t="shared" si="67"/>
        <v>-34412.299999999996</v>
      </c>
      <c r="W614" s="50">
        <f t="shared" si="68"/>
        <v>0</v>
      </c>
    </row>
    <row r="615" spans="1:23" x14ac:dyDescent="0.3">
      <c r="A615" s="39" t="s">
        <v>1328</v>
      </c>
      <c r="B615" s="40">
        <v>45137</v>
      </c>
      <c r="C615" s="41">
        <v>45157</v>
      </c>
      <c r="D615" s="42">
        <f t="shared" si="69"/>
        <v>20</v>
      </c>
      <c r="E615" s="42" t="str">
        <f>TEXT(Data!B615,"MMM-YYYY")</f>
        <v>Jul-2023</v>
      </c>
      <c r="F615" s="42" t="str">
        <f t="shared" si="65"/>
        <v>Q3-2023</v>
      </c>
      <c r="G615" s="37" t="s">
        <v>78</v>
      </c>
      <c r="H615" s="37" t="s">
        <v>90</v>
      </c>
      <c r="I615" s="37" t="s">
        <v>217</v>
      </c>
      <c r="J615" s="37" t="s">
        <v>105</v>
      </c>
      <c r="K615" s="37" t="s">
        <v>40</v>
      </c>
      <c r="L615" s="37" t="s">
        <v>41</v>
      </c>
      <c r="M615" s="37" t="s">
        <v>35</v>
      </c>
      <c r="N615" s="37" t="s">
        <v>1329</v>
      </c>
      <c r="O615" s="42">
        <v>1418.51</v>
      </c>
      <c r="P615" s="43" t="str">
        <f t="shared" si="66"/>
        <v>High</v>
      </c>
      <c r="Q615" s="42">
        <v>2789.61</v>
      </c>
      <c r="R615" s="42">
        <v>0.17100000000000001</v>
      </c>
      <c r="S615" s="42">
        <v>8</v>
      </c>
      <c r="T615" s="42">
        <f t="shared" si="63"/>
        <v>0</v>
      </c>
      <c r="U615" s="37">
        <f t="shared" si="64"/>
        <v>11348.08</v>
      </c>
      <c r="V615" s="42">
        <f t="shared" si="67"/>
        <v>-11348.08</v>
      </c>
      <c r="W615" s="44">
        <f t="shared" si="68"/>
        <v>0</v>
      </c>
    </row>
    <row r="616" spans="1:23" x14ac:dyDescent="0.3">
      <c r="A616" s="45" t="s">
        <v>1330</v>
      </c>
      <c r="B616" s="46">
        <v>45727</v>
      </c>
      <c r="C616" s="47">
        <v>45743</v>
      </c>
      <c r="D616" s="48">
        <f t="shared" si="69"/>
        <v>16</v>
      </c>
      <c r="E616" s="48" t="str">
        <f>TEXT(Data!B616,"MMM-YYYY")</f>
        <v>Mar-2025</v>
      </c>
      <c r="F616" s="48" t="str">
        <f t="shared" si="65"/>
        <v>Q1-2025</v>
      </c>
      <c r="G616" s="38" t="s">
        <v>45</v>
      </c>
      <c r="H616" s="38" t="s">
        <v>46</v>
      </c>
      <c r="I616" s="38" t="s">
        <v>214</v>
      </c>
      <c r="J616" s="38" t="s">
        <v>105</v>
      </c>
      <c r="K616" s="38" t="s">
        <v>55</v>
      </c>
      <c r="L616" s="38" t="s">
        <v>56</v>
      </c>
      <c r="M616" s="38" t="s">
        <v>30</v>
      </c>
      <c r="N616" s="38" t="s">
        <v>1331</v>
      </c>
      <c r="O616" s="48">
        <v>1317.58</v>
      </c>
      <c r="P616" s="49" t="str">
        <f t="shared" si="66"/>
        <v>High</v>
      </c>
      <c r="Q616" s="48">
        <v>1897.74</v>
      </c>
      <c r="R616" s="48">
        <v>8.1000000000000003E-2</v>
      </c>
      <c r="S616" s="48">
        <v>6</v>
      </c>
      <c r="T616" s="48">
        <f t="shared" si="63"/>
        <v>0</v>
      </c>
      <c r="U616" s="38">
        <f t="shared" si="64"/>
        <v>7905.48</v>
      </c>
      <c r="V616" s="48">
        <f t="shared" si="67"/>
        <v>-7905.48</v>
      </c>
      <c r="W616" s="50">
        <f t="shared" si="68"/>
        <v>0</v>
      </c>
    </row>
    <row r="617" spans="1:23" x14ac:dyDescent="0.3">
      <c r="A617" s="39" t="s">
        <v>1332</v>
      </c>
      <c r="B617" s="40">
        <v>45208</v>
      </c>
      <c r="C617" s="41">
        <v>45210</v>
      </c>
      <c r="D617" s="42">
        <f t="shared" si="69"/>
        <v>2</v>
      </c>
      <c r="E617" s="42" t="str">
        <f>TEXT(Data!B617,"MMM-YYYY")</f>
        <v>Oct-2023</v>
      </c>
      <c r="F617" s="42" t="str">
        <f t="shared" si="65"/>
        <v>Q4-2023</v>
      </c>
      <c r="G617" s="37" t="s">
        <v>16</v>
      </c>
      <c r="H617" s="37" t="s">
        <v>25</v>
      </c>
      <c r="I617" s="37" t="s">
        <v>26</v>
      </c>
      <c r="J617" s="37" t="s">
        <v>27</v>
      </c>
      <c r="K617" s="37" t="s">
        <v>40</v>
      </c>
      <c r="L617" s="37" t="s">
        <v>95</v>
      </c>
      <c r="M617" s="37" t="s">
        <v>35</v>
      </c>
      <c r="N617" s="37" t="s">
        <v>1333</v>
      </c>
      <c r="O617" s="42">
        <v>391.16</v>
      </c>
      <c r="P617" s="43" t="str">
        <f t="shared" si="66"/>
        <v>High</v>
      </c>
      <c r="Q617" s="42">
        <v>902.47</v>
      </c>
      <c r="R617" s="42">
        <v>4.0000000000000001E-3</v>
      </c>
      <c r="S617" s="42">
        <v>12</v>
      </c>
      <c r="T617" s="42">
        <f t="shared" si="63"/>
        <v>0</v>
      </c>
      <c r="U617" s="37">
        <f t="shared" si="64"/>
        <v>4693.92</v>
      </c>
      <c r="V617" s="42">
        <f t="shared" si="67"/>
        <v>-4693.92</v>
      </c>
      <c r="W617" s="44">
        <f t="shared" si="68"/>
        <v>0</v>
      </c>
    </row>
    <row r="618" spans="1:23" x14ac:dyDescent="0.3">
      <c r="A618" s="45" t="s">
        <v>1334</v>
      </c>
      <c r="B618" s="46">
        <v>45643</v>
      </c>
      <c r="C618" s="47">
        <v>45673</v>
      </c>
      <c r="D618" s="48">
        <f t="shared" si="69"/>
        <v>30</v>
      </c>
      <c r="E618" s="48" t="str">
        <f>TEXT(Data!B618,"MMM-YYYY")</f>
        <v>Dec-2024</v>
      </c>
      <c r="F618" s="48" t="str">
        <f t="shared" si="65"/>
        <v>Q4-2024</v>
      </c>
      <c r="G618" s="38" t="s">
        <v>78</v>
      </c>
      <c r="H618" s="38" t="s">
        <v>108</v>
      </c>
      <c r="I618" s="38" t="s">
        <v>228</v>
      </c>
      <c r="J618" s="38" t="s">
        <v>19</v>
      </c>
      <c r="K618" s="38" t="s">
        <v>20</v>
      </c>
      <c r="L618" s="38" t="s">
        <v>145</v>
      </c>
      <c r="M618" s="38" t="s">
        <v>64</v>
      </c>
      <c r="N618" s="38" t="s">
        <v>1335</v>
      </c>
      <c r="O618" s="48">
        <v>722.87</v>
      </c>
      <c r="P618" s="49" t="str">
        <f t="shared" si="66"/>
        <v>Low</v>
      </c>
      <c r="Q618" s="48">
        <v>-33.659999999999997</v>
      </c>
      <c r="R618" s="48">
        <v>0.10199999999999999</v>
      </c>
      <c r="S618" s="48">
        <v>28</v>
      </c>
      <c r="T618" s="48">
        <f t="shared" si="63"/>
        <v>0</v>
      </c>
      <c r="U618" s="38">
        <f t="shared" si="64"/>
        <v>20240.36</v>
      </c>
      <c r="V618" s="48">
        <f t="shared" si="67"/>
        <v>-20240.36</v>
      </c>
      <c r="W618" s="50">
        <f t="shared" si="68"/>
        <v>0</v>
      </c>
    </row>
    <row r="619" spans="1:23" x14ac:dyDescent="0.3">
      <c r="A619" s="39" t="s">
        <v>1336</v>
      </c>
      <c r="B619" s="40">
        <v>45849</v>
      </c>
      <c r="C619" s="41">
        <v>45854</v>
      </c>
      <c r="D619" s="42">
        <f t="shared" si="69"/>
        <v>5</v>
      </c>
      <c r="E619" s="42" t="str">
        <f>TEXT(Data!B619,"MMM-YYYY")</f>
        <v>Jul-2025</v>
      </c>
      <c r="F619" s="42" t="str">
        <f t="shared" si="65"/>
        <v>Q3-2025</v>
      </c>
      <c r="G619" s="37" t="s">
        <v>78</v>
      </c>
      <c r="H619" s="37" t="s">
        <v>108</v>
      </c>
      <c r="I619" s="37" t="s">
        <v>152</v>
      </c>
      <c r="J619" s="37" t="s">
        <v>105</v>
      </c>
      <c r="K619" s="37" t="s">
        <v>28</v>
      </c>
      <c r="L619" s="37" t="s">
        <v>95</v>
      </c>
      <c r="M619" s="37" t="s">
        <v>30</v>
      </c>
      <c r="N619" s="37" t="s">
        <v>1337</v>
      </c>
      <c r="O619" s="42">
        <v>930.03</v>
      </c>
      <c r="P619" s="43" t="str">
        <f t="shared" si="66"/>
        <v>High</v>
      </c>
      <c r="Q619" s="42">
        <v>1086.68</v>
      </c>
      <c r="R619" s="42">
        <v>0.109</v>
      </c>
      <c r="S619" s="42">
        <v>26</v>
      </c>
      <c r="T619" s="42">
        <f t="shared" si="63"/>
        <v>0</v>
      </c>
      <c r="U619" s="37">
        <f t="shared" si="64"/>
        <v>24180.78</v>
      </c>
      <c r="V619" s="42">
        <f t="shared" si="67"/>
        <v>-24180.78</v>
      </c>
      <c r="W619" s="44">
        <f t="shared" si="68"/>
        <v>0</v>
      </c>
    </row>
    <row r="620" spans="1:23" x14ac:dyDescent="0.3">
      <c r="A620" s="45" t="s">
        <v>1338</v>
      </c>
      <c r="B620" s="46">
        <v>45578</v>
      </c>
      <c r="C620" s="47">
        <v>45589</v>
      </c>
      <c r="D620" s="48">
        <f t="shared" si="69"/>
        <v>11</v>
      </c>
      <c r="E620" s="48" t="str">
        <f>TEXT(Data!B620,"MMM-YYYY")</f>
        <v>Oct-2024</v>
      </c>
      <c r="F620" s="48" t="str">
        <f t="shared" si="65"/>
        <v>Q4-2024</v>
      </c>
      <c r="G620" s="38" t="s">
        <v>78</v>
      </c>
      <c r="H620" s="38" t="s">
        <v>90</v>
      </c>
      <c r="I620" s="38" t="s">
        <v>217</v>
      </c>
      <c r="J620" s="38" t="s">
        <v>27</v>
      </c>
      <c r="K620" s="38" t="s">
        <v>55</v>
      </c>
      <c r="L620" s="38" t="s">
        <v>84</v>
      </c>
      <c r="M620" s="38" t="s">
        <v>22</v>
      </c>
      <c r="N620" s="38" t="s">
        <v>1339</v>
      </c>
      <c r="O620" s="48">
        <v>816.7</v>
      </c>
      <c r="P620" s="49" t="str">
        <f t="shared" si="66"/>
        <v>High</v>
      </c>
      <c r="Q620" s="48">
        <v>1010.75</v>
      </c>
      <c r="R620" s="48">
        <v>4.7E-2</v>
      </c>
      <c r="S620" s="48">
        <v>43</v>
      </c>
      <c r="T620" s="48">
        <f t="shared" si="63"/>
        <v>0</v>
      </c>
      <c r="U620" s="38">
        <f t="shared" si="64"/>
        <v>35118.1</v>
      </c>
      <c r="V620" s="48">
        <f t="shared" si="67"/>
        <v>-35118.1</v>
      </c>
      <c r="W620" s="50">
        <f t="shared" si="68"/>
        <v>0</v>
      </c>
    </row>
    <row r="621" spans="1:23" x14ac:dyDescent="0.3">
      <c r="A621" s="39" t="s">
        <v>1340</v>
      </c>
      <c r="B621" s="40">
        <v>45177</v>
      </c>
      <c r="C621" s="41">
        <v>45183</v>
      </c>
      <c r="D621" s="42">
        <f t="shared" si="69"/>
        <v>6</v>
      </c>
      <c r="E621" s="42" t="str">
        <f>TEXT(Data!B621,"MMM-YYYY")</f>
        <v>Sept-2023</v>
      </c>
      <c r="F621" s="42" t="str">
        <f t="shared" si="65"/>
        <v>Q3-2023</v>
      </c>
      <c r="G621" s="37" t="s">
        <v>16</v>
      </c>
      <c r="H621" s="37" t="s">
        <v>17</v>
      </c>
      <c r="I621" s="37" t="s">
        <v>135</v>
      </c>
      <c r="J621" s="37" t="s">
        <v>27</v>
      </c>
      <c r="K621" s="37" t="s">
        <v>98</v>
      </c>
      <c r="L621" s="37" t="s">
        <v>34</v>
      </c>
      <c r="M621" s="37" t="s">
        <v>81</v>
      </c>
      <c r="N621" s="37" t="s">
        <v>1341</v>
      </c>
      <c r="O621" s="42">
        <v>251.03</v>
      </c>
      <c r="P621" s="43" t="str">
        <f t="shared" si="66"/>
        <v>High</v>
      </c>
      <c r="Q621" s="42">
        <v>411.48</v>
      </c>
      <c r="R621" s="42">
        <v>0.16500000000000001</v>
      </c>
      <c r="S621" s="42">
        <v>3</v>
      </c>
      <c r="T621" s="42">
        <f t="shared" si="63"/>
        <v>0</v>
      </c>
      <c r="U621" s="37">
        <f t="shared" si="64"/>
        <v>753.09</v>
      </c>
      <c r="V621" s="42">
        <f t="shared" si="67"/>
        <v>-753.09</v>
      </c>
      <c r="W621" s="44">
        <f t="shared" si="68"/>
        <v>0</v>
      </c>
    </row>
    <row r="622" spans="1:23" x14ac:dyDescent="0.3">
      <c r="A622" s="45" t="s">
        <v>1342</v>
      </c>
      <c r="B622" s="46">
        <v>45764</v>
      </c>
      <c r="C622" s="47">
        <v>45780</v>
      </c>
      <c r="D622" s="48">
        <f t="shared" si="69"/>
        <v>16</v>
      </c>
      <c r="E622" s="48" t="str">
        <f>TEXT(Data!B622,"MMM-YYYY")</f>
        <v>Apr-2025</v>
      </c>
      <c r="F622" s="48" t="str">
        <f t="shared" si="65"/>
        <v>Q2-2025</v>
      </c>
      <c r="G622" s="38" t="s">
        <v>52</v>
      </c>
      <c r="H622" s="38" t="s">
        <v>73</v>
      </c>
      <c r="I622" s="38" t="s">
        <v>225</v>
      </c>
      <c r="J622" s="38" t="s">
        <v>48</v>
      </c>
      <c r="K622" s="38" t="s">
        <v>40</v>
      </c>
      <c r="L622" s="38" t="s">
        <v>29</v>
      </c>
      <c r="M622" s="38" t="s">
        <v>35</v>
      </c>
      <c r="N622" s="38" t="s">
        <v>1343</v>
      </c>
      <c r="O622" s="48">
        <v>168.68</v>
      </c>
      <c r="P622" s="49" t="str">
        <f t="shared" si="66"/>
        <v>High</v>
      </c>
      <c r="Q622" s="48">
        <v>413.34</v>
      </c>
      <c r="R622" s="48">
        <v>0.186</v>
      </c>
      <c r="S622" s="48">
        <v>7</v>
      </c>
      <c r="T622" s="48">
        <f t="shared" si="63"/>
        <v>0</v>
      </c>
      <c r="U622" s="38">
        <f t="shared" si="64"/>
        <v>1180.76</v>
      </c>
      <c r="V622" s="48">
        <f t="shared" si="67"/>
        <v>-1180.76</v>
      </c>
      <c r="W622" s="50">
        <f t="shared" si="68"/>
        <v>0</v>
      </c>
    </row>
    <row r="623" spans="1:23" x14ac:dyDescent="0.3">
      <c r="A623" s="39" t="s">
        <v>1344</v>
      </c>
      <c r="B623" s="40">
        <v>45501</v>
      </c>
      <c r="C623" s="41">
        <v>45527</v>
      </c>
      <c r="D623" s="42">
        <f t="shared" si="69"/>
        <v>26</v>
      </c>
      <c r="E623" s="42" t="str">
        <f>TEXT(Data!B623,"MMM-YYYY")</f>
        <v>Jul-2024</v>
      </c>
      <c r="F623" s="42" t="str">
        <f t="shared" si="65"/>
        <v>Q3-2024</v>
      </c>
      <c r="G623" s="37" t="s">
        <v>45</v>
      </c>
      <c r="H623" s="37" t="s">
        <v>60</v>
      </c>
      <c r="I623" s="37" t="s">
        <v>281</v>
      </c>
      <c r="J623" s="37" t="s">
        <v>19</v>
      </c>
      <c r="K623" s="37" t="s">
        <v>20</v>
      </c>
      <c r="L623" s="37" t="s">
        <v>29</v>
      </c>
      <c r="M623" s="37" t="s">
        <v>35</v>
      </c>
      <c r="N623" s="37" t="s">
        <v>1345</v>
      </c>
      <c r="O623" s="42">
        <v>1339.24</v>
      </c>
      <c r="P623" s="43" t="str">
        <f t="shared" si="66"/>
        <v>High</v>
      </c>
      <c r="Q623" s="42">
        <v>1558.89</v>
      </c>
      <c r="R623" s="42">
        <v>0.192</v>
      </c>
      <c r="S623" s="42">
        <v>24</v>
      </c>
      <c r="T623" s="42">
        <f t="shared" si="63"/>
        <v>0</v>
      </c>
      <c r="U623" s="37">
        <f t="shared" si="64"/>
        <v>32141.760000000002</v>
      </c>
      <c r="V623" s="42">
        <f t="shared" si="67"/>
        <v>-32141.760000000002</v>
      </c>
      <c r="W623" s="44">
        <f t="shared" si="68"/>
        <v>0</v>
      </c>
    </row>
    <row r="624" spans="1:23" x14ac:dyDescent="0.3">
      <c r="A624" s="45" t="s">
        <v>1346</v>
      </c>
      <c r="B624" s="46">
        <v>45857</v>
      </c>
      <c r="C624" s="47">
        <v>45869</v>
      </c>
      <c r="D624" s="48">
        <f t="shared" si="69"/>
        <v>12</v>
      </c>
      <c r="E624" s="48" t="str">
        <f>TEXT(Data!B624,"MMM-YYYY")</f>
        <v>Jul-2025</v>
      </c>
      <c r="F624" s="48" t="str">
        <f t="shared" si="65"/>
        <v>Q3-2025</v>
      </c>
      <c r="G624" s="38" t="s">
        <v>16</v>
      </c>
      <c r="H624" s="38" t="s">
        <v>17</v>
      </c>
      <c r="I624" s="38" t="s">
        <v>33</v>
      </c>
      <c r="J624" s="38" t="s">
        <v>62</v>
      </c>
      <c r="K624" s="38" t="s">
        <v>40</v>
      </c>
      <c r="L624" s="38" t="s">
        <v>68</v>
      </c>
      <c r="M624" s="38" t="s">
        <v>81</v>
      </c>
      <c r="N624" s="38" t="s">
        <v>1347</v>
      </c>
      <c r="O624" s="48">
        <v>619.64</v>
      </c>
      <c r="P624" s="49" t="str">
        <f t="shared" si="66"/>
        <v>High</v>
      </c>
      <c r="Q624" s="48">
        <v>861.16</v>
      </c>
      <c r="R624" s="48">
        <v>0.113</v>
      </c>
      <c r="S624" s="48">
        <v>14</v>
      </c>
      <c r="T624" s="48">
        <f t="shared" si="63"/>
        <v>0</v>
      </c>
      <c r="U624" s="38">
        <f t="shared" si="64"/>
        <v>8674.9599999999991</v>
      </c>
      <c r="V624" s="48">
        <f t="shared" si="67"/>
        <v>-8674.9599999999991</v>
      </c>
      <c r="W624" s="50">
        <f t="shared" si="68"/>
        <v>0</v>
      </c>
    </row>
    <row r="625" spans="1:23" x14ac:dyDescent="0.3">
      <c r="A625" s="39" t="s">
        <v>1348</v>
      </c>
      <c r="B625" s="40">
        <v>45141</v>
      </c>
      <c r="C625" s="41">
        <v>45140</v>
      </c>
      <c r="D625" s="42">
        <f>DATEDIF(C625,B625, "MD")</f>
        <v>1</v>
      </c>
      <c r="E625" s="42" t="str">
        <f>TEXT(Data!B625,"MMM-YYYY")</f>
        <v>Aug-2023</v>
      </c>
      <c r="F625" s="42" t="str">
        <f t="shared" si="65"/>
        <v>Q3-2023</v>
      </c>
      <c r="G625" s="37" t="s">
        <v>45</v>
      </c>
      <c r="H625" s="37" t="s">
        <v>116</v>
      </c>
      <c r="I625" s="37" t="s">
        <v>162</v>
      </c>
      <c r="J625" s="37" t="s">
        <v>39</v>
      </c>
      <c r="K625" s="37" t="s">
        <v>98</v>
      </c>
      <c r="L625" s="37" t="s">
        <v>29</v>
      </c>
      <c r="M625" s="37" t="s">
        <v>35</v>
      </c>
      <c r="N625" s="37" t="s">
        <v>1349</v>
      </c>
      <c r="O625" s="42">
        <v>1021.97</v>
      </c>
      <c r="P625" s="43" t="str">
        <f t="shared" si="66"/>
        <v>High</v>
      </c>
      <c r="Q625" s="42">
        <v>2296.25</v>
      </c>
      <c r="R625" s="42">
        <v>0.161</v>
      </c>
      <c r="S625" s="42">
        <v>26</v>
      </c>
      <c r="T625" s="42">
        <f t="shared" si="63"/>
        <v>0</v>
      </c>
      <c r="U625" s="37">
        <f t="shared" si="64"/>
        <v>26571.22</v>
      </c>
      <c r="V625" s="42">
        <f t="shared" si="67"/>
        <v>-26571.22</v>
      </c>
      <c r="W625" s="44">
        <f t="shared" si="68"/>
        <v>0</v>
      </c>
    </row>
    <row r="626" spans="1:23" x14ac:dyDescent="0.3">
      <c r="A626" s="45" t="s">
        <v>1350</v>
      </c>
      <c r="B626" s="46">
        <v>45249</v>
      </c>
      <c r="C626" s="47">
        <v>45272</v>
      </c>
      <c r="D626" s="48">
        <f t="shared" si="69"/>
        <v>23</v>
      </c>
      <c r="E626" s="48" t="str">
        <f>TEXT(Data!B626,"MMM-YYYY")</f>
        <v>Nov-2023</v>
      </c>
      <c r="F626" s="48" t="str">
        <f t="shared" si="65"/>
        <v>Q4-2023</v>
      </c>
      <c r="G626" s="38" t="s">
        <v>45</v>
      </c>
      <c r="H626" s="38" t="s">
        <v>60</v>
      </c>
      <c r="I626" s="38" t="s">
        <v>141</v>
      </c>
      <c r="J626" s="38" t="s">
        <v>62</v>
      </c>
      <c r="K626" s="38" t="s">
        <v>98</v>
      </c>
      <c r="L626" s="38" t="s">
        <v>21</v>
      </c>
      <c r="M626" s="38" t="s">
        <v>35</v>
      </c>
      <c r="N626" s="38" t="s">
        <v>1351</v>
      </c>
      <c r="O626" s="48">
        <v>1349.04</v>
      </c>
      <c r="P626" s="49" t="str">
        <f t="shared" si="66"/>
        <v>High</v>
      </c>
      <c r="Q626" s="48">
        <v>2636.6</v>
      </c>
      <c r="R626" s="48">
        <v>0.114</v>
      </c>
      <c r="S626" s="48">
        <v>14</v>
      </c>
      <c r="T626" s="48">
        <f t="shared" si="63"/>
        <v>0</v>
      </c>
      <c r="U626" s="38">
        <f t="shared" si="64"/>
        <v>18886.559999999998</v>
      </c>
      <c r="V626" s="48">
        <f t="shared" si="67"/>
        <v>-18886.559999999998</v>
      </c>
      <c r="W626" s="50">
        <f t="shared" si="68"/>
        <v>0</v>
      </c>
    </row>
    <row r="627" spans="1:23" x14ac:dyDescent="0.3">
      <c r="A627" s="39" t="s">
        <v>1352</v>
      </c>
      <c r="B627" s="40">
        <v>45282</v>
      </c>
      <c r="C627" s="41">
        <v>45307</v>
      </c>
      <c r="D627" s="42">
        <f t="shared" si="69"/>
        <v>25</v>
      </c>
      <c r="E627" s="42" t="str">
        <f>TEXT(Data!B627,"MMM-YYYY")</f>
        <v>Dec-2023</v>
      </c>
      <c r="F627" s="42" t="str">
        <f t="shared" si="65"/>
        <v>Q4-2023</v>
      </c>
      <c r="G627" s="37" t="s">
        <v>45</v>
      </c>
      <c r="H627" s="37" t="s">
        <v>60</v>
      </c>
      <c r="I627" s="37" t="s">
        <v>281</v>
      </c>
      <c r="J627" s="37" t="s">
        <v>62</v>
      </c>
      <c r="K627" s="37" t="s">
        <v>20</v>
      </c>
      <c r="L627" s="37" t="s">
        <v>75</v>
      </c>
      <c r="M627" s="37" t="s">
        <v>22</v>
      </c>
      <c r="N627" s="37" t="s">
        <v>1353</v>
      </c>
      <c r="O627" s="42">
        <v>1346.81</v>
      </c>
      <c r="P627" s="43" t="str">
        <f t="shared" si="66"/>
        <v>High</v>
      </c>
      <c r="Q627" s="42">
        <v>978.09</v>
      </c>
      <c r="R627" s="42">
        <v>0.159</v>
      </c>
      <c r="S627" s="42">
        <v>17</v>
      </c>
      <c r="T627" s="42">
        <f t="shared" si="63"/>
        <v>0</v>
      </c>
      <c r="U627" s="37">
        <f t="shared" si="64"/>
        <v>22895.77</v>
      </c>
      <c r="V627" s="42">
        <f t="shared" si="67"/>
        <v>-22895.77</v>
      </c>
      <c r="W627" s="44">
        <f t="shared" si="68"/>
        <v>0</v>
      </c>
    </row>
    <row r="628" spans="1:23" x14ac:dyDescent="0.3">
      <c r="A628" s="45" t="s">
        <v>1354</v>
      </c>
      <c r="B628" s="46">
        <v>45141</v>
      </c>
      <c r="C628" s="47">
        <v>45168</v>
      </c>
      <c r="D628" s="48">
        <f t="shared" si="69"/>
        <v>27</v>
      </c>
      <c r="E628" s="48" t="str">
        <f>TEXT(Data!B628,"MMM-YYYY")</f>
        <v>Aug-2023</v>
      </c>
      <c r="F628" s="48" t="str">
        <f t="shared" si="65"/>
        <v>Q3-2023</v>
      </c>
      <c r="G628" s="38" t="s">
        <v>45</v>
      </c>
      <c r="H628" s="38" t="s">
        <v>116</v>
      </c>
      <c r="I628" s="38" t="s">
        <v>162</v>
      </c>
      <c r="J628" s="38" t="s">
        <v>48</v>
      </c>
      <c r="K628" s="38" t="s">
        <v>55</v>
      </c>
      <c r="L628" s="38" t="s">
        <v>126</v>
      </c>
      <c r="M628" s="38" t="s">
        <v>64</v>
      </c>
      <c r="N628" s="38" t="s">
        <v>1355</v>
      </c>
      <c r="O628" s="48">
        <v>226.04</v>
      </c>
      <c r="P628" s="49" t="str">
        <f t="shared" si="66"/>
        <v>High</v>
      </c>
      <c r="Q628" s="48">
        <v>545.72</v>
      </c>
      <c r="R628" s="48">
        <v>0.151</v>
      </c>
      <c r="S628" s="48">
        <v>11</v>
      </c>
      <c r="T628" s="48">
        <f t="shared" si="63"/>
        <v>0</v>
      </c>
      <c r="U628" s="38">
        <f t="shared" si="64"/>
        <v>2486.44</v>
      </c>
      <c r="V628" s="48">
        <f t="shared" si="67"/>
        <v>-2486.44</v>
      </c>
      <c r="W628" s="50">
        <f t="shared" si="68"/>
        <v>0</v>
      </c>
    </row>
    <row r="629" spans="1:23" x14ac:dyDescent="0.3">
      <c r="A629" s="39" t="s">
        <v>1356</v>
      </c>
      <c r="B629" s="40">
        <v>45100</v>
      </c>
      <c r="C629" s="41">
        <v>45125</v>
      </c>
      <c r="D629" s="42">
        <f t="shared" si="69"/>
        <v>25</v>
      </c>
      <c r="E629" s="42" t="str">
        <f>TEXT(Data!B629,"MMM-YYYY")</f>
        <v>Jun-2023</v>
      </c>
      <c r="F629" s="42" t="str">
        <f t="shared" si="65"/>
        <v>Q2-2023</v>
      </c>
      <c r="G629" s="37" t="s">
        <v>52</v>
      </c>
      <c r="H629" s="37" t="s">
        <v>53</v>
      </c>
      <c r="I629" s="37" t="s">
        <v>179</v>
      </c>
      <c r="J629" s="37" t="s">
        <v>105</v>
      </c>
      <c r="K629" s="37" t="s">
        <v>28</v>
      </c>
      <c r="L629" s="37" t="s">
        <v>126</v>
      </c>
      <c r="M629" s="37" t="s">
        <v>42</v>
      </c>
      <c r="N629" s="37" t="s">
        <v>1357</v>
      </c>
      <c r="O629" s="42">
        <v>807.02</v>
      </c>
      <c r="P629" s="43" t="str">
        <f t="shared" si="66"/>
        <v>High</v>
      </c>
      <c r="Q629" s="42">
        <v>1435.54</v>
      </c>
      <c r="R629" s="42">
        <v>0</v>
      </c>
      <c r="S629" s="42">
        <v>23</v>
      </c>
      <c r="T629" s="42">
        <f t="shared" si="63"/>
        <v>0</v>
      </c>
      <c r="U629" s="37">
        <f t="shared" si="64"/>
        <v>18561.46</v>
      </c>
      <c r="V629" s="42">
        <f t="shared" si="67"/>
        <v>-18561.46</v>
      </c>
      <c r="W629" s="44">
        <f t="shared" si="68"/>
        <v>0</v>
      </c>
    </row>
    <row r="630" spans="1:23" x14ac:dyDescent="0.3">
      <c r="A630" s="45" t="s">
        <v>1358</v>
      </c>
      <c r="B630" s="46">
        <v>45267</v>
      </c>
      <c r="C630" s="47">
        <v>45293</v>
      </c>
      <c r="D630" s="48">
        <f t="shared" si="69"/>
        <v>26</v>
      </c>
      <c r="E630" s="48" t="str">
        <f>TEXT(Data!B630,"MMM-YYYY")</f>
        <v>Dec-2023</v>
      </c>
      <c r="F630" s="48" t="str">
        <f t="shared" si="65"/>
        <v>Q4-2023</v>
      </c>
      <c r="G630" s="38" t="s">
        <v>78</v>
      </c>
      <c r="H630" s="38" t="s">
        <v>79</v>
      </c>
      <c r="I630" s="38" t="s">
        <v>335</v>
      </c>
      <c r="J630" s="38" t="s">
        <v>105</v>
      </c>
      <c r="K630" s="38" t="s">
        <v>55</v>
      </c>
      <c r="L630" s="38" t="s">
        <v>63</v>
      </c>
      <c r="M630" s="38" t="s">
        <v>22</v>
      </c>
      <c r="N630" s="38" t="s">
        <v>1359</v>
      </c>
      <c r="O630" s="48">
        <v>1071.99</v>
      </c>
      <c r="P630" s="49" t="str">
        <f t="shared" si="66"/>
        <v>High</v>
      </c>
      <c r="Q630" s="48">
        <v>2397.3000000000002</v>
      </c>
      <c r="R630" s="48">
        <v>6.2E-2</v>
      </c>
      <c r="S630" s="48">
        <v>18</v>
      </c>
      <c r="T630" s="48">
        <f t="shared" si="63"/>
        <v>0</v>
      </c>
      <c r="U630" s="38">
        <f t="shared" si="64"/>
        <v>19295.82</v>
      </c>
      <c r="V630" s="48">
        <f t="shared" si="67"/>
        <v>-19295.82</v>
      </c>
      <c r="W630" s="50">
        <f t="shared" si="68"/>
        <v>0</v>
      </c>
    </row>
    <row r="631" spans="1:23" x14ac:dyDescent="0.3">
      <c r="A631" s="39" t="s">
        <v>1360</v>
      </c>
      <c r="B631" s="40">
        <v>45249</v>
      </c>
      <c r="C631" s="41">
        <v>45279</v>
      </c>
      <c r="D631" s="42">
        <f t="shared" si="69"/>
        <v>0</v>
      </c>
      <c r="E631" s="42" t="str">
        <f>TEXT(Data!B631,"MMM-YYYY")</f>
        <v>Nov-2023</v>
      </c>
      <c r="F631" s="42" t="str">
        <f t="shared" si="65"/>
        <v>Q4-2023</v>
      </c>
      <c r="G631" s="37" t="s">
        <v>45</v>
      </c>
      <c r="H631" s="37" t="s">
        <v>46</v>
      </c>
      <c r="I631" s="37" t="s">
        <v>231</v>
      </c>
      <c r="J631" s="37" t="s">
        <v>48</v>
      </c>
      <c r="K631" s="37" t="s">
        <v>20</v>
      </c>
      <c r="L631" s="37" t="s">
        <v>1364</v>
      </c>
      <c r="M631" s="37" t="s">
        <v>42</v>
      </c>
      <c r="N631" s="37" t="s">
        <v>1361</v>
      </c>
      <c r="O631" s="42">
        <v>807.11</v>
      </c>
      <c r="P631" s="43" t="str">
        <f t="shared" si="66"/>
        <v>High</v>
      </c>
      <c r="Q631" s="42">
        <v>1853.86</v>
      </c>
      <c r="R631" s="42">
        <v>0.13900000000000001</v>
      </c>
      <c r="S631" s="42">
        <v>8</v>
      </c>
      <c r="T631" s="42">
        <f t="shared" si="63"/>
        <v>0</v>
      </c>
      <c r="U631" s="37">
        <f t="shared" si="64"/>
        <v>6456.88</v>
      </c>
      <c r="V631" s="42">
        <f t="shared" si="67"/>
        <v>-6456.88</v>
      </c>
      <c r="W631" s="44">
        <f t="shared" si="68"/>
        <v>0</v>
      </c>
    </row>
    <row r="632" spans="1:23" x14ac:dyDescent="0.3">
      <c r="A632" s="45" t="s">
        <v>1362</v>
      </c>
      <c r="B632" s="46">
        <v>45716</v>
      </c>
      <c r="C632" s="47">
        <v>45726</v>
      </c>
      <c r="D632" s="48">
        <f t="shared" si="69"/>
        <v>10</v>
      </c>
      <c r="E632" s="48" t="str">
        <f>TEXT(Data!B632,"MMM-YYYY")</f>
        <v>Feb-2025</v>
      </c>
      <c r="F632" s="48" t="str">
        <f t="shared" si="65"/>
        <v>Q1-2025</v>
      </c>
      <c r="G632" s="38" t="s">
        <v>45</v>
      </c>
      <c r="H632" s="38" t="s">
        <v>46</v>
      </c>
      <c r="I632" s="38" t="s">
        <v>47</v>
      </c>
      <c r="J632" s="38" t="s">
        <v>27</v>
      </c>
      <c r="K632" s="38" t="s">
        <v>55</v>
      </c>
      <c r="L632" s="38" t="s">
        <v>126</v>
      </c>
      <c r="M632" s="38" t="s">
        <v>57</v>
      </c>
      <c r="N632" s="38" t="s">
        <v>1363</v>
      </c>
      <c r="O632" s="48">
        <v>51.86</v>
      </c>
      <c r="P632" s="49" t="str">
        <f t="shared" si="66"/>
        <v>Low</v>
      </c>
      <c r="Q632" s="48">
        <v>45.98</v>
      </c>
      <c r="R632" s="48">
        <v>0.17299999999999999</v>
      </c>
      <c r="S632" s="48">
        <v>7</v>
      </c>
      <c r="T632" s="48">
        <f t="shared" si="63"/>
        <v>0</v>
      </c>
      <c r="U632" s="38">
        <f t="shared" si="64"/>
        <v>363.02</v>
      </c>
      <c r="V632" s="48">
        <f t="shared" si="67"/>
        <v>-363.02</v>
      </c>
      <c r="W632" s="50">
        <f t="shared" si="68"/>
        <v>0</v>
      </c>
    </row>
    <row r="633" spans="1:23" x14ac:dyDescent="0.3">
      <c r="A633" t="s">
        <v>1362</v>
      </c>
      <c r="B633" s="7">
        <v>45716</v>
      </c>
      <c r="C633" s="2">
        <v>45726</v>
      </c>
      <c r="D633" s="4">
        <f t="shared" ref="D633" si="70">DATEDIF(B633,C633, "MD")</f>
        <v>10</v>
      </c>
      <c r="E633" s="4" t="str">
        <f>TEXT(Data!B633,"MMM-YYYY")</f>
        <v>Feb-2025</v>
      </c>
      <c r="F633" s="4" t="str">
        <f t="shared" ref="F633" si="71">"Q"&amp;ROUNDUP(MONTH(B633)/3,0)&amp;"-"&amp;YEAR(B633)</f>
        <v>Q1-2025</v>
      </c>
      <c r="G633" t="s">
        <v>45</v>
      </c>
      <c r="H633" t="s">
        <v>46</v>
      </c>
      <c r="I633" t="s">
        <v>47</v>
      </c>
      <c r="J633" t="s">
        <v>27</v>
      </c>
      <c r="K633" t="s">
        <v>55</v>
      </c>
      <c r="L633" t="s">
        <v>126</v>
      </c>
      <c r="M633" t="s">
        <v>57</v>
      </c>
      <c r="N633" t="s">
        <v>1363</v>
      </c>
      <c r="O633" s="4">
        <v>51.86</v>
      </c>
      <c r="P633" s="8" t="str">
        <f t="shared" ref="P633" si="72">IF(Q633&lt;50, "Low", IF(Q633&lt;200, "Medium", "High"))</f>
        <v>Low</v>
      </c>
      <c r="Q633" s="4">
        <v>45.98</v>
      </c>
      <c r="R633" s="4">
        <v>0.17299999999999999</v>
      </c>
      <c r="S633" s="4">
        <v>7</v>
      </c>
      <c r="T633" s="4">
        <f t="shared" ref="T633" si="73">(Q659*S633)*(1-R633)</f>
        <v>0</v>
      </c>
      <c r="U633">
        <f t="shared" ref="U633" si="74">(O633*S633)</f>
        <v>363.02</v>
      </c>
      <c r="V633" s="4">
        <f t="shared" ref="V633" si="75">(T633-U633)</f>
        <v>-363.02</v>
      </c>
      <c r="W633" s="4">
        <f t="shared" ref="W633" si="76">IF(T633=0, 0, V633/T633)</f>
        <v>0</v>
      </c>
    </row>
  </sheetData>
  <conditionalFormatting sqref="Q633">
    <cfRule type="cellIs" dxfId="11" priority="2" operator="lessThan">
      <formula>0</formula>
    </cfRule>
  </conditionalFormatting>
  <conditionalFormatting sqref="Q1:Q632">
    <cfRule type="cellIs" dxfId="10" priority="1" operator="lessThan">
      <formula>0</formula>
    </cfRule>
  </conditionalFormatting>
  <dataValidations count="1">
    <dataValidation type="date" operator="greaterThanOrEqual" allowBlank="1" showInputMessage="1" showErrorMessage="1" error="Invalid Date ;Required date cannot be before the order date" sqref="C1:C633" xr:uid="{4A66F268-DC74-44B3-A2ED-14BEA1D1A59A}">
      <formula1>B1</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41341-A836-486F-B4DF-93A5FB77513F}">
  <dimension ref="A3:J31"/>
  <sheetViews>
    <sheetView workbookViewId="0">
      <selection activeCell="A6" sqref="A6:B6"/>
      <pivotSelection pane="bottomRight" showHeader="1" extendable="1" start="2" max="8" activeRow="5" click="1" r:id="rId2">
        <pivotArea dataOnly="0" fieldPosition="0">
          <references count="1">
            <reference field="12" count="1">
              <x v="3"/>
            </reference>
          </references>
        </pivotArea>
      </pivotSelection>
    </sheetView>
  </sheetViews>
  <sheetFormatPr defaultRowHeight="14.4" x14ac:dyDescent="0.3"/>
  <cols>
    <col min="1" max="1" width="13.77734375" bestFit="1" customWidth="1"/>
    <col min="2" max="2" width="20" bestFit="1" customWidth="1"/>
    <col min="3" max="3" width="6" customWidth="1"/>
    <col min="4" max="4" width="13.77734375" bestFit="1" customWidth="1"/>
    <col min="5" max="5" width="20" customWidth="1"/>
    <col min="6" max="6" width="26.5546875" customWidth="1"/>
    <col min="7" max="7" width="26.77734375" customWidth="1"/>
    <col min="8" max="8" width="18.77734375" customWidth="1"/>
    <col min="9" max="9" width="14.6640625" customWidth="1"/>
  </cols>
  <sheetData>
    <row r="3" spans="1:10" x14ac:dyDescent="0.3">
      <c r="A3" s="9" t="s">
        <v>1376</v>
      </c>
      <c r="B3" t="s">
        <v>1419</v>
      </c>
      <c r="D3" s="16" t="s">
        <v>1459</v>
      </c>
      <c r="E3" s="16" t="s">
        <v>1366</v>
      </c>
      <c r="F3" s="16" t="s">
        <v>1455</v>
      </c>
      <c r="G3" s="16" t="s">
        <v>1456</v>
      </c>
      <c r="H3" s="16" t="s">
        <v>1457</v>
      </c>
      <c r="I3" s="16" t="s">
        <v>1458</v>
      </c>
    </row>
    <row r="4" spans="1:10" x14ac:dyDescent="0.3">
      <c r="A4" s="10" t="s">
        <v>30</v>
      </c>
      <c r="B4" s="12">
        <v>1926575.4344300001</v>
      </c>
      <c r="C4" s="12"/>
      <c r="D4" s="29" t="s">
        <v>30</v>
      </c>
      <c r="E4" s="30">
        <v>1926575.4344300001</v>
      </c>
      <c r="F4" s="18">
        <f>(GETPIVOTDATA("Gross Revenue",$A$3,"ProductCategory","Printers")/GETPIVOTDATA("Gross Revenue",$A$3))</f>
        <v>0.18398300334905798</v>
      </c>
      <c r="G4" s="4">
        <f>SUM(GETPIVOTDATA("Gross Revenue",$A$3:$A$3,"ProductCategory","Printers"))</f>
        <v>1926575.4344300001</v>
      </c>
      <c r="H4" s="28">
        <f>(G4/GETPIVOTDATA("Gross Revenue",$A$3))</f>
        <v>0.18398300334905798</v>
      </c>
      <c r="I4" s="12" t="str">
        <f>IF(H4&lt;=0.8, "A", IF(H4&lt;=0.95, "B", "C"))</f>
        <v>A</v>
      </c>
      <c r="J4" s="18"/>
    </row>
    <row r="5" spans="1:10" x14ac:dyDescent="0.3">
      <c r="A5" s="10" t="s">
        <v>42</v>
      </c>
      <c r="B5" s="12">
        <v>1573214.03728</v>
      </c>
      <c r="C5" s="12"/>
      <c r="D5" s="29" t="s">
        <v>42</v>
      </c>
      <c r="E5" s="30">
        <v>1573214.03728</v>
      </c>
      <c r="F5" s="18">
        <f>(GETPIVOTDATA("Gross Revenue",$A$3,"ProductCategory","Phones")/GETPIVOTDATA("Gross Revenue",$A$3))</f>
        <v>0.150237897938996</v>
      </c>
      <c r="G5" s="4">
        <f>SUM(G4+GETPIVOTDATA("Gross Revenue",$A$3,"ProductCategory","Phones"))</f>
        <v>3499789.4717100002</v>
      </c>
      <c r="H5" s="28">
        <f t="shared" ref="H5:H10" si="0">(G5/GETPIVOTDATA("Gross Revenue",$A$3))</f>
        <v>0.33422090128805398</v>
      </c>
      <c r="I5" s="12" t="str">
        <f t="shared" ref="I5:I10" si="1">IF(H5&lt;=0.8, "A", IF(H5&lt;=0.95, "B", "C"))</f>
        <v>A</v>
      </c>
      <c r="J5" s="18"/>
    </row>
    <row r="6" spans="1:10" x14ac:dyDescent="0.3">
      <c r="A6" s="10" t="s">
        <v>64</v>
      </c>
      <c r="B6" s="12">
        <v>1493059.8076100003</v>
      </c>
      <c r="C6" s="12"/>
      <c r="D6" s="29" t="s">
        <v>64</v>
      </c>
      <c r="E6" s="30">
        <v>1493059.8076100003</v>
      </c>
      <c r="F6" s="18">
        <f>(GETPIVOTDATA("Gross Revenue",$A$3,"ProductCategory","Monitors")/GETPIVOTDATA("Gross Revenue",$A$3))</f>
        <v>0.14258337497442816</v>
      </c>
      <c r="G6" s="4">
        <f>SUM(G5+GETPIVOTDATA("Gross Revenue",$A$3,"ProductCategory","Monitors"))</f>
        <v>4992849.2793200007</v>
      </c>
      <c r="H6" s="28">
        <f t="shared" si="0"/>
        <v>0.47680427626248217</v>
      </c>
      <c r="I6" s="12" t="str">
        <f t="shared" si="1"/>
        <v>A</v>
      </c>
      <c r="J6" s="18"/>
    </row>
    <row r="7" spans="1:10" x14ac:dyDescent="0.3">
      <c r="A7" s="10" t="s">
        <v>35</v>
      </c>
      <c r="B7" s="12">
        <v>1471202.46594</v>
      </c>
      <c r="C7" s="12"/>
      <c r="D7" s="29" t="s">
        <v>35</v>
      </c>
      <c r="E7" s="30">
        <v>1471202.46594</v>
      </c>
      <c r="F7" s="18">
        <f>(GETPIVOTDATA("Gross Revenue",$A$3,"ProductCategory","Networking")/GETPIVOTDATA("Gross Revenue",$A$3))</f>
        <v>0.14049605501082499</v>
      </c>
      <c r="G7" s="4">
        <f>SUM(G6+GETPIVOTDATA("Gross Revenue",$A$3,"ProductCategory","Networking"))</f>
        <v>6464051.7452600002</v>
      </c>
      <c r="H7" s="28">
        <f t="shared" si="0"/>
        <v>0.61730033127330708</v>
      </c>
      <c r="I7" s="12" t="str">
        <f t="shared" si="1"/>
        <v>A</v>
      </c>
      <c r="J7" s="18"/>
    </row>
    <row r="8" spans="1:10" x14ac:dyDescent="0.3">
      <c r="A8" s="10" t="s">
        <v>57</v>
      </c>
      <c r="B8" s="12">
        <v>1405895.7169900001</v>
      </c>
      <c r="C8" s="12"/>
      <c r="D8" s="29" t="s">
        <v>57</v>
      </c>
      <c r="E8" s="30">
        <v>1405895.7169900001</v>
      </c>
      <c r="F8" s="18">
        <f>(GETPIVOTDATA("Gross Revenue",$A$3,"ProductCategory","Laptops")/GETPIVOTDATA("Gross Revenue",$A$3))</f>
        <v>0.13425942830207699</v>
      </c>
      <c r="G8" s="4">
        <f>SUM(G7+GETPIVOTDATA("Gross Revenue",$A$3,"ProductCategory","Laptops"))</f>
        <v>7869947.4622499999</v>
      </c>
      <c r="H8" s="28">
        <f t="shared" si="0"/>
        <v>0.75155975957538412</v>
      </c>
      <c r="I8" s="12" t="str">
        <f t="shared" si="1"/>
        <v>A</v>
      </c>
      <c r="J8" s="18"/>
    </row>
    <row r="9" spans="1:10" x14ac:dyDescent="0.3">
      <c r="A9" s="10" t="s">
        <v>81</v>
      </c>
      <c r="B9" s="12">
        <v>1352771.8338100002</v>
      </c>
      <c r="C9" s="12"/>
      <c r="D9" s="29" t="s">
        <v>81</v>
      </c>
      <c r="E9" s="30">
        <v>1352771.8338100002</v>
      </c>
      <c r="F9" s="18">
        <f>(GETPIVOTDATA("Gross Revenue",$A$3,"ProductCategory","Accessories")/GETPIVOTDATA("Gross Revenue",$A$3))</f>
        <v>0.12918623396857165</v>
      </c>
      <c r="G9" s="4">
        <f>SUM(G8+GETPIVOTDATA("Gross Revenue",$A$3,"ProductCategory","Accessories"))</f>
        <v>9222719.2960599996</v>
      </c>
      <c r="H9" s="28">
        <f t="shared" si="0"/>
        <v>0.88074599354395566</v>
      </c>
      <c r="I9" s="12" t="str">
        <f t="shared" si="1"/>
        <v>B</v>
      </c>
      <c r="J9" s="18"/>
    </row>
    <row r="10" spans="1:10" x14ac:dyDescent="0.3">
      <c r="A10" s="10" t="s">
        <v>22</v>
      </c>
      <c r="B10" s="12">
        <v>1248766.6529700004</v>
      </c>
      <c r="C10" s="12"/>
      <c r="D10" s="29" t="s">
        <v>22</v>
      </c>
      <c r="E10" s="30">
        <v>1248766.6529700004</v>
      </c>
      <c r="F10" s="18">
        <f>(GETPIVOTDATA("Gross Revenue",$A$3,"ProductCategory","Components")/GETPIVOTDATA("Gross Revenue",$A$3))</f>
        <v>0.11925400645604425</v>
      </c>
      <c r="G10" s="4">
        <f>SUM(G9+GETPIVOTDATA("Gross Revenue",$A$3,"ProductCategory","Components"))</f>
        <v>10471485.949030001</v>
      </c>
      <c r="H10" s="28">
        <f t="shared" si="0"/>
        <v>1</v>
      </c>
      <c r="I10" s="12" t="str">
        <f t="shared" si="1"/>
        <v>C</v>
      </c>
      <c r="J10" s="18"/>
    </row>
    <row r="11" spans="1:10" x14ac:dyDescent="0.3">
      <c r="A11" s="10" t="s">
        <v>1377</v>
      </c>
      <c r="B11" s="12">
        <v>10471485.949030001</v>
      </c>
      <c r="C11" s="12"/>
      <c r="D11" s="12"/>
      <c r="E11" s="31">
        <f>SUM(E4:E10)</f>
        <v>10471485.949030001</v>
      </c>
      <c r="F11" s="19">
        <f>SUM(F4:F10)</f>
        <v>0.99999999999999989</v>
      </c>
      <c r="G11" s="32">
        <f>SUM(G4:G10)</f>
        <v>44447418.638060004</v>
      </c>
    </row>
    <row r="16" spans="1:10" x14ac:dyDescent="0.3">
      <c r="D16" s="9" t="s">
        <v>1376</v>
      </c>
      <c r="E16" t="s">
        <v>1419</v>
      </c>
    </row>
    <row r="17" spans="4:5" x14ac:dyDescent="0.3">
      <c r="D17" s="10" t="s">
        <v>81</v>
      </c>
      <c r="E17" s="12">
        <v>1352771.8338100002</v>
      </c>
    </row>
    <row r="18" spans="4:5" x14ac:dyDescent="0.3">
      <c r="D18" s="11" t="s">
        <v>1460</v>
      </c>
      <c r="E18" s="12">
        <v>1352771.8338100002</v>
      </c>
    </row>
    <row r="19" spans="4:5" x14ac:dyDescent="0.3">
      <c r="D19" s="10" t="s">
        <v>22</v>
      </c>
      <c r="E19" s="12">
        <v>1248766.6529700004</v>
      </c>
    </row>
    <row r="20" spans="4:5" x14ac:dyDescent="0.3">
      <c r="D20" s="11" t="s">
        <v>1461</v>
      </c>
      <c r="E20" s="12">
        <v>1248766.6529700004</v>
      </c>
    </row>
    <row r="21" spans="4:5" x14ac:dyDescent="0.3">
      <c r="D21" s="10" t="s">
        <v>57</v>
      </c>
      <c r="E21" s="12">
        <v>1405895.7169900001</v>
      </c>
    </row>
    <row r="22" spans="4:5" x14ac:dyDescent="0.3">
      <c r="D22" s="11" t="s">
        <v>1462</v>
      </c>
      <c r="E22" s="12">
        <v>1405895.7169900001</v>
      </c>
    </row>
    <row r="23" spans="4:5" x14ac:dyDescent="0.3">
      <c r="D23" s="10" t="s">
        <v>64</v>
      </c>
      <c r="E23" s="12">
        <v>1493059.8076100003</v>
      </c>
    </row>
    <row r="24" spans="4:5" x14ac:dyDescent="0.3">
      <c r="D24" s="11" t="s">
        <v>1462</v>
      </c>
      <c r="E24" s="12">
        <v>1493059.8076100003</v>
      </c>
    </row>
    <row r="25" spans="4:5" x14ac:dyDescent="0.3">
      <c r="D25" s="10" t="s">
        <v>35</v>
      </c>
      <c r="E25" s="12">
        <v>1471202.46594</v>
      </c>
    </row>
    <row r="26" spans="4:5" x14ac:dyDescent="0.3">
      <c r="D26" s="11" t="s">
        <v>1462</v>
      </c>
      <c r="E26" s="12">
        <v>1471202.46594</v>
      </c>
    </row>
    <row r="27" spans="4:5" x14ac:dyDescent="0.3">
      <c r="D27" s="10" t="s">
        <v>42</v>
      </c>
      <c r="E27" s="12">
        <v>1573214.03728</v>
      </c>
    </row>
    <row r="28" spans="4:5" x14ac:dyDescent="0.3">
      <c r="D28" s="11" t="s">
        <v>1462</v>
      </c>
      <c r="E28" s="12">
        <v>1573214.03728</v>
      </c>
    </row>
    <row r="29" spans="4:5" x14ac:dyDescent="0.3">
      <c r="D29" s="10" t="s">
        <v>30</v>
      </c>
      <c r="E29" s="12">
        <v>1926575.4344300001</v>
      </c>
    </row>
    <row r="30" spans="4:5" x14ac:dyDescent="0.3">
      <c r="D30" s="11" t="s">
        <v>1462</v>
      </c>
      <c r="E30" s="12">
        <v>1926575.4344300001</v>
      </c>
    </row>
    <row r="31" spans="4:5" x14ac:dyDescent="0.3">
      <c r="D31" s="10" t="s">
        <v>1377</v>
      </c>
      <c r="E31" s="12">
        <v>10471485.949030001</v>
      </c>
    </row>
  </sheetData>
  <pageMargins left="0.7" right="0.7" top="0.75" bottom="0.75" header="0.3" footer="0.3"/>
  <pageSetup paperSize="9" orientation="portrait" r:id="rId3"/>
  <drawing r:id="rId4"/>
  <extLst>
    <ext xmlns:x14="http://schemas.microsoft.com/office/spreadsheetml/2009/9/main" uri="{A8765BA9-456A-4dab-B4F3-ACF838C121DE}">
      <x14:slicerList>
        <x14:slicer r:id="rId5"/>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27ED4-39C9-46D9-9A21-331A6CB5AAF4}">
  <dimension ref="A1:R633"/>
  <sheetViews>
    <sheetView topLeftCell="C1" workbookViewId="0">
      <selection activeCell="S2" sqref="S2"/>
    </sheetView>
  </sheetViews>
  <sheetFormatPr defaultRowHeight="14.4" x14ac:dyDescent="0.3"/>
  <cols>
    <col min="1" max="1" width="16.109375" bestFit="1" customWidth="1"/>
    <col min="2" max="2" width="9.6640625" bestFit="1" customWidth="1"/>
    <col min="3" max="3" width="12.44140625" bestFit="1" customWidth="1"/>
    <col min="4" max="4" width="13.21875" bestFit="1" customWidth="1"/>
    <col min="5" max="5" width="9.21875" bestFit="1" customWidth="1"/>
    <col min="6" max="6" width="16.6640625" bestFit="1" customWidth="1"/>
    <col min="7" max="8" width="11.6640625" bestFit="1" customWidth="1"/>
    <col min="9" max="9" width="15.33203125" bestFit="1" customWidth="1"/>
    <col min="10" max="10" width="8.21875" bestFit="1" customWidth="1"/>
    <col min="11" max="11" width="9.88671875" bestFit="1" customWidth="1"/>
    <col min="12" max="12" width="8.6640625" bestFit="1" customWidth="1"/>
    <col min="13" max="13" width="11" bestFit="1" customWidth="1"/>
    <col min="14" max="14" width="8.33203125" bestFit="1" customWidth="1"/>
    <col min="15" max="15" width="13.44140625" bestFit="1" customWidth="1"/>
    <col min="16" max="16" width="12.6640625" bestFit="1" customWidth="1"/>
    <col min="17" max="17" width="10.6640625" bestFit="1" customWidth="1"/>
    <col min="18" max="18" width="12.33203125" customWidth="1"/>
  </cols>
  <sheetData>
    <row r="1" spans="1:18" x14ac:dyDescent="0.3">
      <c r="A1" s="1" t="s">
        <v>0</v>
      </c>
      <c r="B1" s="6" t="s">
        <v>1</v>
      </c>
      <c r="C1" s="1" t="s">
        <v>2</v>
      </c>
      <c r="D1" s="3" t="s">
        <v>1365</v>
      </c>
      <c r="E1" s="3" t="s">
        <v>1371</v>
      </c>
      <c r="F1" s="1" t="s">
        <v>6</v>
      </c>
      <c r="G1" s="1" t="s">
        <v>7</v>
      </c>
      <c r="H1" s="1" t="s">
        <v>8</v>
      </c>
      <c r="I1" s="1" t="s">
        <v>9</v>
      </c>
      <c r="J1" s="3" t="s">
        <v>11</v>
      </c>
      <c r="K1" s="3" t="s">
        <v>1375</v>
      </c>
      <c r="L1" s="3" t="s">
        <v>12</v>
      </c>
      <c r="M1" s="3" t="s">
        <v>13</v>
      </c>
      <c r="N1" s="3" t="s">
        <v>14</v>
      </c>
      <c r="O1" s="5" t="s">
        <v>1366</v>
      </c>
      <c r="P1" s="5" t="s">
        <v>1367</v>
      </c>
      <c r="Q1" s="5" t="s">
        <v>1368</v>
      </c>
      <c r="R1" s="15" t="s">
        <v>1470</v>
      </c>
    </row>
    <row r="2" spans="1:18" x14ac:dyDescent="0.3">
      <c r="A2" t="s">
        <v>15</v>
      </c>
      <c r="B2" s="7">
        <v>45362</v>
      </c>
      <c r="C2" s="2">
        <v>45388</v>
      </c>
      <c r="D2" s="4">
        <f>DATEDIF(B2,C2, "MD")</f>
        <v>26</v>
      </c>
      <c r="E2" s="4" t="str">
        <f>TEXT(Data!B2,"MMM-YYYY")</f>
        <v>Oct-2024</v>
      </c>
      <c r="F2" t="s">
        <v>19</v>
      </c>
      <c r="G2" t="s">
        <v>20</v>
      </c>
      <c r="H2" t="s">
        <v>21</v>
      </c>
      <c r="I2" t="s">
        <v>22</v>
      </c>
      <c r="J2" s="4">
        <v>279.24</v>
      </c>
      <c r="K2" s="8" t="str">
        <f>IF(L2&lt;50, "Low", IF(L2&lt;200, "Medium", "High"))</f>
        <v>High</v>
      </c>
      <c r="L2" s="4">
        <v>608.9</v>
      </c>
      <c r="M2" s="4">
        <v>0.112</v>
      </c>
      <c r="N2" s="4">
        <v>9</v>
      </c>
      <c r="O2" s="4">
        <f t="shared" ref="O2:O65" si="0">(L28*N2)*(1-M2)</f>
        <v>1403.9546399999999</v>
      </c>
      <c r="P2">
        <f t="shared" ref="P2:P65" si="1">(J2*N2)</f>
        <v>2513.16</v>
      </c>
      <c r="Q2" s="4">
        <f>(O2-P2)</f>
        <v>-1109.2053599999999</v>
      </c>
      <c r="R2" s="18">
        <f>(Q2/O2)</f>
        <v>-0.79005783263766982</v>
      </c>
    </row>
    <row r="3" spans="1:18" x14ac:dyDescent="0.3">
      <c r="A3" t="s">
        <v>24</v>
      </c>
      <c r="B3" s="7">
        <v>45588</v>
      </c>
      <c r="C3" s="2">
        <v>45587</v>
      </c>
      <c r="D3" s="4">
        <f>DATEDIF(C3, B3, "MD")</f>
        <v>1</v>
      </c>
      <c r="E3" s="4" t="str">
        <f>TEXT(Data!B3,"MMM-YYYY")</f>
        <v>Feb-2023</v>
      </c>
      <c r="F3" t="s">
        <v>27</v>
      </c>
      <c r="G3" t="s">
        <v>28</v>
      </c>
      <c r="H3" t="s">
        <v>29</v>
      </c>
      <c r="I3" t="s">
        <v>30</v>
      </c>
      <c r="J3" s="4">
        <v>1084.3900000000001</v>
      </c>
      <c r="K3" s="8" t="str">
        <f t="shared" ref="K3:K66" si="2">IF(L3&lt;50, "Low", IF(L3&lt;200, "Medium", "High"))</f>
        <v>High</v>
      </c>
      <c r="L3" s="4">
        <v>759.33</v>
      </c>
      <c r="M3" s="4">
        <v>0.23699999999999999</v>
      </c>
      <c r="N3" s="4">
        <v>31</v>
      </c>
      <c r="O3" s="4">
        <f t="shared" si="0"/>
        <v>17934.41419</v>
      </c>
      <c r="P3">
        <f t="shared" si="1"/>
        <v>33616.090000000004</v>
      </c>
      <c r="Q3" s="4">
        <f t="shared" ref="Q3:Q66" si="3">(O3-P3)</f>
        <v>-15681.675810000004</v>
      </c>
      <c r="R3" s="18">
        <f t="shared" ref="R3:R66" si="4">(Q3/O3)</f>
        <v>-0.87439018882166253</v>
      </c>
    </row>
    <row r="4" spans="1:18" x14ac:dyDescent="0.3">
      <c r="A4" t="s">
        <v>32</v>
      </c>
      <c r="B4" s="7">
        <v>44985</v>
      </c>
      <c r="C4" s="2">
        <v>45010</v>
      </c>
      <c r="D4" s="4">
        <f t="shared" ref="D4:D67" si="5">DATEDIF(B4,C4, "MD")</f>
        <v>25</v>
      </c>
      <c r="E4" s="4" t="str">
        <f>TEXT(Data!B4,"MMM-YYYY")</f>
        <v>Mar-2025</v>
      </c>
      <c r="F4" t="s">
        <v>19</v>
      </c>
      <c r="G4" t="s">
        <v>20</v>
      </c>
      <c r="H4" t="s">
        <v>34</v>
      </c>
      <c r="I4" t="s">
        <v>35</v>
      </c>
      <c r="J4" s="4">
        <v>1460.76</v>
      </c>
      <c r="K4" s="8" t="str">
        <f t="shared" si="2"/>
        <v>Low</v>
      </c>
      <c r="L4" s="4">
        <v>-30.66</v>
      </c>
      <c r="M4" s="4">
        <v>0.13100000000000001</v>
      </c>
      <c r="N4" s="4">
        <v>12</v>
      </c>
      <c r="O4" s="4">
        <f t="shared" si="0"/>
        <v>4534.0944</v>
      </c>
      <c r="P4">
        <f t="shared" si="1"/>
        <v>17529.12</v>
      </c>
      <c r="Q4" s="4">
        <f t="shared" si="3"/>
        <v>-12995.025599999999</v>
      </c>
      <c r="R4" s="18">
        <f t="shared" si="4"/>
        <v>-2.8660686023652264</v>
      </c>
    </row>
    <row r="5" spans="1:18" x14ac:dyDescent="0.3">
      <c r="A5" t="s">
        <v>37</v>
      </c>
      <c r="B5" s="7">
        <v>45745</v>
      </c>
      <c r="C5" s="2">
        <v>45749</v>
      </c>
      <c r="D5" s="4">
        <f t="shared" si="5"/>
        <v>4</v>
      </c>
      <c r="E5" s="4" t="str">
        <f>TEXT(Data!B5,"MMM-YYYY")</f>
        <v>Dec-2023</v>
      </c>
      <c r="F5" t="s">
        <v>39</v>
      </c>
      <c r="G5" t="s">
        <v>40</v>
      </c>
      <c r="H5" t="s">
        <v>41</v>
      </c>
      <c r="I5" t="s">
        <v>42</v>
      </c>
      <c r="J5" s="4">
        <v>259.93</v>
      </c>
      <c r="K5" s="8" t="str">
        <f t="shared" si="2"/>
        <v>High</v>
      </c>
      <c r="L5" s="4">
        <v>255.94</v>
      </c>
      <c r="M5" s="4">
        <v>7.1999999999999995E-2</v>
      </c>
      <c r="N5" s="4">
        <v>22</v>
      </c>
      <c r="O5" s="4">
        <f t="shared" si="0"/>
        <v>34016.730880000003</v>
      </c>
      <c r="P5">
        <f t="shared" si="1"/>
        <v>5718.46</v>
      </c>
      <c r="Q5" s="4">
        <f t="shared" si="3"/>
        <v>28298.270880000004</v>
      </c>
      <c r="R5" s="18">
        <f t="shared" si="4"/>
        <v>0.83189272301994943</v>
      </c>
    </row>
    <row r="6" spans="1:18" x14ac:dyDescent="0.3">
      <c r="A6" t="s">
        <v>44</v>
      </c>
      <c r="B6" s="7">
        <v>45266</v>
      </c>
      <c r="C6" s="2">
        <v>45291</v>
      </c>
      <c r="D6" s="4">
        <f t="shared" si="5"/>
        <v>25</v>
      </c>
      <c r="E6" s="4" t="str">
        <f>TEXT(Data!B6,"MMM-YYYY")</f>
        <v>Jan-2023</v>
      </c>
      <c r="F6" t="s">
        <v>48</v>
      </c>
      <c r="G6" t="s">
        <v>20</v>
      </c>
      <c r="H6" t="s">
        <v>49</v>
      </c>
      <c r="I6" t="s">
        <v>30</v>
      </c>
      <c r="J6" s="4">
        <v>663.03</v>
      </c>
      <c r="K6" s="8" t="str">
        <f t="shared" si="2"/>
        <v>High</v>
      </c>
      <c r="L6" s="4">
        <v>813.51</v>
      </c>
      <c r="M6" s="4">
        <v>0.10199999999999999</v>
      </c>
      <c r="N6" s="4">
        <v>15</v>
      </c>
      <c r="O6" s="4">
        <f t="shared" si="0"/>
        <v>8510.0765999999985</v>
      </c>
      <c r="P6">
        <f t="shared" si="1"/>
        <v>9945.4499999999989</v>
      </c>
      <c r="Q6" s="4">
        <f t="shared" si="3"/>
        <v>-1435.3734000000004</v>
      </c>
      <c r="R6" s="18">
        <f t="shared" si="4"/>
        <v>-0.16866750647109341</v>
      </c>
    </row>
    <row r="7" spans="1:18" x14ac:dyDescent="0.3">
      <c r="A7" t="s">
        <v>51</v>
      </c>
      <c r="B7" s="7">
        <v>44928</v>
      </c>
      <c r="C7" s="2">
        <v>44931</v>
      </c>
      <c r="D7" s="4">
        <f t="shared" si="5"/>
        <v>3</v>
      </c>
      <c r="E7" s="4" t="str">
        <f>TEXT(Data!B7,"MMM-YYYY")</f>
        <v>Dec-2024</v>
      </c>
      <c r="F7" t="s">
        <v>19</v>
      </c>
      <c r="G7" t="s">
        <v>55</v>
      </c>
      <c r="H7" t="s">
        <v>56</v>
      </c>
      <c r="I7" t="s">
        <v>57</v>
      </c>
      <c r="J7" s="4">
        <v>315.87</v>
      </c>
      <c r="K7" s="8" t="str">
        <f t="shared" si="2"/>
        <v>High</v>
      </c>
      <c r="L7" s="4">
        <v>591.67999999999995</v>
      </c>
      <c r="M7" s="4">
        <v>0</v>
      </c>
      <c r="N7" s="4">
        <v>7</v>
      </c>
      <c r="O7" s="4">
        <f t="shared" si="0"/>
        <v>12558.49</v>
      </c>
      <c r="P7">
        <f t="shared" si="1"/>
        <v>2211.09</v>
      </c>
      <c r="Q7" s="4">
        <f t="shared" si="3"/>
        <v>10347.4</v>
      </c>
      <c r="R7" s="18">
        <f t="shared" si="4"/>
        <v>0.82393663569425946</v>
      </c>
    </row>
    <row r="8" spans="1:18" x14ac:dyDescent="0.3">
      <c r="A8" t="s">
        <v>59</v>
      </c>
      <c r="B8" s="7">
        <v>45653</v>
      </c>
      <c r="C8" s="2">
        <v>45671</v>
      </c>
      <c r="D8" s="4">
        <f t="shared" si="5"/>
        <v>18</v>
      </c>
      <c r="E8" s="4" t="str">
        <f>TEXT(Data!B8,"MMM-YYYY")</f>
        <v>Jan-2023</v>
      </c>
      <c r="F8" t="s">
        <v>62</v>
      </c>
      <c r="G8" t="s">
        <v>40</v>
      </c>
      <c r="H8" t="s">
        <v>63</v>
      </c>
      <c r="I8" t="s">
        <v>64</v>
      </c>
      <c r="J8" s="4">
        <v>586.07000000000005</v>
      </c>
      <c r="K8" s="8" t="str">
        <f t="shared" si="2"/>
        <v>High</v>
      </c>
      <c r="L8" s="4">
        <v>845.97</v>
      </c>
      <c r="M8" s="4">
        <v>0.14699999999999999</v>
      </c>
      <c r="N8" s="4">
        <v>4</v>
      </c>
      <c r="O8" s="4">
        <f t="shared" si="0"/>
        <v>8983.864239999999</v>
      </c>
      <c r="P8">
        <f t="shared" si="1"/>
        <v>2344.2800000000002</v>
      </c>
      <c r="Q8" s="4">
        <f t="shared" si="3"/>
        <v>6639.5842399999983</v>
      </c>
      <c r="R8" s="18">
        <f t="shared" si="4"/>
        <v>0.73905660889639613</v>
      </c>
    </row>
    <row r="9" spans="1:18" x14ac:dyDescent="0.3">
      <c r="A9" t="s">
        <v>66</v>
      </c>
      <c r="B9" s="7">
        <v>44941</v>
      </c>
      <c r="C9" s="2">
        <v>44939</v>
      </c>
      <c r="D9" s="4">
        <f>DATEDIF(C9,B9, "MD")</f>
        <v>2</v>
      </c>
      <c r="E9" s="4" t="str">
        <f>TEXT(Data!B9,"MMM-YYYY")</f>
        <v>May-2024</v>
      </c>
      <c r="F9" t="s">
        <v>27</v>
      </c>
      <c r="G9" t="s">
        <v>28</v>
      </c>
      <c r="H9" t="s">
        <v>68</v>
      </c>
      <c r="I9" t="s">
        <v>30</v>
      </c>
      <c r="J9" s="4">
        <v>28.38</v>
      </c>
      <c r="K9" s="8" t="str">
        <f t="shared" si="2"/>
        <v>Low</v>
      </c>
      <c r="L9" s="4">
        <v>47.22</v>
      </c>
      <c r="M9" s="4">
        <v>0.19400000000000001</v>
      </c>
      <c r="N9" s="4">
        <v>18</v>
      </c>
      <c r="O9" s="4">
        <f t="shared" si="0"/>
        <v>19177.399799999999</v>
      </c>
      <c r="P9">
        <f t="shared" si="1"/>
        <v>510.84</v>
      </c>
      <c r="Q9" s="4">
        <f t="shared" si="3"/>
        <v>18666.559799999999</v>
      </c>
      <c r="R9" s="18">
        <f t="shared" si="4"/>
        <v>0.97336239504168864</v>
      </c>
    </row>
    <row r="10" spans="1:18" x14ac:dyDescent="0.3">
      <c r="A10" t="s">
        <v>70</v>
      </c>
      <c r="B10" s="7">
        <v>45416</v>
      </c>
      <c r="C10" s="2">
        <v>45441</v>
      </c>
      <c r="D10" s="4">
        <f t="shared" si="5"/>
        <v>25</v>
      </c>
      <c r="E10" s="4" t="str">
        <f>TEXT(Data!B10,"MMM-YYYY")</f>
        <v>May-2025</v>
      </c>
      <c r="F10" t="s">
        <v>39</v>
      </c>
      <c r="G10" t="s">
        <v>40</v>
      </c>
      <c r="H10" t="s">
        <v>68</v>
      </c>
      <c r="I10" t="s">
        <v>64</v>
      </c>
      <c r="J10" s="4">
        <v>1295.3399999999999</v>
      </c>
      <c r="K10" s="8" t="str">
        <f t="shared" si="2"/>
        <v>High</v>
      </c>
      <c r="L10" s="4">
        <v>2530.81</v>
      </c>
      <c r="M10" s="4">
        <v>3.1E-2</v>
      </c>
      <c r="N10" s="4">
        <v>6</v>
      </c>
      <c r="O10" s="4">
        <f t="shared" si="0"/>
        <v>17656.36218</v>
      </c>
      <c r="P10">
        <f t="shared" si="1"/>
        <v>7772.0399999999991</v>
      </c>
      <c r="Q10" s="4">
        <f t="shared" si="3"/>
        <v>9884.322180000001</v>
      </c>
      <c r="R10" s="18">
        <f t="shared" si="4"/>
        <v>0.55981646044825306</v>
      </c>
    </row>
    <row r="11" spans="1:18" x14ac:dyDescent="0.3">
      <c r="A11" t="s">
        <v>72</v>
      </c>
      <c r="B11" s="7">
        <v>45798</v>
      </c>
      <c r="C11" s="2">
        <v>45817</v>
      </c>
      <c r="D11" s="4">
        <f t="shared" si="5"/>
        <v>19</v>
      </c>
      <c r="E11" s="4" t="str">
        <f>TEXT(Data!B11,"MMM-YYYY")</f>
        <v>Jan-2024</v>
      </c>
      <c r="F11" t="s">
        <v>39</v>
      </c>
      <c r="G11" t="s">
        <v>28</v>
      </c>
      <c r="H11" t="s">
        <v>75</v>
      </c>
      <c r="I11" t="s">
        <v>22</v>
      </c>
      <c r="J11" s="4">
        <v>1331.38</v>
      </c>
      <c r="K11" s="8" t="str">
        <f t="shared" si="2"/>
        <v>High</v>
      </c>
      <c r="L11" s="4">
        <v>2309.56</v>
      </c>
      <c r="M11" s="4">
        <v>0.14899999999999999</v>
      </c>
      <c r="N11" s="4">
        <v>31</v>
      </c>
      <c r="O11" s="4">
        <f t="shared" si="0"/>
        <v>5259.5799699999998</v>
      </c>
      <c r="P11">
        <f t="shared" si="1"/>
        <v>41272.780000000006</v>
      </c>
      <c r="Q11" s="4">
        <f t="shared" si="3"/>
        <v>-36013.200030000007</v>
      </c>
      <c r="R11" s="18">
        <f t="shared" si="4"/>
        <v>-6.8471627459635354</v>
      </c>
    </row>
    <row r="12" spans="1:18" x14ac:dyDescent="0.3">
      <c r="A12" t="s">
        <v>77</v>
      </c>
      <c r="B12" s="7">
        <v>45319</v>
      </c>
      <c r="C12" s="2">
        <v>45331</v>
      </c>
      <c r="D12" s="4">
        <f t="shared" si="5"/>
        <v>12</v>
      </c>
      <c r="E12" s="4" t="str">
        <f>TEXT(Data!B12,"MMM-YYYY")</f>
        <v>Jan-2025</v>
      </c>
      <c r="F12" t="s">
        <v>19</v>
      </c>
      <c r="G12" t="s">
        <v>28</v>
      </c>
      <c r="H12" t="s">
        <v>41</v>
      </c>
      <c r="I12" t="s">
        <v>81</v>
      </c>
      <c r="J12" s="4">
        <v>644.16999999999996</v>
      </c>
      <c r="K12" s="8" t="str">
        <f t="shared" si="2"/>
        <v>High</v>
      </c>
      <c r="L12" s="4">
        <v>700.12</v>
      </c>
      <c r="M12" s="4">
        <v>6.0000000000000001E-3</v>
      </c>
      <c r="N12" s="4">
        <v>23</v>
      </c>
      <c r="O12" s="4">
        <f t="shared" si="0"/>
        <v>21204.733619999999</v>
      </c>
      <c r="P12">
        <f t="shared" si="1"/>
        <v>14815.91</v>
      </c>
      <c r="Q12" s="4">
        <f t="shared" si="3"/>
        <v>6388.8236199999992</v>
      </c>
      <c r="R12" s="18">
        <f t="shared" si="4"/>
        <v>0.30129233097152197</v>
      </c>
    </row>
    <row r="13" spans="1:18" x14ac:dyDescent="0.3">
      <c r="A13" t="s">
        <v>83</v>
      </c>
      <c r="B13" s="7">
        <v>45660</v>
      </c>
      <c r="C13" s="2">
        <v>45680</v>
      </c>
      <c r="D13" s="4">
        <f t="shared" si="5"/>
        <v>20</v>
      </c>
      <c r="E13" s="4" t="str">
        <f>TEXT(Data!B13,"MMM-YYYY")</f>
        <v>Mar-2025</v>
      </c>
      <c r="F13" t="s">
        <v>19</v>
      </c>
      <c r="G13" t="s">
        <v>55</v>
      </c>
      <c r="H13" t="s">
        <v>84</v>
      </c>
      <c r="I13" t="s">
        <v>42</v>
      </c>
      <c r="J13" s="4">
        <v>908.6</v>
      </c>
      <c r="K13" s="8" t="str">
        <f t="shared" si="2"/>
        <v>High</v>
      </c>
      <c r="L13" s="4">
        <v>691.37</v>
      </c>
      <c r="M13" s="4">
        <v>0.25</v>
      </c>
      <c r="N13" s="4">
        <v>20</v>
      </c>
      <c r="O13" s="4">
        <f t="shared" si="0"/>
        <v>26031.15</v>
      </c>
      <c r="P13">
        <f t="shared" si="1"/>
        <v>18172</v>
      </c>
      <c r="Q13" s="4">
        <f t="shared" si="3"/>
        <v>7859.1500000000015</v>
      </c>
      <c r="R13" s="18">
        <f t="shared" si="4"/>
        <v>0.30191328466087747</v>
      </c>
    </row>
    <row r="14" spans="1:18" x14ac:dyDescent="0.3">
      <c r="A14" t="s">
        <v>86</v>
      </c>
      <c r="B14" s="7">
        <v>45722</v>
      </c>
      <c r="C14" s="2">
        <v>45747</v>
      </c>
      <c r="D14" s="4">
        <f t="shared" si="5"/>
        <v>25</v>
      </c>
      <c r="E14" s="4" t="str">
        <f>TEXT(Data!B14,"MMM-YYYY")</f>
        <v>Jan-2024</v>
      </c>
      <c r="F14" t="s">
        <v>39</v>
      </c>
      <c r="G14" t="s">
        <v>28</v>
      </c>
      <c r="H14" t="s">
        <v>29</v>
      </c>
      <c r="I14" t="s">
        <v>22</v>
      </c>
      <c r="J14" s="4">
        <v>331.57</v>
      </c>
      <c r="K14" s="8" t="str">
        <f t="shared" si="2"/>
        <v>High</v>
      </c>
      <c r="L14" s="4">
        <v>548.4</v>
      </c>
      <c r="M14" s="4">
        <v>9.4E-2</v>
      </c>
      <c r="N14" s="4">
        <v>10</v>
      </c>
      <c r="O14" s="4">
        <f t="shared" si="0"/>
        <v>12644.498400000002</v>
      </c>
      <c r="P14">
        <f t="shared" si="1"/>
        <v>3315.7</v>
      </c>
      <c r="Q14" s="4">
        <f t="shared" si="3"/>
        <v>9328.7984000000033</v>
      </c>
      <c r="R14" s="18">
        <f t="shared" si="4"/>
        <v>0.73777528415045723</v>
      </c>
    </row>
    <row r="15" spans="1:18" x14ac:dyDescent="0.3">
      <c r="A15" t="s">
        <v>89</v>
      </c>
      <c r="B15" s="7">
        <v>45311</v>
      </c>
      <c r="C15" s="2">
        <v>45335</v>
      </c>
      <c r="D15" s="4">
        <f t="shared" si="5"/>
        <v>24</v>
      </c>
      <c r="E15" s="4" t="str">
        <f>TEXT(Data!B15,"MMM-YYYY")</f>
        <v>Sept-2025</v>
      </c>
      <c r="F15" t="s">
        <v>19</v>
      </c>
      <c r="G15" t="s">
        <v>20</v>
      </c>
      <c r="H15" t="s">
        <v>92</v>
      </c>
      <c r="I15" t="s">
        <v>30</v>
      </c>
      <c r="J15" s="4">
        <v>643.53</v>
      </c>
      <c r="K15" s="8" t="str">
        <f t="shared" si="2"/>
        <v>High</v>
      </c>
      <c r="L15" s="4">
        <v>1439.01</v>
      </c>
      <c r="M15" s="4">
        <v>0</v>
      </c>
      <c r="N15" s="4">
        <v>15</v>
      </c>
      <c r="O15" s="4">
        <f t="shared" si="0"/>
        <v>6816.3</v>
      </c>
      <c r="P15">
        <f t="shared" si="1"/>
        <v>9652.9499999999989</v>
      </c>
      <c r="Q15" s="4">
        <f t="shared" si="3"/>
        <v>-2836.6499999999987</v>
      </c>
      <c r="R15" s="18">
        <f t="shared" si="4"/>
        <v>-0.4161568592931647</v>
      </c>
    </row>
    <row r="16" spans="1:18" x14ac:dyDescent="0.3">
      <c r="A16" t="s">
        <v>94</v>
      </c>
      <c r="B16" s="7">
        <v>45901</v>
      </c>
      <c r="C16" s="2">
        <v>45930</v>
      </c>
      <c r="D16" s="4">
        <f t="shared" si="5"/>
        <v>29</v>
      </c>
      <c r="E16" s="4" t="str">
        <f>TEXT(Data!B16,"MMM-YYYY")</f>
        <v>Apr-2023</v>
      </c>
      <c r="F16" t="s">
        <v>27</v>
      </c>
      <c r="G16" t="s">
        <v>20</v>
      </c>
      <c r="H16" t="s">
        <v>95</v>
      </c>
      <c r="I16" t="s">
        <v>81</v>
      </c>
      <c r="J16" s="4">
        <v>780.59</v>
      </c>
      <c r="K16" s="8" t="str">
        <f t="shared" si="2"/>
        <v>High</v>
      </c>
      <c r="L16" s="4">
        <v>631.57000000000005</v>
      </c>
      <c r="M16" s="4">
        <v>0</v>
      </c>
      <c r="N16" s="4">
        <v>12</v>
      </c>
      <c r="O16" s="4">
        <f t="shared" si="0"/>
        <v>18971.64</v>
      </c>
      <c r="P16">
        <f t="shared" si="1"/>
        <v>9367.08</v>
      </c>
      <c r="Q16" s="4">
        <f t="shared" si="3"/>
        <v>9604.56</v>
      </c>
      <c r="R16" s="18">
        <f t="shared" si="4"/>
        <v>0.50625881579030596</v>
      </c>
    </row>
    <row r="17" spans="1:18" x14ac:dyDescent="0.3">
      <c r="A17" t="s">
        <v>97</v>
      </c>
      <c r="B17" s="7">
        <v>45039</v>
      </c>
      <c r="C17" s="2">
        <v>45038</v>
      </c>
      <c r="D17" s="4">
        <f>DATEDIF(C17, B17, "MD")</f>
        <v>1</v>
      </c>
      <c r="E17" s="4" t="str">
        <f>TEXT(Data!B17,"MMM-YYYY")</f>
        <v>Dec-2024</v>
      </c>
      <c r="F17" t="s">
        <v>62</v>
      </c>
      <c r="G17" t="s">
        <v>98</v>
      </c>
      <c r="H17" t="s">
        <v>63</v>
      </c>
      <c r="I17" t="s">
        <v>57</v>
      </c>
      <c r="J17" s="4">
        <v>756.51</v>
      </c>
      <c r="K17" s="8" t="str">
        <f t="shared" si="2"/>
        <v>High</v>
      </c>
      <c r="L17" s="4">
        <v>850.8</v>
      </c>
      <c r="M17" s="4">
        <v>7.3999999999999996E-2</v>
      </c>
      <c r="N17" s="4">
        <v>9</v>
      </c>
      <c r="O17" s="4">
        <f t="shared" si="0"/>
        <v>14666.089860000002</v>
      </c>
      <c r="P17">
        <f t="shared" si="1"/>
        <v>6808.59</v>
      </c>
      <c r="Q17" s="4">
        <f t="shared" si="3"/>
        <v>7857.4998600000017</v>
      </c>
      <c r="R17" s="18">
        <f t="shared" si="4"/>
        <v>0.53575969702943038</v>
      </c>
    </row>
    <row r="18" spans="1:18" x14ac:dyDescent="0.3">
      <c r="A18" t="s">
        <v>100</v>
      </c>
      <c r="B18" s="7">
        <v>45636</v>
      </c>
      <c r="C18" s="2">
        <v>45665</v>
      </c>
      <c r="D18" s="4">
        <f t="shared" si="5"/>
        <v>29</v>
      </c>
      <c r="E18" s="4" t="str">
        <f>TEXT(Data!B18,"MMM-YYYY")</f>
        <v>Sept-2025</v>
      </c>
      <c r="F18" t="s">
        <v>62</v>
      </c>
      <c r="G18" t="s">
        <v>20</v>
      </c>
      <c r="H18" t="s">
        <v>95</v>
      </c>
      <c r="I18" t="s">
        <v>30</v>
      </c>
      <c r="J18" s="4">
        <v>891.08</v>
      </c>
      <c r="K18" s="8" t="str">
        <f t="shared" si="2"/>
        <v>High</v>
      </c>
      <c r="L18" s="4">
        <v>1040.0999999999999</v>
      </c>
      <c r="M18" s="4">
        <v>0.109</v>
      </c>
      <c r="N18" s="4">
        <v>28</v>
      </c>
      <c r="O18" s="4">
        <f t="shared" si="0"/>
        <v>79945.865999999995</v>
      </c>
      <c r="P18">
        <f t="shared" si="1"/>
        <v>24950.240000000002</v>
      </c>
      <c r="Q18" s="4">
        <f t="shared" si="3"/>
        <v>54995.625999999989</v>
      </c>
      <c r="R18" s="18">
        <f t="shared" si="4"/>
        <v>0.68791081705212864</v>
      </c>
    </row>
    <row r="19" spans="1:18" x14ac:dyDescent="0.3">
      <c r="A19" t="s">
        <v>102</v>
      </c>
      <c r="B19" s="7">
        <v>45908</v>
      </c>
      <c r="C19" s="2">
        <v>45916</v>
      </c>
      <c r="D19" s="4">
        <f t="shared" si="5"/>
        <v>8</v>
      </c>
      <c r="E19" s="4" t="str">
        <f>TEXT(Data!B19,"MMM-YYYY")</f>
        <v>Jul-2025</v>
      </c>
      <c r="F19" t="s">
        <v>19</v>
      </c>
      <c r="G19" t="s">
        <v>55</v>
      </c>
      <c r="H19" t="s">
        <v>21</v>
      </c>
      <c r="I19" t="s">
        <v>42</v>
      </c>
      <c r="J19" s="4">
        <v>1225.57</v>
      </c>
      <c r="K19" s="8" t="str">
        <f t="shared" si="2"/>
        <v>High</v>
      </c>
      <c r="L19" s="4">
        <v>2705.57</v>
      </c>
      <c r="M19" s="4">
        <v>0.183</v>
      </c>
      <c r="N19" s="4">
        <v>16</v>
      </c>
      <c r="O19" s="4">
        <f t="shared" si="0"/>
        <v>14842.34096</v>
      </c>
      <c r="P19">
        <f t="shared" si="1"/>
        <v>19609.12</v>
      </c>
      <c r="Q19" s="4">
        <f t="shared" si="3"/>
        <v>-4766.7790399999994</v>
      </c>
      <c r="R19" s="18">
        <f t="shared" si="4"/>
        <v>-0.32116086356232038</v>
      </c>
    </row>
    <row r="20" spans="1:18" x14ac:dyDescent="0.3">
      <c r="A20" t="s">
        <v>104</v>
      </c>
      <c r="B20" s="7">
        <v>45858</v>
      </c>
      <c r="C20" s="2">
        <v>45874</v>
      </c>
      <c r="D20" s="4">
        <f t="shared" si="5"/>
        <v>16</v>
      </c>
      <c r="E20" s="4" t="str">
        <f>TEXT(Data!B20,"MMM-YYYY")</f>
        <v>May-2025</v>
      </c>
      <c r="F20" t="s">
        <v>105</v>
      </c>
      <c r="G20" t="s">
        <v>40</v>
      </c>
      <c r="H20" t="s">
        <v>41</v>
      </c>
      <c r="I20" t="s">
        <v>81</v>
      </c>
      <c r="J20" s="4">
        <v>1068.17</v>
      </c>
      <c r="K20" s="8" t="str">
        <f t="shared" si="2"/>
        <v>High</v>
      </c>
      <c r="L20" s="4">
        <v>2375.37</v>
      </c>
      <c r="M20" s="4">
        <v>0.109</v>
      </c>
      <c r="N20" s="4">
        <v>18</v>
      </c>
      <c r="O20" s="4">
        <f t="shared" si="0"/>
        <v>15979.62168</v>
      </c>
      <c r="P20">
        <f t="shared" si="1"/>
        <v>19227.060000000001</v>
      </c>
      <c r="Q20" s="4">
        <f t="shared" si="3"/>
        <v>-3247.4383200000011</v>
      </c>
      <c r="R20" s="18">
        <f t="shared" si="4"/>
        <v>-0.20322372988745258</v>
      </c>
    </row>
    <row r="21" spans="1:18" x14ac:dyDescent="0.3">
      <c r="A21" t="s">
        <v>107</v>
      </c>
      <c r="B21" s="7">
        <v>45798</v>
      </c>
      <c r="C21" s="2">
        <v>45796</v>
      </c>
      <c r="D21" s="4">
        <f>DATEDIF(C21,B21, "MD")</f>
        <v>2</v>
      </c>
      <c r="E21" s="4" t="str">
        <f>TEXT(Data!B21,"MMM-YYYY")</f>
        <v>Jul-2024</v>
      </c>
      <c r="F21" t="s">
        <v>105</v>
      </c>
      <c r="G21" t="s">
        <v>28</v>
      </c>
      <c r="H21" t="s">
        <v>110</v>
      </c>
      <c r="I21" t="s">
        <v>57</v>
      </c>
      <c r="J21" s="4">
        <v>1015.16</v>
      </c>
      <c r="K21" s="8" t="str">
        <f t="shared" si="2"/>
        <v>High</v>
      </c>
      <c r="L21" s="4">
        <v>2148.14</v>
      </c>
      <c r="M21" s="4">
        <v>3.7999999999999999E-2</v>
      </c>
      <c r="N21" s="4">
        <v>19</v>
      </c>
      <c r="O21" s="4">
        <f t="shared" si="0"/>
        <v>25535.279900000001</v>
      </c>
      <c r="P21">
        <f t="shared" si="1"/>
        <v>19288.04</v>
      </c>
      <c r="Q21" s="4">
        <f t="shared" si="3"/>
        <v>6247.2399000000005</v>
      </c>
      <c r="R21" s="18">
        <f t="shared" si="4"/>
        <v>0.24465131866441769</v>
      </c>
    </row>
    <row r="22" spans="1:18" x14ac:dyDescent="0.3">
      <c r="A22" t="s">
        <v>112</v>
      </c>
      <c r="B22" s="7">
        <v>45498</v>
      </c>
      <c r="C22" s="2">
        <v>45497</v>
      </c>
      <c r="D22" s="4">
        <f>DATEDIF(C22,B22, "MD")</f>
        <v>1</v>
      </c>
      <c r="E22" s="4" t="str">
        <f>TEXT(Data!B22,"MMM-YYYY")</f>
        <v>May-2023</v>
      </c>
      <c r="F22" t="s">
        <v>39</v>
      </c>
      <c r="G22" t="s">
        <v>98</v>
      </c>
      <c r="H22" t="s">
        <v>29</v>
      </c>
      <c r="I22" t="s">
        <v>57</v>
      </c>
      <c r="J22" s="4">
        <v>1494.4</v>
      </c>
      <c r="K22" s="8" t="str">
        <f t="shared" si="2"/>
        <v>High</v>
      </c>
      <c r="L22" s="4">
        <v>3661.07</v>
      </c>
      <c r="M22" s="4">
        <v>7.1999999999999995E-2</v>
      </c>
      <c r="N22" s="4">
        <v>7</v>
      </c>
      <c r="O22" s="4">
        <f t="shared" si="0"/>
        <v>3565.5894400000002</v>
      </c>
      <c r="P22">
        <f t="shared" si="1"/>
        <v>10460.800000000001</v>
      </c>
      <c r="Q22" s="4">
        <f t="shared" si="3"/>
        <v>-6895.2105600000014</v>
      </c>
      <c r="R22" s="18">
        <f t="shared" si="4"/>
        <v>-1.9338206700544864</v>
      </c>
    </row>
    <row r="23" spans="1:18" x14ac:dyDescent="0.3">
      <c r="A23" t="s">
        <v>115</v>
      </c>
      <c r="B23" s="7">
        <v>45057</v>
      </c>
      <c r="C23" s="2">
        <v>45074</v>
      </c>
      <c r="D23" s="4">
        <f t="shared" si="5"/>
        <v>17</v>
      </c>
      <c r="E23" s="4" t="str">
        <f>TEXT(Data!B23,"MMM-YYYY")</f>
        <v>Jun-2025</v>
      </c>
      <c r="F23" t="s">
        <v>105</v>
      </c>
      <c r="G23" t="s">
        <v>40</v>
      </c>
      <c r="H23" t="s">
        <v>63</v>
      </c>
      <c r="I23" t="s">
        <v>35</v>
      </c>
      <c r="J23" s="4">
        <v>1331.19</v>
      </c>
      <c r="K23" s="8" t="str">
        <f t="shared" si="2"/>
        <v>High</v>
      </c>
      <c r="L23" s="4">
        <v>2903.09</v>
      </c>
      <c r="M23" s="4">
        <v>0.14299999999999999</v>
      </c>
      <c r="N23" s="4">
        <v>8</v>
      </c>
      <c r="O23" s="4">
        <f t="shared" si="0"/>
        <v>24160.543999999998</v>
      </c>
      <c r="P23">
        <f t="shared" si="1"/>
        <v>10649.52</v>
      </c>
      <c r="Q23" s="4">
        <f t="shared" si="3"/>
        <v>13511.023999999998</v>
      </c>
      <c r="R23" s="18">
        <f t="shared" si="4"/>
        <v>0.55921853415221112</v>
      </c>
    </row>
    <row r="24" spans="1:18" x14ac:dyDescent="0.3">
      <c r="A24" t="s">
        <v>119</v>
      </c>
      <c r="B24" s="7">
        <v>45822</v>
      </c>
      <c r="C24" s="2">
        <v>45837</v>
      </c>
      <c r="D24" s="4">
        <f t="shared" si="5"/>
        <v>15</v>
      </c>
      <c r="E24" s="4" t="str">
        <f>TEXT(Data!B24,"MMM-YYYY")</f>
        <v>May-2024</v>
      </c>
      <c r="F24" t="s">
        <v>48</v>
      </c>
      <c r="G24" t="s">
        <v>40</v>
      </c>
      <c r="H24" t="s">
        <v>110</v>
      </c>
      <c r="I24" t="s">
        <v>81</v>
      </c>
      <c r="J24" s="4">
        <v>730.99</v>
      </c>
      <c r="K24" s="8" t="str">
        <f t="shared" si="2"/>
        <v>High</v>
      </c>
      <c r="L24" s="4">
        <v>1242.8399999999999</v>
      </c>
      <c r="M24" s="4">
        <v>0.12</v>
      </c>
      <c r="N24" s="4">
        <v>10</v>
      </c>
      <c r="O24" s="4">
        <f t="shared" si="0"/>
        <v>16065.367999999999</v>
      </c>
      <c r="P24">
        <f t="shared" si="1"/>
        <v>7309.9</v>
      </c>
      <c r="Q24" s="4">
        <f t="shared" si="3"/>
        <v>8755.4679999999989</v>
      </c>
      <c r="R24" s="18">
        <f t="shared" si="4"/>
        <v>0.54499019256826231</v>
      </c>
    </row>
    <row r="25" spans="1:18" x14ac:dyDescent="0.3">
      <c r="A25" t="s">
        <v>121</v>
      </c>
      <c r="B25" s="7">
        <v>45430</v>
      </c>
      <c r="C25" s="2">
        <v>45435</v>
      </c>
      <c r="D25" s="4">
        <f t="shared" si="5"/>
        <v>5</v>
      </c>
      <c r="E25" s="4" t="str">
        <f>TEXT(Data!B25,"MMM-YYYY")</f>
        <v>Feb-2023</v>
      </c>
      <c r="F25" t="s">
        <v>105</v>
      </c>
      <c r="G25" t="s">
        <v>20</v>
      </c>
      <c r="H25" t="s">
        <v>92</v>
      </c>
      <c r="I25" t="s">
        <v>57</v>
      </c>
      <c r="J25" s="4">
        <v>1274.5899999999999</v>
      </c>
      <c r="K25" s="8" t="str">
        <f t="shared" si="2"/>
        <v>High</v>
      </c>
      <c r="L25" s="4">
        <v>2553.69</v>
      </c>
      <c r="M25" s="4">
        <v>0.01</v>
      </c>
      <c r="N25" s="4">
        <v>8</v>
      </c>
      <c r="O25" s="4">
        <f t="shared" si="0"/>
        <v>14187.650399999999</v>
      </c>
      <c r="P25">
        <f t="shared" si="1"/>
        <v>10196.719999999999</v>
      </c>
      <c r="Q25" s="4">
        <f t="shared" si="3"/>
        <v>3990.9303999999993</v>
      </c>
      <c r="R25" s="18">
        <f t="shared" si="4"/>
        <v>0.28129607704458237</v>
      </c>
    </row>
    <row r="26" spans="1:18" x14ac:dyDescent="0.3">
      <c r="A26" t="s">
        <v>125</v>
      </c>
      <c r="B26" s="7">
        <v>44964</v>
      </c>
      <c r="C26" s="2">
        <v>44969</v>
      </c>
      <c r="D26" s="4">
        <f t="shared" si="5"/>
        <v>5</v>
      </c>
      <c r="E26" s="4" t="str">
        <f>TEXT(Data!B26,"MMM-YYYY")</f>
        <v>Jun-2024</v>
      </c>
      <c r="F26" t="s">
        <v>27</v>
      </c>
      <c r="G26" t="s">
        <v>28</v>
      </c>
      <c r="H26" t="s">
        <v>126</v>
      </c>
      <c r="I26" t="s">
        <v>22</v>
      </c>
      <c r="J26" s="4">
        <v>948.55</v>
      </c>
      <c r="K26" s="8" t="str">
        <f t="shared" si="2"/>
        <v>High</v>
      </c>
      <c r="L26" s="4">
        <v>2089.16</v>
      </c>
      <c r="M26" s="4">
        <v>7.0000000000000001E-3</v>
      </c>
      <c r="N26" s="4">
        <v>12</v>
      </c>
      <c r="O26" s="4">
        <f t="shared" si="0"/>
        <v>31336.100999999999</v>
      </c>
      <c r="P26">
        <f t="shared" si="1"/>
        <v>11382.599999999999</v>
      </c>
      <c r="Q26" s="4">
        <f t="shared" si="3"/>
        <v>19953.501</v>
      </c>
      <c r="R26" s="18">
        <f t="shared" si="4"/>
        <v>0.63675761703729516</v>
      </c>
    </row>
    <row r="27" spans="1:18" x14ac:dyDescent="0.3">
      <c r="A27" t="s">
        <v>128</v>
      </c>
      <c r="B27" s="7">
        <v>45473</v>
      </c>
      <c r="C27" s="2">
        <v>45487</v>
      </c>
      <c r="D27" s="4">
        <f t="shared" si="5"/>
        <v>14</v>
      </c>
      <c r="E27" s="4" t="str">
        <f>TEXT(Data!B27,"MMM-YYYY")</f>
        <v>Nov-2024</v>
      </c>
      <c r="F27" t="s">
        <v>27</v>
      </c>
      <c r="G27" t="s">
        <v>20</v>
      </c>
      <c r="H27" t="s">
        <v>21</v>
      </c>
      <c r="I27" t="s">
        <v>81</v>
      </c>
      <c r="J27" s="4">
        <v>1491.85</v>
      </c>
      <c r="K27" s="8" t="str">
        <f t="shared" si="2"/>
        <v>High</v>
      </c>
      <c r="L27" s="4">
        <v>2583.02</v>
      </c>
      <c r="M27" s="4">
        <v>0.16800000000000001</v>
      </c>
      <c r="N27" s="4">
        <v>4</v>
      </c>
      <c r="O27" s="4">
        <f t="shared" si="0"/>
        <v>353.76639999999998</v>
      </c>
      <c r="P27">
        <f t="shared" si="1"/>
        <v>5967.4</v>
      </c>
      <c r="Q27" s="4">
        <f t="shared" si="3"/>
        <v>-5613.6335999999992</v>
      </c>
      <c r="R27" s="18">
        <f t="shared" si="4"/>
        <v>-15.868193248426079</v>
      </c>
    </row>
    <row r="28" spans="1:18" x14ac:dyDescent="0.3">
      <c r="A28" t="s">
        <v>130</v>
      </c>
      <c r="B28" s="7">
        <v>45626</v>
      </c>
      <c r="C28" s="2">
        <v>45656</v>
      </c>
      <c r="D28" s="4">
        <f t="shared" si="5"/>
        <v>0</v>
      </c>
      <c r="E28" s="4" t="str">
        <f>TEXT(Data!B28,"MMM-YYYY")</f>
        <v>Jul-2024</v>
      </c>
      <c r="F28" t="s">
        <v>48</v>
      </c>
      <c r="G28" t="s">
        <v>40</v>
      </c>
      <c r="H28" t="s">
        <v>84</v>
      </c>
      <c r="I28" t="s">
        <v>30</v>
      </c>
      <c r="J28" s="4">
        <v>117.64</v>
      </c>
      <c r="K28" s="8" t="str">
        <f t="shared" si="2"/>
        <v>Medium</v>
      </c>
      <c r="L28" s="4">
        <v>175.67</v>
      </c>
      <c r="M28" s="4">
        <v>0</v>
      </c>
      <c r="N28" s="4">
        <v>10</v>
      </c>
      <c r="O28" s="4">
        <f t="shared" si="0"/>
        <v>3857.2000000000003</v>
      </c>
      <c r="P28">
        <f t="shared" si="1"/>
        <v>1176.4000000000001</v>
      </c>
      <c r="Q28" s="4">
        <f t="shared" si="3"/>
        <v>2680.8</v>
      </c>
      <c r="R28" s="18">
        <f t="shared" si="4"/>
        <v>0.69501192574924819</v>
      </c>
    </row>
    <row r="29" spans="1:18" x14ac:dyDescent="0.3">
      <c r="A29" t="s">
        <v>132</v>
      </c>
      <c r="B29" s="7">
        <v>45492</v>
      </c>
      <c r="C29" s="2">
        <v>45492</v>
      </c>
      <c r="D29" s="4">
        <f t="shared" si="5"/>
        <v>0</v>
      </c>
      <c r="E29" s="4" t="str">
        <f>TEXT(Data!B29,"MMM-YYYY")</f>
        <v>Apr-2023</v>
      </c>
      <c r="F29" t="s">
        <v>62</v>
      </c>
      <c r="G29" t="s">
        <v>20</v>
      </c>
      <c r="H29" t="s">
        <v>75</v>
      </c>
      <c r="I29" t="s">
        <v>42</v>
      </c>
      <c r="J29" s="4">
        <v>857.24</v>
      </c>
      <c r="K29" s="8" t="str">
        <f t="shared" si="2"/>
        <v>High</v>
      </c>
      <c r="L29" s="4">
        <v>758.23</v>
      </c>
      <c r="M29" s="4">
        <v>0.125</v>
      </c>
      <c r="N29" s="4">
        <v>6</v>
      </c>
      <c r="O29" s="4">
        <f t="shared" si="0"/>
        <v>1243.5675000000001</v>
      </c>
      <c r="P29">
        <f t="shared" si="1"/>
        <v>5143.4400000000005</v>
      </c>
      <c r="Q29" s="4">
        <f t="shared" si="3"/>
        <v>-3899.8725000000004</v>
      </c>
      <c r="R29" s="18">
        <f t="shared" si="4"/>
        <v>-3.1360360414694015</v>
      </c>
    </row>
    <row r="30" spans="1:18" x14ac:dyDescent="0.3">
      <c r="A30" t="s">
        <v>134</v>
      </c>
      <c r="B30" s="7">
        <v>45030</v>
      </c>
      <c r="C30" s="2">
        <v>45060</v>
      </c>
      <c r="D30" s="4">
        <f t="shared" si="5"/>
        <v>0</v>
      </c>
      <c r="E30" s="4" t="str">
        <f>TEXT(Data!B30,"MMM-YYYY")</f>
        <v>Apr-2025</v>
      </c>
      <c r="F30" t="s">
        <v>48</v>
      </c>
      <c r="G30" t="s">
        <v>40</v>
      </c>
      <c r="H30" t="s">
        <v>110</v>
      </c>
      <c r="I30" t="s">
        <v>42</v>
      </c>
      <c r="J30" s="4">
        <v>209.25</v>
      </c>
      <c r="K30" s="8" t="str">
        <f t="shared" si="2"/>
        <v>High</v>
      </c>
      <c r="L30" s="4">
        <v>434.8</v>
      </c>
      <c r="M30" s="4">
        <v>0</v>
      </c>
      <c r="N30" s="4">
        <v>9</v>
      </c>
      <c r="O30" s="4">
        <f t="shared" si="0"/>
        <v>377.09999999999997</v>
      </c>
      <c r="P30">
        <f t="shared" si="1"/>
        <v>1883.25</v>
      </c>
      <c r="Q30" s="4">
        <f t="shared" si="3"/>
        <v>-1506.15</v>
      </c>
      <c r="R30" s="18">
        <f t="shared" si="4"/>
        <v>-3.9940334128878288</v>
      </c>
    </row>
    <row r="31" spans="1:18" x14ac:dyDescent="0.3">
      <c r="A31" t="s">
        <v>137</v>
      </c>
      <c r="B31" s="7">
        <v>45754</v>
      </c>
      <c r="C31" s="2">
        <v>45758</v>
      </c>
      <c r="D31" s="4">
        <f t="shared" si="5"/>
        <v>4</v>
      </c>
      <c r="E31" s="4" t="str">
        <f>TEXT(Data!B31,"MMM-YYYY")</f>
        <v>Dec-2024</v>
      </c>
      <c r="F31" t="s">
        <v>27</v>
      </c>
      <c r="G31" t="s">
        <v>20</v>
      </c>
      <c r="H31" t="s">
        <v>63</v>
      </c>
      <c r="I31" t="s">
        <v>35</v>
      </c>
      <c r="J31" s="4">
        <v>754.77</v>
      </c>
      <c r="K31" s="8" t="str">
        <f t="shared" si="2"/>
        <v>High</v>
      </c>
      <c r="L31" s="4">
        <v>1666.18</v>
      </c>
      <c r="M31" s="4">
        <v>0.13900000000000001</v>
      </c>
      <c r="N31" s="4">
        <v>14</v>
      </c>
      <c r="O31" s="4">
        <f t="shared" si="0"/>
        <v>11781.338519999999</v>
      </c>
      <c r="P31">
        <f t="shared" si="1"/>
        <v>10566.779999999999</v>
      </c>
      <c r="Q31" s="4">
        <f t="shared" si="3"/>
        <v>1214.5585200000005</v>
      </c>
      <c r="R31" s="18">
        <f t="shared" si="4"/>
        <v>0.10309172577786183</v>
      </c>
    </row>
    <row r="32" spans="1:18" x14ac:dyDescent="0.3">
      <c r="A32" t="s">
        <v>140</v>
      </c>
      <c r="B32" s="7">
        <v>45653</v>
      </c>
      <c r="C32" s="2">
        <v>45672</v>
      </c>
      <c r="D32" s="4">
        <f t="shared" si="5"/>
        <v>19</v>
      </c>
      <c r="E32" s="4" t="str">
        <f>TEXT(Data!B32,"MMM-YYYY")</f>
        <v>Feb-2023</v>
      </c>
      <c r="F32" t="s">
        <v>39</v>
      </c>
      <c r="G32" t="s">
        <v>55</v>
      </c>
      <c r="H32" t="s">
        <v>41</v>
      </c>
      <c r="I32" t="s">
        <v>22</v>
      </c>
      <c r="J32" s="4">
        <v>495.59</v>
      </c>
      <c r="K32" s="8" t="str">
        <f t="shared" si="2"/>
        <v>High</v>
      </c>
      <c r="L32" s="4">
        <v>631.78</v>
      </c>
      <c r="M32" s="4">
        <v>8.6999999999999994E-2</v>
      </c>
      <c r="N32" s="4">
        <v>17</v>
      </c>
      <c r="O32" s="4">
        <f t="shared" si="0"/>
        <v>43367.691729999999</v>
      </c>
      <c r="P32">
        <f t="shared" si="1"/>
        <v>8425.0299999999988</v>
      </c>
      <c r="Q32" s="4">
        <f t="shared" si="3"/>
        <v>34942.66173</v>
      </c>
      <c r="R32" s="18">
        <f t="shared" si="4"/>
        <v>0.8057302645376464</v>
      </c>
    </row>
    <row r="33" spans="1:18" x14ac:dyDescent="0.3">
      <c r="A33" t="s">
        <v>143</v>
      </c>
      <c r="B33" s="7">
        <v>44980</v>
      </c>
      <c r="C33" s="2">
        <v>45010</v>
      </c>
      <c r="D33" s="4">
        <f t="shared" si="5"/>
        <v>2</v>
      </c>
      <c r="E33" s="4" t="str">
        <f>TEXT(Data!B33,"MMM-YYYY")</f>
        <v>Jul-2025</v>
      </c>
      <c r="F33" t="s">
        <v>105</v>
      </c>
      <c r="G33" t="s">
        <v>28</v>
      </c>
      <c r="H33" t="s">
        <v>145</v>
      </c>
      <c r="I33" t="s">
        <v>42</v>
      </c>
      <c r="J33" s="4">
        <v>1242.6600000000001</v>
      </c>
      <c r="K33" s="8" t="str">
        <f t="shared" si="2"/>
        <v>High</v>
      </c>
      <c r="L33" s="4">
        <v>1794.07</v>
      </c>
      <c r="M33" s="4">
        <v>8.8999999999999996E-2</v>
      </c>
      <c r="N33" s="4">
        <v>16</v>
      </c>
      <c r="O33" s="4">
        <f t="shared" si="0"/>
        <v>10231.623200000002</v>
      </c>
      <c r="P33">
        <f t="shared" si="1"/>
        <v>19882.560000000001</v>
      </c>
      <c r="Q33" s="4">
        <f t="shared" si="3"/>
        <v>-9650.9367999999995</v>
      </c>
      <c r="R33" s="18">
        <f t="shared" si="4"/>
        <v>-0.94324591624914389</v>
      </c>
    </row>
    <row r="34" spans="1:18" x14ac:dyDescent="0.3">
      <c r="A34" t="s">
        <v>147</v>
      </c>
      <c r="B34" s="7">
        <v>45862</v>
      </c>
      <c r="C34" s="2">
        <v>45875</v>
      </c>
      <c r="D34" s="4">
        <f t="shared" si="5"/>
        <v>13</v>
      </c>
      <c r="E34" s="4" t="str">
        <f>TEXT(Data!B34,"MMM-YYYY")</f>
        <v>Apr-2024</v>
      </c>
      <c r="F34" t="s">
        <v>27</v>
      </c>
      <c r="G34" t="s">
        <v>40</v>
      </c>
      <c r="H34" t="s">
        <v>145</v>
      </c>
      <c r="I34" t="s">
        <v>35</v>
      </c>
      <c r="J34" s="4">
        <v>1463.9</v>
      </c>
      <c r="K34" s="8" t="str">
        <f t="shared" si="2"/>
        <v>High</v>
      </c>
      <c r="L34" s="4">
        <v>2633.02</v>
      </c>
      <c r="M34" s="4">
        <v>8.4000000000000005E-2</v>
      </c>
      <c r="N34" s="4">
        <v>4</v>
      </c>
      <c r="O34" s="4">
        <f t="shared" si="0"/>
        <v>-19.309279999999998</v>
      </c>
      <c r="P34">
        <f t="shared" si="1"/>
        <v>5855.6</v>
      </c>
      <c r="Q34" s="4">
        <f t="shared" si="3"/>
        <v>-5874.9092800000008</v>
      </c>
      <c r="R34" s="18">
        <f t="shared" si="4"/>
        <v>304.25315081660227</v>
      </c>
    </row>
    <row r="35" spans="1:18" x14ac:dyDescent="0.3">
      <c r="A35" t="s">
        <v>151</v>
      </c>
      <c r="B35" s="7">
        <v>45400</v>
      </c>
      <c r="C35" s="2">
        <v>45420</v>
      </c>
      <c r="D35" s="4">
        <f t="shared" si="5"/>
        <v>20</v>
      </c>
      <c r="E35" s="4" t="str">
        <f>TEXT(Data!B35,"MMM-YYYY")</f>
        <v>Aug-2024</v>
      </c>
      <c r="F35" t="s">
        <v>39</v>
      </c>
      <c r="G35" t="s">
        <v>1364</v>
      </c>
      <c r="H35" t="s">
        <v>145</v>
      </c>
      <c r="I35" t="s">
        <v>57</v>
      </c>
      <c r="J35" s="4">
        <v>645.33000000000004</v>
      </c>
      <c r="K35" s="8" t="str">
        <f t="shared" si="2"/>
        <v>High</v>
      </c>
      <c r="L35" s="4">
        <v>1321.85</v>
      </c>
      <c r="M35" s="4">
        <v>0</v>
      </c>
      <c r="N35" s="4">
        <v>10</v>
      </c>
      <c r="O35" s="4">
        <f t="shared" si="0"/>
        <v>14370.599999999999</v>
      </c>
      <c r="P35">
        <f t="shared" si="1"/>
        <v>6453.3</v>
      </c>
      <c r="Q35" s="4">
        <f t="shared" si="3"/>
        <v>7917.2999999999984</v>
      </c>
      <c r="R35" s="18">
        <f t="shared" si="4"/>
        <v>0.55093733038286496</v>
      </c>
    </row>
    <row r="36" spans="1:18" x14ac:dyDescent="0.3">
      <c r="A36" t="s">
        <v>154</v>
      </c>
      <c r="B36" s="7">
        <v>45527</v>
      </c>
      <c r="C36" s="2">
        <v>45525</v>
      </c>
      <c r="D36" s="4">
        <f>DATEDIF(C36,B36, "MD")</f>
        <v>2</v>
      </c>
      <c r="E36" s="4" t="str">
        <f>TEXT(Data!B36,"MMM-YYYY")</f>
        <v>Mar-2023</v>
      </c>
      <c r="F36" t="s">
        <v>27</v>
      </c>
      <c r="G36" t="s">
        <v>20</v>
      </c>
      <c r="H36" t="s">
        <v>63</v>
      </c>
      <c r="I36" t="s">
        <v>22</v>
      </c>
      <c r="J36" s="4">
        <v>1432.52</v>
      </c>
      <c r="K36" s="8" t="str">
        <f t="shared" si="2"/>
        <v>High</v>
      </c>
      <c r="L36" s="4">
        <v>3036.87</v>
      </c>
      <c r="M36" s="4">
        <v>0</v>
      </c>
      <c r="N36" s="4">
        <v>9</v>
      </c>
      <c r="O36" s="4">
        <f t="shared" si="0"/>
        <v>17207.010000000002</v>
      </c>
      <c r="P36">
        <f t="shared" si="1"/>
        <v>12892.68</v>
      </c>
      <c r="Q36" s="4">
        <f t="shared" si="3"/>
        <v>4314.3300000000017</v>
      </c>
      <c r="R36" s="18">
        <f t="shared" si="4"/>
        <v>0.25073095209452434</v>
      </c>
    </row>
    <row r="37" spans="1:18" x14ac:dyDescent="0.3">
      <c r="A37" t="s">
        <v>156</v>
      </c>
      <c r="B37" s="7">
        <v>45012</v>
      </c>
      <c r="C37" s="2">
        <v>45038</v>
      </c>
      <c r="D37" s="4">
        <f t="shared" si="5"/>
        <v>26</v>
      </c>
      <c r="E37" s="4" t="str">
        <f>TEXT(Data!B37,"MMM-YYYY")</f>
        <v>Mar-2024</v>
      </c>
      <c r="F37" t="s">
        <v>39</v>
      </c>
      <c r="G37" t="s">
        <v>40</v>
      </c>
      <c r="H37" t="s">
        <v>29</v>
      </c>
      <c r="I37" t="s">
        <v>30</v>
      </c>
      <c r="J37" s="4">
        <v>178.53</v>
      </c>
      <c r="K37" s="8" t="str">
        <f t="shared" si="2"/>
        <v>Medium</v>
      </c>
      <c r="L37" s="4">
        <v>199.37</v>
      </c>
      <c r="M37" s="4">
        <v>0.10100000000000001</v>
      </c>
      <c r="N37" s="4">
        <v>37</v>
      </c>
      <c r="O37" s="4">
        <f t="shared" si="0"/>
        <v>86276.904139999999</v>
      </c>
      <c r="P37">
        <f t="shared" si="1"/>
        <v>6605.61</v>
      </c>
      <c r="Q37" s="4">
        <f t="shared" si="3"/>
        <v>79671.294139999998</v>
      </c>
      <c r="R37" s="18">
        <f t="shared" si="4"/>
        <v>0.92343709981432354</v>
      </c>
    </row>
    <row r="38" spans="1:18" x14ac:dyDescent="0.3">
      <c r="A38" t="s">
        <v>158</v>
      </c>
      <c r="B38" s="7">
        <v>45358</v>
      </c>
      <c r="C38" s="2">
        <v>45376</v>
      </c>
      <c r="D38" s="4">
        <f t="shared" si="5"/>
        <v>18</v>
      </c>
      <c r="E38" s="4" t="str">
        <f>TEXT(Data!B38,"MMM-YYYY")</f>
        <v>Jun-2025</v>
      </c>
      <c r="F38" t="s">
        <v>19</v>
      </c>
      <c r="G38" t="s">
        <v>28</v>
      </c>
      <c r="H38" t="s">
        <v>56</v>
      </c>
      <c r="I38" t="s">
        <v>22</v>
      </c>
      <c r="J38" s="4">
        <v>712.84</v>
      </c>
      <c r="K38" s="8" t="str">
        <f t="shared" si="2"/>
        <v>High</v>
      </c>
      <c r="L38" s="4">
        <v>927.51</v>
      </c>
      <c r="M38" s="4">
        <v>0.24299999999999999</v>
      </c>
      <c r="N38" s="4">
        <v>27</v>
      </c>
      <c r="O38" s="4">
        <f t="shared" si="0"/>
        <v>25427.751119999997</v>
      </c>
      <c r="P38">
        <f t="shared" si="1"/>
        <v>19246.68</v>
      </c>
      <c r="Q38" s="4">
        <f t="shared" si="3"/>
        <v>6181.0711199999969</v>
      </c>
      <c r="R38" s="18">
        <f t="shared" si="4"/>
        <v>0.24308367227718869</v>
      </c>
    </row>
    <row r="39" spans="1:18" x14ac:dyDescent="0.3">
      <c r="A39" t="s">
        <v>161</v>
      </c>
      <c r="B39" s="7">
        <v>45832</v>
      </c>
      <c r="C39" s="2">
        <v>45848</v>
      </c>
      <c r="D39" s="4">
        <f t="shared" si="5"/>
        <v>16</v>
      </c>
      <c r="E39" s="4" t="str">
        <f>TEXT(Data!B39,"MMM-YYYY")</f>
        <v>Apr-2024</v>
      </c>
      <c r="F39" t="s">
        <v>105</v>
      </c>
      <c r="G39" t="s">
        <v>98</v>
      </c>
      <c r="H39" t="s">
        <v>126</v>
      </c>
      <c r="I39" t="s">
        <v>22</v>
      </c>
      <c r="J39" s="4">
        <v>757.19</v>
      </c>
      <c r="K39" s="8" t="str">
        <f t="shared" si="2"/>
        <v>High</v>
      </c>
      <c r="L39" s="4">
        <v>1735.41</v>
      </c>
      <c r="M39" s="4">
        <v>0.13600000000000001</v>
      </c>
      <c r="N39" s="4">
        <v>8</v>
      </c>
      <c r="O39" s="4">
        <f t="shared" si="0"/>
        <v>13219.269119999999</v>
      </c>
      <c r="P39">
        <f t="shared" si="1"/>
        <v>6057.52</v>
      </c>
      <c r="Q39" s="4">
        <f t="shared" si="3"/>
        <v>7161.7491199999986</v>
      </c>
      <c r="R39" s="18">
        <f t="shared" si="4"/>
        <v>0.54176589151700383</v>
      </c>
    </row>
    <row r="40" spans="1:18" x14ac:dyDescent="0.3">
      <c r="A40" t="s">
        <v>164</v>
      </c>
      <c r="B40" s="7">
        <v>45401</v>
      </c>
      <c r="C40" s="2">
        <v>45418</v>
      </c>
      <c r="D40" s="4">
        <f t="shared" si="5"/>
        <v>17</v>
      </c>
      <c r="E40" s="4" t="str">
        <f>TEXT(Data!B40,"MMM-YYYY")</f>
        <v>Jun-2023</v>
      </c>
      <c r="F40" t="s">
        <v>39</v>
      </c>
      <c r="G40" t="s">
        <v>28</v>
      </c>
      <c r="H40" t="s">
        <v>75</v>
      </c>
      <c r="I40" t="s">
        <v>30</v>
      </c>
      <c r="J40" s="4">
        <v>865.33</v>
      </c>
      <c r="K40" s="8" t="str">
        <f t="shared" si="2"/>
        <v>High</v>
      </c>
      <c r="L40" s="4">
        <v>1395.64</v>
      </c>
      <c r="M40" s="4">
        <v>0.17499999999999999</v>
      </c>
      <c r="N40" s="4">
        <v>13</v>
      </c>
      <c r="O40" s="4">
        <f t="shared" si="0"/>
        <v>8106.7057499999992</v>
      </c>
      <c r="P40">
        <f t="shared" si="1"/>
        <v>11249.29</v>
      </c>
      <c r="Q40" s="4">
        <f t="shared" si="3"/>
        <v>-3142.5842500000017</v>
      </c>
      <c r="R40" s="18">
        <f t="shared" si="4"/>
        <v>-0.38765243822991874</v>
      </c>
    </row>
    <row r="41" spans="1:18" x14ac:dyDescent="0.3">
      <c r="A41" t="s">
        <v>166</v>
      </c>
      <c r="B41" s="7">
        <v>45094</v>
      </c>
      <c r="C41" s="2">
        <v>45101</v>
      </c>
      <c r="D41" s="4">
        <f t="shared" si="5"/>
        <v>7</v>
      </c>
      <c r="E41" s="4" t="str">
        <f>TEXT(Data!B41,"MMM-YYYY")</f>
        <v>Aug-2024</v>
      </c>
      <c r="F41" t="s">
        <v>19</v>
      </c>
      <c r="G41" t="s">
        <v>20</v>
      </c>
      <c r="H41" t="s">
        <v>34</v>
      </c>
      <c r="I41" t="s">
        <v>30</v>
      </c>
      <c r="J41" s="4">
        <v>313.99</v>
      </c>
      <c r="K41" s="8" t="str">
        <f t="shared" si="2"/>
        <v>High</v>
      </c>
      <c r="L41" s="4">
        <v>454.42</v>
      </c>
      <c r="M41" s="4">
        <v>0.129</v>
      </c>
      <c r="N41" s="4">
        <v>9</v>
      </c>
      <c r="O41" s="4">
        <f t="shared" si="0"/>
        <v>8980.9071300000014</v>
      </c>
      <c r="P41">
        <f t="shared" si="1"/>
        <v>2825.91</v>
      </c>
      <c r="Q41" s="4">
        <f t="shared" si="3"/>
        <v>6154.9971300000016</v>
      </c>
      <c r="R41" s="18">
        <f t="shared" si="4"/>
        <v>0.68534247608904963</v>
      </c>
    </row>
    <row r="42" spans="1:18" x14ac:dyDescent="0.3">
      <c r="A42" t="s">
        <v>169</v>
      </c>
      <c r="B42" s="7">
        <v>45531</v>
      </c>
      <c r="C42" s="2">
        <v>45554</v>
      </c>
      <c r="D42" s="4">
        <f t="shared" si="5"/>
        <v>23</v>
      </c>
      <c r="E42" s="4" t="str">
        <f>TEXT(Data!B42,"MMM-YYYY")</f>
        <v>Jan-2024</v>
      </c>
      <c r="F42" t="s">
        <v>62</v>
      </c>
      <c r="G42" t="s">
        <v>98</v>
      </c>
      <c r="H42" t="s">
        <v>145</v>
      </c>
      <c r="I42" t="s">
        <v>64</v>
      </c>
      <c r="J42" s="4">
        <v>1024.01</v>
      </c>
      <c r="K42" s="8" t="str">
        <f t="shared" si="2"/>
        <v>High</v>
      </c>
      <c r="L42" s="4">
        <v>1580.97</v>
      </c>
      <c r="M42" s="4">
        <v>3.6999999999999998E-2</v>
      </c>
      <c r="N42" s="4">
        <v>27</v>
      </c>
      <c r="O42" s="4">
        <f t="shared" si="0"/>
        <v>32087.834099999996</v>
      </c>
      <c r="P42">
        <f t="shared" si="1"/>
        <v>27648.27</v>
      </c>
      <c r="Q42" s="4">
        <f t="shared" si="3"/>
        <v>4439.564099999996</v>
      </c>
      <c r="R42" s="18">
        <f t="shared" si="4"/>
        <v>0.13835661472707492</v>
      </c>
    </row>
    <row r="43" spans="1:18" x14ac:dyDescent="0.3">
      <c r="A43" t="s">
        <v>171</v>
      </c>
      <c r="B43" s="7">
        <v>45302</v>
      </c>
      <c r="C43" s="2">
        <v>45324</v>
      </c>
      <c r="D43" s="4">
        <f t="shared" si="5"/>
        <v>22</v>
      </c>
      <c r="E43" s="4" t="str">
        <f>TEXT(Data!B43,"MMM-YYYY")</f>
        <v>Oct-2024</v>
      </c>
      <c r="F43" t="s">
        <v>48</v>
      </c>
      <c r="G43" t="s">
        <v>28</v>
      </c>
      <c r="H43" t="s">
        <v>95</v>
      </c>
      <c r="I43" t="s">
        <v>35</v>
      </c>
      <c r="J43" s="4">
        <v>1206.2</v>
      </c>
      <c r="K43" s="8" t="str">
        <f t="shared" si="2"/>
        <v>High</v>
      </c>
      <c r="L43" s="4">
        <v>1759.79</v>
      </c>
      <c r="M43" s="4">
        <v>0</v>
      </c>
      <c r="N43" s="4">
        <v>6</v>
      </c>
      <c r="O43" s="4">
        <f t="shared" si="0"/>
        <v>7368.0599999999995</v>
      </c>
      <c r="P43">
        <f t="shared" si="1"/>
        <v>7237.2000000000007</v>
      </c>
      <c r="Q43" s="4">
        <f t="shared" si="3"/>
        <v>130.85999999999876</v>
      </c>
      <c r="R43" s="18">
        <f t="shared" si="4"/>
        <v>1.7760441690214082E-2</v>
      </c>
    </row>
    <row r="44" spans="1:18" x14ac:dyDescent="0.3">
      <c r="A44" t="s">
        <v>174</v>
      </c>
      <c r="B44" s="7">
        <v>45590</v>
      </c>
      <c r="C44" s="2">
        <v>45610</v>
      </c>
      <c r="D44" s="4">
        <f t="shared" si="5"/>
        <v>20</v>
      </c>
      <c r="E44" s="4" t="str">
        <f>TEXT(Data!B44,"MMM-YYYY")</f>
        <v>May-2025</v>
      </c>
      <c r="F44" t="s">
        <v>19</v>
      </c>
      <c r="G44" t="s">
        <v>98</v>
      </c>
      <c r="H44" t="s">
        <v>92</v>
      </c>
      <c r="I44" t="s">
        <v>30</v>
      </c>
      <c r="J44" s="4">
        <v>1396.48</v>
      </c>
      <c r="K44" s="8" t="str">
        <f t="shared" si="2"/>
        <v>High</v>
      </c>
      <c r="L44" s="4">
        <v>3204.5</v>
      </c>
      <c r="M44" s="4">
        <v>0.318</v>
      </c>
      <c r="N44" s="4">
        <v>14</v>
      </c>
      <c r="O44" s="4">
        <f t="shared" si="0"/>
        <v>5778.7360400000007</v>
      </c>
      <c r="P44">
        <f t="shared" si="1"/>
        <v>19550.72</v>
      </c>
      <c r="Q44" s="4">
        <f t="shared" si="3"/>
        <v>-13771.983960000001</v>
      </c>
      <c r="R44" s="18">
        <f t="shared" si="4"/>
        <v>-2.3832173445319715</v>
      </c>
    </row>
    <row r="45" spans="1:18" x14ac:dyDescent="0.3">
      <c r="A45" t="s">
        <v>176</v>
      </c>
      <c r="B45" s="7">
        <v>45806</v>
      </c>
      <c r="C45" s="2">
        <v>45828</v>
      </c>
      <c r="D45" s="4">
        <f t="shared" si="5"/>
        <v>22</v>
      </c>
      <c r="E45" s="4" t="str">
        <f>TEXT(Data!B45,"MMM-YYYY")</f>
        <v>May-2024</v>
      </c>
      <c r="F45" t="s">
        <v>19</v>
      </c>
      <c r="G45" t="s">
        <v>98</v>
      </c>
      <c r="H45" t="s">
        <v>75</v>
      </c>
      <c r="I45" t="s">
        <v>30</v>
      </c>
      <c r="J45" s="4">
        <v>483.47</v>
      </c>
      <c r="K45" s="8" t="str">
        <f t="shared" si="2"/>
        <v>High</v>
      </c>
      <c r="L45" s="4">
        <v>1135.43</v>
      </c>
      <c r="M45" s="4">
        <v>0.14599999999999999</v>
      </c>
      <c r="N45" s="4">
        <v>11</v>
      </c>
      <c r="O45" s="4">
        <f t="shared" si="0"/>
        <v>17662.129100000002</v>
      </c>
      <c r="P45">
        <f t="shared" si="1"/>
        <v>5318.17</v>
      </c>
      <c r="Q45" s="4">
        <f t="shared" si="3"/>
        <v>12343.959100000002</v>
      </c>
      <c r="R45" s="18">
        <f t="shared" si="4"/>
        <v>0.6988941723905755</v>
      </c>
    </row>
    <row r="46" spans="1:18" x14ac:dyDescent="0.3">
      <c r="A46" t="s">
        <v>178</v>
      </c>
      <c r="B46" s="7">
        <v>45432</v>
      </c>
      <c r="C46" s="2">
        <v>45445</v>
      </c>
      <c r="D46" s="4">
        <f t="shared" si="5"/>
        <v>13</v>
      </c>
      <c r="E46" s="4" t="str">
        <f>TEXT(Data!B46,"MMM-YYYY")</f>
        <v>Apr-2023</v>
      </c>
      <c r="F46" t="s">
        <v>105</v>
      </c>
      <c r="G46" t="s">
        <v>40</v>
      </c>
      <c r="H46" t="s">
        <v>95</v>
      </c>
      <c r="I46" t="s">
        <v>22</v>
      </c>
      <c r="J46" s="4">
        <v>675.43</v>
      </c>
      <c r="K46" s="8" t="str">
        <f t="shared" si="2"/>
        <v>High</v>
      </c>
      <c r="L46" s="4">
        <v>996.36</v>
      </c>
      <c r="M46" s="4">
        <v>0.182</v>
      </c>
      <c r="N46" s="4">
        <v>22</v>
      </c>
      <c r="O46" s="4">
        <f t="shared" si="0"/>
        <v>22844.122400000004</v>
      </c>
      <c r="P46">
        <f t="shared" si="1"/>
        <v>14859.46</v>
      </c>
      <c r="Q46" s="4">
        <f t="shared" si="3"/>
        <v>7984.6624000000047</v>
      </c>
      <c r="R46" s="18">
        <f t="shared" si="4"/>
        <v>0.34952808692707771</v>
      </c>
    </row>
    <row r="47" spans="1:18" x14ac:dyDescent="0.3">
      <c r="A47" t="s">
        <v>181</v>
      </c>
      <c r="B47" s="7">
        <v>45035</v>
      </c>
      <c r="C47" s="2">
        <v>45046</v>
      </c>
      <c r="D47" s="4">
        <f t="shared" si="5"/>
        <v>11</v>
      </c>
      <c r="E47" s="4" t="str">
        <f>TEXT(Data!B47,"MMM-YYYY")</f>
        <v>Jun-2023</v>
      </c>
      <c r="F47" t="s">
        <v>62</v>
      </c>
      <c r="G47" t="s">
        <v>20</v>
      </c>
      <c r="H47" t="s">
        <v>75</v>
      </c>
      <c r="I47" t="s">
        <v>35</v>
      </c>
      <c r="J47" s="4">
        <v>826.55</v>
      </c>
      <c r="K47" s="8" t="str">
        <f t="shared" si="2"/>
        <v>High</v>
      </c>
      <c r="L47" s="4">
        <v>1397.05</v>
      </c>
      <c r="M47" s="4">
        <v>0.16900000000000001</v>
      </c>
      <c r="N47" s="4">
        <v>28</v>
      </c>
      <c r="O47" s="4">
        <f t="shared" si="0"/>
        <v>14447.799239999997</v>
      </c>
      <c r="P47">
        <f t="shared" si="1"/>
        <v>23143.399999999998</v>
      </c>
      <c r="Q47" s="4">
        <f t="shared" si="3"/>
        <v>-8695.6007600000012</v>
      </c>
      <c r="R47" s="18">
        <f t="shared" si="4"/>
        <v>-0.6018633437212686</v>
      </c>
    </row>
    <row r="48" spans="1:18" x14ac:dyDescent="0.3">
      <c r="A48" t="s">
        <v>183</v>
      </c>
      <c r="B48" s="7">
        <v>45100</v>
      </c>
      <c r="C48" s="2">
        <v>45110</v>
      </c>
      <c r="D48" s="4">
        <f t="shared" si="5"/>
        <v>10</v>
      </c>
      <c r="E48" s="4" t="str">
        <f>TEXT(Data!B48,"MMM-YYYY")</f>
        <v>May-2024</v>
      </c>
      <c r="F48" t="s">
        <v>48</v>
      </c>
      <c r="G48" t="s">
        <v>28</v>
      </c>
      <c r="H48" t="s">
        <v>29</v>
      </c>
      <c r="I48" t="s">
        <v>30</v>
      </c>
      <c r="J48" s="4">
        <v>337.75</v>
      </c>
      <c r="K48" s="8" t="str">
        <f t="shared" si="2"/>
        <v>High</v>
      </c>
      <c r="L48" s="4">
        <v>548.89</v>
      </c>
      <c r="M48" s="4">
        <v>0</v>
      </c>
      <c r="N48" s="4">
        <v>13</v>
      </c>
      <c r="O48" s="4">
        <f t="shared" si="0"/>
        <v>18926.830000000002</v>
      </c>
      <c r="P48">
        <f t="shared" si="1"/>
        <v>4390.75</v>
      </c>
      <c r="Q48" s="4">
        <f t="shared" si="3"/>
        <v>14536.080000000002</v>
      </c>
      <c r="R48" s="18">
        <f t="shared" si="4"/>
        <v>0.76801450639119173</v>
      </c>
    </row>
    <row r="49" spans="1:18" x14ac:dyDescent="0.3">
      <c r="A49" t="s">
        <v>185</v>
      </c>
      <c r="B49" s="7">
        <v>45426</v>
      </c>
      <c r="C49" s="2">
        <v>45440</v>
      </c>
      <c r="D49" s="4">
        <f t="shared" si="5"/>
        <v>14</v>
      </c>
      <c r="E49" s="4" t="str">
        <f>TEXT(Data!B49,"MMM-YYYY")</f>
        <v>Oct-2024</v>
      </c>
      <c r="F49" t="s">
        <v>48</v>
      </c>
      <c r="G49" t="s">
        <v>20</v>
      </c>
      <c r="H49" t="s">
        <v>56</v>
      </c>
      <c r="I49" t="s">
        <v>35</v>
      </c>
      <c r="J49" s="4">
        <v>1421.14</v>
      </c>
      <c r="K49" s="8" t="str">
        <f t="shared" si="2"/>
        <v>High</v>
      </c>
      <c r="L49" s="4">
        <v>3524</v>
      </c>
      <c r="M49" s="4">
        <v>0</v>
      </c>
      <c r="N49" s="4">
        <v>31</v>
      </c>
      <c r="O49" s="4">
        <f t="shared" si="0"/>
        <v>16939.329999999998</v>
      </c>
      <c r="P49">
        <f t="shared" si="1"/>
        <v>44055.340000000004</v>
      </c>
      <c r="Q49" s="4">
        <f t="shared" si="3"/>
        <v>-27116.010000000006</v>
      </c>
      <c r="R49" s="18">
        <f t="shared" si="4"/>
        <v>-1.6007722855626527</v>
      </c>
    </row>
    <row r="50" spans="1:18" x14ac:dyDescent="0.3">
      <c r="A50" t="s">
        <v>187</v>
      </c>
      <c r="B50" s="7">
        <v>45579</v>
      </c>
      <c r="C50" s="2">
        <v>45604</v>
      </c>
      <c r="D50" s="4">
        <f t="shared" si="5"/>
        <v>25</v>
      </c>
      <c r="E50" s="4" t="str">
        <f>TEXT(Data!B50,"MMM-YYYY")</f>
        <v>Jul-2023</v>
      </c>
      <c r="F50" t="s">
        <v>105</v>
      </c>
      <c r="G50" t="s">
        <v>28</v>
      </c>
      <c r="H50" t="s">
        <v>68</v>
      </c>
      <c r="I50" t="s">
        <v>35</v>
      </c>
      <c r="J50" s="4">
        <v>859.35</v>
      </c>
      <c r="K50" s="8" t="str">
        <f t="shared" si="2"/>
        <v>High</v>
      </c>
      <c r="L50" s="4">
        <v>1825.61</v>
      </c>
      <c r="M50" s="4">
        <v>0.187</v>
      </c>
      <c r="N50" s="4">
        <v>24</v>
      </c>
      <c r="O50" s="4">
        <f t="shared" si="0"/>
        <v>26300.615040000001</v>
      </c>
      <c r="P50">
        <f t="shared" si="1"/>
        <v>20624.400000000001</v>
      </c>
      <c r="Q50" s="4">
        <f t="shared" si="3"/>
        <v>5676.2150399999991</v>
      </c>
      <c r="R50" s="18">
        <f t="shared" si="4"/>
        <v>0.21582061983596865</v>
      </c>
    </row>
    <row r="51" spans="1:18" x14ac:dyDescent="0.3">
      <c r="A51" t="s">
        <v>189</v>
      </c>
      <c r="B51" s="7">
        <v>45117</v>
      </c>
      <c r="C51" s="2">
        <v>45139</v>
      </c>
      <c r="D51" s="4">
        <f t="shared" si="5"/>
        <v>22</v>
      </c>
      <c r="E51" s="4" t="str">
        <f>TEXT(Data!B51,"MMM-YYYY")</f>
        <v>Nov-2024</v>
      </c>
      <c r="F51" t="s">
        <v>48</v>
      </c>
      <c r="G51" t="s">
        <v>40</v>
      </c>
      <c r="H51" t="s">
        <v>56</v>
      </c>
      <c r="I51" t="s">
        <v>30</v>
      </c>
      <c r="J51" s="4">
        <v>1303.56</v>
      </c>
      <c r="K51" s="8" t="str">
        <f t="shared" si="2"/>
        <v>High</v>
      </c>
      <c r="L51" s="4">
        <v>1791.37</v>
      </c>
      <c r="M51" s="4">
        <v>0.126</v>
      </c>
      <c r="N51" s="4">
        <v>22</v>
      </c>
      <c r="O51" s="4">
        <f t="shared" si="0"/>
        <v>21312.892040000002</v>
      </c>
      <c r="P51">
        <f t="shared" si="1"/>
        <v>28678.32</v>
      </c>
      <c r="Q51" s="4">
        <f t="shared" si="3"/>
        <v>-7365.4279599999973</v>
      </c>
      <c r="R51" s="18">
        <f t="shared" si="4"/>
        <v>-0.34558557075110097</v>
      </c>
    </row>
    <row r="52" spans="1:18" x14ac:dyDescent="0.3">
      <c r="A52" t="s">
        <v>191</v>
      </c>
      <c r="B52" s="7">
        <v>45602</v>
      </c>
      <c r="C52" s="2">
        <v>45618</v>
      </c>
      <c r="D52" s="4">
        <f t="shared" si="5"/>
        <v>16</v>
      </c>
      <c r="E52" s="4" t="str">
        <f>TEXT(Data!B52,"MMM-YYYY")</f>
        <v>Oct-2024</v>
      </c>
      <c r="F52" t="s">
        <v>39</v>
      </c>
      <c r="G52" t="s">
        <v>55</v>
      </c>
      <c r="H52" t="s">
        <v>145</v>
      </c>
      <c r="I52" t="s">
        <v>81</v>
      </c>
      <c r="J52" s="4">
        <v>1454.11</v>
      </c>
      <c r="K52" s="8" t="str">
        <f t="shared" si="2"/>
        <v>High</v>
      </c>
      <c r="L52" s="4">
        <v>2629.75</v>
      </c>
      <c r="M52" s="4">
        <v>0.29199999999999998</v>
      </c>
      <c r="N52" s="4">
        <v>8</v>
      </c>
      <c r="O52" s="4">
        <f t="shared" si="0"/>
        <v>17808.182399999998</v>
      </c>
      <c r="P52">
        <f t="shared" si="1"/>
        <v>11632.88</v>
      </c>
      <c r="Q52" s="4">
        <f t="shared" si="3"/>
        <v>6175.3023999999987</v>
      </c>
      <c r="R52" s="18">
        <f t="shared" si="4"/>
        <v>0.34676769707839467</v>
      </c>
    </row>
    <row r="53" spans="1:18" x14ac:dyDescent="0.3">
      <c r="A53" t="s">
        <v>193</v>
      </c>
      <c r="B53" s="7">
        <v>45582</v>
      </c>
      <c r="C53" s="2">
        <v>45602</v>
      </c>
      <c r="D53" s="4">
        <f t="shared" si="5"/>
        <v>20</v>
      </c>
      <c r="E53" s="4" t="str">
        <f>TEXT(Data!B53,"MMM-YYYY")</f>
        <v>Mar-2023</v>
      </c>
      <c r="F53" t="s">
        <v>105</v>
      </c>
      <c r="G53" t="s">
        <v>55</v>
      </c>
      <c r="H53" t="s">
        <v>68</v>
      </c>
      <c r="I53" t="s">
        <v>64</v>
      </c>
      <c r="J53" s="4">
        <v>72.94</v>
      </c>
      <c r="K53" s="8" t="str">
        <f t="shared" si="2"/>
        <v>Medium</v>
      </c>
      <c r="L53" s="4">
        <v>106.3</v>
      </c>
      <c r="M53" s="4">
        <v>0.29499999999999998</v>
      </c>
      <c r="N53" s="4">
        <v>8</v>
      </c>
      <c r="O53" s="4">
        <f t="shared" si="0"/>
        <v>11819.917200000002</v>
      </c>
      <c r="P53">
        <f t="shared" si="1"/>
        <v>583.52</v>
      </c>
      <c r="Q53" s="4">
        <f t="shared" si="3"/>
        <v>11236.397200000001</v>
      </c>
      <c r="R53" s="18">
        <f t="shared" si="4"/>
        <v>0.95063247989588284</v>
      </c>
    </row>
    <row r="54" spans="1:18" x14ac:dyDescent="0.3">
      <c r="A54" t="s">
        <v>195</v>
      </c>
      <c r="B54" s="7">
        <v>45016</v>
      </c>
      <c r="C54" s="2">
        <v>45021</v>
      </c>
      <c r="D54" s="4">
        <f t="shared" si="5"/>
        <v>5</v>
      </c>
      <c r="E54" s="4" t="str">
        <f>TEXT(Data!B54,"MMM-YYYY")</f>
        <v>Jan-2025</v>
      </c>
      <c r="F54" t="s">
        <v>27</v>
      </c>
      <c r="G54" t="s">
        <v>40</v>
      </c>
      <c r="H54" t="s">
        <v>56</v>
      </c>
      <c r="I54" t="s">
        <v>57</v>
      </c>
      <c r="J54" s="4">
        <v>533.26</v>
      </c>
      <c r="K54" s="8" t="str">
        <f t="shared" si="2"/>
        <v>High</v>
      </c>
      <c r="L54" s="4">
        <v>385.72</v>
      </c>
      <c r="M54" s="4">
        <v>0</v>
      </c>
      <c r="N54" s="4">
        <v>15</v>
      </c>
      <c r="O54" s="4">
        <f t="shared" si="0"/>
        <v>10554.3</v>
      </c>
      <c r="P54">
        <f t="shared" si="1"/>
        <v>7998.9</v>
      </c>
      <c r="Q54" s="4">
        <f t="shared" si="3"/>
        <v>2555.3999999999996</v>
      </c>
      <c r="R54" s="18">
        <f t="shared" si="4"/>
        <v>0.24211932577243397</v>
      </c>
    </row>
    <row r="55" spans="1:18" x14ac:dyDescent="0.3">
      <c r="A55" t="s">
        <v>197</v>
      </c>
      <c r="B55" s="7">
        <v>45678</v>
      </c>
      <c r="C55" s="2">
        <v>45704</v>
      </c>
      <c r="D55" s="4">
        <f t="shared" si="5"/>
        <v>26</v>
      </c>
      <c r="E55" s="4" t="str">
        <f>TEXT(Data!B55,"MMM-YYYY")</f>
        <v>Aug-2023</v>
      </c>
      <c r="F55" t="s">
        <v>19</v>
      </c>
      <c r="G55" t="s">
        <v>55</v>
      </c>
      <c r="H55" t="s">
        <v>68</v>
      </c>
      <c r="I55" t="s">
        <v>57</v>
      </c>
      <c r="J55" s="4">
        <v>204.11</v>
      </c>
      <c r="K55" s="8" t="str">
        <f t="shared" si="2"/>
        <v>High</v>
      </c>
      <c r="L55" s="4">
        <v>236.87</v>
      </c>
      <c r="M55" s="4">
        <v>0.182</v>
      </c>
      <c r="N55" s="4">
        <v>13</v>
      </c>
      <c r="O55" s="4">
        <f t="shared" si="0"/>
        <v>21238.118460000002</v>
      </c>
      <c r="P55">
        <f t="shared" si="1"/>
        <v>2653.4300000000003</v>
      </c>
      <c r="Q55" s="4">
        <f t="shared" si="3"/>
        <v>18584.688460000001</v>
      </c>
      <c r="R55" s="18">
        <f t="shared" si="4"/>
        <v>0.87506284961177294</v>
      </c>
    </row>
    <row r="56" spans="1:18" x14ac:dyDescent="0.3">
      <c r="A56" t="s">
        <v>199</v>
      </c>
      <c r="B56" s="7">
        <v>45168</v>
      </c>
      <c r="C56" s="2">
        <v>45170</v>
      </c>
      <c r="D56" s="4">
        <f t="shared" si="5"/>
        <v>2</v>
      </c>
      <c r="E56" s="4" t="str">
        <f>TEXT(Data!B56,"MMM-YYYY")</f>
        <v>Apr-2025</v>
      </c>
      <c r="F56" t="s">
        <v>19</v>
      </c>
      <c r="G56" t="s">
        <v>98</v>
      </c>
      <c r="H56" t="s">
        <v>126</v>
      </c>
      <c r="I56" t="s">
        <v>35</v>
      </c>
      <c r="J56" s="4">
        <v>44.42</v>
      </c>
      <c r="K56" s="8" t="str">
        <f t="shared" si="2"/>
        <v>Low</v>
      </c>
      <c r="L56" s="4">
        <v>41.9</v>
      </c>
      <c r="M56" s="4">
        <v>0.14399999999999999</v>
      </c>
      <c r="N56" s="4">
        <v>6</v>
      </c>
      <c r="O56" s="4">
        <f t="shared" si="0"/>
        <v>14195.647199999998</v>
      </c>
      <c r="P56">
        <f t="shared" si="1"/>
        <v>266.52</v>
      </c>
      <c r="Q56" s="4">
        <f t="shared" si="3"/>
        <v>13929.127199999997</v>
      </c>
      <c r="R56" s="18">
        <f t="shared" si="4"/>
        <v>0.9812252307876459</v>
      </c>
    </row>
    <row r="57" spans="1:18" x14ac:dyDescent="0.3">
      <c r="A57" t="s">
        <v>201</v>
      </c>
      <c r="B57" s="7">
        <v>45753</v>
      </c>
      <c r="C57" s="2">
        <v>45777</v>
      </c>
      <c r="D57" s="4">
        <f t="shared" si="5"/>
        <v>24</v>
      </c>
      <c r="E57" s="4" t="str">
        <f>TEXT(Data!B57,"MMM-YYYY")</f>
        <v>Feb-2025</v>
      </c>
      <c r="F57" t="s">
        <v>27</v>
      </c>
      <c r="G57" t="s">
        <v>28</v>
      </c>
      <c r="H57" t="s">
        <v>95</v>
      </c>
      <c r="I57" t="s">
        <v>64</v>
      </c>
      <c r="J57" s="4">
        <v>855.78</v>
      </c>
      <c r="K57" s="8" t="str">
        <f t="shared" si="2"/>
        <v>High</v>
      </c>
      <c r="L57" s="4">
        <v>977.38</v>
      </c>
      <c r="M57" s="4">
        <v>0.14699999999999999</v>
      </c>
      <c r="N57" s="4">
        <v>38</v>
      </c>
      <c r="O57" s="4">
        <f t="shared" si="0"/>
        <v>48735.421419999999</v>
      </c>
      <c r="P57">
        <f t="shared" si="1"/>
        <v>32519.64</v>
      </c>
      <c r="Q57" s="4">
        <f t="shared" si="3"/>
        <v>16215.781419999999</v>
      </c>
      <c r="R57" s="18">
        <f t="shared" si="4"/>
        <v>0.33273091619036216</v>
      </c>
    </row>
    <row r="58" spans="1:18" x14ac:dyDescent="0.3">
      <c r="A58" t="s">
        <v>203</v>
      </c>
      <c r="B58" s="7">
        <v>45697</v>
      </c>
      <c r="C58" s="2">
        <v>45717</v>
      </c>
      <c r="D58" s="4">
        <f t="shared" si="5"/>
        <v>20</v>
      </c>
      <c r="E58" s="4" t="str">
        <f>TEXT(Data!B58,"MMM-YYYY")</f>
        <v>Dec-2024</v>
      </c>
      <c r="F58" t="s">
        <v>19</v>
      </c>
      <c r="G58" t="s">
        <v>55</v>
      </c>
      <c r="H58" t="s">
        <v>56</v>
      </c>
      <c r="I58" t="s">
        <v>57</v>
      </c>
      <c r="J58" s="4">
        <v>1154.6400000000001</v>
      </c>
      <c r="K58" s="8" t="str">
        <f t="shared" si="2"/>
        <v>High</v>
      </c>
      <c r="L58" s="4">
        <v>2794.13</v>
      </c>
      <c r="M58" s="4">
        <v>3.5000000000000003E-2</v>
      </c>
      <c r="N58" s="4">
        <v>11</v>
      </c>
      <c r="O58" s="4">
        <f t="shared" si="0"/>
        <v>4119.0446000000002</v>
      </c>
      <c r="P58">
        <f t="shared" si="1"/>
        <v>12701.04</v>
      </c>
      <c r="Q58" s="4">
        <f t="shared" si="3"/>
        <v>-8581.9953999999998</v>
      </c>
      <c r="R58" s="18">
        <f t="shared" si="4"/>
        <v>-2.0834917398078185</v>
      </c>
    </row>
    <row r="59" spans="1:18" x14ac:dyDescent="0.3">
      <c r="A59" t="s">
        <v>205</v>
      </c>
      <c r="B59" s="7">
        <v>45643</v>
      </c>
      <c r="C59" s="2">
        <v>45644</v>
      </c>
      <c r="D59" s="4">
        <f t="shared" si="5"/>
        <v>1</v>
      </c>
      <c r="E59" s="4" t="str">
        <f>TEXT(Data!B59,"MMM-YYYY")</f>
        <v>Jun-2025</v>
      </c>
      <c r="F59" t="s">
        <v>27</v>
      </c>
      <c r="G59" t="s">
        <v>20</v>
      </c>
      <c r="H59" t="s">
        <v>49</v>
      </c>
      <c r="I59" t="s">
        <v>81</v>
      </c>
      <c r="J59" s="4">
        <v>346.82</v>
      </c>
      <c r="K59" s="8" t="str">
        <f t="shared" si="2"/>
        <v>High</v>
      </c>
      <c r="L59" s="4">
        <v>701.95</v>
      </c>
      <c r="M59" s="4">
        <v>0.14699999999999999</v>
      </c>
      <c r="N59" s="4">
        <v>8</v>
      </c>
      <c r="O59" s="4">
        <f t="shared" si="0"/>
        <v>304.14567999999997</v>
      </c>
      <c r="P59">
        <f t="shared" si="1"/>
        <v>2774.56</v>
      </c>
      <c r="Q59" s="4">
        <f t="shared" si="3"/>
        <v>-2470.4143199999999</v>
      </c>
      <c r="R59" s="18">
        <f t="shared" si="4"/>
        <v>-8.122470521363315</v>
      </c>
    </row>
    <row r="60" spans="1:18" x14ac:dyDescent="0.3">
      <c r="A60" t="s">
        <v>207</v>
      </c>
      <c r="B60" s="7">
        <v>45817</v>
      </c>
      <c r="C60" s="2">
        <v>45826</v>
      </c>
      <c r="D60" s="4">
        <f t="shared" si="5"/>
        <v>9</v>
      </c>
      <c r="E60" s="4" t="str">
        <f>TEXT(Data!B60,"MMM-YYYY")</f>
        <v>May-2025</v>
      </c>
      <c r="F60" t="s">
        <v>62</v>
      </c>
      <c r="G60" t="s">
        <v>40</v>
      </c>
      <c r="H60" t="s">
        <v>92</v>
      </c>
      <c r="I60" t="s">
        <v>81</v>
      </c>
      <c r="J60" s="4">
        <v>1225.5</v>
      </c>
      <c r="K60" s="8" t="str">
        <f t="shared" si="2"/>
        <v>Low</v>
      </c>
      <c r="L60" s="4">
        <v>-5.27</v>
      </c>
      <c r="M60" s="4">
        <v>7.4999999999999997E-2</v>
      </c>
      <c r="N60" s="4">
        <v>56</v>
      </c>
      <c r="O60" s="4">
        <f t="shared" si="0"/>
        <v>93667.868000000002</v>
      </c>
      <c r="P60">
        <f t="shared" si="1"/>
        <v>68628</v>
      </c>
      <c r="Q60" s="4">
        <f t="shared" si="3"/>
        <v>25039.868000000002</v>
      </c>
      <c r="R60" s="18">
        <f t="shared" si="4"/>
        <v>0.2673261229774121</v>
      </c>
    </row>
    <row r="61" spans="1:18" x14ac:dyDescent="0.3">
      <c r="A61" t="s">
        <v>209</v>
      </c>
      <c r="B61" s="7">
        <v>45779</v>
      </c>
      <c r="C61" s="2">
        <v>45790</v>
      </c>
      <c r="D61" s="4">
        <f t="shared" si="5"/>
        <v>11</v>
      </c>
      <c r="E61" s="4" t="str">
        <f>TEXT(Data!B61,"MMM-YYYY")</f>
        <v>Mar-2024</v>
      </c>
      <c r="F61" t="s">
        <v>62</v>
      </c>
      <c r="G61" t="s">
        <v>28</v>
      </c>
      <c r="H61" t="s">
        <v>75</v>
      </c>
      <c r="I61" t="s">
        <v>81</v>
      </c>
      <c r="J61" s="4">
        <v>1057.5999999999999</v>
      </c>
      <c r="K61" s="8" t="str">
        <f t="shared" si="2"/>
        <v>High</v>
      </c>
      <c r="L61" s="4">
        <v>1437.06</v>
      </c>
      <c r="M61" s="4">
        <v>0.20499999999999999</v>
      </c>
      <c r="N61" s="4">
        <v>4</v>
      </c>
      <c r="O61" s="4">
        <f t="shared" si="0"/>
        <v>4086.5861999999997</v>
      </c>
      <c r="P61">
        <f t="shared" si="1"/>
        <v>4230.3999999999996</v>
      </c>
      <c r="Q61" s="4">
        <f t="shared" si="3"/>
        <v>-143.8137999999999</v>
      </c>
      <c r="R61" s="18">
        <f t="shared" si="4"/>
        <v>-3.5191671718560573E-2</v>
      </c>
    </row>
    <row r="62" spans="1:18" x14ac:dyDescent="0.3">
      <c r="A62" t="s">
        <v>211</v>
      </c>
      <c r="B62" s="7">
        <v>45361</v>
      </c>
      <c r="C62" s="2">
        <v>45391</v>
      </c>
      <c r="D62" s="4">
        <f t="shared" si="5"/>
        <v>30</v>
      </c>
      <c r="E62" s="4" t="str">
        <f>TEXT(Data!B62,"MMM-YYYY")</f>
        <v>Sept-2025</v>
      </c>
      <c r="F62" t="s">
        <v>19</v>
      </c>
      <c r="G62" t="s">
        <v>98</v>
      </c>
      <c r="H62" t="s">
        <v>34</v>
      </c>
      <c r="I62" t="s">
        <v>22</v>
      </c>
      <c r="J62" s="4">
        <v>1176.56</v>
      </c>
      <c r="K62" s="8" t="str">
        <f t="shared" si="2"/>
        <v>High</v>
      </c>
      <c r="L62" s="4">
        <v>1911.89</v>
      </c>
      <c r="M62" s="4">
        <v>0.11899999999999999</v>
      </c>
      <c r="N62" s="4">
        <v>20</v>
      </c>
      <c r="O62" s="4">
        <f t="shared" si="0"/>
        <v>29568.826800000003</v>
      </c>
      <c r="P62">
        <f t="shared" si="1"/>
        <v>23531.199999999997</v>
      </c>
      <c r="Q62" s="4">
        <f t="shared" si="3"/>
        <v>6037.6268000000055</v>
      </c>
      <c r="R62" s="18">
        <f t="shared" si="4"/>
        <v>0.20418891966319086</v>
      </c>
    </row>
    <row r="63" spans="1:18" x14ac:dyDescent="0.3">
      <c r="A63" t="s">
        <v>213</v>
      </c>
      <c r="B63" s="7">
        <v>45910</v>
      </c>
      <c r="C63" s="2">
        <v>45912</v>
      </c>
      <c r="D63" s="4">
        <f t="shared" si="5"/>
        <v>2</v>
      </c>
      <c r="E63" s="4" t="str">
        <f>TEXT(Data!B63,"MMM-YYYY")</f>
        <v>Apr-2025</v>
      </c>
      <c r="F63" t="s">
        <v>48</v>
      </c>
      <c r="G63" t="s">
        <v>28</v>
      </c>
      <c r="H63" t="s">
        <v>68</v>
      </c>
      <c r="I63" t="s">
        <v>22</v>
      </c>
      <c r="J63" s="4">
        <v>1470.15</v>
      </c>
      <c r="K63" s="8" t="str">
        <f t="shared" si="2"/>
        <v>High</v>
      </c>
      <c r="L63" s="4">
        <v>2593.7800000000002</v>
      </c>
      <c r="M63" s="4">
        <v>0.11</v>
      </c>
      <c r="N63" s="4">
        <v>12</v>
      </c>
      <c r="O63" s="4">
        <f t="shared" si="0"/>
        <v>7255.4580000000005</v>
      </c>
      <c r="P63">
        <f t="shared" si="1"/>
        <v>17641.800000000003</v>
      </c>
      <c r="Q63" s="4">
        <f t="shared" si="3"/>
        <v>-10386.342000000002</v>
      </c>
      <c r="R63" s="18">
        <f t="shared" si="4"/>
        <v>-1.4315212078961799</v>
      </c>
    </row>
    <row r="64" spans="1:18" x14ac:dyDescent="0.3">
      <c r="A64" t="s">
        <v>216</v>
      </c>
      <c r="B64" s="7">
        <v>45774</v>
      </c>
      <c r="C64" s="2">
        <v>45802</v>
      </c>
      <c r="D64" s="4">
        <f t="shared" si="5"/>
        <v>28</v>
      </c>
      <c r="E64" s="4" t="str">
        <f>TEXT(Data!B64,"MMM-YYYY")</f>
        <v>Nov-2024</v>
      </c>
      <c r="F64" t="s">
        <v>62</v>
      </c>
      <c r="G64" t="s">
        <v>40</v>
      </c>
      <c r="H64" t="s">
        <v>34</v>
      </c>
      <c r="I64" t="s">
        <v>42</v>
      </c>
      <c r="J64" s="4">
        <v>603.45000000000005</v>
      </c>
      <c r="K64" s="8" t="str">
        <f t="shared" si="2"/>
        <v>High</v>
      </c>
      <c r="L64" s="4">
        <v>1244.08</v>
      </c>
      <c r="M64" s="4">
        <v>0.2</v>
      </c>
      <c r="N64" s="4">
        <v>11</v>
      </c>
      <c r="O64" s="4">
        <f t="shared" si="0"/>
        <v>9767.2960000000003</v>
      </c>
      <c r="P64">
        <f t="shared" si="1"/>
        <v>6637.9500000000007</v>
      </c>
      <c r="Q64" s="4">
        <f t="shared" si="3"/>
        <v>3129.3459999999995</v>
      </c>
      <c r="R64" s="18">
        <f t="shared" si="4"/>
        <v>0.32039020830330106</v>
      </c>
    </row>
    <row r="65" spans="1:18" x14ac:dyDescent="0.3">
      <c r="A65" t="s">
        <v>219</v>
      </c>
      <c r="B65" s="7">
        <v>45598</v>
      </c>
      <c r="C65" s="2">
        <v>45614</v>
      </c>
      <c r="D65" s="4">
        <f t="shared" si="5"/>
        <v>16</v>
      </c>
      <c r="E65" s="4" t="str">
        <f>TEXT(Data!B65,"MMM-YYYY")</f>
        <v>Feb-2023</v>
      </c>
      <c r="F65" t="s">
        <v>62</v>
      </c>
      <c r="G65" t="s">
        <v>55</v>
      </c>
      <c r="H65" t="s">
        <v>68</v>
      </c>
      <c r="I65" t="s">
        <v>64</v>
      </c>
      <c r="J65" s="4">
        <v>1233.58</v>
      </c>
      <c r="K65" s="8" t="str">
        <f t="shared" si="2"/>
        <v>High</v>
      </c>
      <c r="L65" s="4">
        <v>1912.51</v>
      </c>
      <c r="M65" s="4">
        <v>0.255</v>
      </c>
      <c r="N65" s="4">
        <v>51</v>
      </c>
      <c r="O65" s="4">
        <f t="shared" si="0"/>
        <v>3175.2421499999996</v>
      </c>
      <c r="P65">
        <f t="shared" si="1"/>
        <v>62912.579999999994</v>
      </c>
      <c r="Q65" s="4">
        <f t="shared" si="3"/>
        <v>-59737.337849999996</v>
      </c>
      <c r="R65" s="18">
        <f t="shared" si="4"/>
        <v>-18.813474698299782</v>
      </c>
    </row>
    <row r="66" spans="1:18" x14ac:dyDescent="0.3">
      <c r="A66" t="s">
        <v>222</v>
      </c>
      <c r="B66" s="7">
        <v>44972</v>
      </c>
      <c r="C66" s="2">
        <v>44983</v>
      </c>
      <c r="D66" s="4">
        <f t="shared" si="5"/>
        <v>11</v>
      </c>
      <c r="E66" s="4" t="str">
        <f>TEXT(Data!B66,"MMM-YYYY")</f>
        <v>Dec-2023</v>
      </c>
      <c r="F66" t="s">
        <v>39</v>
      </c>
      <c r="G66" t="s">
        <v>20</v>
      </c>
      <c r="H66" t="s">
        <v>95</v>
      </c>
      <c r="I66" t="s">
        <v>57</v>
      </c>
      <c r="J66" s="4">
        <v>498.5</v>
      </c>
      <c r="K66" s="8" t="str">
        <f t="shared" si="2"/>
        <v>High</v>
      </c>
      <c r="L66" s="4">
        <v>755.87</v>
      </c>
      <c r="M66" s="4">
        <v>0.13</v>
      </c>
      <c r="N66" s="4">
        <v>40</v>
      </c>
      <c r="O66" s="4">
        <f t="shared" ref="O66:O129" si="6">(L92*N66)*(1-M66)</f>
        <v>44693.64</v>
      </c>
      <c r="P66">
        <f t="shared" ref="P66:P129" si="7">(J66*N66)</f>
        <v>19940</v>
      </c>
      <c r="Q66" s="4">
        <f t="shared" si="3"/>
        <v>24753.64</v>
      </c>
      <c r="R66" s="18">
        <f t="shared" si="4"/>
        <v>0.55385150996875621</v>
      </c>
    </row>
    <row r="67" spans="1:18" x14ac:dyDescent="0.3">
      <c r="A67" t="s">
        <v>224</v>
      </c>
      <c r="B67" s="7">
        <v>45263</v>
      </c>
      <c r="C67" s="2">
        <v>45286</v>
      </c>
      <c r="D67" s="4">
        <f t="shared" si="5"/>
        <v>23</v>
      </c>
      <c r="E67" s="4" t="str">
        <f>TEXT(Data!B67,"MMM-YYYY")</f>
        <v>Mar-2023</v>
      </c>
      <c r="F67" t="s">
        <v>27</v>
      </c>
      <c r="G67" t="s">
        <v>20</v>
      </c>
      <c r="H67" t="s">
        <v>68</v>
      </c>
      <c r="I67" t="s">
        <v>42</v>
      </c>
      <c r="J67" s="4">
        <v>1303.1099999999999</v>
      </c>
      <c r="K67" s="8" t="str">
        <f t="shared" ref="K67:K130" si="8">IF(L67&lt;50, "Low", IF(L67&lt;200, "Medium", "High"))</f>
        <v>High</v>
      </c>
      <c r="L67" s="4">
        <v>1145.67</v>
      </c>
      <c r="M67" s="4">
        <v>0.184</v>
      </c>
      <c r="N67" s="4">
        <v>13</v>
      </c>
      <c r="O67" s="4">
        <f t="shared" si="6"/>
        <v>9671.5257600000004</v>
      </c>
      <c r="P67">
        <f t="shared" si="7"/>
        <v>16940.43</v>
      </c>
      <c r="Q67" s="4">
        <f t="shared" ref="Q67:Q130" si="9">(O67-P67)</f>
        <v>-7268.9042399999998</v>
      </c>
      <c r="R67" s="18">
        <f t="shared" ref="R67:R130" si="10">(Q67/O67)</f>
        <v>-0.75157781929952694</v>
      </c>
    </row>
    <row r="68" spans="1:18" x14ac:dyDescent="0.3">
      <c r="A68" t="s">
        <v>227</v>
      </c>
      <c r="B68" s="7">
        <v>45004</v>
      </c>
      <c r="C68" s="2">
        <v>45025</v>
      </c>
      <c r="D68" s="4">
        <f t="shared" ref="D68:D131" si="11">DATEDIF(B68,C68, "MD")</f>
        <v>21</v>
      </c>
      <c r="E68" s="4" t="str">
        <f>TEXT(Data!B68,"MMM-YYYY")</f>
        <v>May-2024</v>
      </c>
      <c r="F68" t="s">
        <v>48</v>
      </c>
      <c r="G68" t="s">
        <v>20</v>
      </c>
      <c r="H68" t="s">
        <v>49</v>
      </c>
      <c r="I68" t="s">
        <v>81</v>
      </c>
      <c r="J68" s="4">
        <v>1082.17</v>
      </c>
      <c r="K68" s="8" t="str">
        <f t="shared" si="8"/>
        <v>High</v>
      </c>
      <c r="L68" s="4">
        <v>1234.0999999999999</v>
      </c>
      <c r="M68" s="4">
        <v>0.189</v>
      </c>
      <c r="N68" s="4">
        <v>16</v>
      </c>
      <c r="O68" s="4">
        <f t="shared" si="6"/>
        <v>18232.188319999997</v>
      </c>
      <c r="P68">
        <f t="shared" si="7"/>
        <v>17314.72</v>
      </c>
      <c r="Q68" s="4">
        <f t="shared" si="9"/>
        <v>917.46831999999631</v>
      </c>
      <c r="R68" s="18">
        <f t="shared" si="10"/>
        <v>5.0321349467061474E-2</v>
      </c>
    </row>
    <row r="69" spans="1:18" x14ac:dyDescent="0.3">
      <c r="A69" t="s">
        <v>230</v>
      </c>
      <c r="B69" s="7">
        <v>45434</v>
      </c>
      <c r="C69" s="2">
        <v>45449</v>
      </c>
      <c r="D69" s="4">
        <f t="shared" si="11"/>
        <v>15</v>
      </c>
      <c r="E69" s="4" t="str">
        <f>TEXT(Data!B69,"MMM-YYYY")</f>
        <v>Aug-2023</v>
      </c>
      <c r="F69" t="s">
        <v>19</v>
      </c>
      <c r="G69" t="s">
        <v>55</v>
      </c>
      <c r="H69" t="s">
        <v>21</v>
      </c>
      <c r="I69" t="s">
        <v>64</v>
      </c>
      <c r="J69" s="4">
        <v>673.88</v>
      </c>
      <c r="K69" s="8" t="str">
        <f t="shared" si="8"/>
        <v>High</v>
      </c>
      <c r="L69" s="4">
        <v>1228.01</v>
      </c>
      <c r="M69" s="4">
        <v>0.105</v>
      </c>
      <c r="N69" s="4">
        <v>13</v>
      </c>
      <c r="O69" s="4">
        <f t="shared" si="6"/>
        <v>11273.616900000001</v>
      </c>
      <c r="P69">
        <f t="shared" si="7"/>
        <v>8760.44</v>
      </c>
      <c r="Q69" s="4">
        <f t="shared" si="9"/>
        <v>2513.1769000000004</v>
      </c>
      <c r="R69" s="18">
        <f t="shared" si="10"/>
        <v>0.22292551913840536</v>
      </c>
    </row>
    <row r="70" spans="1:18" x14ac:dyDescent="0.3">
      <c r="A70" t="s">
        <v>233</v>
      </c>
      <c r="B70" s="7">
        <v>45157</v>
      </c>
      <c r="C70" s="2">
        <v>45176</v>
      </c>
      <c r="D70" s="4">
        <f t="shared" si="11"/>
        <v>19</v>
      </c>
      <c r="E70" s="4" t="str">
        <f>TEXT(Data!B70,"MMM-YYYY")</f>
        <v>Apr-2023</v>
      </c>
      <c r="F70" t="s">
        <v>105</v>
      </c>
      <c r="G70" t="s">
        <v>20</v>
      </c>
      <c r="H70" t="s">
        <v>145</v>
      </c>
      <c r="I70" t="s">
        <v>64</v>
      </c>
      <c r="J70" s="4">
        <v>494.61</v>
      </c>
      <c r="K70" s="8" t="str">
        <f t="shared" si="8"/>
        <v>High</v>
      </c>
      <c r="L70" s="4">
        <v>605.23</v>
      </c>
      <c r="M70" s="4">
        <v>0.20399999999999999</v>
      </c>
      <c r="N70" s="4">
        <v>18</v>
      </c>
      <c r="O70" s="4">
        <f t="shared" si="6"/>
        <v>15600.46968</v>
      </c>
      <c r="P70">
        <f t="shared" si="7"/>
        <v>8902.98</v>
      </c>
      <c r="Q70" s="4">
        <f t="shared" si="9"/>
        <v>6697.4896800000006</v>
      </c>
      <c r="R70" s="18">
        <f t="shared" si="10"/>
        <v>0.42931333590464055</v>
      </c>
    </row>
    <row r="71" spans="1:18" x14ac:dyDescent="0.3">
      <c r="A71" t="s">
        <v>235</v>
      </c>
      <c r="B71" s="7">
        <v>45037</v>
      </c>
      <c r="C71" s="2">
        <v>45056</v>
      </c>
      <c r="D71" s="4">
        <f t="shared" si="11"/>
        <v>19</v>
      </c>
      <c r="E71" s="4" t="str">
        <f>TEXT(Data!B71,"MMM-YYYY")</f>
        <v>Mar-2024</v>
      </c>
      <c r="F71" t="s">
        <v>19</v>
      </c>
      <c r="G71" t="s">
        <v>20</v>
      </c>
      <c r="H71" t="s">
        <v>75</v>
      </c>
      <c r="I71" t="s">
        <v>22</v>
      </c>
      <c r="J71" s="4">
        <v>882.33</v>
      </c>
      <c r="K71" s="8" t="str">
        <f t="shared" si="8"/>
        <v>High</v>
      </c>
      <c r="L71" s="4">
        <v>1880.15</v>
      </c>
      <c r="M71" s="4">
        <v>0.05</v>
      </c>
      <c r="N71" s="4">
        <v>5</v>
      </c>
      <c r="O71" s="4">
        <f t="shared" si="6"/>
        <v>11803.702499999998</v>
      </c>
      <c r="P71">
        <f t="shared" si="7"/>
        <v>4411.6500000000005</v>
      </c>
      <c r="Q71" s="4">
        <f t="shared" si="9"/>
        <v>7392.0524999999971</v>
      </c>
      <c r="R71" s="18">
        <f t="shared" si="10"/>
        <v>0.6262486283435218</v>
      </c>
    </row>
    <row r="72" spans="1:18" x14ac:dyDescent="0.3">
      <c r="A72" t="s">
        <v>237</v>
      </c>
      <c r="B72" s="7">
        <v>45369</v>
      </c>
      <c r="C72" s="2">
        <v>45372</v>
      </c>
      <c r="D72" s="4">
        <f t="shared" si="11"/>
        <v>3</v>
      </c>
      <c r="E72" s="4" t="str">
        <f>TEXT(Data!B72,"MMM-YYYY")</f>
        <v>Apr-2025</v>
      </c>
      <c r="F72" t="s">
        <v>62</v>
      </c>
      <c r="G72" t="s">
        <v>28</v>
      </c>
      <c r="H72" t="s">
        <v>110</v>
      </c>
      <c r="I72" t="s">
        <v>81</v>
      </c>
      <c r="J72" s="4">
        <v>910.63</v>
      </c>
      <c r="K72" s="8" t="str">
        <f t="shared" si="8"/>
        <v>High</v>
      </c>
      <c r="L72" s="4">
        <v>1269.4000000000001</v>
      </c>
      <c r="M72" s="4">
        <v>6.8000000000000005E-2</v>
      </c>
      <c r="N72" s="4">
        <v>9</v>
      </c>
      <c r="O72" s="4">
        <f t="shared" si="6"/>
        <v>240.65172000000001</v>
      </c>
      <c r="P72">
        <f t="shared" si="7"/>
        <v>8195.67</v>
      </c>
      <c r="Q72" s="4">
        <f t="shared" si="9"/>
        <v>-7955.0182800000002</v>
      </c>
      <c r="R72" s="18">
        <f t="shared" si="10"/>
        <v>-33.05614553679483</v>
      </c>
    </row>
    <row r="73" spans="1:18" x14ac:dyDescent="0.3">
      <c r="A73" t="s">
        <v>239</v>
      </c>
      <c r="B73" s="7">
        <v>45756</v>
      </c>
      <c r="C73" s="2">
        <v>45783</v>
      </c>
      <c r="D73" s="4">
        <f t="shared" si="11"/>
        <v>27</v>
      </c>
      <c r="E73" s="4" t="str">
        <f>TEXT(Data!B73,"MMM-YYYY")</f>
        <v>Apr-2024</v>
      </c>
      <c r="F73" t="s">
        <v>105</v>
      </c>
      <c r="G73" t="s">
        <v>40</v>
      </c>
      <c r="H73" t="s">
        <v>84</v>
      </c>
      <c r="I73" t="s">
        <v>57</v>
      </c>
      <c r="J73" s="4">
        <v>264.19</v>
      </c>
      <c r="K73" s="8" t="str">
        <f t="shared" si="8"/>
        <v>High</v>
      </c>
      <c r="L73" s="4">
        <v>620.92999999999995</v>
      </c>
      <c r="M73" s="4">
        <v>0.14199999999999999</v>
      </c>
      <c r="N73" s="4">
        <v>12</v>
      </c>
      <c r="O73" s="4">
        <f t="shared" si="6"/>
        <v>19527.59952</v>
      </c>
      <c r="P73">
        <f t="shared" si="7"/>
        <v>3170.2799999999997</v>
      </c>
      <c r="Q73" s="4">
        <f t="shared" si="9"/>
        <v>16357.319520000001</v>
      </c>
      <c r="R73" s="18">
        <f t="shared" si="10"/>
        <v>0.83765132028885447</v>
      </c>
    </row>
    <row r="74" spans="1:18" x14ac:dyDescent="0.3">
      <c r="A74" t="s">
        <v>241</v>
      </c>
      <c r="B74" s="7">
        <v>45394</v>
      </c>
      <c r="C74" s="2">
        <v>45419</v>
      </c>
      <c r="D74" s="4">
        <f t="shared" si="11"/>
        <v>25</v>
      </c>
      <c r="E74" s="4" t="str">
        <f>TEXT(Data!B74,"MMM-YYYY")</f>
        <v>Dec-2024</v>
      </c>
      <c r="F74" t="s">
        <v>27</v>
      </c>
      <c r="G74" t="s">
        <v>55</v>
      </c>
      <c r="H74" t="s">
        <v>75</v>
      </c>
      <c r="I74" t="s">
        <v>57</v>
      </c>
      <c r="J74" s="4">
        <v>1376.51</v>
      </c>
      <c r="K74" s="8" t="str">
        <f t="shared" si="8"/>
        <v>High</v>
      </c>
      <c r="L74" s="4">
        <v>1455.91</v>
      </c>
      <c r="M74" s="4">
        <v>0.185</v>
      </c>
      <c r="N74" s="4">
        <v>17</v>
      </c>
      <c r="O74" s="4">
        <f t="shared" si="6"/>
        <v>5807.6003499999997</v>
      </c>
      <c r="P74">
        <f t="shared" si="7"/>
        <v>23400.67</v>
      </c>
      <c r="Q74" s="4">
        <f t="shared" si="9"/>
        <v>-17593.069649999998</v>
      </c>
      <c r="R74" s="18">
        <f t="shared" si="10"/>
        <v>-3.0293182364037841</v>
      </c>
    </row>
    <row r="75" spans="1:18" x14ac:dyDescent="0.3">
      <c r="A75" t="s">
        <v>243</v>
      </c>
      <c r="B75" s="7">
        <v>45641</v>
      </c>
      <c r="C75" s="2">
        <v>45646</v>
      </c>
      <c r="D75" s="4">
        <f t="shared" si="11"/>
        <v>5</v>
      </c>
      <c r="E75" s="4" t="str">
        <f>TEXT(Data!B75,"MMM-YYYY")</f>
        <v>May-2023</v>
      </c>
      <c r="F75" t="s">
        <v>62</v>
      </c>
      <c r="G75" t="s">
        <v>98</v>
      </c>
      <c r="H75" t="s">
        <v>29</v>
      </c>
      <c r="I75" t="s">
        <v>35</v>
      </c>
      <c r="J75" s="4">
        <v>717.55</v>
      </c>
      <c r="K75" s="8" t="str">
        <f t="shared" si="8"/>
        <v>High</v>
      </c>
      <c r="L75" s="4">
        <v>546.42999999999995</v>
      </c>
      <c r="M75" s="4">
        <v>4.7E-2</v>
      </c>
      <c r="N75" s="4">
        <v>18</v>
      </c>
      <c r="O75" s="4">
        <f t="shared" si="6"/>
        <v>34328.070179999995</v>
      </c>
      <c r="P75">
        <f t="shared" si="7"/>
        <v>12915.9</v>
      </c>
      <c r="Q75" s="4">
        <f t="shared" si="9"/>
        <v>21412.170179999994</v>
      </c>
      <c r="R75" s="18">
        <f t="shared" si="10"/>
        <v>0.62375106050893059</v>
      </c>
    </row>
    <row r="76" spans="1:18" x14ac:dyDescent="0.3">
      <c r="A76" t="s">
        <v>245</v>
      </c>
      <c r="B76" s="7">
        <v>45066</v>
      </c>
      <c r="C76" s="2">
        <v>45064</v>
      </c>
      <c r="D76" s="4">
        <f>DATEDIF(C76,B76, "MD")</f>
        <v>2</v>
      </c>
      <c r="E76" s="4" t="str">
        <f>TEXT(Data!B76,"MMM-YYYY")</f>
        <v>Sept-2023</v>
      </c>
      <c r="F76" t="s">
        <v>19</v>
      </c>
      <c r="G76" t="s">
        <v>55</v>
      </c>
      <c r="H76" t="s">
        <v>75</v>
      </c>
      <c r="I76" t="s">
        <v>22</v>
      </c>
      <c r="J76" s="4">
        <v>917.88</v>
      </c>
      <c r="K76" s="8" t="str">
        <f t="shared" si="8"/>
        <v>High</v>
      </c>
      <c r="L76" s="4">
        <v>1347.92</v>
      </c>
      <c r="M76" s="4">
        <v>0.34300000000000003</v>
      </c>
      <c r="N76" s="4">
        <v>5</v>
      </c>
      <c r="O76" s="4">
        <f t="shared" si="6"/>
        <v>10198.97235</v>
      </c>
      <c r="P76">
        <f t="shared" si="7"/>
        <v>4589.3999999999996</v>
      </c>
      <c r="Q76" s="4">
        <f t="shared" si="9"/>
        <v>5609.5723500000004</v>
      </c>
      <c r="R76" s="18">
        <f t="shared" si="10"/>
        <v>0.55001348738826616</v>
      </c>
    </row>
    <row r="77" spans="1:18" x14ac:dyDescent="0.3">
      <c r="A77" t="s">
        <v>247</v>
      </c>
      <c r="B77" s="7">
        <v>45187</v>
      </c>
      <c r="C77" s="2">
        <v>45207</v>
      </c>
      <c r="D77" s="4">
        <f t="shared" si="11"/>
        <v>20</v>
      </c>
      <c r="E77" s="4" t="str">
        <f>TEXT(Data!B77,"MMM-YYYY")</f>
        <v>Aug-2024</v>
      </c>
      <c r="F77" t="s">
        <v>62</v>
      </c>
      <c r="G77" t="s">
        <v>98</v>
      </c>
      <c r="H77" t="s">
        <v>56</v>
      </c>
      <c r="I77" t="s">
        <v>22</v>
      </c>
      <c r="J77" s="4">
        <v>825.64</v>
      </c>
      <c r="K77" s="8" t="str">
        <f t="shared" si="8"/>
        <v>High</v>
      </c>
      <c r="L77" s="4">
        <v>1108.43</v>
      </c>
      <c r="M77" s="4">
        <v>0.114</v>
      </c>
      <c r="N77" s="4">
        <v>7</v>
      </c>
      <c r="O77" s="4">
        <f t="shared" si="6"/>
        <v>2073.2045600000001</v>
      </c>
      <c r="P77">
        <f t="shared" si="7"/>
        <v>5779.48</v>
      </c>
      <c r="Q77" s="4">
        <f t="shared" si="9"/>
        <v>-3706.2754399999994</v>
      </c>
      <c r="R77" s="18">
        <f t="shared" si="10"/>
        <v>-1.7877036890175464</v>
      </c>
    </row>
    <row r="78" spans="1:18" x14ac:dyDescent="0.3">
      <c r="A78" t="s">
        <v>249</v>
      </c>
      <c r="B78" s="7">
        <v>45532</v>
      </c>
      <c r="C78" s="2">
        <v>45560</v>
      </c>
      <c r="D78" s="4">
        <f t="shared" si="11"/>
        <v>28</v>
      </c>
      <c r="E78" s="4" t="str">
        <f>TEXT(Data!B78,"MMM-YYYY")</f>
        <v>Jun-2024</v>
      </c>
      <c r="F78" t="s">
        <v>39</v>
      </c>
      <c r="G78" t="s">
        <v>28</v>
      </c>
      <c r="H78" t="s">
        <v>1364</v>
      </c>
      <c r="I78" t="s">
        <v>81</v>
      </c>
      <c r="J78" s="4">
        <v>1394.65</v>
      </c>
      <c r="K78" s="8" t="str">
        <f t="shared" si="8"/>
        <v>High</v>
      </c>
      <c r="L78" s="4">
        <v>3144.1</v>
      </c>
      <c r="M78" s="4">
        <v>0.13400000000000001</v>
      </c>
      <c r="N78" s="4">
        <v>13</v>
      </c>
      <c r="O78" s="4">
        <f t="shared" si="6"/>
        <v>21984.960139999999</v>
      </c>
      <c r="P78">
        <f t="shared" si="7"/>
        <v>18130.45</v>
      </c>
      <c r="Q78" s="4">
        <f t="shared" si="9"/>
        <v>3854.5101399999985</v>
      </c>
      <c r="R78" s="18">
        <f t="shared" si="10"/>
        <v>0.17532486370020767</v>
      </c>
    </row>
    <row r="79" spans="1:18" x14ac:dyDescent="0.3">
      <c r="A79" t="s">
        <v>251</v>
      </c>
      <c r="B79" s="7">
        <v>45473</v>
      </c>
      <c r="C79" s="2">
        <v>45471</v>
      </c>
      <c r="D79" s="4">
        <f>DATEDIF(C79,B79, "MD")</f>
        <v>2</v>
      </c>
      <c r="E79" s="4" t="str">
        <f>TEXT(Data!B79,"MMM-YYYY")</f>
        <v>Jun-2023</v>
      </c>
      <c r="F79" t="s">
        <v>62</v>
      </c>
      <c r="G79" t="s">
        <v>98</v>
      </c>
      <c r="H79" t="s">
        <v>49</v>
      </c>
      <c r="I79" t="s">
        <v>81</v>
      </c>
      <c r="J79" s="4">
        <v>1112.98</v>
      </c>
      <c r="K79" s="8" t="str">
        <f t="shared" si="8"/>
        <v>High</v>
      </c>
      <c r="L79" s="4">
        <v>2095.73</v>
      </c>
      <c r="M79" s="4">
        <v>7.1999999999999995E-2</v>
      </c>
      <c r="N79" s="4">
        <v>17</v>
      </c>
      <c r="O79" s="4">
        <f t="shared" si="6"/>
        <v>3822.3670400000005</v>
      </c>
      <c r="P79">
        <f t="shared" si="7"/>
        <v>18920.66</v>
      </c>
      <c r="Q79" s="4">
        <f t="shared" si="9"/>
        <v>-15098.292959999999</v>
      </c>
      <c r="R79" s="18">
        <f t="shared" si="10"/>
        <v>-3.9499851275402365</v>
      </c>
    </row>
    <row r="80" spans="1:18" x14ac:dyDescent="0.3">
      <c r="A80" t="s">
        <v>253</v>
      </c>
      <c r="B80" s="7">
        <v>45091</v>
      </c>
      <c r="C80" s="2">
        <v>45093</v>
      </c>
      <c r="D80" s="4">
        <f t="shared" si="11"/>
        <v>2</v>
      </c>
      <c r="E80" s="4" t="str">
        <f>TEXT(Data!B80,"MMM-YYYY")</f>
        <v>Nov-2024</v>
      </c>
      <c r="F80" t="s">
        <v>39</v>
      </c>
      <c r="G80" t="s">
        <v>98</v>
      </c>
      <c r="H80" t="s">
        <v>95</v>
      </c>
      <c r="I80" t="s">
        <v>22</v>
      </c>
      <c r="J80" s="4">
        <v>357.36</v>
      </c>
      <c r="K80" s="8" t="str">
        <f t="shared" si="8"/>
        <v>High</v>
      </c>
      <c r="L80" s="4">
        <v>703.62</v>
      </c>
      <c r="M80" s="4">
        <v>0.25700000000000001</v>
      </c>
      <c r="N80" s="4">
        <v>20</v>
      </c>
      <c r="O80" s="4">
        <f t="shared" si="6"/>
        <v>44117.408199999998</v>
      </c>
      <c r="P80">
        <f t="shared" si="7"/>
        <v>7147.2000000000007</v>
      </c>
      <c r="Q80" s="4">
        <f t="shared" si="9"/>
        <v>36970.208199999994</v>
      </c>
      <c r="R80" s="18">
        <f t="shared" si="10"/>
        <v>0.83799592288832592</v>
      </c>
    </row>
    <row r="81" spans="1:18" x14ac:dyDescent="0.3">
      <c r="A81" t="s">
        <v>255</v>
      </c>
      <c r="B81" s="7">
        <v>45617</v>
      </c>
      <c r="C81" s="2">
        <v>45647</v>
      </c>
      <c r="D81" s="4">
        <f t="shared" si="11"/>
        <v>0</v>
      </c>
      <c r="E81" s="4" t="str">
        <f>TEXT(Data!B81,"MMM-YYYY")</f>
        <v>Feb-2023</v>
      </c>
      <c r="F81" t="s">
        <v>62</v>
      </c>
      <c r="G81" t="s">
        <v>98</v>
      </c>
      <c r="H81" t="s">
        <v>34</v>
      </c>
      <c r="I81" t="s">
        <v>64</v>
      </c>
      <c r="J81" s="4">
        <v>1122.68</v>
      </c>
      <c r="K81" s="8" t="str">
        <f t="shared" si="8"/>
        <v>High</v>
      </c>
      <c r="L81" s="4">
        <v>1997.19</v>
      </c>
      <c r="M81" s="4">
        <v>0.186</v>
      </c>
      <c r="N81" s="4">
        <v>3</v>
      </c>
      <c r="O81" s="4">
        <f t="shared" si="6"/>
        <v>3404.8806</v>
      </c>
      <c r="P81">
        <f t="shared" si="7"/>
        <v>3368.04</v>
      </c>
      <c r="Q81" s="4">
        <f t="shared" si="9"/>
        <v>36.840599999999995</v>
      </c>
      <c r="R81" s="18">
        <f t="shared" si="10"/>
        <v>1.081993888420052E-2</v>
      </c>
    </row>
    <row r="82" spans="1:18" x14ac:dyDescent="0.3">
      <c r="A82" t="s">
        <v>257</v>
      </c>
      <c r="B82" s="7">
        <v>44965</v>
      </c>
      <c r="C82" s="2">
        <v>44968</v>
      </c>
      <c r="D82" s="4">
        <f t="shared" si="11"/>
        <v>3</v>
      </c>
      <c r="E82" s="4" t="str">
        <f>TEXT(Data!B82,"MMM-YYYY")</f>
        <v>Aug-2023</v>
      </c>
      <c r="F82" t="s">
        <v>19</v>
      </c>
      <c r="G82" t="s">
        <v>98</v>
      </c>
      <c r="H82" t="s">
        <v>110</v>
      </c>
      <c r="I82" t="s">
        <v>35</v>
      </c>
      <c r="J82" s="4">
        <v>1410.05</v>
      </c>
      <c r="K82" s="8" t="str">
        <f t="shared" si="8"/>
        <v>High</v>
      </c>
      <c r="L82" s="4">
        <v>2763.95</v>
      </c>
      <c r="M82" s="4">
        <v>0.161</v>
      </c>
      <c r="N82" s="4">
        <v>26</v>
      </c>
      <c r="O82" s="4">
        <f t="shared" si="6"/>
        <v>336.15374000000003</v>
      </c>
      <c r="P82">
        <f t="shared" si="7"/>
        <v>36661.299999999996</v>
      </c>
      <c r="Q82" s="4">
        <f t="shared" si="9"/>
        <v>-36325.146259999994</v>
      </c>
      <c r="R82" s="18">
        <f t="shared" si="10"/>
        <v>-108.06110995522462</v>
      </c>
    </row>
    <row r="83" spans="1:18" x14ac:dyDescent="0.3">
      <c r="A83" t="s">
        <v>260</v>
      </c>
      <c r="B83" s="7">
        <v>45157</v>
      </c>
      <c r="C83" s="2">
        <v>45181</v>
      </c>
      <c r="D83" s="4">
        <f t="shared" si="11"/>
        <v>24</v>
      </c>
      <c r="E83" s="4" t="str">
        <f>TEXT(Data!B83,"MMM-YYYY")</f>
        <v>May-2025</v>
      </c>
      <c r="F83" t="s">
        <v>105</v>
      </c>
      <c r="G83" t="s">
        <v>20</v>
      </c>
      <c r="H83" t="s">
        <v>34</v>
      </c>
      <c r="I83" t="s">
        <v>30</v>
      </c>
      <c r="J83" s="4">
        <v>1183.95</v>
      </c>
      <c r="K83" s="8" t="str">
        <f t="shared" si="8"/>
        <v>High</v>
      </c>
      <c r="L83" s="4">
        <v>1503.53</v>
      </c>
      <c r="M83" s="4">
        <v>0.24099999999999999</v>
      </c>
      <c r="N83" s="4">
        <v>16</v>
      </c>
      <c r="O83" s="4">
        <f t="shared" si="6"/>
        <v>27333.836640000001</v>
      </c>
      <c r="P83">
        <f t="shared" si="7"/>
        <v>18943.2</v>
      </c>
      <c r="Q83" s="4">
        <f t="shared" si="9"/>
        <v>8390.6366400000006</v>
      </c>
      <c r="R83" s="18">
        <f t="shared" si="10"/>
        <v>0.30696885879976488</v>
      </c>
    </row>
    <row r="84" spans="1:18" x14ac:dyDescent="0.3">
      <c r="A84" t="s">
        <v>262</v>
      </c>
      <c r="B84" s="7">
        <v>45791</v>
      </c>
      <c r="C84" s="2">
        <v>45801</v>
      </c>
      <c r="D84" s="4">
        <f t="shared" si="11"/>
        <v>10</v>
      </c>
      <c r="E84" s="4" t="str">
        <f>TEXT(Data!B84,"MMM-YYYY")</f>
        <v>Apr-2025</v>
      </c>
      <c r="F84" t="s">
        <v>62</v>
      </c>
      <c r="G84" t="s">
        <v>40</v>
      </c>
      <c r="H84" t="s">
        <v>95</v>
      </c>
      <c r="I84" t="s">
        <v>22</v>
      </c>
      <c r="J84" s="4">
        <v>170.39</v>
      </c>
      <c r="K84" s="8" t="str">
        <f t="shared" si="8"/>
        <v>High</v>
      </c>
      <c r="L84" s="4">
        <v>388.04</v>
      </c>
      <c r="M84" s="4">
        <v>8.4000000000000005E-2</v>
      </c>
      <c r="N84" s="4">
        <v>15</v>
      </c>
      <c r="O84" s="4">
        <f t="shared" si="6"/>
        <v>2281.3896</v>
      </c>
      <c r="P84">
        <f t="shared" si="7"/>
        <v>2555.85</v>
      </c>
      <c r="Q84" s="4">
        <f t="shared" si="9"/>
        <v>-274.46039999999994</v>
      </c>
      <c r="R84" s="18">
        <f t="shared" si="10"/>
        <v>-0.12030404627074653</v>
      </c>
    </row>
    <row r="85" spans="1:18" x14ac:dyDescent="0.3">
      <c r="A85" t="s">
        <v>264</v>
      </c>
      <c r="B85" s="7">
        <v>45770</v>
      </c>
      <c r="C85" s="2">
        <v>45769</v>
      </c>
      <c r="D85" s="4">
        <f>DATEDIF(C85,B85, "MD")</f>
        <v>1</v>
      </c>
      <c r="E85" s="4" t="str">
        <f>TEXT(Data!B85,"MMM-YYYY")</f>
        <v>Mar-2025</v>
      </c>
      <c r="F85" t="s">
        <v>39</v>
      </c>
      <c r="G85" t="s">
        <v>55</v>
      </c>
      <c r="H85" t="s">
        <v>145</v>
      </c>
      <c r="I85" t="s">
        <v>64</v>
      </c>
      <c r="J85" s="4">
        <v>23.24</v>
      </c>
      <c r="K85" s="8" t="str">
        <f t="shared" si="8"/>
        <v>Low</v>
      </c>
      <c r="L85" s="4">
        <v>44.57</v>
      </c>
      <c r="M85" s="4">
        <v>0.215</v>
      </c>
      <c r="N85" s="4">
        <v>15</v>
      </c>
      <c r="O85" s="4">
        <f t="shared" si="6"/>
        <v>4198.3762500000003</v>
      </c>
      <c r="P85">
        <f t="shared" si="7"/>
        <v>348.59999999999997</v>
      </c>
      <c r="Q85" s="4">
        <f t="shared" si="9"/>
        <v>3849.7762500000003</v>
      </c>
      <c r="R85" s="18">
        <f t="shared" si="10"/>
        <v>0.91696789919674304</v>
      </c>
    </row>
    <row r="86" spans="1:18" x14ac:dyDescent="0.3">
      <c r="A86" t="s">
        <v>266</v>
      </c>
      <c r="B86" s="7">
        <v>45741</v>
      </c>
      <c r="C86" s="2">
        <v>45764</v>
      </c>
      <c r="D86" s="4">
        <f t="shared" si="11"/>
        <v>23</v>
      </c>
      <c r="E86" s="4" t="str">
        <f>TEXT(Data!B86,"MMM-YYYY")</f>
        <v>Dec-2023</v>
      </c>
      <c r="F86" t="s">
        <v>48</v>
      </c>
      <c r="G86" t="s">
        <v>20</v>
      </c>
      <c r="H86" t="s">
        <v>92</v>
      </c>
      <c r="I86" t="s">
        <v>35</v>
      </c>
      <c r="J86" s="4">
        <v>1421.19</v>
      </c>
      <c r="K86" s="8" t="str">
        <f t="shared" si="8"/>
        <v>High</v>
      </c>
      <c r="L86" s="4">
        <v>1808.26</v>
      </c>
      <c r="M86" s="4">
        <v>0.104</v>
      </c>
      <c r="N86" s="4">
        <v>13</v>
      </c>
      <c r="O86" s="4">
        <f t="shared" si="6"/>
        <v>11939.7824</v>
      </c>
      <c r="P86">
        <f t="shared" si="7"/>
        <v>18475.47</v>
      </c>
      <c r="Q86" s="4">
        <f t="shared" si="9"/>
        <v>-6535.6876000000011</v>
      </c>
      <c r="R86" s="18">
        <f t="shared" si="10"/>
        <v>-0.54738749677716081</v>
      </c>
    </row>
    <row r="87" spans="1:18" x14ac:dyDescent="0.3">
      <c r="A87" t="s">
        <v>268</v>
      </c>
      <c r="B87" s="7">
        <v>45282</v>
      </c>
      <c r="C87" s="2">
        <v>45283</v>
      </c>
      <c r="D87" s="4">
        <f t="shared" si="11"/>
        <v>1</v>
      </c>
      <c r="E87" s="4" t="str">
        <f>TEXT(Data!B87,"MMM-YYYY")</f>
        <v>Apr-2024</v>
      </c>
      <c r="F87" t="s">
        <v>39</v>
      </c>
      <c r="G87" t="s">
        <v>40</v>
      </c>
      <c r="H87" t="s">
        <v>145</v>
      </c>
      <c r="I87" t="s">
        <v>22</v>
      </c>
      <c r="J87" s="4">
        <v>1186.18</v>
      </c>
      <c r="K87" s="8" t="str">
        <f t="shared" si="8"/>
        <v>High</v>
      </c>
      <c r="L87" s="4">
        <v>1285.0899999999999</v>
      </c>
      <c r="M87" s="4">
        <v>7.0000000000000007E-2</v>
      </c>
      <c r="N87" s="4">
        <v>11</v>
      </c>
      <c r="O87" s="4">
        <f t="shared" si="6"/>
        <v>18364.589100000001</v>
      </c>
      <c r="P87">
        <f t="shared" si="7"/>
        <v>13047.980000000001</v>
      </c>
      <c r="Q87" s="4">
        <f t="shared" si="9"/>
        <v>5316.6090999999997</v>
      </c>
      <c r="R87" s="18">
        <f t="shared" si="10"/>
        <v>0.28950329740838032</v>
      </c>
    </row>
    <row r="88" spans="1:18" x14ac:dyDescent="0.3">
      <c r="A88" t="s">
        <v>270</v>
      </c>
      <c r="B88" s="7">
        <v>45388</v>
      </c>
      <c r="C88" s="2">
        <v>45407</v>
      </c>
      <c r="D88" s="4">
        <f t="shared" si="11"/>
        <v>19</v>
      </c>
      <c r="E88" s="4" t="str">
        <f>TEXT(Data!B88,"MMM-YYYY")</f>
        <v>Aug-2025</v>
      </c>
      <c r="F88" t="s">
        <v>19</v>
      </c>
      <c r="G88" t="s">
        <v>20</v>
      </c>
      <c r="H88" t="s">
        <v>95</v>
      </c>
      <c r="I88" t="s">
        <v>22</v>
      </c>
      <c r="J88" s="4">
        <v>1366.48</v>
      </c>
      <c r="K88" s="8" t="str">
        <f t="shared" si="8"/>
        <v>High</v>
      </c>
      <c r="L88" s="4">
        <v>1678.14</v>
      </c>
      <c r="M88" s="4">
        <v>0.154</v>
      </c>
      <c r="N88" s="4">
        <v>10</v>
      </c>
      <c r="O88" s="4">
        <f t="shared" si="6"/>
        <v>36.970199999999998</v>
      </c>
      <c r="P88">
        <f t="shared" si="7"/>
        <v>13664.8</v>
      </c>
      <c r="Q88" s="4">
        <f t="shared" si="9"/>
        <v>-13627.8298</v>
      </c>
      <c r="R88" s="18">
        <f t="shared" si="10"/>
        <v>-368.61661013464897</v>
      </c>
    </row>
    <row r="89" spans="1:18" x14ac:dyDescent="0.3">
      <c r="A89" t="s">
        <v>272</v>
      </c>
      <c r="B89" s="7">
        <v>45876</v>
      </c>
      <c r="C89" s="2">
        <v>45888</v>
      </c>
      <c r="D89" s="4">
        <f t="shared" si="11"/>
        <v>12</v>
      </c>
      <c r="E89" s="4" t="str">
        <f>TEXT(Data!B89,"MMM-YYYY")</f>
        <v>Jan-2024</v>
      </c>
      <c r="F89" t="s">
        <v>19</v>
      </c>
      <c r="G89" t="s">
        <v>1364</v>
      </c>
      <c r="H89" t="s">
        <v>110</v>
      </c>
      <c r="I89" t="s">
        <v>22</v>
      </c>
      <c r="J89" s="4">
        <v>601.51</v>
      </c>
      <c r="K89" s="8" t="str">
        <f t="shared" si="8"/>
        <v>High</v>
      </c>
      <c r="L89" s="4">
        <v>679.35</v>
      </c>
      <c r="M89" s="4">
        <v>0.188</v>
      </c>
      <c r="N89" s="4">
        <v>3</v>
      </c>
      <c r="O89" s="4">
        <f t="shared" si="6"/>
        <v>532.26600000000008</v>
      </c>
      <c r="P89">
        <f t="shared" si="7"/>
        <v>1804.53</v>
      </c>
      <c r="Q89" s="4">
        <f t="shared" si="9"/>
        <v>-1272.2639999999999</v>
      </c>
      <c r="R89" s="18">
        <f t="shared" si="10"/>
        <v>-2.3902785449380568</v>
      </c>
    </row>
    <row r="90" spans="1:18" x14ac:dyDescent="0.3">
      <c r="A90" t="s">
        <v>274</v>
      </c>
      <c r="B90" s="7">
        <v>45312</v>
      </c>
      <c r="C90" s="2">
        <v>45316</v>
      </c>
      <c r="D90" s="4">
        <f t="shared" si="11"/>
        <v>4</v>
      </c>
      <c r="E90" s="4" t="str">
        <f>TEXT(Data!B90,"MMM-YYYY")</f>
        <v>Jun-2023</v>
      </c>
      <c r="F90" t="s">
        <v>48</v>
      </c>
      <c r="G90" t="s">
        <v>98</v>
      </c>
      <c r="H90" t="s">
        <v>21</v>
      </c>
      <c r="I90" t="s">
        <v>64</v>
      </c>
      <c r="J90" s="4">
        <v>523.70000000000005</v>
      </c>
      <c r="K90" s="8" t="str">
        <f t="shared" si="8"/>
        <v>High</v>
      </c>
      <c r="L90" s="4">
        <v>1109.92</v>
      </c>
      <c r="M90" s="4">
        <v>0.03</v>
      </c>
      <c r="N90" s="4">
        <v>11</v>
      </c>
      <c r="O90" s="4">
        <f t="shared" si="6"/>
        <v>2666.1129000000001</v>
      </c>
      <c r="P90">
        <f t="shared" si="7"/>
        <v>5760.7000000000007</v>
      </c>
      <c r="Q90" s="4">
        <f t="shared" si="9"/>
        <v>-3094.5871000000006</v>
      </c>
      <c r="R90" s="18">
        <f t="shared" si="10"/>
        <v>-1.160711198689298</v>
      </c>
    </row>
    <row r="91" spans="1:18" x14ac:dyDescent="0.3">
      <c r="A91" t="s">
        <v>276</v>
      </c>
      <c r="B91" s="7">
        <v>45106</v>
      </c>
      <c r="C91" s="2">
        <v>45109</v>
      </c>
      <c r="D91" s="4">
        <f t="shared" si="11"/>
        <v>3</v>
      </c>
      <c r="E91" s="4" t="str">
        <f>TEXT(Data!B91,"MMM-YYYY")</f>
        <v>Apr-2025</v>
      </c>
      <c r="F91" t="s">
        <v>27</v>
      </c>
      <c r="G91" t="s">
        <v>40</v>
      </c>
      <c r="H91" t="s">
        <v>84</v>
      </c>
      <c r="I91" t="s">
        <v>64</v>
      </c>
      <c r="J91" s="4">
        <v>55.65</v>
      </c>
      <c r="K91" s="8" t="str">
        <f t="shared" si="8"/>
        <v>Medium</v>
      </c>
      <c r="L91" s="4">
        <v>83.57</v>
      </c>
      <c r="M91" s="4">
        <v>6.6000000000000003E-2</v>
      </c>
      <c r="N91" s="4">
        <v>8</v>
      </c>
      <c r="O91" s="4">
        <f t="shared" si="6"/>
        <v>25677.677439999999</v>
      </c>
      <c r="P91">
        <f t="shared" si="7"/>
        <v>445.2</v>
      </c>
      <c r="Q91" s="4">
        <f t="shared" si="9"/>
        <v>25232.477439999999</v>
      </c>
      <c r="R91" s="18">
        <f t="shared" si="10"/>
        <v>0.98266198331059018</v>
      </c>
    </row>
    <row r="92" spans="1:18" x14ac:dyDescent="0.3">
      <c r="A92" t="s">
        <v>278</v>
      </c>
      <c r="B92" s="7">
        <v>45775</v>
      </c>
      <c r="C92" s="2">
        <v>45792</v>
      </c>
      <c r="D92" s="4">
        <f t="shared" si="11"/>
        <v>17</v>
      </c>
      <c r="E92" s="4" t="str">
        <f>TEXT(Data!B92,"MMM-YYYY")</f>
        <v>Jun-2025</v>
      </c>
      <c r="F92" t="s">
        <v>27</v>
      </c>
      <c r="G92" t="s">
        <v>98</v>
      </c>
      <c r="H92" t="s">
        <v>126</v>
      </c>
      <c r="I92" t="s">
        <v>35</v>
      </c>
      <c r="J92" s="4">
        <v>691.19</v>
      </c>
      <c r="K92" s="8" t="str">
        <f t="shared" si="8"/>
        <v>High</v>
      </c>
      <c r="L92" s="4">
        <v>1284.3</v>
      </c>
      <c r="M92" s="4">
        <v>7.3999999999999996E-2</v>
      </c>
      <c r="N92" s="4">
        <v>7</v>
      </c>
      <c r="O92" s="4">
        <f t="shared" si="6"/>
        <v>346.46290000000005</v>
      </c>
      <c r="P92">
        <f t="shared" si="7"/>
        <v>4838.33</v>
      </c>
      <c r="Q92" s="4">
        <f t="shared" si="9"/>
        <v>-4491.8670999999995</v>
      </c>
      <c r="R92" s="18">
        <f t="shared" si="10"/>
        <v>-12.964929578318483</v>
      </c>
    </row>
    <row r="93" spans="1:18" x14ac:dyDescent="0.3">
      <c r="A93" t="s">
        <v>280</v>
      </c>
      <c r="B93" s="7">
        <v>45817</v>
      </c>
      <c r="C93" s="2">
        <v>45833</v>
      </c>
      <c r="D93" s="4">
        <f t="shared" si="11"/>
        <v>16</v>
      </c>
      <c r="E93" s="4" t="str">
        <f>TEXT(Data!B93,"MMM-YYYY")</f>
        <v>Jun-2023</v>
      </c>
      <c r="F93" t="s">
        <v>105</v>
      </c>
      <c r="G93" t="s">
        <v>55</v>
      </c>
      <c r="H93" t="s">
        <v>110</v>
      </c>
      <c r="I93" t="s">
        <v>42</v>
      </c>
      <c r="J93" s="4">
        <v>527.33000000000004</v>
      </c>
      <c r="K93" s="8" t="str">
        <f t="shared" si="8"/>
        <v>High</v>
      </c>
      <c r="L93" s="4">
        <v>911.72</v>
      </c>
      <c r="M93" s="4">
        <v>0.14399999999999999</v>
      </c>
      <c r="N93" s="4">
        <v>25</v>
      </c>
      <c r="O93" s="4">
        <f t="shared" si="6"/>
        <v>74251.58</v>
      </c>
      <c r="P93">
        <f t="shared" si="7"/>
        <v>13183.250000000002</v>
      </c>
      <c r="Q93" s="4">
        <f t="shared" si="9"/>
        <v>61068.33</v>
      </c>
      <c r="R93" s="18">
        <f t="shared" si="10"/>
        <v>0.82245158958233622</v>
      </c>
    </row>
    <row r="94" spans="1:18" x14ac:dyDescent="0.3">
      <c r="A94" t="s">
        <v>283</v>
      </c>
      <c r="B94" s="7">
        <v>45101</v>
      </c>
      <c r="C94" s="2">
        <v>45100</v>
      </c>
      <c r="D94" s="4">
        <f>DATEDIF(C94,B94, "MD")</f>
        <v>1</v>
      </c>
      <c r="E94" s="4" t="str">
        <f>TEXT(Data!B94,"MMM-YYYY")</f>
        <v>Oct-2024</v>
      </c>
      <c r="F94" t="s">
        <v>39</v>
      </c>
      <c r="G94" t="s">
        <v>20</v>
      </c>
      <c r="H94" t="s">
        <v>63</v>
      </c>
      <c r="I94" t="s">
        <v>30</v>
      </c>
      <c r="J94" s="4">
        <v>804.01</v>
      </c>
      <c r="K94" s="8" t="str">
        <f t="shared" si="8"/>
        <v>High</v>
      </c>
      <c r="L94" s="4">
        <v>1405.07</v>
      </c>
      <c r="M94" s="4">
        <v>9.6000000000000002E-2</v>
      </c>
      <c r="N94" s="4">
        <v>8</v>
      </c>
      <c r="O94" s="4">
        <f t="shared" si="6"/>
        <v>4491.2166399999996</v>
      </c>
      <c r="P94">
        <f t="shared" si="7"/>
        <v>6432.08</v>
      </c>
      <c r="Q94" s="4">
        <f t="shared" si="9"/>
        <v>-1940.8633600000003</v>
      </c>
      <c r="R94" s="18">
        <f t="shared" si="10"/>
        <v>-0.43214645731273393</v>
      </c>
    </row>
    <row r="95" spans="1:18" x14ac:dyDescent="0.3">
      <c r="A95" t="s">
        <v>285</v>
      </c>
      <c r="B95" s="7">
        <v>45569</v>
      </c>
      <c r="C95" s="2">
        <v>45598</v>
      </c>
      <c r="D95" s="4">
        <f t="shared" si="11"/>
        <v>29</v>
      </c>
      <c r="E95" s="4" t="str">
        <f>TEXT(Data!B95,"MMM-YYYY")</f>
        <v>Sept-2025</v>
      </c>
      <c r="F95" t="s">
        <v>19</v>
      </c>
      <c r="G95" t="s">
        <v>55</v>
      </c>
      <c r="H95" t="s">
        <v>84</v>
      </c>
      <c r="I95" t="s">
        <v>81</v>
      </c>
      <c r="J95" s="4">
        <v>412.09</v>
      </c>
      <c r="K95" s="8" t="str">
        <f t="shared" si="8"/>
        <v>High</v>
      </c>
      <c r="L95" s="4">
        <v>968.94</v>
      </c>
      <c r="M95" s="4">
        <v>9.9000000000000005E-2</v>
      </c>
      <c r="N95" s="4">
        <v>23</v>
      </c>
      <c r="O95" s="4">
        <f t="shared" si="6"/>
        <v>1834.19273</v>
      </c>
      <c r="P95">
        <f t="shared" si="7"/>
        <v>9478.07</v>
      </c>
      <c r="Q95" s="4">
        <f t="shared" si="9"/>
        <v>-7643.87727</v>
      </c>
      <c r="R95" s="18">
        <f t="shared" si="10"/>
        <v>-4.1674340678473847</v>
      </c>
    </row>
    <row r="96" spans="1:18" x14ac:dyDescent="0.3">
      <c r="A96" t="s">
        <v>287</v>
      </c>
      <c r="B96" s="7">
        <v>45910</v>
      </c>
      <c r="C96" s="2">
        <v>45930</v>
      </c>
      <c r="D96" s="4">
        <f t="shared" si="11"/>
        <v>20</v>
      </c>
      <c r="E96" s="4" t="str">
        <f>TEXT(Data!B96,"MMM-YYYY")</f>
        <v>Apr-2023</v>
      </c>
      <c r="F96" t="s">
        <v>19</v>
      </c>
      <c r="G96" t="s">
        <v>98</v>
      </c>
      <c r="H96" t="s">
        <v>49</v>
      </c>
      <c r="I96" t="s">
        <v>42</v>
      </c>
      <c r="J96" s="4">
        <v>1009.48</v>
      </c>
      <c r="K96" s="8" t="str">
        <f t="shared" si="8"/>
        <v>High</v>
      </c>
      <c r="L96" s="4">
        <v>1088.81</v>
      </c>
      <c r="M96" s="4">
        <v>0.16</v>
      </c>
      <c r="N96" s="4">
        <v>6</v>
      </c>
      <c r="O96" s="4">
        <f t="shared" si="6"/>
        <v>9873.8135999999995</v>
      </c>
      <c r="P96">
        <f t="shared" si="7"/>
        <v>6056.88</v>
      </c>
      <c r="Q96" s="4">
        <f t="shared" si="9"/>
        <v>3816.9335999999994</v>
      </c>
      <c r="R96" s="18">
        <f t="shared" si="10"/>
        <v>0.38657136488782812</v>
      </c>
    </row>
    <row r="97" spans="1:18" x14ac:dyDescent="0.3">
      <c r="A97" t="s">
        <v>289</v>
      </c>
      <c r="B97" s="7">
        <v>45022</v>
      </c>
      <c r="C97" s="2">
        <v>45043</v>
      </c>
      <c r="D97" s="4">
        <f t="shared" si="11"/>
        <v>21</v>
      </c>
      <c r="E97" s="4" t="str">
        <f>TEXT(Data!B97,"MMM-YYYY")</f>
        <v>Aug-2025</v>
      </c>
      <c r="F97" t="s">
        <v>105</v>
      </c>
      <c r="G97" t="s">
        <v>55</v>
      </c>
      <c r="H97" t="s">
        <v>34</v>
      </c>
      <c r="I97" t="s">
        <v>30</v>
      </c>
      <c r="J97" s="4">
        <v>1084.79</v>
      </c>
      <c r="K97" s="8" t="str">
        <f t="shared" si="8"/>
        <v>High</v>
      </c>
      <c r="L97" s="4">
        <v>2484.9899999999998</v>
      </c>
      <c r="M97" s="4">
        <v>3.4000000000000002E-2</v>
      </c>
      <c r="N97" s="4">
        <v>18</v>
      </c>
      <c r="O97" s="4">
        <f t="shared" si="6"/>
        <v>47694.762360000001</v>
      </c>
      <c r="P97">
        <f t="shared" si="7"/>
        <v>19526.22</v>
      </c>
      <c r="Q97" s="4">
        <f t="shared" si="9"/>
        <v>28168.542359999999</v>
      </c>
      <c r="R97" s="18">
        <f t="shared" si="10"/>
        <v>0.59060032939013052</v>
      </c>
    </row>
    <row r="98" spans="1:18" x14ac:dyDescent="0.3">
      <c r="A98" t="s">
        <v>291</v>
      </c>
      <c r="B98" s="7">
        <v>45870</v>
      </c>
      <c r="C98" s="2">
        <v>45885</v>
      </c>
      <c r="D98" s="4">
        <f t="shared" si="11"/>
        <v>15</v>
      </c>
      <c r="E98" s="4" t="str">
        <f>TEXT(Data!B98,"MMM-YYYY")</f>
        <v>May-2024</v>
      </c>
      <c r="F98" t="s">
        <v>105</v>
      </c>
      <c r="G98" t="s">
        <v>98</v>
      </c>
      <c r="H98" t="s">
        <v>68</v>
      </c>
      <c r="I98" t="s">
        <v>64</v>
      </c>
      <c r="J98" s="4">
        <v>24.44</v>
      </c>
      <c r="K98" s="8" t="str">
        <f t="shared" si="8"/>
        <v>Low</v>
      </c>
      <c r="L98" s="4">
        <v>28.69</v>
      </c>
      <c r="M98" s="4">
        <v>0.14599999999999999</v>
      </c>
      <c r="N98" s="4">
        <v>6</v>
      </c>
      <c r="O98" s="4">
        <f t="shared" si="6"/>
        <v>8605.3480799999998</v>
      </c>
      <c r="P98">
        <f t="shared" si="7"/>
        <v>146.64000000000001</v>
      </c>
      <c r="Q98" s="4">
        <f t="shared" si="9"/>
        <v>8458.7080800000003</v>
      </c>
      <c r="R98" s="18">
        <f t="shared" si="10"/>
        <v>0.98295943422197984</v>
      </c>
    </row>
    <row r="99" spans="1:18" x14ac:dyDescent="0.3">
      <c r="A99" t="s">
        <v>293</v>
      </c>
      <c r="B99" s="7">
        <v>45440</v>
      </c>
      <c r="C99" s="2">
        <v>45438</v>
      </c>
      <c r="D99" s="4">
        <f>DATEDIF(C99,B99, "MD")</f>
        <v>2</v>
      </c>
      <c r="E99" s="4" t="str">
        <f>TEXT(Data!B99,"MMM-YYYY")</f>
        <v>Jul-2025</v>
      </c>
      <c r="F99" t="s">
        <v>105</v>
      </c>
      <c r="G99" t="s">
        <v>28</v>
      </c>
      <c r="H99" t="s">
        <v>84</v>
      </c>
      <c r="I99" t="s">
        <v>81</v>
      </c>
      <c r="J99" s="4">
        <v>1227.08</v>
      </c>
      <c r="K99" s="8" t="str">
        <f t="shared" si="8"/>
        <v>High</v>
      </c>
      <c r="L99" s="4">
        <v>1896.62</v>
      </c>
      <c r="M99" s="4">
        <v>0</v>
      </c>
      <c r="N99" s="4">
        <v>18</v>
      </c>
      <c r="O99" s="4">
        <f t="shared" si="6"/>
        <v>25810.2</v>
      </c>
      <c r="P99">
        <f t="shared" si="7"/>
        <v>22087.439999999999</v>
      </c>
      <c r="Q99" s="4">
        <f t="shared" si="9"/>
        <v>3722.760000000002</v>
      </c>
      <c r="R99" s="18">
        <f t="shared" si="10"/>
        <v>0.14423599972104059</v>
      </c>
    </row>
    <row r="100" spans="1:18" x14ac:dyDescent="0.3">
      <c r="A100" t="s">
        <v>295</v>
      </c>
      <c r="B100" s="7">
        <v>45860</v>
      </c>
      <c r="C100" s="2">
        <v>45887</v>
      </c>
      <c r="D100" s="4">
        <f t="shared" si="11"/>
        <v>27</v>
      </c>
      <c r="E100" s="4" t="str">
        <f>TEXT(Data!B100,"MMM-YYYY")</f>
        <v>Feb-2023</v>
      </c>
      <c r="F100" t="s">
        <v>39</v>
      </c>
      <c r="G100" t="s">
        <v>40</v>
      </c>
      <c r="H100" t="s">
        <v>110</v>
      </c>
      <c r="I100" t="s">
        <v>35</v>
      </c>
      <c r="J100" s="4">
        <v>547.32000000000005</v>
      </c>
      <c r="K100" s="8" t="str">
        <f t="shared" si="8"/>
        <v>High</v>
      </c>
      <c r="L100" s="4">
        <v>419.17</v>
      </c>
      <c r="M100" s="4">
        <v>9.1999999999999998E-2</v>
      </c>
      <c r="N100" s="4">
        <v>14</v>
      </c>
      <c r="O100" s="4">
        <f t="shared" si="6"/>
        <v>3615.67416</v>
      </c>
      <c r="P100">
        <f t="shared" si="7"/>
        <v>7662.4800000000005</v>
      </c>
      <c r="Q100" s="4">
        <f t="shared" si="9"/>
        <v>-4046.8058400000004</v>
      </c>
      <c r="R100" s="18">
        <f t="shared" si="10"/>
        <v>-1.1192396385630061</v>
      </c>
    </row>
    <row r="101" spans="1:18" x14ac:dyDescent="0.3">
      <c r="A101" t="s">
        <v>297</v>
      </c>
      <c r="B101" s="7">
        <v>44985</v>
      </c>
      <c r="C101" s="2">
        <v>45005</v>
      </c>
      <c r="D101" s="4">
        <f t="shared" si="11"/>
        <v>20</v>
      </c>
      <c r="E101" s="4" t="str">
        <f>TEXT(Data!B101,"MMM-YYYY")</f>
        <v>Jan-2025</v>
      </c>
      <c r="F101" t="s">
        <v>62</v>
      </c>
      <c r="G101" t="s">
        <v>98</v>
      </c>
      <c r="H101" t="s">
        <v>92</v>
      </c>
      <c r="I101" t="s">
        <v>57</v>
      </c>
      <c r="J101" s="4">
        <v>1200.78</v>
      </c>
      <c r="K101" s="8" t="str">
        <f t="shared" si="8"/>
        <v>High</v>
      </c>
      <c r="L101" s="4">
        <v>2001.17</v>
      </c>
      <c r="M101" s="4">
        <v>0.29199999999999998</v>
      </c>
      <c r="N101" s="4">
        <v>18</v>
      </c>
      <c r="O101" s="4">
        <f t="shared" si="6"/>
        <v>8854.276319999999</v>
      </c>
      <c r="P101">
        <f t="shared" si="7"/>
        <v>21614.04</v>
      </c>
      <c r="Q101" s="4">
        <f t="shared" si="9"/>
        <v>-12759.763680000002</v>
      </c>
      <c r="R101" s="18">
        <f t="shared" si="10"/>
        <v>-1.4410848745682701</v>
      </c>
    </row>
    <row r="102" spans="1:18" x14ac:dyDescent="0.3">
      <c r="A102" t="s">
        <v>299</v>
      </c>
      <c r="B102" s="7">
        <v>45684</v>
      </c>
      <c r="C102" s="2">
        <v>45703</v>
      </c>
      <c r="D102" s="4">
        <f t="shared" si="11"/>
        <v>19</v>
      </c>
      <c r="E102" s="4" t="str">
        <f>TEXT(Data!B102,"MMM-YYYY")</f>
        <v>Jan-2024</v>
      </c>
      <c r="F102" t="s">
        <v>39</v>
      </c>
      <c r="G102" t="s">
        <v>98</v>
      </c>
      <c r="H102" t="s">
        <v>49</v>
      </c>
      <c r="I102" t="s">
        <v>42</v>
      </c>
      <c r="J102" s="4">
        <v>1253.22</v>
      </c>
      <c r="K102" s="8" t="str">
        <f t="shared" si="8"/>
        <v>High</v>
      </c>
      <c r="L102" s="4">
        <v>3104.71</v>
      </c>
      <c r="M102" s="4">
        <v>0</v>
      </c>
      <c r="N102" s="4">
        <v>17</v>
      </c>
      <c r="O102" s="4">
        <f t="shared" si="6"/>
        <v>31422.63</v>
      </c>
      <c r="P102">
        <f t="shared" si="7"/>
        <v>21304.74</v>
      </c>
      <c r="Q102" s="4">
        <f t="shared" si="9"/>
        <v>10117.89</v>
      </c>
      <c r="R102" s="18">
        <f t="shared" si="10"/>
        <v>0.3219937350883742</v>
      </c>
    </row>
    <row r="103" spans="1:18" x14ac:dyDescent="0.3">
      <c r="A103" t="s">
        <v>301</v>
      </c>
      <c r="B103" s="7">
        <v>45304</v>
      </c>
      <c r="C103" s="2">
        <v>45313</v>
      </c>
      <c r="D103" s="4">
        <f t="shared" si="11"/>
        <v>9</v>
      </c>
      <c r="E103" s="4" t="str">
        <f>TEXT(Data!B103,"MMM-YYYY")</f>
        <v>Mar-2025</v>
      </c>
      <c r="F103" t="s">
        <v>105</v>
      </c>
      <c r="G103" t="s">
        <v>40</v>
      </c>
      <c r="H103" t="s">
        <v>29</v>
      </c>
      <c r="I103" t="s">
        <v>22</v>
      </c>
      <c r="J103" s="4">
        <v>313.60000000000002</v>
      </c>
      <c r="K103" s="8" t="str">
        <f t="shared" si="8"/>
        <v>High</v>
      </c>
      <c r="L103" s="4">
        <v>334.28</v>
      </c>
      <c r="M103" s="4">
        <v>0.14000000000000001</v>
      </c>
      <c r="N103" s="4">
        <v>22</v>
      </c>
      <c r="O103" s="4">
        <f t="shared" si="6"/>
        <v>854.99479999999994</v>
      </c>
      <c r="P103">
        <f t="shared" si="7"/>
        <v>6899.2000000000007</v>
      </c>
      <c r="Q103" s="4">
        <f t="shared" si="9"/>
        <v>-6044.2052000000003</v>
      </c>
      <c r="R103" s="18">
        <f t="shared" si="10"/>
        <v>-7.0692888424584579</v>
      </c>
    </row>
    <row r="104" spans="1:18" x14ac:dyDescent="0.3">
      <c r="A104" t="s">
        <v>303</v>
      </c>
      <c r="B104" s="7">
        <v>45747</v>
      </c>
      <c r="C104" s="2">
        <v>45751</v>
      </c>
      <c r="D104" s="4">
        <f t="shared" si="11"/>
        <v>4</v>
      </c>
      <c r="E104" s="4" t="str">
        <f>TEXT(Data!B104,"MMM-YYYY")</f>
        <v>Dec-2024</v>
      </c>
      <c r="F104" t="s">
        <v>19</v>
      </c>
      <c r="G104" t="s">
        <v>98</v>
      </c>
      <c r="H104" t="s">
        <v>21</v>
      </c>
      <c r="I104" t="s">
        <v>57</v>
      </c>
      <c r="J104" s="4">
        <v>862.08</v>
      </c>
      <c r="K104" s="8" t="str">
        <f t="shared" si="8"/>
        <v>High</v>
      </c>
      <c r="L104" s="4">
        <v>1952.83</v>
      </c>
      <c r="M104" s="4">
        <v>0</v>
      </c>
      <c r="N104" s="4">
        <v>7</v>
      </c>
      <c r="O104" s="4">
        <f t="shared" si="6"/>
        <v>2527.7000000000003</v>
      </c>
      <c r="P104">
        <f t="shared" si="7"/>
        <v>6034.56</v>
      </c>
      <c r="Q104" s="4">
        <f t="shared" si="9"/>
        <v>-3506.86</v>
      </c>
      <c r="R104" s="18">
        <f t="shared" si="10"/>
        <v>-1.3873719191359732</v>
      </c>
    </row>
    <row r="105" spans="1:18" x14ac:dyDescent="0.3">
      <c r="A105" t="s">
        <v>305</v>
      </c>
      <c r="B105" s="7">
        <v>45631</v>
      </c>
      <c r="C105" s="2">
        <v>45654</v>
      </c>
      <c r="D105" s="4">
        <f t="shared" si="11"/>
        <v>23</v>
      </c>
      <c r="E105" s="4" t="str">
        <f>TEXT(Data!B105,"MMM-YYYY")</f>
        <v>Sept-2024</v>
      </c>
      <c r="F105" t="s">
        <v>19</v>
      </c>
      <c r="G105" t="s">
        <v>98</v>
      </c>
      <c r="H105" t="s">
        <v>84</v>
      </c>
      <c r="I105" t="s">
        <v>81</v>
      </c>
      <c r="J105" s="4">
        <v>107.03</v>
      </c>
      <c r="K105" s="8" t="str">
        <f t="shared" si="8"/>
        <v>High</v>
      </c>
      <c r="L105" s="4">
        <v>242.29</v>
      </c>
      <c r="M105" s="4">
        <v>0.18</v>
      </c>
      <c r="N105" s="4">
        <v>30</v>
      </c>
      <c r="O105" s="4">
        <f t="shared" si="6"/>
        <v>24706.764000000003</v>
      </c>
      <c r="P105">
        <f t="shared" si="7"/>
        <v>3210.9</v>
      </c>
      <c r="Q105" s="4">
        <f t="shared" si="9"/>
        <v>21495.864000000001</v>
      </c>
      <c r="R105" s="18">
        <f t="shared" si="10"/>
        <v>0.87003963772835646</v>
      </c>
    </row>
    <row r="106" spans="1:18" x14ac:dyDescent="0.3">
      <c r="A106" t="s">
        <v>307</v>
      </c>
      <c r="B106" s="7">
        <v>45549</v>
      </c>
      <c r="C106" s="2">
        <v>45570</v>
      </c>
      <c r="D106" s="4">
        <f t="shared" si="11"/>
        <v>21</v>
      </c>
      <c r="E106" s="4" t="str">
        <f>TEXT(Data!B106,"MMM-YYYY")</f>
        <v>May-2024</v>
      </c>
      <c r="F106" t="s">
        <v>62</v>
      </c>
      <c r="G106" t="s">
        <v>28</v>
      </c>
      <c r="H106" t="s">
        <v>92</v>
      </c>
      <c r="I106" t="s">
        <v>57</v>
      </c>
      <c r="J106" s="4">
        <v>1405.56</v>
      </c>
      <c r="K106" s="8" t="str">
        <f t="shared" si="8"/>
        <v>High</v>
      </c>
      <c r="L106" s="4">
        <v>2968.87</v>
      </c>
      <c r="M106" s="4">
        <v>0.16900000000000001</v>
      </c>
      <c r="N106" s="4">
        <v>5</v>
      </c>
      <c r="O106" s="4">
        <f t="shared" si="6"/>
        <v>4270.2181499999997</v>
      </c>
      <c r="P106">
        <f t="shared" si="7"/>
        <v>7027.7999999999993</v>
      </c>
      <c r="Q106" s="4">
        <f t="shared" si="9"/>
        <v>-2757.5818499999996</v>
      </c>
      <c r="R106" s="18">
        <f t="shared" si="10"/>
        <v>-0.64577072016800818</v>
      </c>
    </row>
    <row r="107" spans="1:18" x14ac:dyDescent="0.3">
      <c r="A107" t="s">
        <v>309</v>
      </c>
      <c r="B107" s="7">
        <v>45433</v>
      </c>
      <c r="C107" s="2">
        <v>45439</v>
      </c>
      <c r="D107" s="4">
        <f t="shared" si="11"/>
        <v>6</v>
      </c>
      <c r="E107" s="4" t="str">
        <f>TEXT(Data!B107,"MMM-YYYY")</f>
        <v>May-2023</v>
      </c>
      <c r="F107" t="s">
        <v>39</v>
      </c>
      <c r="G107" t="s">
        <v>28</v>
      </c>
      <c r="H107" t="s">
        <v>110</v>
      </c>
      <c r="I107" t="s">
        <v>22</v>
      </c>
      <c r="J107" s="4">
        <v>1157.51</v>
      </c>
      <c r="K107" s="8" t="str">
        <f t="shared" si="8"/>
        <v>High</v>
      </c>
      <c r="L107" s="4">
        <v>1394.3</v>
      </c>
      <c r="M107" s="4">
        <v>0.27800000000000002</v>
      </c>
      <c r="N107" s="4">
        <v>12</v>
      </c>
      <c r="O107" s="4">
        <f t="shared" si="6"/>
        <v>4055.5317599999998</v>
      </c>
      <c r="P107">
        <f t="shared" si="7"/>
        <v>13890.119999999999</v>
      </c>
      <c r="Q107" s="4">
        <f t="shared" si="9"/>
        <v>-9834.5882399999991</v>
      </c>
      <c r="R107" s="18">
        <f t="shared" si="10"/>
        <v>-2.4249811916156712</v>
      </c>
    </row>
    <row r="108" spans="1:18" x14ac:dyDescent="0.3">
      <c r="A108" t="s">
        <v>311</v>
      </c>
      <c r="B108" s="7">
        <v>45057</v>
      </c>
      <c r="C108" s="2">
        <v>45084</v>
      </c>
      <c r="D108" s="4">
        <f t="shared" si="11"/>
        <v>27</v>
      </c>
      <c r="E108" s="4" t="str">
        <f>TEXT(Data!B108,"MMM-YYYY")</f>
        <v>Aug-2024</v>
      </c>
      <c r="F108" t="s">
        <v>19</v>
      </c>
      <c r="G108" t="s">
        <v>28</v>
      </c>
      <c r="H108" t="s">
        <v>29</v>
      </c>
      <c r="I108" t="s">
        <v>42</v>
      </c>
      <c r="J108" s="4">
        <v>12.85</v>
      </c>
      <c r="K108" s="8" t="str">
        <f t="shared" si="8"/>
        <v>Low</v>
      </c>
      <c r="L108" s="4">
        <v>15.41</v>
      </c>
      <c r="M108" s="4">
        <v>0.13700000000000001</v>
      </c>
      <c r="N108" s="4">
        <v>39</v>
      </c>
      <c r="O108" s="4">
        <f t="shared" si="6"/>
        <v>22483.549139999999</v>
      </c>
      <c r="P108">
        <f t="shared" si="7"/>
        <v>501.15</v>
      </c>
      <c r="Q108" s="4">
        <f t="shared" si="9"/>
        <v>21982.399139999998</v>
      </c>
      <c r="R108" s="18">
        <f t="shared" si="10"/>
        <v>0.97771036961827273</v>
      </c>
    </row>
    <row r="109" spans="1:18" x14ac:dyDescent="0.3">
      <c r="A109" t="s">
        <v>313</v>
      </c>
      <c r="B109" s="7">
        <v>45518</v>
      </c>
      <c r="C109" s="2">
        <v>45539</v>
      </c>
      <c r="D109" s="4">
        <f t="shared" si="11"/>
        <v>21</v>
      </c>
      <c r="E109" s="4" t="str">
        <f>TEXT(Data!B109,"MMM-YYYY")</f>
        <v>Oct-2024</v>
      </c>
      <c r="F109" t="s">
        <v>39</v>
      </c>
      <c r="G109" t="s">
        <v>28</v>
      </c>
      <c r="H109" t="s">
        <v>29</v>
      </c>
      <c r="I109" t="s">
        <v>42</v>
      </c>
      <c r="J109" s="4">
        <v>1138.8</v>
      </c>
      <c r="K109" s="8" t="str">
        <f t="shared" si="8"/>
        <v>High</v>
      </c>
      <c r="L109" s="4">
        <v>2250.81</v>
      </c>
      <c r="M109" s="4">
        <v>0.123</v>
      </c>
      <c r="N109" s="4">
        <v>12</v>
      </c>
      <c r="O109" s="4">
        <f t="shared" si="6"/>
        <v>5654.22948</v>
      </c>
      <c r="P109">
        <f t="shared" si="7"/>
        <v>13665.599999999999</v>
      </c>
      <c r="Q109" s="4">
        <f t="shared" si="9"/>
        <v>-8011.3705199999986</v>
      </c>
      <c r="R109" s="18">
        <f t="shared" si="10"/>
        <v>-1.4168810353979475</v>
      </c>
    </row>
    <row r="110" spans="1:18" x14ac:dyDescent="0.3">
      <c r="A110" t="s">
        <v>315</v>
      </c>
      <c r="B110" s="7">
        <v>45581</v>
      </c>
      <c r="C110" s="2">
        <v>45604</v>
      </c>
      <c r="D110" s="4">
        <f t="shared" si="11"/>
        <v>23</v>
      </c>
      <c r="E110" s="4" t="str">
        <f>TEXT(Data!B110,"MMM-YYYY")</f>
        <v>Jun-2024</v>
      </c>
      <c r="F110" t="s">
        <v>62</v>
      </c>
      <c r="G110" t="s">
        <v>20</v>
      </c>
      <c r="H110" t="s">
        <v>29</v>
      </c>
      <c r="I110" t="s">
        <v>35</v>
      </c>
      <c r="J110" s="4">
        <v>82.14</v>
      </c>
      <c r="K110" s="8" t="str">
        <f t="shared" si="8"/>
        <v>Medium</v>
      </c>
      <c r="L110" s="4">
        <v>166.04</v>
      </c>
      <c r="M110" s="4">
        <v>0</v>
      </c>
      <c r="N110" s="4">
        <v>10</v>
      </c>
      <c r="O110" s="4">
        <f t="shared" si="6"/>
        <v>5727.1</v>
      </c>
      <c r="P110">
        <f t="shared" si="7"/>
        <v>821.4</v>
      </c>
      <c r="Q110" s="4">
        <f t="shared" si="9"/>
        <v>4905.7000000000007</v>
      </c>
      <c r="R110" s="18">
        <f t="shared" si="10"/>
        <v>0.85657662691414516</v>
      </c>
    </row>
    <row r="111" spans="1:18" x14ac:dyDescent="0.3">
      <c r="A111" t="s">
        <v>317</v>
      </c>
      <c r="B111" s="7">
        <v>45445</v>
      </c>
      <c r="C111" s="2">
        <v>45451</v>
      </c>
      <c r="D111" s="4">
        <f t="shared" si="11"/>
        <v>6</v>
      </c>
      <c r="E111" s="4" t="str">
        <f>TEXT(Data!B111,"MMM-YYYY")</f>
        <v>Jun-2024</v>
      </c>
      <c r="F111" t="s">
        <v>48</v>
      </c>
      <c r="G111" t="s">
        <v>40</v>
      </c>
      <c r="H111" t="s">
        <v>75</v>
      </c>
      <c r="I111" t="s">
        <v>81</v>
      </c>
      <c r="J111" s="4">
        <v>292.94</v>
      </c>
      <c r="K111" s="8" t="str">
        <f t="shared" si="8"/>
        <v>High</v>
      </c>
      <c r="L111" s="4">
        <v>356.55</v>
      </c>
      <c r="M111" s="4">
        <v>0.22900000000000001</v>
      </c>
      <c r="N111" s="4">
        <v>2</v>
      </c>
      <c r="O111" s="4">
        <f t="shared" si="6"/>
        <v>3583.4075399999997</v>
      </c>
      <c r="P111">
        <f t="shared" si="7"/>
        <v>585.88</v>
      </c>
      <c r="Q111" s="4">
        <f t="shared" si="9"/>
        <v>2997.5275399999996</v>
      </c>
      <c r="R111" s="18">
        <f t="shared" si="10"/>
        <v>0.83650199050482543</v>
      </c>
    </row>
    <row r="112" spans="1:18" x14ac:dyDescent="0.3">
      <c r="A112" t="s">
        <v>319</v>
      </c>
      <c r="B112" s="7">
        <v>45452</v>
      </c>
      <c r="C112" s="2">
        <v>45480</v>
      </c>
      <c r="D112" s="4">
        <f t="shared" si="11"/>
        <v>28</v>
      </c>
      <c r="E112" s="4" t="str">
        <f>TEXT(Data!B112,"MMM-YYYY")</f>
        <v>Jun-2024</v>
      </c>
      <c r="F112" t="s">
        <v>19</v>
      </c>
      <c r="G112" t="s">
        <v>28</v>
      </c>
      <c r="H112" t="s">
        <v>29</v>
      </c>
      <c r="I112" t="s">
        <v>22</v>
      </c>
      <c r="J112" s="4">
        <v>550.22</v>
      </c>
      <c r="K112" s="8" t="str">
        <f t="shared" si="8"/>
        <v>High</v>
      </c>
      <c r="L112" s="4">
        <v>1025.05</v>
      </c>
      <c r="M112" s="4">
        <v>0</v>
      </c>
      <c r="N112" s="4">
        <v>27</v>
      </c>
      <c r="O112" s="4">
        <f t="shared" si="6"/>
        <v>44038.080000000002</v>
      </c>
      <c r="P112">
        <f t="shared" si="7"/>
        <v>14855.94</v>
      </c>
      <c r="Q112" s="4">
        <f t="shared" si="9"/>
        <v>29182.14</v>
      </c>
      <c r="R112" s="18">
        <f t="shared" si="10"/>
        <v>0.66265695507161071</v>
      </c>
    </row>
    <row r="113" spans="1:18" x14ac:dyDescent="0.3">
      <c r="A113" t="s">
        <v>321</v>
      </c>
      <c r="B113" s="7">
        <v>45453</v>
      </c>
      <c r="C113" s="2">
        <v>45454</v>
      </c>
      <c r="D113" s="4">
        <f t="shared" si="11"/>
        <v>1</v>
      </c>
      <c r="E113" s="4" t="str">
        <f>TEXT(Data!B113,"MMM-YYYY")</f>
        <v>Jun-2024</v>
      </c>
      <c r="F113" t="s">
        <v>62</v>
      </c>
      <c r="G113" t="s">
        <v>40</v>
      </c>
      <c r="H113" t="s">
        <v>110</v>
      </c>
      <c r="I113" t="s">
        <v>57</v>
      </c>
      <c r="J113" s="4">
        <v>1187.1300000000001</v>
      </c>
      <c r="K113" s="8" t="str">
        <f t="shared" si="8"/>
        <v>High</v>
      </c>
      <c r="L113" s="4">
        <v>1795.17</v>
      </c>
      <c r="M113" s="4">
        <v>1.2E-2</v>
      </c>
      <c r="N113" s="4">
        <v>17</v>
      </c>
      <c r="O113" s="4">
        <f t="shared" si="6"/>
        <v>6606.0347600000005</v>
      </c>
      <c r="P113">
        <f t="shared" si="7"/>
        <v>20181.210000000003</v>
      </c>
      <c r="Q113" s="4">
        <f t="shared" si="9"/>
        <v>-13575.175240000002</v>
      </c>
      <c r="R113" s="18">
        <f t="shared" si="10"/>
        <v>-2.0549657598229172</v>
      </c>
    </row>
    <row r="114" spans="1:18" x14ac:dyDescent="0.3">
      <c r="A114" t="s">
        <v>323</v>
      </c>
      <c r="B114" s="7">
        <v>45472</v>
      </c>
      <c r="C114" s="2">
        <v>45499</v>
      </c>
      <c r="D114" s="4">
        <f t="shared" si="11"/>
        <v>27</v>
      </c>
      <c r="E114" s="4" t="str">
        <f>TEXT(Data!B114,"MMM-YYYY")</f>
        <v>Jan-2025</v>
      </c>
      <c r="F114" t="s">
        <v>105</v>
      </c>
      <c r="G114" t="s">
        <v>55</v>
      </c>
      <c r="H114" t="s">
        <v>56</v>
      </c>
      <c r="I114" t="s">
        <v>35</v>
      </c>
      <c r="J114" s="4">
        <v>5.36</v>
      </c>
      <c r="K114" s="8" t="str">
        <f t="shared" si="8"/>
        <v>Low</v>
      </c>
      <c r="L114" s="4">
        <v>4.37</v>
      </c>
      <c r="M114" s="4">
        <v>0.11799999999999999</v>
      </c>
      <c r="N114" s="4">
        <v>9</v>
      </c>
      <c r="O114" s="4">
        <f t="shared" si="6"/>
        <v>14734.198080000002</v>
      </c>
      <c r="P114">
        <f t="shared" si="7"/>
        <v>48.24</v>
      </c>
      <c r="Q114" s="4">
        <f t="shared" si="9"/>
        <v>14685.958080000002</v>
      </c>
      <c r="R114" s="18">
        <f t="shared" si="10"/>
        <v>0.99672598401771995</v>
      </c>
    </row>
    <row r="115" spans="1:18" x14ac:dyDescent="0.3">
      <c r="A115" t="s">
        <v>325</v>
      </c>
      <c r="B115" s="7">
        <v>45674</v>
      </c>
      <c r="C115" s="2">
        <v>45681</v>
      </c>
      <c r="D115" s="4">
        <f t="shared" si="11"/>
        <v>7</v>
      </c>
      <c r="E115" s="4" t="str">
        <f>TEXT(Data!B115,"MMM-YYYY")</f>
        <v>Nov-2023</v>
      </c>
      <c r="F115" t="s">
        <v>105</v>
      </c>
      <c r="G115" t="s">
        <v>28</v>
      </c>
      <c r="H115" t="s">
        <v>41</v>
      </c>
      <c r="I115" t="s">
        <v>81</v>
      </c>
      <c r="J115" s="4">
        <v>142.09</v>
      </c>
      <c r="K115" s="8" t="str">
        <f t="shared" si="8"/>
        <v>High</v>
      </c>
      <c r="L115" s="4">
        <v>218.5</v>
      </c>
      <c r="M115" s="4">
        <v>0.11899999999999999</v>
      </c>
      <c r="N115" s="4">
        <v>11</v>
      </c>
      <c r="O115" s="4">
        <f t="shared" si="6"/>
        <v>822.7659000000001</v>
      </c>
      <c r="P115">
        <f t="shared" si="7"/>
        <v>1562.99</v>
      </c>
      <c r="Q115" s="4">
        <f t="shared" si="9"/>
        <v>-740.22409999999991</v>
      </c>
      <c r="R115" s="18">
        <f t="shared" si="10"/>
        <v>-0.89967766043779862</v>
      </c>
    </row>
    <row r="116" spans="1:18" x14ac:dyDescent="0.3">
      <c r="A116" t="s">
        <v>328</v>
      </c>
      <c r="B116" s="7">
        <v>45250</v>
      </c>
      <c r="C116" s="2">
        <v>45265</v>
      </c>
      <c r="D116" s="4">
        <f t="shared" si="11"/>
        <v>15</v>
      </c>
      <c r="E116" s="4" t="str">
        <f>TEXT(Data!B116,"MMM-YYYY")</f>
        <v>Mar-2023</v>
      </c>
      <c r="F116" t="s">
        <v>105</v>
      </c>
      <c r="G116" t="s">
        <v>20</v>
      </c>
      <c r="H116" t="s">
        <v>49</v>
      </c>
      <c r="I116" t="s">
        <v>35</v>
      </c>
      <c r="J116" s="4">
        <v>354.24</v>
      </c>
      <c r="K116" s="8" t="str">
        <f t="shared" si="8"/>
        <v>High</v>
      </c>
      <c r="L116" s="4">
        <v>249.87</v>
      </c>
      <c r="M116" s="4">
        <v>0</v>
      </c>
      <c r="N116" s="4">
        <v>6</v>
      </c>
      <c r="O116" s="4">
        <f t="shared" si="6"/>
        <v>13513.439999999999</v>
      </c>
      <c r="P116">
        <f t="shared" si="7"/>
        <v>2125.44</v>
      </c>
      <c r="Q116" s="4">
        <f t="shared" si="9"/>
        <v>11387.999999999998</v>
      </c>
      <c r="R116" s="18">
        <f t="shared" si="10"/>
        <v>0.84271658437821895</v>
      </c>
    </row>
    <row r="117" spans="1:18" x14ac:dyDescent="0.3">
      <c r="A117" t="s">
        <v>330</v>
      </c>
      <c r="B117" s="7">
        <v>44987</v>
      </c>
      <c r="C117" s="2">
        <v>44990</v>
      </c>
      <c r="D117" s="4">
        <f t="shared" si="11"/>
        <v>3</v>
      </c>
      <c r="E117" s="4" t="str">
        <f>TEXT(Data!B117,"MMM-YYYY")</f>
        <v>Jun-2025</v>
      </c>
      <c r="F117" t="s">
        <v>105</v>
      </c>
      <c r="G117" t="s">
        <v>98</v>
      </c>
      <c r="H117" t="s">
        <v>41</v>
      </c>
      <c r="I117" t="s">
        <v>64</v>
      </c>
      <c r="J117" s="4">
        <v>1473.58</v>
      </c>
      <c r="K117" s="8" t="str">
        <f t="shared" si="8"/>
        <v>High</v>
      </c>
      <c r="L117" s="4">
        <v>3436.52</v>
      </c>
      <c r="M117" s="4">
        <v>0.108</v>
      </c>
      <c r="N117" s="4">
        <v>8</v>
      </c>
      <c r="O117" s="4">
        <f t="shared" si="6"/>
        <v>6576.6803200000004</v>
      </c>
      <c r="P117">
        <f t="shared" si="7"/>
        <v>11788.64</v>
      </c>
      <c r="Q117" s="4">
        <f t="shared" si="9"/>
        <v>-5211.959679999999</v>
      </c>
      <c r="R117" s="18">
        <f t="shared" si="10"/>
        <v>-0.79249095689662452</v>
      </c>
    </row>
    <row r="118" spans="1:18" x14ac:dyDescent="0.3">
      <c r="A118" t="s">
        <v>332</v>
      </c>
      <c r="B118" s="7">
        <v>45811</v>
      </c>
      <c r="C118" s="2">
        <v>45818</v>
      </c>
      <c r="D118" s="4">
        <f t="shared" si="11"/>
        <v>7</v>
      </c>
      <c r="E118" s="4" t="str">
        <f>TEXT(Data!B118,"MMM-YYYY")</f>
        <v>Dec-2024</v>
      </c>
      <c r="F118" t="s">
        <v>48</v>
      </c>
      <c r="G118" t="s">
        <v>55</v>
      </c>
      <c r="H118" t="s">
        <v>68</v>
      </c>
      <c r="I118" t="s">
        <v>30</v>
      </c>
      <c r="J118" s="4">
        <v>75.180000000000007</v>
      </c>
      <c r="K118" s="8" t="str">
        <f t="shared" si="8"/>
        <v>Medium</v>
      </c>
      <c r="L118" s="4">
        <v>53.45</v>
      </c>
      <c r="M118" s="4">
        <v>0.157</v>
      </c>
      <c r="N118" s="4">
        <v>17</v>
      </c>
      <c r="O118" s="4">
        <f t="shared" si="6"/>
        <v>23548.41258</v>
      </c>
      <c r="P118">
        <f t="shared" si="7"/>
        <v>1278.0600000000002</v>
      </c>
      <c r="Q118" s="4">
        <f t="shared" si="9"/>
        <v>22270.352579999999</v>
      </c>
      <c r="R118" s="18">
        <f t="shared" si="10"/>
        <v>0.94572627791117114</v>
      </c>
    </row>
    <row r="119" spans="1:18" x14ac:dyDescent="0.3">
      <c r="A119" t="s">
        <v>334</v>
      </c>
      <c r="B119" s="7">
        <v>45653</v>
      </c>
      <c r="C119" s="2">
        <v>45659</v>
      </c>
      <c r="D119" s="4">
        <f t="shared" si="11"/>
        <v>6</v>
      </c>
      <c r="E119" s="4" t="str">
        <f>TEXT(Data!B119,"MMM-YYYY")</f>
        <v>Jun-2023</v>
      </c>
      <c r="F119" t="s">
        <v>27</v>
      </c>
      <c r="G119" t="s">
        <v>98</v>
      </c>
      <c r="H119" t="s">
        <v>84</v>
      </c>
      <c r="I119" t="s">
        <v>57</v>
      </c>
      <c r="J119" s="4">
        <v>1391.99</v>
      </c>
      <c r="K119" s="8" t="str">
        <f t="shared" si="8"/>
        <v>High</v>
      </c>
      <c r="L119" s="4">
        <v>3469.7</v>
      </c>
      <c r="M119" s="4">
        <v>0.184</v>
      </c>
      <c r="N119" s="4">
        <v>23</v>
      </c>
      <c r="O119" s="4">
        <f t="shared" si="6"/>
        <v>27535.846560000005</v>
      </c>
      <c r="P119">
        <f t="shared" si="7"/>
        <v>32015.77</v>
      </c>
      <c r="Q119" s="4">
        <f t="shared" si="9"/>
        <v>-4479.923439999995</v>
      </c>
      <c r="R119" s="18">
        <f t="shared" si="10"/>
        <v>-0.16269423314218215</v>
      </c>
    </row>
    <row r="120" spans="1:18" x14ac:dyDescent="0.3">
      <c r="A120" t="s">
        <v>337</v>
      </c>
      <c r="B120" s="7">
        <v>45086</v>
      </c>
      <c r="C120" s="2">
        <v>45096</v>
      </c>
      <c r="D120" s="4">
        <f t="shared" si="11"/>
        <v>10</v>
      </c>
      <c r="E120" s="4" t="str">
        <f>TEXT(Data!B120,"MMM-YYYY")</f>
        <v>Jul-2025</v>
      </c>
      <c r="F120" t="s">
        <v>105</v>
      </c>
      <c r="G120" t="s">
        <v>20</v>
      </c>
      <c r="H120" t="s">
        <v>84</v>
      </c>
      <c r="I120" t="s">
        <v>64</v>
      </c>
      <c r="J120" s="4">
        <v>339.61</v>
      </c>
      <c r="K120" s="8" t="str">
        <f t="shared" si="8"/>
        <v>High</v>
      </c>
      <c r="L120" s="4">
        <v>621.02</v>
      </c>
      <c r="M120" s="4">
        <v>7.0999999999999994E-2</v>
      </c>
      <c r="N120" s="4">
        <v>10</v>
      </c>
      <c r="O120" s="4">
        <f t="shared" si="6"/>
        <v>9278.4804000000004</v>
      </c>
      <c r="P120">
        <f t="shared" si="7"/>
        <v>3396.1000000000004</v>
      </c>
      <c r="Q120" s="4">
        <f t="shared" si="9"/>
        <v>5882.3804</v>
      </c>
      <c r="R120" s="18">
        <f t="shared" si="10"/>
        <v>0.63398101266668616</v>
      </c>
    </row>
    <row r="121" spans="1:18" x14ac:dyDescent="0.3">
      <c r="A121" t="s">
        <v>340</v>
      </c>
      <c r="B121" s="7">
        <v>45847</v>
      </c>
      <c r="C121" s="2">
        <v>45856</v>
      </c>
      <c r="D121" s="4">
        <f t="shared" si="11"/>
        <v>9</v>
      </c>
      <c r="E121" s="4" t="str">
        <f>TEXT(Data!B121,"MMM-YYYY")</f>
        <v>Jun-2025</v>
      </c>
      <c r="F121" t="s">
        <v>27</v>
      </c>
      <c r="G121" t="s">
        <v>55</v>
      </c>
      <c r="H121" t="s">
        <v>34</v>
      </c>
      <c r="I121" t="s">
        <v>57</v>
      </c>
      <c r="J121" s="4">
        <v>57.96</v>
      </c>
      <c r="K121" s="8" t="str">
        <f t="shared" si="8"/>
        <v>Medium</v>
      </c>
      <c r="L121" s="4">
        <v>88.51</v>
      </c>
      <c r="M121" s="4">
        <v>4.2999999999999997E-2</v>
      </c>
      <c r="N121" s="4">
        <v>7</v>
      </c>
      <c r="O121" s="4">
        <f t="shared" si="6"/>
        <v>4225.1932799999995</v>
      </c>
      <c r="P121">
        <f t="shared" si="7"/>
        <v>405.72</v>
      </c>
      <c r="Q121" s="4">
        <f t="shared" si="9"/>
        <v>3819.4732799999992</v>
      </c>
      <c r="R121" s="18">
        <f t="shared" si="10"/>
        <v>0.90397599041907017</v>
      </c>
    </row>
    <row r="122" spans="1:18" x14ac:dyDescent="0.3">
      <c r="A122" t="s">
        <v>342</v>
      </c>
      <c r="B122" s="7">
        <v>45827</v>
      </c>
      <c r="C122" s="2">
        <v>45850</v>
      </c>
      <c r="D122" s="4">
        <f t="shared" si="11"/>
        <v>23</v>
      </c>
      <c r="E122" s="4" t="str">
        <f>TEXT(Data!B122,"MMM-YYYY")</f>
        <v>Nov-2023</v>
      </c>
      <c r="F122" t="s">
        <v>39</v>
      </c>
      <c r="G122" t="s">
        <v>98</v>
      </c>
      <c r="H122" t="s">
        <v>1364</v>
      </c>
      <c r="I122" t="s">
        <v>35</v>
      </c>
      <c r="J122" s="4">
        <v>801.24</v>
      </c>
      <c r="K122" s="8" t="str">
        <f t="shared" si="8"/>
        <v>High</v>
      </c>
      <c r="L122" s="4">
        <v>1959.09</v>
      </c>
      <c r="M122" s="4">
        <v>0.123</v>
      </c>
      <c r="N122" s="4">
        <v>23</v>
      </c>
      <c r="O122" s="4">
        <f t="shared" si="6"/>
        <v>14696.792309999999</v>
      </c>
      <c r="P122">
        <f t="shared" si="7"/>
        <v>18428.52</v>
      </c>
      <c r="Q122" s="4">
        <f t="shared" si="9"/>
        <v>-3731.7276900000015</v>
      </c>
      <c r="R122" s="18">
        <f t="shared" si="10"/>
        <v>-0.25391443325091134</v>
      </c>
    </row>
    <row r="123" spans="1:18" x14ac:dyDescent="0.3">
      <c r="A123" t="s">
        <v>344</v>
      </c>
      <c r="B123" s="7">
        <v>45249</v>
      </c>
      <c r="C123" s="2">
        <v>45273</v>
      </c>
      <c r="D123" s="4">
        <f t="shared" si="11"/>
        <v>24</v>
      </c>
      <c r="E123" s="4" t="str">
        <f>TEXT(Data!B123,"MMM-YYYY")</f>
        <v>Dec-2023</v>
      </c>
      <c r="F123" t="s">
        <v>39</v>
      </c>
      <c r="G123" t="s">
        <v>98</v>
      </c>
      <c r="H123" t="s">
        <v>92</v>
      </c>
      <c r="I123" t="s">
        <v>64</v>
      </c>
      <c r="J123" s="4">
        <v>1297.42</v>
      </c>
      <c r="K123" s="8" t="str">
        <f t="shared" si="8"/>
        <v>High</v>
      </c>
      <c r="L123" s="4">
        <v>2742.97</v>
      </c>
      <c r="M123" s="4">
        <v>6.9000000000000006E-2</v>
      </c>
      <c r="N123" s="4">
        <v>9</v>
      </c>
      <c r="O123" s="4">
        <f t="shared" si="6"/>
        <v>7972.7022900000002</v>
      </c>
      <c r="P123">
        <f t="shared" si="7"/>
        <v>11676.78</v>
      </c>
      <c r="Q123" s="4">
        <f t="shared" si="9"/>
        <v>-3704.0777100000005</v>
      </c>
      <c r="R123" s="18">
        <f t="shared" si="10"/>
        <v>-0.46459501123551927</v>
      </c>
    </row>
    <row r="124" spans="1:18" x14ac:dyDescent="0.3">
      <c r="A124" t="s">
        <v>346</v>
      </c>
      <c r="B124" s="7">
        <v>45289</v>
      </c>
      <c r="C124" s="2">
        <v>45311</v>
      </c>
      <c r="D124" s="4">
        <f t="shared" si="11"/>
        <v>22</v>
      </c>
      <c r="E124" s="4" t="str">
        <f>TEXT(Data!B124,"MMM-YYYY")</f>
        <v>Nov-2024</v>
      </c>
      <c r="F124" t="s">
        <v>19</v>
      </c>
      <c r="G124" t="s">
        <v>98</v>
      </c>
      <c r="H124" t="s">
        <v>49</v>
      </c>
      <c r="I124" t="s">
        <v>42</v>
      </c>
      <c r="J124" s="4">
        <v>1395.49</v>
      </c>
      <c r="K124" s="8" t="str">
        <f t="shared" si="8"/>
        <v>High</v>
      </c>
      <c r="L124" s="4">
        <v>1679.42</v>
      </c>
      <c r="M124" s="4">
        <v>0.20300000000000001</v>
      </c>
      <c r="N124" s="4">
        <v>12</v>
      </c>
      <c r="O124" s="4">
        <f t="shared" si="6"/>
        <v>7009.2643199999993</v>
      </c>
      <c r="P124">
        <f t="shared" si="7"/>
        <v>16745.88</v>
      </c>
      <c r="Q124" s="4">
        <f t="shared" si="9"/>
        <v>-9736.6156800000026</v>
      </c>
      <c r="R124" s="18">
        <f t="shared" si="10"/>
        <v>-1.3891066502111884</v>
      </c>
    </row>
    <row r="125" spans="1:18" x14ac:dyDescent="0.3">
      <c r="A125" t="s">
        <v>348</v>
      </c>
      <c r="B125" s="7">
        <v>45598</v>
      </c>
      <c r="C125" s="2">
        <v>45625</v>
      </c>
      <c r="D125" s="4">
        <f t="shared" si="11"/>
        <v>27</v>
      </c>
      <c r="E125" s="4" t="str">
        <f>TEXT(Data!B125,"MMM-YYYY")</f>
        <v>Aug-2023</v>
      </c>
      <c r="F125" t="s">
        <v>62</v>
      </c>
      <c r="G125" t="s">
        <v>98</v>
      </c>
      <c r="H125" t="s">
        <v>34</v>
      </c>
      <c r="I125" t="s">
        <v>35</v>
      </c>
      <c r="J125" s="4">
        <v>1363.51</v>
      </c>
      <c r="K125" s="8" t="str">
        <f t="shared" si="8"/>
        <v>High</v>
      </c>
      <c r="L125" s="4">
        <v>1433.9</v>
      </c>
      <c r="M125" s="4">
        <v>5.7000000000000002E-2</v>
      </c>
      <c r="N125" s="4">
        <v>8</v>
      </c>
      <c r="O125" s="4">
        <f t="shared" si="6"/>
        <v>18192.506879999997</v>
      </c>
      <c r="P125">
        <f t="shared" si="7"/>
        <v>10908.08</v>
      </c>
      <c r="Q125" s="4">
        <f t="shared" si="9"/>
        <v>7284.4268799999973</v>
      </c>
      <c r="R125" s="18">
        <f t="shared" si="10"/>
        <v>0.4004080871343883</v>
      </c>
    </row>
    <row r="126" spans="1:18" x14ac:dyDescent="0.3">
      <c r="A126" t="s">
        <v>350</v>
      </c>
      <c r="B126" s="7">
        <v>45159</v>
      </c>
      <c r="C126" s="2">
        <v>45173</v>
      </c>
      <c r="D126" s="4">
        <f t="shared" si="11"/>
        <v>14</v>
      </c>
      <c r="E126" s="4" t="str">
        <f>TEXT(Data!B126,"MMM-YYYY")</f>
        <v>Aug-2023</v>
      </c>
      <c r="F126" t="s">
        <v>27</v>
      </c>
      <c r="G126" t="s">
        <v>55</v>
      </c>
      <c r="H126" t="s">
        <v>84</v>
      </c>
      <c r="I126" t="s">
        <v>22</v>
      </c>
      <c r="J126" s="4">
        <v>178.19</v>
      </c>
      <c r="K126" s="8" t="str">
        <f t="shared" si="8"/>
        <v>High</v>
      </c>
      <c r="L126" s="4">
        <v>284.43</v>
      </c>
      <c r="M126" s="4">
        <v>8.8999999999999996E-2</v>
      </c>
      <c r="N126" s="4">
        <v>8</v>
      </c>
      <c r="O126" s="4">
        <f t="shared" si="6"/>
        <v>4141.6975199999997</v>
      </c>
      <c r="P126">
        <f t="shared" si="7"/>
        <v>1425.52</v>
      </c>
      <c r="Q126" s="4">
        <f t="shared" si="9"/>
        <v>2716.1775199999997</v>
      </c>
      <c r="R126" s="18">
        <f t="shared" si="10"/>
        <v>0.65581262438498888</v>
      </c>
    </row>
    <row r="127" spans="1:18" x14ac:dyDescent="0.3">
      <c r="A127" t="s">
        <v>352</v>
      </c>
      <c r="B127" s="7">
        <v>45150</v>
      </c>
      <c r="C127" s="2">
        <v>45175</v>
      </c>
      <c r="D127" s="4">
        <f t="shared" si="11"/>
        <v>25</v>
      </c>
      <c r="E127" s="4" t="str">
        <f>TEXT(Data!B127,"MMM-YYYY")</f>
        <v>Jun-2024</v>
      </c>
      <c r="F127" t="s">
        <v>62</v>
      </c>
      <c r="G127" t="s">
        <v>20</v>
      </c>
      <c r="H127" t="s">
        <v>56</v>
      </c>
      <c r="I127" t="s">
        <v>22</v>
      </c>
      <c r="J127" s="4">
        <v>950.77</v>
      </c>
      <c r="K127" s="8" t="str">
        <f t="shared" si="8"/>
        <v>High</v>
      </c>
      <c r="L127" s="4">
        <v>694.78</v>
      </c>
      <c r="M127" s="4">
        <v>8.4000000000000005E-2</v>
      </c>
      <c r="N127" s="4">
        <v>14</v>
      </c>
      <c r="O127" s="4">
        <f t="shared" si="6"/>
        <v>16093.478800000001</v>
      </c>
      <c r="P127">
        <f t="shared" si="7"/>
        <v>13310.779999999999</v>
      </c>
      <c r="Q127" s="4">
        <f t="shared" si="9"/>
        <v>2782.6988000000019</v>
      </c>
      <c r="R127" s="18">
        <f t="shared" si="10"/>
        <v>0.17290847023081185</v>
      </c>
    </row>
    <row r="128" spans="1:18" x14ac:dyDescent="0.3">
      <c r="A128" t="s">
        <v>354</v>
      </c>
      <c r="B128" s="7">
        <v>45450</v>
      </c>
      <c r="C128" s="2">
        <v>45469</v>
      </c>
      <c r="D128" s="4">
        <f t="shared" si="11"/>
        <v>19</v>
      </c>
      <c r="E128" s="4" t="str">
        <f>TEXT(Data!B128,"MMM-YYYY")</f>
        <v>Aug-2025</v>
      </c>
      <c r="F128" t="s">
        <v>39</v>
      </c>
      <c r="G128" t="s">
        <v>40</v>
      </c>
      <c r="H128" t="s">
        <v>110</v>
      </c>
      <c r="I128" t="s">
        <v>22</v>
      </c>
      <c r="J128" s="4">
        <v>1064.32</v>
      </c>
      <c r="K128" s="8" t="str">
        <f t="shared" si="8"/>
        <v>High</v>
      </c>
      <c r="L128" s="4">
        <v>1848.39</v>
      </c>
      <c r="M128" s="4">
        <v>7.2999999999999995E-2</v>
      </c>
      <c r="N128" s="4">
        <v>38</v>
      </c>
      <c r="O128" s="4">
        <f t="shared" si="6"/>
        <v>29785.344300000001</v>
      </c>
      <c r="P128">
        <f t="shared" si="7"/>
        <v>40444.159999999996</v>
      </c>
      <c r="Q128" s="4">
        <f t="shared" si="9"/>
        <v>-10658.815699999996</v>
      </c>
      <c r="R128" s="18">
        <f t="shared" si="10"/>
        <v>-0.35785437269563458</v>
      </c>
    </row>
    <row r="129" spans="1:18" x14ac:dyDescent="0.3">
      <c r="A129" t="s">
        <v>356</v>
      </c>
      <c r="B129" s="7">
        <v>45874</v>
      </c>
      <c r="C129" s="2">
        <v>45883</v>
      </c>
      <c r="D129" s="4">
        <f t="shared" si="11"/>
        <v>9</v>
      </c>
      <c r="E129" s="4" t="str">
        <f>TEXT(Data!B129,"MMM-YYYY")</f>
        <v>May-2024</v>
      </c>
      <c r="F129" t="s">
        <v>39</v>
      </c>
      <c r="G129" t="s">
        <v>98</v>
      </c>
      <c r="H129" t="s">
        <v>63</v>
      </c>
      <c r="I129" t="s">
        <v>22</v>
      </c>
      <c r="J129" s="4">
        <v>41.76</v>
      </c>
      <c r="K129" s="8" t="str">
        <f t="shared" si="8"/>
        <v>Low</v>
      </c>
      <c r="L129" s="4">
        <v>45.19</v>
      </c>
      <c r="M129" s="4">
        <v>0.17899999999999999</v>
      </c>
      <c r="N129" s="4">
        <v>23</v>
      </c>
      <c r="O129" s="4">
        <f t="shared" si="6"/>
        <v>40507.245110000003</v>
      </c>
      <c r="P129">
        <f t="shared" si="7"/>
        <v>960.4799999999999</v>
      </c>
      <c r="Q129" s="4">
        <f t="shared" si="9"/>
        <v>39546.76511</v>
      </c>
      <c r="R129" s="18">
        <f t="shared" si="10"/>
        <v>0.97628868619942533</v>
      </c>
    </row>
    <row r="130" spans="1:18" x14ac:dyDescent="0.3">
      <c r="A130" t="s">
        <v>358</v>
      </c>
      <c r="B130" s="7">
        <v>45442</v>
      </c>
      <c r="C130" s="2">
        <v>45456</v>
      </c>
      <c r="D130" s="4">
        <f t="shared" si="11"/>
        <v>14</v>
      </c>
      <c r="E130" s="4" t="str">
        <f>TEXT(Data!B130,"MMM-YYYY")</f>
        <v>Jan-2023</v>
      </c>
      <c r="F130" t="s">
        <v>62</v>
      </c>
      <c r="G130" t="s">
        <v>20</v>
      </c>
      <c r="H130" t="s">
        <v>84</v>
      </c>
      <c r="I130" t="s">
        <v>42</v>
      </c>
      <c r="J130" s="4">
        <v>157.78</v>
      </c>
      <c r="K130" s="8" t="str">
        <f t="shared" si="8"/>
        <v>High</v>
      </c>
      <c r="L130" s="4">
        <v>361.1</v>
      </c>
      <c r="M130" s="4">
        <v>0.187</v>
      </c>
      <c r="N130" s="4">
        <v>9</v>
      </c>
      <c r="O130" s="4">
        <f t="shared" ref="O130:O193" si="12">(L156*N130)*(1-M130)</f>
        <v>9877.5109800000009</v>
      </c>
      <c r="P130">
        <f t="shared" ref="P130:P193" si="13">(J130*N130)</f>
        <v>1420.02</v>
      </c>
      <c r="Q130" s="4">
        <f t="shared" si="9"/>
        <v>8457.4909800000005</v>
      </c>
      <c r="R130" s="18">
        <f t="shared" si="10"/>
        <v>0.85623706185948478</v>
      </c>
    </row>
    <row r="131" spans="1:18" x14ac:dyDescent="0.3">
      <c r="A131" t="s">
        <v>360</v>
      </c>
      <c r="B131" s="7">
        <v>44948</v>
      </c>
      <c r="C131" s="2">
        <v>44956</v>
      </c>
      <c r="D131" s="4">
        <f t="shared" si="11"/>
        <v>8</v>
      </c>
      <c r="E131" s="4" t="str">
        <f>TEXT(Data!B131,"MMM-YYYY")</f>
        <v>Feb-2025</v>
      </c>
      <c r="F131" t="s">
        <v>62</v>
      </c>
      <c r="G131" t="s">
        <v>28</v>
      </c>
      <c r="H131" t="s">
        <v>75</v>
      </c>
      <c r="I131" t="s">
        <v>35</v>
      </c>
      <c r="J131" s="4">
        <v>413.52</v>
      </c>
      <c r="K131" s="8" t="str">
        <f t="shared" ref="K131:K194" si="14">IF(L131&lt;50, "Low", IF(L131&lt;200, "Medium", "High"))</f>
        <v>High</v>
      </c>
      <c r="L131" s="4">
        <v>1004.34</v>
      </c>
      <c r="M131" s="4">
        <v>0.111</v>
      </c>
      <c r="N131" s="4">
        <v>18</v>
      </c>
      <c r="O131" s="4">
        <f t="shared" si="12"/>
        <v>8440.7349599999998</v>
      </c>
      <c r="P131">
        <f t="shared" si="13"/>
        <v>7443.36</v>
      </c>
      <c r="Q131" s="4">
        <f t="shared" ref="Q131:Q194" si="15">(O131-P131)</f>
        <v>997.3749600000001</v>
      </c>
      <c r="R131" s="18">
        <f t="shared" ref="R131:R194" si="16">(Q131/O131)</f>
        <v>0.11816209900281008</v>
      </c>
    </row>
    <row r="132" spans="1:18" x14ac:dyDescent="0.3">
      <c r="A132" t="s">
        <v>362</v>
      </c>
      <c r="B132" s="7">
        <v>45700</v>
      </c>
      <c r="C132" s="2">
        <v>45716</v>
      </c>
      <c r="D132" s="4">
        <f t="shared" ref="D132:D195" si="17">DATEDIF(B132,C132, "MD")</f>
        <v>16</v>
      </c>
      <c r="E132" s="4" t="str">
        <f>TEXT(Data!B132,"MMM-YYYY")</f>
        <v>Mar-2025</v>
      </c>
      <c r="F132" t="s">
        <v>39</v>
      </c>
      <c r="G132" t="s">
        <v>98</v>
      </c>
      <c r="H132" t="s">
        <v>56</v>
      </c>
      <c r="I132" t="s">
        <v>64</v>
      </c>
      <c r="J132" s="4">
        <v>414.95</v>
      </c>
      <c r="K132" s="8" t="str">
        <f t="shared" si="14"/>
        <v>High</v>
      </c>
      <c r="L132" s="4">
        <v>1027.73</v>
      </c>
      <c r="M132" s="4">
        <v>6.3E-2</v>
      </c>
      <c r="N132" s="4">
        <v>8</v>
      </c>
      <c r="O132" s="4">
        <f t="shared" si="12"/>
        <v>10997.906320000002</v>
      </c>
      <c r="P132">
        <f t="shared" si="13"/>
        <v>3319.6</v>
      </c>
      <c r="Q132" s="4">
        <f t="shared" si="15"/>
        <v>7678.3063200000015</v>
      </c>
      <c r="R132" s="18">
        <f t="shared" si="16"/>
        <v>0.69816073137818835</v>
      </c>
    </row>
    <row r="133" spans="1:18" x14ac:dyDescent="0.3">
      <c r="A133" t="s">
        <v>364</v>
      </c>
      <c r="B133" s="7">
        <v>45719</v>
      </c>
      <c r="C133" s="2">
        <v>45740</v>
      </c>
      <c r="D133" s="4">
        <f t="shared" si="17"/>
        <v>21</v>
      </c>
      <c r="E133" s="4" t="str">
        <f>TEXT(Data!B133,"MMM-YYYY")</f>
        <v>Jan-2023</v>
      </c>
      <c r="F133" t="s">
        <v>105</v>
      </c>
      <c r="G133" t="s">
        <v>98</v>
      </c>
      <c r="H133" t="s">
        <v>92</v>
      </c>
      <c r="I133" t="s">
        <v>81</v>
      </c>
      <c r="J133" s="4">
        <v>555.95000000000005</v>
      </c>
      <c r="K133" s="8" t="str">
        <f t="shared" si="14"/>
        <v>High</v>
      </c>
      <c r="L133" s="4">
        <v>468.09</v>
      </c>
      <c r="M133" s="4">
        <v>0.14199999999999999</v>
      </c>
      <c r="N133" s="4">
        <v>11</v>
      </c>
      <c r="O133" s="4">
        <f t="shared" si="12"/>
        <v>15583.45932</v>
      </c>
      <c r="P133">
        <f t="shared" si="13"/>
        <v>6115.4500000000007</v>
      </c>
      <c r="Q133" s="4">
        <f t="shared" si="15"/>
        <v>9468.0093199999992</v>
      </c>
      <c r="R133" s="18">
        <f t="shared" si="16"/>
        <v>0.60756787858063332</v>
      </c>
    </row>
    <row r="134" spans="1:18" x14ac:dyDescent="0.3">
      <c r="A134" t="s">
        <v>366</v>
      </c>
      <c r="B134" s="7">
        <v>44953</v>
      </c>
      <c r="C134" s="2">
        <v>44957</v>
      </c>
      <c r="D134" s="4">
        <f t="shared" si="17"/>
        <v>4</v>
      </c>
      <c r="E134" s="4" t="str">
        <f>TEXT(Data!B134,"MMM-YYYY")</f>
        <v>Jan-2025</v>
      </c>
      <c r="F134" t="s">
        <v>105</v>
      </c>
      <c r="G134" t="s">
        <v>28</v>
      </c>
      <c r="H134" t="s">
        <v>126</v>
      </c>
      <c r="I134" t="s">
        <v>57</v>
      </c>
      <c r="J134" s="4">
        <v>941.2</v>
      </c>
      <c r="K134" s="8" t="str">
        <f t="shared" si="14"/>
        <v>High</v>
      </c>
      <c r="L134" s="4">
        <v>668.02</v>
      </c>
      <c r="M134" s="4">
        <v>0.22</v>
      </c>
      <c r="N134" s="4">
        <v>16</v>
      </c>
      <c r="O134" s="4">
        <f t="shared" si="12"/>
        <v>24737.606400000001</v>
      </c>
      <c r="P134">
        <f t="shared" si="13"/>
        <v>15059.2</v>
      </c>
      <c r="Q134" s="4">
        <f t="shared" si="15"/>
        <v>9678.4063999999998</v>
      </c>
      <c r="R134" s="18">
        <f t="shared" si="16"/>
        <v>0.3912426385763822</v>
      </c>
    </row>
    <row r="135" spans="1:18" x14ac:dyDescent="0.3">
      <c r="A135" t="s">
        <v>368</v>
      </c>
      <c r="B135" s="7">
        <v>45666</v>
      </c>
      <c r="C135" s="2">
        <v>45672</v>
      </c>
      <c r="D135" s="4">
        <f t="shared" si="17"/>
        <v>6</v>
      </c>
      <c r="E135" s="4" t="str">
        <f>TEXT(Data!B135,"MMM-YYYY")</f>
        <v>Dec-2024</v>
      </c>
      <c r="F135" t="s">
        <v>27</v>
      </c>
      <c r="G135" t="s">
        <v>28</v>
      </c>
      <c r="H135" t="s">
        <v>21</v>
      </c>
      <c r="I135" t="s">
        <v>42</v>
      </c>
      <c r="J135" s="4">
        <v>304.77999999999997</v>
      </c>
      <c r="K135" s="8" t="str">
        <f t="shared" si="14"/>
        <v>High</v>
      </c>
      <c r="L135" s="4">
        <v>537.27</v>
      </c>
      <c r="M135" s="4">
        <v>0.187</v>
      </c>
      <c r="N135" s="4">
        <v>8</v>
      </c>
      <c r="O135" s="4">
        <f t="shared" si="12"/>
        <v>16599.638879999999</v>
      </c>
      <c r="P135">
        <f t="shared" si="13"/>
        <v>2438.2399999999998</v>
      </c>
      <c r="Q135" s="4">
        <f t="shared" si="15"/>
        <v>14161.398879999999</v>
      </c>
      <c r="R135" s="18">
        <f t="shared" si="16"/>
        <v>0.85311487691833454</v>
      </c>
    </row>
    <row r="136" spans="1:18" x14ac:dyDescent="0.3">
      <c r="A136" t="s">
        <v>370</v>
      </c>
      <c r="B136" s="7">
        <v>45647</v>
      </c>
      <c r="C136" s="2">
        <v>45652</v>
      </c>
      <c r="D136" s="4">
        <f t="shared" si="17"/>
        <v>5</v>
      </c>
      <c r="E136" s="4" t="str">
        <f>TEXT(Data!B136,"MMM-YYYY")</f>
        <v>Apr-2023</v>
      </c>
      <c r="F136" t="s">
        <v>48</v>
      </c>
      <c r="G136" t="s">
        <v>40</v>
      </c>
      <c r="H136" t="s">
        <v>110</v>
      </c>
      <c r="I136" t="s">
        <v>30</v>
      </c>
      <c r="J136" s="4">
        <v>699.57</v>
      </c>
      <c r="K136" s="8" t="str">
        <f t="shared" si="14"/>
        <v>High</v>
      </c>
      <c r="L136" s="4">
        <v>572.71</v>
      </c>
      <c r="M136" s="4">
        <v>0.192</v>
      </c>
      <c r="N136" s="4">
        <v>26</v>
      </c>
      <c r="O136" s="4">
        <f t="shared" si="12"/>
        <v>10987.39408</v>
      </c>
      <c r="P136">
        <f t="shared" si="13"/>
        <v>18188.82</v>
      </c>
      <c r="Q136" s="4">
        <f t="shared" si="15"/>
        <v>-7201.4259199999997</v>
      </c>
      <c r="R136" s="18">
        <f t="shared" si="16"/>
        <v>-0.65542619729172391</v>
      </c>
    </row>
    <row r="137" spans="1:18" x14ac:dyDescent="0.3">
      <c r="A137" t="s">
        <v>372</v>
      </c>
      <c r="B137" s="7">
        <v>45028</v>
      </c>
      <c r="C137" s="2">
        <v>45033</v>
      </c>
      <c r="D137" s="4">
        <f t="shared" si="17"/>
        <v>5</v>
      </c>
      <c r="E137" s="4" t="str">
        <f>TEXT(Data!B137,"MMM-YYYY")</f>
        <v>Dec-2024</v>
      </c>
      <c r="F137" t="s">
        <v>105</v>
      </c>
      <c r="G137" t="s">
        <v>98</v>
      </c>
      <c r="H137" t="s">
        <v>63</v>
      </c>
      <c r="I137" t="s">
        <v>64</v>
      </c>
      <c r="J137" s="4">
        <v>1087.81</v>
      </c>
      <c r="K137" s="8" t="str">
        <f t="shared" si="14"/>
        <v>High</v>
      </c>
      <c r="L137" s="4">
        <v>2323.87</v>
      </c>
      <c r="M137" s="4">
        <v>9.4E-2</v>
      </c>
      <c r="N137" s="4">
        <v>13</v>
      </c>
      <c r="O137" s="4">
        <f t="shared" si="12"/>
        <v>14342.18838</v>
      </c>
      <c r="P137">
        <f t="shared" si="13"/>
        <v>14141.529999999999</v>
      </c>
      <c r="Q137" s="4">
        <f t="shared" si="15"/>
        <v>200.65838000000076</v>
      </c>
      <c r="R137" s="18">
        <f t="shared" si="16"/>
        <v>1.399077844213902E-2</v>
      </c>
    </row>
    <row r="138" spans="1:18" x14ac:dyDescent="0.3">
      <c r="A138" t="s">
        <v>374</v>
      </c>
      <c r="B138" s="7">
        <v>45640</v>
      </c>
      <c r="C138" s="2">
        <v>45669</v>
      </c>
      <c r="D138" s="4">
        <f t="shared" si="17"/>
        <v>29</v>
      </c>
      <c r="E138" s="4" t="str">
        <f>TEXT(Data!B138,"MMM-YYYY")</f>
        <v>Mar-2023</v>
      </c>
      <c r="F138" t="s">
        <v>27</v>
      </c>
      <c r="G138" t="s">
        <v>28</v>
      </c>
      <c r="H138" t="s">
        <v>29</v>
      </c>
      <c r="I138" t="s">
        <v>22</v>
      </c>
      <c r="J138" s="4">
        <v>1412.15</v>
      </c>
      <c r="K138" s="8" t="str">
        <f t="shared" si="14"/>
        <v>High</v>
      </c>
      <c r="L138" s="4">
        <v>1631.04</v>
      </c>
      <c r="M138" s="4">
        <v>8.9999999999999993E-3</v>
      </c>
      <c r="N138" s="4">
        <v>6</v>
      </c>
      <c r="O138" s="4">
        <f t="shared" si="12"/>
        <v>7989.2834400000002</v>
      </c>
      <c r="P138">
        <f t="shared" si="13"/>
        <v>8472.9000000000015</v>
      </c>
      <c r="Q138" s="4">
        <f t="shared" si="15"/>
        <v>-483.6165600000013</v>
      </c>
      <c r="R138" s="18">
        <f t="shared" si="16"/>
        <v>-6.0533158403002073E-2</v>
      </c>
    </row>
    <row r="139" spans="1:18" x14ac:dyDescent="0.3">
      <c r="A139" t="s">
        <v>376</v>
      </c>
      <c r="B139" s="7">
        <v>45016</v>
      </c>
      <c r="C139" s="2">
        <v>45028</v>
      </c>
      <c r="D139" s="4">
        <f t="shared" si="17"/>
        <v>12</v>
      </c>
      <c r="E139" s="4" t="str">
        <f>TEXT(Data!B139,"MMM-YYYY")</f>
        <v>Nov-2024</v>
      </c>
      <c r="F139" t="s">
        <v>62</v>
      </c>
      <c r="G139" t="s">
        <v>28</v>
      </c>
      <c r="H139" t="s">
        <v>21</v>
      </c>
      <c r="I139" t="s">
        <v>42</v>
      </c>
      <c r="J139" s="4">
        <v>304.22000000000003</v>
      </c>
      <c r="K139" s="8" t="str">
        <f t="shared" si="14"/>
        <v>High</v>
      </c>
      <c r="L139" s="4">
        <v>393.31</v>
      </c>
      <c r="M139" s="4">
        <v>0.26500000000000001</v>
      </c>
      <c r="N139" s="4">
        <v>15</v>
      </c>
      <c r="O139" s="4">
        <f t="shared" si="12"/>
        <v>3326.2424999999998</v>
      </c>
      <c r="P139">
        <f t="shared" si="13"/>
        <v>4563.3</v>
      </c>
      <c r="Q139" s="4">
        <f t="shared" si="15"/>
        <v>-1237.0575000000003</v>
      </c>
      <c r="R139" s="18">
        <f t="shared" si="16"/>
        <v>-0.3719083921271526</v>
      </c>
    </row>
    <row r="140" spans="1:18" x14ac:dyDescent="0.3">
      <c r="A140" t="s">
        <v>378</v>
      </c>
      <c r="B140" s="7">
        <v>45616</v>
      </c>
      <c r="C140" s="2">
        <v>45641</v>
      </c>
      <c r="D140" s="4">
        <f t="shared" si="17"/>
        <v>25</v>
      </c>
      <c r="E140" s="4" t="str">
        <f>TEXT(Data!B140,"MMM-YYYY")</f>
        <v>Feb-2024</v>
      </c>
      <c r="F140" t="s">
        <v>19</v>
      </c>
      <c r="G140" t="s">
        <v>28</v>
      </c>
      <c r="H140" t="s">
        <v>41</v>
      </c>
      <c r="I140" t="s">
        <v>30</v>
      </c>
      <c r="J140" s="4">
        <v>1203.58</v>
      </c>
      <c r="K140" s="8" t="str">
        <f t="shared" si="14"/>
        <v>High</v>
      </c>
      <c r="L140" s="4">
        <v>1856.16</v>
      </c>
      <c r="M140" s="4">
        <v>0.129</v>
      </c>
      <c r="N140" s="4">
        <v>22</v>
      </c>
      <c r="O140" s="4">
        <f t="shared" si="12"/>
        <v>28967.387020000002</v>
      </c>
      <c r="P140">
        <f t="shared" si="13"/>
        <v>26478.76</v>
      </c>
      <c r="Q140" s="4">
        <f t="shared" si="15"/>
        <v>2488.6270200000035</v>
      </c>
      <c r="R140" s="18">
        <f t="shared" si="16"/>
        <v>8.591133947572753E-2</v>
      </c>
    </row>
    <row r="141" spans="1:18" x14ac:dyDescent="0.3">
      <c r="A141" t="s">
        <v>380</v>
      </c>
      <c r="B141" s="7">
        <v>45336</v>
      </c>
      <c r="C141" s="2">
        <v>45336</v>
      </c>
      <c r="D141" s="4">
        <f t="shared" si="17"/>
        <v>0</v>
      </c>
      <c r="E141" s="4" t="str">
        <f>TEXT(Data!B141,"MMM-YYYY")</f>
        <v>May-2023</v>
      </c>
      <c r="F141" t="s">
        <v>19</v>
      </c>
      <c r="G141" t="s">
        <v>55</v>
      </c>
      <c r="H141" t="s">
        <v>49</v>
      </c>
      <c r="I141" t="s">
        <v>81</v>
      </c>
      <c r="J141" s="4">
        <v>65.930000000000007</v>
      </c>
      <c r="K141" s="8" t="str">
        <f t="shared" si="14"/>
        <v>Medium</v>
      </c>
      <c r="L141" s="4">
        <v>84.9</v>
      </c>
      <c r="M141" s="4">
        <v>0.25900000000000001</v>
      </c>
      <c r="N141" s="4">
        <v>23</v>
      </c>
      <c r="O141" s="4">
        <f t="shared" si="12"/>
        <v>35027.455319999994</v>
      </c>
      <c r="P141">
        <f t="shared" si="13"/>
        <v>1516.39</v>
      </c>
      <c r="Q141" s="4">
        <f t="shared" si="15"/>
        <v>33511.065319999994</v>
      </c>
      <c r="R141" s="18">
        <f t="shared" si="16"/>
        <v>0.95670853088964847</v>
      </c>
    </row>
    <row r="142" spans="1:18" x14ac:dyDescent="0.3">
      <c r="A142" t="s">
        <v>382</v>
      </c>
      <c r="B142" s="7">
        <v>45048</v>
      </c>
      <c r="C142" s="2">
        <v>45064</v>
      </c>
      <c r="D142" s="4">
        <f t="shared" si="17"/>
        <v>16</v>
      </c>
      <c r="E142" s="4" t="str">
        <f>TEXT(Data!B142,"MMM-YYYY")</f>
        <v>Dec-2024</v>
      </c>
      <c r="F142" t="s">
        <v>62</v>
      </c>
      <c r="G142" t="s">
        <v>40</v>
      </c>
      <c r="H142" t="s">
        <v>95</v>
      </c>
      <c r="I142" t="s">
        <v>64</v>
      </c>
      <c r="J142" s="4">
        <v>1463.92</v>
      </c>
      <c r="K142" s="8" t="str">
        <f t="shared" si="14"/>
        <v>High</v>
      </c>
      <c r="L142" s="4">
        <v>2252.2399999999998</v>
      </c>
      <c r="M142" s="4">
        <v>0.11799999999999999</v>
      </c>
      <c r="N142" s="4">
        <v>44</v>
      </c>
      <c r="O142" s="4">
        <f t="shared" si="12"/>
        <v>15179.749199999998</v>
      </c>
      <c r="P142">
        <f t="shared" si="13"/>
        <v>64412.480000000003</v>
      </c>
      <c r="Q142" s="4">
        <f t="shared" si="15"/>
        <v>-49232.730800000005</v>
      </c>
      <c r="R142" s="18">
        <f t="shared" si="16"/>
        <v>-3.2433164837795876</v>
      </c>
    </row>
    <row r="143" spans="1:18" x14ac:dyDescent="0.3">
      <c r="A143" t="s">
        <v>384</v>
      </c>
      <c r="B143" s="7">
        <v>45649</v>
      </c>
      <c r="C143" s="2">
        <v>45668</v>
      </c>
      <c r="D143" s="4">
        <f t="shared" si="17"/>
        <v>19</v>
      </c>
      <c r="E143" s="4" t="str">
        <f>TEXT(Data!B143,"MMM-YYYY")</f>
        <v>Jul-2023</v>
      </c>
      <c r="F143" t="s">
        <v>27</v>
      </c>
      <c r="G143" t="s">
        <v>20</v>
      </c>
      <c r="H143" t="s">
        <v>95</v>
      </c>
      <c r="I143" t="s">
        <v>42</v>
      </c>
      <c r="J143" s="4">
        <v>501.81</v>
      </c>
      <c r="K143" s="8" t="str">
        <f t="shared" si="14"/>
        <v>High</v>
      </c>
      <c r="L143" s="4">
        <v>921.62</v>
      </c>
      <c r="M143" s="4">
        <v>0.01</v>
      </c>
      <c r="N143" s="4">
        <v>9</v>
      </c>
      <c r="O143" s="4">
        <f t="shared" si="12"/>
        <v>16474.322700000001</v>
      </c>
      <c r="P143">
        <f t="shared" si="13"/>
        <v>4516.29</v>
      </c>
      <c r="Q143" s="4">
        <f t="shared" si="15"/>
        <v>11958.0327</v>
      </c>
      <c r="R143" s="18">
        <f t="shared" si="16"/>
        <v>0.72585883606614066</v>
      </c>
    </row>
    <row r="144" spans="1:18" x14ac:dyDescent="0.3">
      <c r="A144" t="s">
        <v>386</v>
      </c>
      <c r="B144" s="7">
        <v>45133</v>
      </c>
      <c r="C144" s="2">
        <v>45163</v>
      </c>
      <c r="D144" s="4">
        <f t="shared" si="17"/>
        <v>30</v>
      </c>
      <c r="E144" s="4" t="str">
        <f>TEXT(Data!B144,"MMM-YYYY")</f>
        <v>Jun-2024</v>
      </c>
      <c r="F144" t="s">
        <v>48</v>
      </c>
      <c r="G144" t="s">
        <v>20</v>
      </c>
      <c r="H144" t="s">
        <v>110</v>
      </c>
      <c r="I144" t="s">
        <v>81</v>
      </c>
      <c r="J144" s="4">
        <v>1261.48</v>
      </c>
      <c r="K144" s="8" t="str">
        <f t="shared" si="14"/>
        <v>High</v>
      </c>
      <c r="L144" s="4">
        <v>1643.18</v>
      </c>
      <c r="M144" s="4">
        <v>0.151</v>
      </c>
      <c r="N144" s="4">
        <v>23</v>
      </c>
      <c r="O144" s="4">
        <f t="shared" si="12"/>
        <v>27251.100119999996</v>
      </c>
      <c r="P144">
        <f t="shared" si="13"/>
        <v>29014.04</v>
      </c>
      <c r="Q144" s="4">
        <f t="shared" si="15"/>
        <v>-1762.9398800000054</v>
      </c>
      <c r="R144" s="18">
        <f t="shared" si="16"/>
        <v>-6.4692429745475011E-2</v>
      </c>
    </row>
    <row r="145" spans="1:18" x14ac:dyDescent="0.3">
      <c r="A145" t="s">
        <v>389</v>
      </c>
      <c r="B145" s="7">
        <v>45458</v>
      </c>
      <c r="C145" s="2">
        <v>45479</v>
      </c>
      <c r="D145" s="4">
        <f t="shared" si="17"/>
        <v>21</v>
      </c>
      <c r="E145" s="4" t="str">
        <f>TEXT(Data!B145,"MMM-YYYY")</f>
        <v>Jul-2023</v>
      </c>
      <c r="F145" t="s">
        <v>105</v>
      </c>
      <c r="G145" t="s">
        <v>55</v>
      </c>
      <c r="H145" t="s">
        <v>49</v>
      </c>
      <c r="I145" t="s">
        <v>30</v>
      </c>
      <c r="J145" s="4">
        <v>817.23</v>
      </c>
      <c r="K145" s="8" t="str">
        <f t="shared" si="14"/>
        <v>High</v>
      </c>
      <c r="L145" s="4">
        <v>1467.17</v>
      </c>
      <c r="M145" s="4">
        <v>0.245</v>
      </c>
      <c r="N145" s="4">
        <v>9</v>
      </c>
      <c r="O145" s="4">
        <f t="shared" si="12"/>
        <v>3655.9817999999996</v>
      </c>
      <c r="P145">
        <f t="shared" si="13"/>
        <v>7355.07</v>
      </c>
      <c r="Q145" s="4">
        <f t="shared" si="15"/>
        <v>-3699.0882000000001</v>
      </c>
      <c r="R145" s="18">
        <f t="shared" si="16"/>
        <v>-1.0117906495048745</v>
      </c>
    </row>
    <row r="146" spans="1:18" x14ac:dyDescent="0.3">
      <c r="A146" t="s">
        <v>391</v>
      </c>
      <c r="B146" s="7">
        <v>45112</v>
      </c>
      <c r="C146" s="2">
        <v>45121</v>
      </c>
      <c r="D146" s="4">
        <f t="shared" si="17"/>
        <v>9</v>
      </c>
      <c r="E146" s="4" t="str">
        <f>TEXT(Data!B146,"MMM-YYYY")</f>
        <v>Nov-2023</v>
      </c>
      <c r="F146" t="s">
        <v>105</v>
      </c>
      <c r="G146" t="s">
        <v>98</v>
      </c>
      <c r="H146" t="s">
        <v>56</v>
      </c>
      <c r="I146" t="s">
        <v>35</v>
      </c>
      <c r="J146" s="4">
        <v>578.85</v>
      </c>
      <c r="K146" s="8" t="str">
        <f t="shared" si="14"/>
        <v>High</v>
      </c>
      <c r="L146" s="4">
        <v>998.76</v>
      </c>
      <c r="M146" s="4">
        <v>8.2000000000000003E-2</v>
      </c>
      <c r="N146" s="4">
        <v>28</v>
      </c>
      <c r="O146" s="4">
        <f t="shared" si="12"/>
        <v>31331.119680000003</v>
      </c>
      <c r="P146">
        <f t="shared" si="13"/>
        <v>16207.800000000001</v>
      </c>
      <c r="Q146" s="4">
        <f t="shared" si="15"/>
        <v>15123.319680000002</v>
      </c>
      <c r="R146" s="18">
        <f t="shared" si="16"/>
        <v>0.4826932402819254</v>
      </c>
    </row>
    <row r="147" spans="1:18" x14ac:dyDescent="0.3">
      <c r="A147" t="s">
        <v>393</v>
      </c>
      <c r="B147" s="7">
        <v>45260</v>
      </c>
      <c r="C147" s="2">
        <v>45259</v>
      </c>
      <c r="D147" s="4">
        <f>DATEDIF(C147,B147, "MD")</f>
        <v>1</v>
      </c>
      <c r="E147" s="4" t="str">
        <f>TEXT(Data!B147,"MMM-YYYY")</f>
        <v>Sept-2025</v>
      </c>
      <c r="F147" t="s">
        <v>62</v>
      </c>
      <c r="G147" t="s">
        <v>40</v>
      </c>
      <c r="H147" t="s">
        <v>63</v>
      </c>
      <c r="I147" t="s">
        <v>57</v>
      </c>
      <c r="J147" s="4">
        <v>275.56</v>
      </c>
      <c r="K147" s="8" t="str">
        <f t="shared" si="14"/>
        <v>High</v>
      </c>
      <c r="L147" s="4">
        <v>630.72</v>
      </c>
      <c r="M147" s="4">
        <v>0.107</v>
      </c>
      <c r="N147" s="4">
        <v>23</v>
      </c>
      <c r="O147" s="4">
        <f t="shared" si="12"/>
        <v>42353.882679999995</v>
      </c>
      <c r="P147">
        <f t="shared" si="13"/>
        <v>6337.88</v>
      </c>
      <c r="Q147" s="4">
        <f t="shared" si="15"/>
        <v>36016.002679999998</v>
      </c>
      <c r="R147" s="18">
        <f t="shared" si="16"/>
        <v>0.85035893762361436</v>
      </c>
    </row>
    <row r="148" spans="1:18" x14ac:dyDescent="0.3">
      <c r="A148" t="s">
        <v>395</v>
      </c>
      <c r="B148" s="7">
        <v>45911</v>
      </c>
      <c r="C148" s="2">
        <v>45928</v>
      </c>
      <c r="D148" s="4">
        <f t="shared" si="17"/>
        <v>17</v>
      </c>
      <c r="E148" s="4" t="str">
        <f>TEXT(Data!B148,"MMM-YYYY")</f>
        <v>Apr-2024</v>
      </c>
      <c r="F148" t="s">
        <v>39</v>
      </c>
      <c r="G148" t="s">
        <v>55</v>
      </c>
      <c r="H148" t="s">
        <v>29</v>
      </c>
      <c r="I148" t="s">
        <v>57</v>
      </c>
      <c r="J148" s="4">
        <v>891.46</v>
      </c>
      <c r="K148" s="8" t="str">
        <f t="shared" si="14"/>
        <v>High</v>
      </c>
      <c r="L148" s="4">
        <v>728.61</v>
      </c>
      <c r="M148" s="4">
        <v>0.185</v>
      </c>
      <c r="N148" s="4">
        <v>6</v>
      </c>
      <c r="O148" s="4">
        <f t="shared" si="12"/>
        <v>49.780199999999994</v>
      </c>
      <c r="P148">
        <f t="shared" si="13"/>
        <v>5348.76</v>
      </c>
      <c r="Q148" s="4">
        <f t="shared" si="15"/>
        <v>-5298.9798000000001</v>
      </c>
      <c r="R148" s="18">
        <f t="shared" si="16"/>
        <v>-106.44753938312824</v>
      </c>
    </row>
    <row r="149" spans="1:18" x14ac:dyDescent="0.3">
      <c r="A149" t="s">
        <v>397</v>
      </c>
      <c r="B149" s="7">
        <v>45386</v>
      </c>
      <c r="C149" s="2">
        <v>45406</v>
      </c>
      <c r="D149" s="4">
        <f t="shared" si="17"/>
        <v>20</v>
      </c>
      <c r="E149" s="4" t="str">
        <f>TEXT(Data!B149,"MMM-YYYY")</f>
        <v>Sept-2023</v>
      </c>
      <c r="F149" t="s">
        <v>39</v>
      </c>
      <c r="G149" t="s">
        <v>98</v>
      </c>
      <c r="H149" t="s">
        <v>68</v>
      </c>
      <c r="I149" t="s">
        <v>81</v>
      </c>
      <c r="J149" s="4">
        <v>683.42</v>
      </c>
      <c r="K149" s="8" t="str">
        <f t="shared" si="14"/>
        <v>High</v>
      </c>
      <c r="L149" s="4">
        <v>951.51</v>
      </c>
      <c r="M149" s="4">
        <v>0</v>
      </c>
      <c r="N149" s="4">
        <v>14</v>
      </c>
      <c r="O149" s="4">
        <f t="shared" si="12"/>
        <v>31944.079999999998</v>
      </c>
      <c r="P149">
        <f t="shared" si="13"/>
        <v>9567.8799999999992</v>
      </c>
      <c r="Q149" s="4">
        <f t="shared" si="15"/>
        <v>22376.199999999997</v>
      </c>
      <c r="R149" s="18">
        <f t="shared" si="16"/>
        <v>0.7004803393930894</v>
      </c>
    </row>
    <row r="150" spans="1:18" x14ac:dyDescent="0.3">
      <c r="A150" t="s">
        <v>399</v>
      </c>
      <c r="B150" s="7">
        <v>45183</v>
      </c>
      <c r="C150" s="2">
        <v>45185</v>
      </c>
      <c r="D150" s="4">
        <f t="shared" si="17"/>
        <v>2</v>
      </c>
      <c r="E150" s="4" t="str">
        <f>TEXT(Data!B150,"MMM-YYYY")</f>
        <v>Sept-2024</v>
      </c>
      <c r="F150" t="s">
        <v>39</v>
      </c>
      <c r="G150" t="s">
        <v>98</v>
      </c>
      <c r="H150" t="s">
        <v>56</v>
      </c>
      <c r="I150" t="s">
        <v>30</v>
      </c>
      <c r="J150" s="4">
        <v>376.83</v>
      </c>
      <c r="K150" s="8" t="str">
        <f t="shared" si="14"/>
        <v>High</v>
      </c>
      <c r="L150" s="4">
        <v>732.88</v>
      </c>
      <c r="M150" s="4">
        <v>0.188</v>
      </c>
      <c r="N150" s="4">
        <v>25</v>
      </c>
      <c r="O150" s="4">
        <f t="shared" si="12"/>
        <v>5066.2710000000006</v>
      </c>
      <c r="P150">
        <f t="shared" si="13"/>
        <v>9420.75</v>
      </c>
      <c r="Q150" s="4">
        <f t="shared" si="15"/>
        <v>-4354.4789999999994</v>
      </c>
      <c r="R150" s="18">
        <f t="shared" si="16"/>
        <v>-0.85950376519534755</v>
      </c>
    </row>
    <row r="151" spans="1:18" x14ac:dyDescent="0.3">
      <c r="A151" t="s">
        <v>401</v>
      </c>
      <c r="B151" s="7">
        <v>45558</v>
      </c>
      <c r="C151" s="2">
        <v>45583</v>
      </c>
      <c r="D151" s="4">
        <f t="shared" si="17"/>
        <v>25</v>
      </c>
      <c r="E151" s="4" t="str">
        <f>TEXT(Data!B151,"MMM-YYYY")</f>
        <v>Apr-2025</v>
      </c>
      <c r="F151" t="s">
        <v>62</v>
      </c>
      <c r="G151" t="s">
        <v>28</v>
      </c>
      <c r="H151" t="s">
        <v>126</v>
      </c>
      <c r="I151" t="s">
        <v>42</v>
      </c>
      <c r="J151" s="4">
        <v>1297</v>
      </c>
      <c r="K151" s="8" t="str">
        <f t="shared" si="14"/>
        <v>High</v>
      </c>
      <c r="L151" s="4">
        <v>2411.52</v>
      </c>
      <c r="M151" s="4">
        <v>2.1000000000000001E-2</v>
      </c>
      <c r="N151" s="4">
        <v>18</v>
      </c>
      <c r="O151" s="4">
        <f t="shared" si="12"/>
        <v>57712.049999999996</v>
      </c>
      <c r="P151">
        <f t="shared" si="13"/>
        <v>23346</v>
      </c>
      <c r="Q151" s="4">
        <f t="shared" si="15"/>
        <v>34366.049999999996</v>
      </c>
      <c r="R151" s="18">
        <f t="shared" si="16"/>
        <v>0.59547442865051581</v>
      </c>
    </row>
    <row r="152" spans="1:18" x14ac:dyDescent="0.3">
      <c r="A152" t="s">
        <v>403</v>
      </c>
      <c r="B152" s="7">
        <v>45763</v>
      </c>
      <c r="C152" s="2">
        <v>45793</v>
      </c>
      <c r="D152" s="4">
        <f t="shared" si="17"/>
        <v>0</v>
      </c>
      <c r="E152" s="4" t="str">
        <f>TEXT(Data!B152,"MMM-YYYY")</f>
        <v>Jul-2023</v>
      </c>
      <c r="F152" t="s">
        <v>105</v>
      </c>
      <c r="G152" t="s">
        <v>55</v>
      </c>
      <c r="H152" t="s">
        <v>95</v>
      </c>
      <c r="I152" t="s">
        <v>30</v>
      </c>
      <c r="J152" s="4">
        <v>763.32</v>
      </c>
      <c r="K152" s="8" t="str">
        <f t="shared" si="14"/>
        <v>High</v>
      </c>
      <c r="L152" s="4">
        <v>568.29</v>
      </c>
      <c r="M152" s="4">
        <v>0.13100000000000001</v>
      </c>
      <c r="N152" s="4">
        <v>16</v>
      </c>
      <c r="O152" s="4">
        <f t="shared" si="12"/>
        <v>26608.919040000001</v>
      </c>
      <c r="P152">
        <f t="shared" si="13"/>
        <v>12213.12</v>
      </c>
      <c r="Q152" s="4">
        <f t="shared" si="15"/>
        <v>14395.79904</v>
      </c>
      <c r="R152" s="18">
        <f t="shared" si="16"/>
        <v>0.54101404940048248</v>
      </c>
    </row>
    <row r="153" spans="1:18" x14ac:dyDescent="0.3">
      <c r="A153" t="s">
        <v>405</v>
      </c>
      <c r="B153" s="7">
        <v>45110</v>
      </c>
      <c r="C153" s="2">
        <v>45130</v>
      </c>
      <c r="D153" s="4">
        <f t="shared" si="17"/>
        <v>20</v>
      </c>
      <c r="E153" s="4" t="str">
        <f>TEXT(Data!B153,"MMM-YYYY")</f>
        <v>Dec-2023</v>
      </c>
      <c r="F153" t="s">
        <v>62</v>
      </c>
      <c r="G153" t="s">
        <v>55</v>
      </c>
      <c r="H153" t="s">
        <v>84</v>
      </c>
      <c r="I153" t="s">
        <v>57</v>
      </c>
      <c r="J153" s="4">
        <v>1001.96</v>
      </c>
      <c r="K153" s="8" t="str">
        <f t="shared" si="14"/>
        <v>High</v>
      </c>
      <c r="L153" s="4">
        <v>1254.95</v>
      </c>
      <c r="M153" s="4">
        <v>4.4999999999999998E-2</v>
      </c>
      <c r="N153" s="4">
        <v>18</v>
      </c>
      <c r="O153" s="4">
        <f t="shared" si="12"/>
        <v>517.24709999999993</v>
      </c>
      <c r="P153">
        <f t="shared" si="13"/>
        <v>18035.28</v>
      </c>
      <c r="Q153" s="4">
        <f t="shared" si="15"/>
        <v>-17518.032899999998</v>
      </c>
      <c r="R153" s="18">
        <f t="shared" si="16"/>
        <v>-33.867822361884677</v>
      </c>
    </row>
    <row r="154" spans="1:18" x14ac:dyDescent="0.3">
      <c r="A154" t="s">
        <v>407</v>
      </c>
      <c r="B154" s="7">
        <v>45267</v>
      </c>
      <c r="C154" s="2">
        <v>45265</v>
      </c>
      <c r="D154" s="4">
        <f>DATEDIF(C154,B154, "MD")</f>
        <v>2</v>
      </c>
      <c r="E154" s="4" t="str">
        <f>TEXT(Data!B154,"MMM-YYYY")</f>
        <v>Feb-2024</v>
      </c>
      <c r="F154" t="s">
        <v>39</v>
      </c>
      <c r="G154" t="s">
        <v>40</v>
      </c>
      <c r="H154" t="s">
        <v>92</v>
      </c>
      <c r="I154" t="s">
        <v>30</v>
      </c>
      <c r="J154" s="4">
        <v>1097.5899999999999</v>
      </c>
      <c r="K154" s="8" t="str">
        <f t="shared" si="14"/>
        <v>High</v>
      </c>
      <c r="L154" s="4">
        <v>845.55</v>
      </c>
      <c r="M154" s="4">
        <v>0.184</v>
      </c>
      <c r="N154" s="4">
        <v>6</v>
      </c>
      <c r="O154" s="4">
        <f t="shared" si="12"/>
        <v>2454.4137600000004</v>
      </c>
      <c r="P154">
        <f t="shared" si="13"/>
        <v>6585.5399999999991</v>
      </c>
      <c r="Q154" s="4">
        <f t="shared" si="15"/>
        <v>-4131.1262399999987</v>
      </c>
      <c r="R154" s="18">
        <f t="shared" si="16"/>
        <v>-1.6831417372757875</v>
      </c>
    </row>
    <row r="155" spans="1:18" x14ac:dyDescent="0.3">
      <c r="A155" t="s">
        <v>409</v>
      </c>
      <c r="B155" s="7">
        <v>45340</v>
      </c>
      <c r="C155" s="2">
        <v>45355</v>
      </c>
      <c r="D155" s="4">
        <f t="shared" si="17"/>
        <v>15</v>
      </c>
      <c r="E155" s="4" t="str">
        <f>TEXT(Data!B155,"MMM-YYYY")</f>
        <v>Oct-2023</v>
      </c>
      <c r="F155" t="s">
        <v>27</v>
      </c>
      <c r="G155" t="s">
        <v>98</v>
      </c>
      <c r="H155" t="s">
        <v>95</v>
      </c>
      <c r="I155" t="s">
        <v>30</v>
      </c>
      <c r="J155" s="4">
        <v>928.68</v>
      </c>
      <c r="K155" s="8" t="str">
        <f t="shared" si="14"/>
        <v>High</v>
      </c>
      <c r="L155" s="4">
        <v>2145.17</v>
      </c>
      <c r="M155" s="4">
        <v>0.13600000000000001</v>
      </c>
      <c r="N155" s="4">
        <v>16</v>
      </c>
      <c r="O155" s="4">
        <f t="shared" si="12"/>
        <v>5684.1523200000001</v>
      </c>
      <c r="P155">
        <f t="shared" si="13"/>
        <v>14858.88</v>
      </c>
      <c r="Q155" s="4">
        <f t="shared" si="15"/>
        <v>-9174.72768</v>
      </c>
      <c r="R155" s="18">
        <f t="shared" si="16"/>
        <v>-1.6140889904934848</v>
      </c>
    </row>
    <row r="156" spans="1:18" x14ac:dyDescent="0.3">
      <c r="A156" t="s">
        <v>411</v>
      </c>
      <c r="B156" s="7">
        <v>45230</v>
      </c>
      <c r="C156" s="2">
        <v>45232</v>
      </c>
      <c r="D156" s="4">
        <f t="shared" si="17"/>
        <v>2</v>
      </c>
      <c r="E156" s="4" t="str">
        <f>TEXT(Data!B156,"MMM-YYYY")</f>
        <v>Aug-2024</v>
      </c>
      <c r="F156" t="s">
        <v>27</v>
      </c>
      <c r="G156" t="s">
        <v>20</v>
      </c>
      <c r="H156" t="s">
        <v>68</v>
      </c>
      <c r="I156" t="s">
        <v>81</v>
      </c>
      <c r="J156" s="4">
        <v>867.89</v>
      </c>
      <c r="K156" s="8" t="str">
        <f t="shared" si="14"/>
        <v>High</v>
      </c>
      <c r="L156" s="4">
        <v>1349.94</v>
      </c>
      <c r="M156" s="4">
        <v>0.184</v>
      </c>
      <c r="N156" s="4">
        <v>10</v>
      </c>
      <c r="O156" s="4">
        <f t="shared" si="12"/>
        <v>48.307200000000009</v>
      </c>
      <c r="P156">
        <f t="shared" si="13"/>
        <v>8678.9</v>
      </c>
      <c r="Q156" s="4">
        <f t="shared" si="15"/>
        <v>-8630.5928000000004</v>
      </c>
      <c r="R156" s="18">
        <f t="shared" si="16"/>
        <v>-178.66058889772123</v>
      </c>
    </row>
    <row r="157" spans="1:18" x14ac:dyDescent="0.3">
      <c r="A157" t="s">
        <v>413</v>
      </c>
      <c r="B157" s="7">
        <v>45511</v>
      </c>
      <c r="C157" s="2">
        <v>45521</v>
      </c>
      <c r="D157" s="4">
        <f t="shared" si="17"/>
        <v>10</v>
      </c>
      <c r="E157" s="4" t="str">
        <f>TEXT(Data!B157,"MMM-YYYY")</f>
        <v>Feb-2024</v>
      </c>
      <c r="F157" t="s">
        <v>48</v>
      </c>
      <c r="G157" t="s">
        <v>28</v>
      </c>
      <c r="H157" t="s">
        <v>95</v>
      </c>
      <c r="I157" t="s">
        <v>35</v>
      </c>
      <c r="J157" s="4">
        <v>436.58</v>
      </c>
      <c r="K157" s="8" t="str">
        <f t="shared" si="14"/>
        <v>High</v>
      </c>
      <c r="L157" s="4">
        <v>527.48</v>
      </c>
      <c r="M157" s="4">
        <v>0.111</v>
      </c>
      <c r="N157" s="4">
        <v>19</v>
      </c>
      <c r="O157" s="4">
        <f t="shared" si="12"/>
        <v>37272.187330000001</v>
      </c>
      <c r="P157">
        <f t="shared" si="13"/>
        <v>8295.02</v>
      </c>
      <c r="Q157" s="4">
        <f t="shared" si="15"/>
        <v>28977.16733</v>
      </c>
      <c r="R157" s="18">
        <f t="shared" si="16"/>
        <v>0.77744745897101064</v>
      </c>
    </row>
    <row r="158" spans="1:18" x14ac:dyDescent="0.3">
      <c r="A158" t="s">
        <v>415</v>
      </c>
      <c r="B158" s="7">
        <v>45323</v>
      </c>
      <c r="C158" s="2">
        <v>45343</v>
      </c>
      <c r="D158" s="4">
        <f t="shared" si="17"/>
        <v>20</v>
      </c>
      <c r="E158" s="4" t="str">
        <f>TEXT(Data!B158,"MMM-YYYY")</f>
        <v>Aug-2024</v>
      </c>
      <c r="F158" t="s">
        <v>62</v>
      </c>
      <c r="G158" t="s">
        <v>40</v>
      </c>
      <c r="H158" t="s">
        <v>75</v>
      </c>
      <c r="I158" t="s">
        <v>35</v>
      </c>
      <c r="J158" s="4">
        <v>656.2</v>
      </c>
      <c r="K158" s="8" t="str">
        <f t="shared" si="14"/>
        <v>High</v>
      </c>
      <c r="L158" s="4">
        <v>1467.17</v>
      </c>
      <c r="M158" s="4">
        <v>1.7999999999999999E-2</v>
      </c>
      <c r="N158" s="4">
        <v>5</v>
      </c>
      <c r="O158" s="4">
        <f t="shared" si="12"/>
        <v>9391.848</v>
      </c>
      <c r="P158">
        <f t="shared" si="13"/>
        <v>3281</v>
      </c>
      <c r="Q158" s="4">
        <f t="shared" si="15"/>
        <v>6110.848</v>
      </c>
      <c r="R158" s="18">
        <f t="shared" si="16"/>
        <v>0.65065448248310664</v>
      </c>
    </row>
    <row r="159" spans="1:18" x14ac:dyDescent="0.3">
      <c r="A159" t="s">
        <v>417</v>
      </c>
      <c r="B159" s="7">
        <v>45531</v>
      </c>
      <c r="C159" s="2">
        <v>45553</v>
      </c>
      <c r="D159" s="4">
        <f t="shared" si="17"/>
        <v>22</v>
      </c>
      <c r="E159" s="4" t="str">
        <f>TEXT(Data!B159,"MMM-YYYY")</f>
        <v>Feb-2025</v>
      </c>
      <c r="F159" t="s">
        <v>48</v>
      </c>
      <c r="G159" t="s">
        <v>98</v>
      </c>
      <c r="H159" t="s">
        <v>56</v>
      </c>
      <c r="I159" t="s">
        <v>22</v>
      </c>
      <c r="J159" s="4">
        <v>896.75</v>
      </c>
      <c r="K159" s="8" t="str">
        <f t="shared" si="14"/>
        <v>High</v>
      </c>
      <c r="L159" s="4">
        <v>1651.14</v>
      </c>
      <c r="M159" s="4">
        <v>2.5000000000000001E-2</v>
      </c>
      <c r="N159" s="4">
        <v>15</v>
      </c>
      <c r="O159" s="4">
        <f t="shared" si="12"/>
        <v>20216.283749999999</v>
      </c>
      <c r="P159">
        <f t="shared" si="13"/>
        <v>13451.25</v>
      </c>
      <c r="Q159" s="4">
        <f t="shared" si="15"/>
        <v>6765.0337499999987</v>
      </c>
      <c r="R159" s="18">
        <f t="shared" si="16"/>
        <v>0.3346329045267778</v>
      </c>
    </row>
    <row r="160" spans="1:18" x14ac:dyDescent="0.3">
      <c r="A160" t="s">
        <v>419</v>
      </c>
      <c r="B160" s="7">
        <v>45703</v>
      </c>
      <c r="C160" s="2">
        <v>45703</v>
      </c>
      <c r="D160" s="4">
        <f t="shared" si="17"/>
        <v>0</v>
      </c>
      <c r="E160" s="4" t="str">
        <f>TEXT(Data!B160,"MMM-YYYY")</f>
        <v>Aug-2025</v>
      </c>
      <c r="F160" t="s">
        <v>62</v>
      </c>
      <c r="G160" t="s">
        <v>40</v>
      </c>
      <c r="H160" t="s">
        <v>49</v>
      </c>
      <c r="I160" t="s">
        <v>81</v>
      </c>
      <c r="J160" s="4">
        <v>815.83</v>
      </c>
      <c r="K160" s="8" t="str">
        <f t="shared" si="14"/>
        <v>High</v>
      </c>
      <c r="L160" s="4">
        <v>1982.18</v>
      </c>
      <c r="M160" s="4">
        <v>0.127</v>
      </c>
      <c r="N160" s="4">
        <v>6</v>
      </c>
      <c r="O160" s="4">
        <f t="shared" si="12"/>
        <v>7100.6851799999995</v>
      </c>
      <c r="P160">
        <f t="shared" si="13"/>
        <v>4894.9800000000005</v>
      </c>
      <c r="Q160" s="4">
        <f t="shared" si="15"/>
        <v>2205.705179999999</v>
      </c>
      <c r="R160" s="18">
        <f t="shared" si="16"/>
        <v>0.31063272403804826</v>
      </c>
    </row>
    <row r="161" spans="1:18" x14ac:dyDescent="0.3">
      <c r="A161" t="s">
        <v>421</v>
      </c>
      <c r="B161" s="7">
        <v>45870</v>
      </c>
      <c r="C161" s="2">
        <v>45890</v>
      </c>
      <c r="D161" s="4">
        <f t="shared" si="17"/>
        <v>20</v>
      </c>
      <c r="E161" s="4" t="str">
        <f>TEXT(Data!B161,"MMM-YYYY")</f>
        <v>Feb-2023</v>
      </c>
      <c r="F161" t="s">
        <v>19</v>
      </c>
      <c r="G161" t="s">
        <v>98</v>
      </c>
      <c r="H161" t="s">
        <v>34</v>
      </c>
      <c r="I161" t="s">
        <v>42</v>
      </c>
      <c r="J161" s="4">
        <v>1220.4100000000001</v>
      </c>
      <c r="K161" s="8" t="str">
        <f t="shared" si="14"/>
        <v>High</v>
      </c>
      <c r="L161" s="4">
        <v>2552.2199999999998</v>
      </c>
      <c r="M161" s="4">
        <v>0.18099999999999999</v>
      </c>
      <c r="N161" s="4">
        <v>14</v>
      </c>
      <c r="O161" s="4">
        <f t="shared" si="12"/>
        <v>10180.661399999999</v>
      </c>
      <c r="P161">
        <f t="shared" si="13"/>
        <v>17085.740000000002</v>
      </c>
      <c r="Q161" s="4">
        <f t="shared" si="15"/>
        <v>-6905.0786000000026</v>
      </c>
      <c r="R161" s="18">
        <f t="shared" si="16"/>
        <v>-0.6782544206803699</v>
      </c>
    </row>
    <row r="162" spans="1:18" x14ac:dyDescent="0.3">
      <c r="A162" t="s">
        <v>423</v>
      </c>
      <c r="B162" s="7">
        <v>44977</v>
      </c>
      <c r="C162" s="2">
        <v>44989</v>
      </c>
      <c r="D162" s="4">
        <f t="shared" si="17"/>
        <v>12</v>
      </c>
      <c r="E162" s="4" t="str">
        <f>TEXT(Data!B162,"MMM-YYYY")</f>
        <v>Oct-2024</v>
      </c>
      <c r="F162" t="s">
        <v>48</v>
      </c>
      <c r="G162" t="s">
        <v>55</v>
      </c>
      <c r="H162" t="s">
        <v>110</v>
      </c>
      <c r="I162" t="s">
        <v>64</v>
      </c>
      <c r="J162" s="4">
        <v>299.75</v>
      </c>
      <c r="K162" s="8" t="str">
        <f t="shared" si="14"/>
        <v>High</v>
      </c>
      <c r="L162" s="4">
        <v>523.01</v>
      </c>
      <c r="M162" s="4">
        <v>0.157</v>
      </c>
      <c r="N162" s="4">
        <v>50</v>
      </c>
      <c r="O162" s="4">
        <f t="shared" si="12"/>
        <v>43022.083500000001</v>
      </c>
      <c r="P162">
        <f t="shared" si="13"/>
        <v>14987.5</v>
      </c>
      <c r="Q162" s="4">
        <f t="shared" si="15"/>
        <v>28034.583500000001</v>
      </c>
      <c r="R162" s="18">
        <f t="shared" si="16"/>
        <v>0.65163239943969709</v>
      </c>
    </row>
    <row r="163" spans="1:18" x14ac:dyDescent="0.3">
      <c r="A163" t="s">
        <v>425</v>
      </c>
      <c r="B163" s="7">
        <v>45595</v>
      </c>
      <c r="C163" s="2">
        <v>45620</v>
      </c>
      <c r="D163" s="4">
        <f t="shared" si="17"/>
        <v>25</v>
      </c>
      <c r="E163" s="4" t="str">
        <f>TEXT(Data!B163,"MMM-YYYY")</f>
        <v>Apr-2024</v>
      </c>
      <c r="F163" t="s">
        <v>62</v>
      </c>
      <c r="G163" t="s">
        <v>28</v>
      </c>
      <c r="H163" t="s">
        <v>63</v>
      </c>
      <c r="I163" t="s">
        <v>22</v>
      </c>
      <c r="J163" s="4">
        <v>811.05</v>
      </c>
      <c r="K163" s="8" t="str">
        <f t="shared" si="14"/>
        <v>High</v>
      </c>
      <c r="L163" s="4">
        <v>1217.71</v>
      </c>
      <c r="M163" s="4">
        <v>7.1999999999999995E-2</v>
      </c>
      <c r="N163" s="4">
        <v>5</v>
      </c>
      <c r="O163" s="4">
        <f t="shared" si="12"/>
        <v>6475.2592000000004</v>
      </c>
      <c r="P163">
        <f t="shared" si="13"/>
        <v>4055.25</v>
      </c>
      <c r="Q163" s="4">
        <f t="shared" si="15"/>
        <v>2420.0092000000004</v>
      </c>
      <c r="R163" s="18">
        <f t="shared" si="16"/>
        <v>0.37373163378540897</v>
      </c>
    </row>
    <row r="164" spans="1:18" x14ac:dyDescent="0.3">
      <c r="A164" t="s">
        <v>427</v>
      </c>
      <c r="B164" s="7">
        <v>45385</v>
      </c>
      <c r="C164" s="2">
        <v>45389</v>
      </c>
      <c r="D164" s="4">
        <f t="shared" si="17"/>
        <v>4</v>
      </c>
      <c r="E164" s="4" t="str">
        <f>TEXT(Data!B164,"MMM-YYYY")</f>
        <v>Mar-2023</v>
      </c>
      <c r="F164" t="s">
        <v>39</v>
      </c>
      <c r="G164" t="s">
        <v>98</v>
      </c>
      <c r="H164" t="s">
        <v>126</v>
      </c>
      <c r="I164" t="s">
        <v>42</v>
      </c>
      <c r="J164" s="4">
        <v>1023.27</v>
      </c>
      <c r="K164" s="8" t="str">
        <f t="shared" si="14"/>
        <v>High</v>
      </c>
      <c r="L164" s="4">
        <v>1343.64</v>
      </c>
      <c r="M164" s="4">
        <v>0.13300000000000001</v>
      </c>
      <c r="N164" s="4">
        <v>7</v>
      </c>
      <c r="O164" s="4">
        <f t="shared" si="12"/>
        <v>13797.385980000001</v>
      </c>
      <c r="P164">
        <f t="shared" si="13"/>
        <v>7162.8899999999994</v>
      </c>
      <c r="Q164" s="4">
        <f t="shared" si="15"/>
        <v>6634.4959800000015</v>
      </c>
      <c r="R164" s="18">
        <f t="shared" si="16"/>
        <v>0.48085166201895302</v>
      </c>
    </row>
    <row r="165" spans="1:18" x14ac:dyDescent="0.3">
      <c r="A165" t="s">
        <v>429</v>
      </c>
      <c r="B165" s="7">
        <v>45010</v>
      </c>
      <c r="C165" s="2">
        <v>45011</v>
      </c>
      <c r="D165" s="4">
        <f t="shared" si="17"/>
        <v>1</v>
      </c>
      <c r="E165" s="4" t="str">
        <f>TEXT(Data!B165,"MMM-YYYY")</f>
        <v>Jun-2024</v>
      </c>
      <c r="F165" t="s">
        <v>62</v>
      </c>
      <c r="G165" t="s">
        <v>55</v>
      </c>
      <c r="H165" t="s">
        <v>34</v>
      </c>
      <c r="I165" t="s">
        <v>64</v>
      </c>
      <c r="J165" s="4">
        <v>135.12</v>
      </c>
      <c r="K165" s="8" t="str">
        <f t="shared" si="14"/>
        <v>High</v>
      </c>
      <c r="L165" s="4">
        <v>301.7</v>
      </c>
      <c r="M165" s="4">
        <v>0.14000000000000001</v>
      </c>
      <c r="N165" s="4">
        <v>47</v>
      </c>
      <c r="O165" s="4">
        <f t="shared" si="12"/>
        <v>50207.703000000001</v>
      </c>
      <c r="P165">
        <f t="shared" si="13"/>
        <v>6350.64</v>
      </c>
      <c r="Q165" s="4">
        <f t="shared" si="15"/>
        <v>43857.063000000002</v>
      </c>
      <c r="R165" s="18">
        <f t="shared" si="16"/>
        <v>0.87351263609888707</v>
      </c>
    </row>
    <row r="166" spans="1:18" x14ac:dyDescent="0.3">
      <c r="A166" t="s">
        <v>431</v>
      </c>
      <c r="B166" s="7">
        <v>45447</v>
      </c>
      <c r="C166" s="2">
        <v>45459</v>
      </c>
      <c r="D166" s="4">
        <f t="shared" si="17"/>
        <v>12</v>
      </c>
      <c r="E166" s="4" t="str">
        <f>TEXT(Data!B166,"MMM-YYYY")</f>
        <v>Feb-2023</v>
      </c>
      <c r="F166" t="s">
        <v>19</v>
      </c>
      <c r="G166" t="s">
        <v>20</v>
      </c>
      <c r="H166" t="s">
        <v>29</v>
      </c>
      <c r="I166" t="s">
        <v>30</v>
      </c>
      <c r="J166" s="4">
        <v>918.42</v>
      </c>
      <c r="K166" s="8" t="str">
        <f t="shared" si="14"/>
        <v>High</v>
      </c>
      <c r="L166" s="4">
        <v>1511.71</v>
      </c>
      <c r="M166" s="4">
        <v>0.02</v>
      </c>
      <c r="N166" s="4">
        <v>8</v>
      </c>
      <c r="O166" s="4">
        <f t="shared" si="12"/>
        <v>10272.6736</v>
      </c>
      <c r="P166">
        <f t="shared" si="13"/>
        <v>7347.36</v>
      </c>
      <c r="Q166" s="4">
        <f t="shared" si="15"/>
        <v>2925.3136000000004</v>
      </c>
      <c r="R166" s="18">
        <f t="shared" si="16"/>
        <v>0.28476652855007489</v>
      </c>
    </row>
    <row r="167" spans="1:18" x14ac:dyDescent="0.3">
      <c r="A167" t="s">
        <v>433</v>
      </c>
      <c r="B167" s="7">
        <v>44976</v>
      </c>
      <c r="C167" s="2">
        <v>44997</v>
      </c>
      <c r="D167" s="4">
        <f t="shared" si="17"/>
        <v>21</v>
      </c>
      <c r="E167" s="4" t="str">
        <f>TEXT(Data!B167,"MMM-YYYY")</f>
        <v>Apr-2023</v>
      </c>
      <c r="F167" t="s">
        <v>62</v>
      </c>
      <c r="G167" t="s">
        <v>98</v>
      </c>
      <c r="H167" t="s">
        <v>49</v>
      </c>
      <c r="I167" t="s">
        <v>64</v>
      </c>
      <c r="J167" s="4">
        <v>1234.81</v>
      </c>
      <c r="K167" s="8" t="str">
        <f t="shared" si="14"/>
        <v>High</v>
      </c>
      <c r="L167" s="4">
        <v>2055.2399999999998</v>
      </c>
      <c r="M167" s="4">
        <v>5.2999999999999999E-2</v>
      </c>
      <c r="N167" s="4">
        <v>44</v>
      </c>
      <c r="O167" s="4">
        <f t="shared" si="12"/>
        <v>40303.373</v>
      </c>
      <c r="P167">
        <f t="shared" si="13"/>
        <v>54331.64</v>
      </c>
      <c r="Q167" s="4">
        <f t="shared" si="15"/>
        <v>-14028.267</v>
      </c>
      <c r="R167" s="18">
        <f t="shared" si="16"/>
        <v>-0.34806682309195314</v>
      </c>
    </row>
    <row r="168" spans="1:18" x14ac:dyDescent="0.3">
      <c r="A168" t="s">
        <v>435</v>
      </c>
      <c r="B168" s="7">
        <v>45034</v>
      </c>
      <c r="C168" s="2">
        <v>45064</v>
      </c>
      <c r="D168" s="4">
        <f t="shared" si="17"/>
        <v>0</v>
      </c>
      <c r="E168" s="4" t="str">
        <f>TEXT(Data!B168,"MMM-YYYY")</f>
        <v>May-2024</v>
      </c>
      <c r="F168" t="s">
        <v>39</v>
      </c>
      <c r="G168" t="s">
        <v>20</v>
      </c>
      <c r="H168" t="s">
        <v>92</v>
      </c>
      <c r="I168" t="s">
        <v>57</v>
      </c>
      <c r="J168" s="4">
        <v>329.03</v>
      </c>
      <c r="K168" s="8" t="str">
        <f t="shared" si="14"/>
        <v>High</v>
      </c>
      <c r="L168" s="4">
        <v>391.15</v>
      </c>
      <c r="M168" s="4">
        <v>0.19700000000000001</v>
      </c>
      <c r="N168" s="4">
        <v>46</v>
      </c>
      <c r="O168" s="4">
        <f t="shared" si="12"/>
        <v>32735.194359999998</v>
      </c>
      <c r="P168">
        <f t="shared" si="13"/>
        <v>15135.38</v>
      </c>
      <c r="Q168" s="4">
        <f t="shared" si="15"/>
        <v>17599.814359999997</v>
      </c>
      <c r="R168" s="18">
        <f t="shared" si="16"/>
        <v>0.53764196926552166</v>
      </c>
    </row>
    <row r="169" spans="1:18" x14ac:dyDescent="0.3">
      <c r="A169" t="s">
        <v>437</v>
      </c>
      <c r="B169" s="7">
        <v>45435</v>
      </c>
      <c r="C169" s="2">
        <v>45457</v>
      </c>
      <c r="D169" s="4">
        <f t="shared" si="17"/>
        <v>22</v>
      </c>
      <c r="E169" s="4" t="str">
        <f>TEXT(Data!B169,"MMM-YYYY")</f>
        <v>Oct-2023</v>
      </c>
      <c r="F169" t="s">
        <v>62</v>
      </c>
      <c r="G169" t="s">
        <v>28</v>
      </c>
      <c r="H169" t="s">
        <v>126</v>
      </c>
      <c r="I169" t="s">
        <v>64</v>
      </c>
      <c r="J169" s="4">
        <v>1481.74</v>
      </c>
      <c r="K169" s="8" t="str">
        <f t="shared" si="14"/>
        <v>High</v>
      </c>
      <c r="L169" s="4">
        <v>1848.97</v>
      </c>
      <c r="M169" s="4">
        <v>0.254</v>
      </c>
      <c r="N169" s="4">
        <v>9</v>
      </c>
      <c r="O169" s="4">
        <f t="shared" si="12"/>
        <v>5308.1555399999997</v>
      </c>
      <c r="P169">
        <f t="shared" si="13"/>
        <v>13335.66</v>
      </c>
      <c r="Q169" s="4">
        <f t="shared" si="15"/>
        <v>-8027.5044600000001</v>
      </c>
      <c r="R169" s="18">
        <f t="shared" si="16"/>
        <v>-1.5122963898680333</v>
      </c>
    </row>
    <row r="170" spans="1:18" x14ac:dyDescent="0.3">
      <c r="A170" t="s">
        <v>439</v>
      </c>
      <c r="B170" s="7">
        <v>45206</v>
      </c>
      <c r="C170" s="2">
        <v>45222</v>
      </c>
      <c r="D170" s="4">
        <f t="shared" si="17"/>
        <v>16</v>
      </c>
      <c r="E170" s="4" t="str">
        <f>TEXT(Data!B170,"MMM-YYYY")</f>
        <v>Oct-2024</v>
      </c>
      <c r="F170" t="s">
        <v>48</v>
      </c>
      <c r="G170" t="s">
        <v>20</v>
      </c>
      <c r="H170" t="s">
        <v>41</v>
      </c>
      <c r="I170" t="s">
        <v>64</v>
      </c>
      <c r="J170" s="4">
        <v>906.81</v>
      </c>
      <c r="K170" s="8" t="str">
        <f t="shared" si="14"/>
        <v>High</v>
      </c>
      <c r="L170" s="4">
        <v>1395.56</v>
      </c>
      <c r="M170" s="4">
        <v>0.185</v>
      </c>
      <c r="N170" s="4">
        <v>6</v>
      </c>
      <c r="O170" s="4">
        <f t="shared" si="12"/>
        <v>1766.9036999999998</v>
      </c>
      <c r="P170">
        <f t="shared" si="13"/>
        <v>5440.86</v>
      </c>
      <c r="Q170" s="4">
        <f t="shared" si="15"/>
        <v>-3673.9562999999998</v>
      </c>
      <c r="R170" s="18">
        <f t="shared" si="16"/>
        <v>-2.079318923832691</v>
      </c>
    </row>
    <row r="171" spans="1:18" x14ac:dyDescent="0.3">
      <c r="A171" t="s">
        <v>441</v>
      </c>
      <c r="B171" s="7">
        <v>45574</v>
      </c>
      <c r="C171" s="2">
        <v>45604</v>
      </c>
      <c r="D171" s="4">
        <f t="shared" si="17"/>
        <v>30</v>
      </c>
      <c r="E171" s="4" t="str">
        <f>TEXT(Data!B171,"MMM-YYYY")</f>
        <v>Jul-2024</v>
      </c>
      <c r="F171" t="s">
        <v>62</v>
      </c>
      <c r="G171" t="s">
        <v>55</v>
      </c>
      <c r="H171" t="s">
        <v>29</v>
      </c>
      <c r="I171" t="s">
        <v>22</v>
      </c>
      <c r="J171" s="4">
        <v>343.85</v>
      </c>
      <c r="K171" s="8" t="str">
        <f t="shared" si="14"/>
        <v>High</v>
      </c>
      <c r="L171" s="4">
        <v>538.04</v>
      </c>
      <c r="M171" s="4">
        <v>0.13900000000000001</v>
      </c>
      <c r="N171" s="4">
        <v>5</v>
      </c>
      <c r="O171" s="4">
        <f t="shared" si="12"/>
        <v>8403.5321999999996</v>
      </c>
      <c r="P171">
        <f t="shared" si="13"/>
        <v>1719.25</v>
      </c>
      <c r="Q171" s="4">
        <f t="shared" si="15"/>
        <v>6684.2821999999996</v>
      </c>
      <c r="R171" s="18">
        <f t="shared" si="16"/>
        <v>0.79541340961363838</v>
      </c>
    </row>
    <row r="172" spans="1:18" x14ac:dyDescent="0.3">
      <c r="A172" t="s">
        <v>443</v>
      </c>
      <c r="B172" s="7">
        <v>45488</v>
      </c>
      <c r="C172" s="2">
        <v>45488</v>
      </c>
      <c r="D172" s="4">
        <f t="shared" si="17"/>
        <v>0</v>
      </c>
      <c r="E172" s="4" t="str">
        <f>TEXT(Data!B172,"MMM-YYYY")</f>
        <v>Sept-2023</v>
      </c>
      <c r="F172" t="s">
        <v>62</v>
      </c>
      <c r="G172" t="s">
        <v>40</v>
      </c>
      <c r="H172" t="s">
        <v>41</v>
      </c>
      <c r="I172" t="s">
        <v>81</v>
      </c>
      <c r="J172" s="4">
        <v>801.77</v>
      </c>
      <c r="K172" s="8" t="str">
        <f t="shared" si="14"/>
        <v>High</v>
      </c>
      <c r="L172" s="4">
        <v>1218.92</v>
      </c>
      <c r="M172" s="4">
        <v>0.254</v>
      </c>
      <c r="N172" s="4">
        <v>16</v>
      </c>
      <c r="O172" s="4">
        <f t="shared" si="12"/>
        <v>18676.97536</v>
      </c>
      <c r="P172">
        <f t="shared" si="13"/>
        <v>12828.32</v>
      </c>
      <c r="Q172" s="4">
        <f t="shared" si="15"/>
        <v>5848.6553600000007</v>
      </c>
      <c r="R172" s="18">
        <f t="shared" si="16"/>
        <v>0.31314788648947495</v>
      </c>
    </row>
    <row r="173" spans="1:18" x14ac:dyDescent="0.3">
      <c r="A173" t="s">
        <v>445</v>
      </c>
      <c r="B173" s="7">
        <v>45190</v>
      </c>
      <c r="C173" s="2">
        <v>45209</v>
      </c>
      <c r="D173" s="4">
        <f t="shared" si="17"/>
        <v>19</v>
      </c>
      <c r="E173" s="4" t="str">
        <f>TEXT(Data!B173,"MMM-YYYY")</f>
        <v>Feb-2023</v>
      </c>
      <c r="F173" t="s">
        <v>27</v>
      </c>
      <c r="G173" t="s">
        <v>28</v>
      </c>
      <c r="H173" t="s">
        <v>145</v>
      </c>
      <c r="I173" t="s">
        <v>22</v>
      </c>
      <c r="J173" s="4">
        <v>845.63</v>
      </c>
      <c r="K173" s="8" t="str">
        <f t="shared" si="14"/>
        <v>High</v>
      </c>
      <c r="L173" s="4">
        <v>2062.12</v>
      </c>
      <c r="M173" s="4">
        <v>0.13400000000000001</v>
      </c>
      <c r="N173" s="4">
        <v>5</v>
      </c>
      <c r="O173" s="4">
        <f t="shared" si="12"/>
        <v>3691.4982</v>
      </c>
      <c r="P173">
        <f t="shared" si="13"/>
        <v>4228.1499999999996</v>
      </c>
      <c r="Q173" s="4">
        <f t="shared" si="15"/>
        <v>-536.65179999999964</v>
      </c>
      <c r="R173" s="18">
        <f t="shared" si="16"/>
        <v>-0.1453750674996942</v>
      </c>
    </row>
    <row r="174" spans="1:18" x14ac:dyDescent="0.3">
      <c r="A174" t="s">
        <v>447</v>
      </c>
      <c r="B174" s="7">
        <v>44981</v>
      </c>
      <c r="C174" s="2">
        <v>44994</v>
      </c>
      <c r="D174" s="4">
        <f t="shared" si="17"/>
        <v>13</v>
      </c>
      <c r="E174" s="4" t="str">
        <f>TEXT(Data!B174,"MMM-YYYY")</f>
        <v>May-2025</v>
      </c>
      <c r="F174" t="s">
        <v>105</v>
      </c>
      <c r="G174" t="s">
        <v>28</v>
      </c>
      <c r="H174" t="s">
        <v>110</v>
      </c>
      <c r="I174" t="s">
        <v>22</v>
      </c>
      <c r="J174" s="4">
        <v>6.85</v>
      </c>
      <c r="K174" s="8" t="str">
        <f t="shared" si="14"/>
        <v>Low</v>
      </c>
      <c r="L174" s="4">
        <v>10.18</v>
      </c>
      <c r="M174" s="4">
        <v>4.7E-2</v>
      </c>
      <c r="N174" s="4">
        <v>10</v>
      </c>
      <c r="O174" s="4">
        <f t="shared" si="12"/>
        <v>13964.213699999998</v>
      </c>
      <c r="P174">
        <f t="shared" si="13"/>
        <v>68.5</v>
      </c>
      <c r="Q174" s="4">
        <f t="shared" si="15"/>
        <v>13895.713699999998</v>
      </c>
      <c r="R174" s="18">
        <f t="shared" si="16"/>
        <v>0.99509460385871928</v>
      </c>
    </row>
    <row r="175" spans="1:18" x14ac:dyDescent="0.3">
      <c r="A175" t="s">
        <v>449</v>
      </c>
      <c r="B175" s="7">
        <v>45798</v>
      </c>
      <c r="C175" s="2">
        <v>45796</v>
      </c>
      <c r="D175" s="4">
        <f>DATEDIF(C175,B175, "MD")</f>
        <v>2</v>
      </c>
      <c r="E175" s="4" t="str">
        <f>TEXT(Data!B175,"MMM-YYYY")</f>
        <v>May-2024</v>
      </c>
      <c r="F175" t="s">
        <v>39</v>
      </c>
      <c r="G175" t="s">
        <v>55</v>
      </c>
      <c r="H175" t="s">
        <v>68</v>
      </c>
      <c r="I175" t="s">
        <v>57</v>
      </c>
      <c r="J175" s="4">
        <v>1263.8399999999999</v>
      </c>
      <c r="K175" s="8" t="str">
        <f t="shared" si="14"/>
        <v>High</v>
      </c>
      <c r="L175" s="4">
        <v>2281.7199999999998</v>
      </c>
      <c r="M175" s="4">
        <v>7.8E-2</v>
      </c>
      <c r="N175" s="4">
        <v>15</v>
      </c>
      <c r="O175" s="4">
        <f t="shared" si="12"/>
        <v>36583.530899999998</v>
      </c>
      <c r="P175">
        <f t="shared" si="13"/>
        <v>18957.599999999999</v>
      </c>
      <c r="Q175" s="4">
        <f t="shared" si="15"/>
        <v>17625.930899999999</v>
      </c>
      <c r="R175" s="18">
        <f t="shared" si="16"/>
        <v>0.48179960945213191</v>
      </c>
    </row>
    <row r="176" spans="1:18" x14ac:dyDescent="0.3">
      <c r="A176" t="s">
        <v>451</v>
      </c>
      <c r="B176" s="7">
        <v>45435</v>
      </c>
      <c r="C176" s="2">
        <v>45446</v>
      </c>
      <c r="D176" s="4">
        <f t="shared" si="17"/>
        <v>11</v>
      </c>
      <c r="E176" s="4" t="str">
        <f>TEXT(Data!B176,"MMM-YYYY")</f>
        <v>Apr-2025</v>
      </c>
      <c r="F176" t="s">
        <v>62</v>
      </c>
      <c r="G176" t="s">
        <v>55</v>
      </c>
      <c r="H176" t="s">
        <v>84</v>
      </c>
      <c r="I176" t="s">
        <v>30</v>
      </c>
      <c r="J176" s="4">
        <v>180.89</v>
      </c>
      <c r="K176" s="8" t="str">
        <f t="shared" si="14"/>
        <v>High</v>
      </c>
      <c r="L176" s="4">
        <v>249.57</v>
      </c>
      <c r="M176" s="4">
        <v>2.1999999999999999E-2</v>
      </c>
      <c r="N176" s="4">
        <v>8</v>
      </c>
      <c r="O176" s="4">
        <f t="shared" si="12"/>
        <v>6897.4036800000003</v>
      </c>
      <c r="P176">
        <f t="shared" si="13"/>
        <v>1447.12</v>
      </c>
      <c r="Q176" s="4">
        <f t="shared" si="15"/>
        <v>5450.2836800000005</v>
      </c>
      <c r="R176" s="18">
        <f t="shared" si="16"/>
        <v>0.79019351815000627</v>
      </c>
    </row>
    <row r="177" spans="1:18" x14ac:dyDescent="0.3">
      <c r="A177" t="s">
        <v>453</v>
      </c>
      <c r="B177" s="7">
        <v>45761</v>
      </c>
      <c r="C177" s="2">
        <v>45781</v>
      </c>
      <c r="D177" s="4">
        <f t="shared" si="17"/>
        <v>20</v>
      </c>
      <c r="E177" s="4" t="str">
        <f>TEXT(Data!B177,"MMM-YYYY")</f>
        <v>Aug-2023</v>
      </c>
      <c r="F177" t="s">
        <v>105</v>
      </c>
      <c r="G177" t="s">
        <v>40</v>
      </c>
      <c r="H177" t="s">
        <v>95</v>
      </c>
      <c r="I177" t="s">
        <v>64</v>
      </c>
      <c r="J177" s="4">
        <v>1413.87</v>
      </c>
      <c r="K177" s="8" t="str">
        <f t="shared" si="14"/>
        <v>High</v>
      </c>
      <c r="L177" s="4">
        <v>3275</v>
      </c>
      <c r="M177" s="4">
        <v>0.255</v>
      </c>
      <c r="N177" s="4">
        <v>38</v>
      </c>
      <c r="O177" s="4">
        <f t="shared" si="12"/>
        <v>17694.882399999999</v>
      </c>
      <c r="P177">
        <f t="shared" si="13"/>
        <v>53727.06</v>
      </c>
      <c r="Q177" s="4">
        <f t="shared" si="15"/>
        <v>-36032.177599999995</v>
      </c>
      <c r="R177" s="18">
        <f t="shared" si="16"/>
        <v>-2.0363050053387188</v>
      </c>
    </row>
    <row r="178" spans="1:18" x14ac:dyDescent="0.3">
      <c r="A178" t="s">
        <v>455</v>
      </c>
      <c r="B178" s="7">
        <v>45165</v>
      </c>
      <c r="C178" s="2">
        <v>45180</v>
      </c>
      <c r="D178" s="4">
        <f t="shared" si="17"/>
        <v>15</v>
      </c>
      <c r="E178" s="4" t="str">
        <f>TEXT(Data!B178,"MMM-YYYY")</f>
        <v>Feb-2024</v>
      </c>
      <c r="F178" t="s">
        <v>48</v>
      </c>
      <c r="G178" t="s">
        <v>40</v>
      </c>
      <c r="H178" t="s">
        <v>126</v>
      </c>
      <c r="I178" t="s">
        <v>30</v>
      </c>
      <c r="J178" s="4">
        <v>943.79</v>
      </c>
      <c r="K178" s="8" t="str">
        <f t="shared" si="14"/>
        <v>High</v>
      </c>
      <c r="L178" s="4">
        <v>1913.76</v>
      </c>
      <c r="M178" s="4">
        <v>9.0999999999999998E-2</v>
      </c>
      <c r="N178" s="4">
        <v>9</v>
      </c>
      <c r="O178" s="4">
        <f t="shared" si="12"/>
        <v>7960.4402400000008</v>
      </c>
      <c r="P178">
        <f t="shared" si="13"/>
        <v>8494.11</v>
      </c>
      <c r="Q178" s="4">
        <f t="shared" si="15"/>
        <v>-533.66975999999977</v>
      </c>
      <c r="R178" s="18">
        <f t="shared" si="16"/>
        <v>-6.7040231935715122E-2</v>
      </c>
    </row>
    <row r="179" spans="1:18" x14ac:dyDescent="0.3">
      <c r="A179" t="s">
        <v>457</v>
      </c>
      <c r="B179" s="7">
        <v>45325</v>
      </c>
      <c r="C179" s="2">
        <v>45343</v>
      </c>
      <c r="D179" s="4">
        <f t="shared" si="17"/>
        <v>18</v>
      </c>
      <c r="E179" s="4" t="str">
        <f>TEXT(Data!B179,"MMM-YYYY")</f>
        <v>Apr-2023</v>
      </c>
      <c r="F179" t="s">
        <v>19</v>
      </c>
      <c r="G179" t="s">
        <v>20</v>
      </c>
      <c r="H179" t="s">
        <v>92</v>
      </c>
      <c r="I179" t="s">
        <v>22</v>
      </c>
      <c r="J179" s="4">
        <v>39.229999999999997</v>
      </c>
      <c r="K179" s="8" t="str">
        <f t="shared" si="14"/>
        <v>Low</v>
      </c>
      <c r="L179" s="4">
        <v>30.09</v>
      </c>
      <c r="M179" s="4">
        <v>0.17699999999999999</v>
      </c>
      <c r="N179" s="4">
        <v>13</v>
      </c>
      <c r="O179" s="4">
        <f t="shared" si="12"/>
        <v>16533.592659999998</v>
      </c>
      <c r="P179">
        <f t="shared" si="13"/>
        <v>509.98999999999995</v>
      </c>
      <c r="Q179" s="4">
        <f t="shared" si="15"/>
        <v>16023.602659999999</v>
      </c>
      <c r="R179" s="18">
        <f t="shared" si="16"/>
        <v>0.96915431446222655</v>
      </c>
    </row>
    <row r="180" spans="1:18" x14ac:dyDescent="0.3">
      <c r="A180" t="s">
        <v>459</v>
      </c>
      <c r="B180" s="7">
        <v>45021</v>
      </c>
      <c r="C180" s="2">
        <v>45032</v>
      </c>
      <c r="D180" s="4">
        <f t="shared" si="17"/>
        <v>11</v>
      </c>
      <c r="E180" s="4" t="str">
        <f>TEXT(Data!B180,"MMM-YYYY")</f>
        <v>Aug-2025</v>
      </c>
      <c r="F180" t="s">
        <v>39</v>
      </c>
      <c r="G180" t="s">
        <v>28</v>
      </c>
      <c r="H180" t="s">
        <v>68</v>
      </c>
      <c r="I180" t="s">
        <v>64</v>
      </c>
      <c r="J180" s="4">
        <v>213.1</v>
      </c>
      <c r="K180" s="8" t="str">
        <f t="shared" si="14"/>
        <v>High</v>
      </c>
      <c r="L180" s="4">
        <v>501.31</v>
      </c>
      <c r="M180" s="4">
        <v>5.6000000000000001E-2</v>
      </c>
      <c r="N180" s="4">
        <v>15</v>
      </c>
      <c r="O180" s="4">
        <f t="shared" si="12"/>
        <v>31908.427200000002</v>
      </c>
      <c r="P180">
        <f t="shared" si="13"/>
        <v>3196.5</v>
      </c>
      <c r="Q180" s="4">
        <f t="shared" si="15"/>
        <v>28711.927200000002</v>
      </c>
      <c r="R180" s="18">
        <f t="shared" si="16"/>
        <v>0.89982270263700115</v>
      </c>
    </row>
    <row r="181" spans="1:18" x14ac:dyDescent="0.3">
      <c r="A181" t="s">
        <v>461</v>
      </c>
      <c r="B181" s="7">
        <v>45890</v>
      </c>
      <c r="C181" s="2">
        <v>45912</v>
      </c>
      <c r="D181" s="4">
        <f t="shared" si="17"/>
        <v>22</v>
      </c>
      <c r="E181" s="4" t="str">
        <f>TEXT(Data!B181,"MMM-YYYY")</f>
        <v>Sept-2025</v>
      </c>
      <c r="F181" t="s">
        <v>27</v>
      </c>
      <c r="G181" t="s">
        <v>20</v>
      </c>
      <c r="H181" t="s">
        <v>56</v>
      </c>
      <c r="I181" t="s">
        <v>30</v>
      </c>
      <c r="J181" s="4">
        <v>352.66</v>
      </c>
      <c r="K181" s="8" t="str">
        <f t="shared" si="14"/>
        <v>High</v>
      </c>
      <c r="L181" s="4">
        <v>411.18</v>
      </c>
      <c r="M181" s="4">
        <v>0.17299999999999999</v>
      </c>
      <c r="N181" s="4">
        <v>13</v>
      </c>
      <c r="O181" s="4">
        <f t="shared" si="12"/>
        <v>26302.966559999997</v>
      </c>
      <c r="P181">
        <f t="shared" si="13"/>
        <v>4584.58</v>
      </c>
      <c r="Q181" s="4">
        <f t="shared" si="15"/>
        <v>21718.386559999999</v>
      </c>
      <c r="R181" s="18">
        <f t="shared" si="16"/>
        <v>0.82570102921501043</v>
      </c>
    </row>
    <row r="182" spans="1:18" x14ac:dyDescent="0.3">
      <c r="A182" t="s">
        <v>463</v>
      </c>
      <c r="B182" s="7">
        <v>45915</v>
      </c>
      <c r="C182" s="2">
        <v>45918</v>
      </c>
      <c r="D182" s="4">
        <f t="shared" si="17"/>
        <v>3</v>
      </c>
      <c r="E182" s="4" t="str">
        <f>TEXT(Data!B182,"MMM-YYYY")</f>
        <v>Oct-2024</v>
      </c>
      <c r="F182" t="s">
        <v>39</v>
      </c>
      <c r="G182" t="s">
        <v>98</v>
      </c>
      <c r="H182" t="s">
        <v>49</v>
      </c>
      <c r="I182" t="s">
        <v>81</v>
      </c>
      <c r="J182" s="4">
        <v>5.5</v>
      </c>
      <c r="K182" s="8" t="str">
        <f t="shared" si="14"/>
        <v>Low</v>
      </c>
      <c r="L182" s="4">
        <v>5.92</v>
      </c>
      <c r="M182" s="4">
        <v>0.21199999999999999</v>
      </c>
      <c r="N182" s="4">
        <v>4</v>
      </c>
      <c r="O182" s="4">
        <f t="shared" si="12"/>
        <v>593.52160000000003</v>
      </c>
      <c r="P182">
        <f t="shared" si="13"/>
        <v>22</v>
      </c>
      <c r="Q182" s="4">
        <f t="shared" si="15"/>
        <v>571.52160000000003</v>
      </c>
      <c r="R182" s="18">
        <f t="shared" si="16"/>
        <v>0.96293310976382329</v>
      </c>
    </row>
    <row r="183" spans="1:18" x14ac:dyDescent="0.3">
      <c r="A183" t="s">
        <v>465</v>
      </c>
      <c r="B183" s="7">
        <v>45568</v>
      </c>
      <c r="C183" s="2">
        <v>45576</v>
      </c>
      <c r="D183" s="4">
        <f t="shared" si="17"/>
        <v>8</v>
      </c>
      <c r="E183" s="4" t="str">
        <f>TEXT(Data!B183,"MMM-YYYY")</f>
        <v>Feb-2025</v>
      </c>
      <c r="F183" t="s">
        <v>105</v>
      </c>
      <c r="G183" t="s">
        <v>98</v>
      </c>
      <c r="H183" t="s">
        <v>56</v>
      </c>
      <c r="I183" t="s">
        <v>42</v>
      </c>
      <c r="J183" s="4">
        <v>1132.6099999999999</v>
      </c>
      <c r="K183" s="8" t="str">
        <f t="shared" si="14"/>
        <v>High</v>
      </c>
      <c r="L183" s="4">
        <v>2206.63</v>
      </c>
      <c r="M183" s="4">
        <v>6.3E-2</v>
      </c>
      <c r="N183" s="4">
        <v>20</v>
      </c>
      <c r="O183" s="4">
        <f t="shared" si="12"/>
        <v>48027.621600000006</v>
      </c>
      <c r="P183">
        <f t="shared" si="13"/>
        <v>22652.199999999997</v>
      </c>
      <c r="Q183" s="4">
        <f t="shared" si="15"/>
        <v>25375.421600000009</v>
      </c>
      <c r="R183" s="18">
        <f t="shared" si="16"/>
        <v>0.52835057732694402</v>
      </c>
    </row>
    <row r="184" spans="1:18" x14ac:dyDescent="0.3">
      <c r="A184" t="s">
        <v>467</v>
      </c>
      <c r="B184" s="7">
        <v>45690</v>
      </c>
      <c r="C184" s="2">
        <v>45720</v>
      </c>
      <c r="D184" s="4">
        <f t="shared" si="17"/>
        <v>2</v>
      </c>
      <c r="E184" s="4" t="str">
        <f>TEXT(Data!B184,"MMM-YYYY")</f>
        <v>Aug-2023</v>
      </c>
      <c r="F184" t="s">
        <v>27</v>
      </c>
      <c r="G184" t="s">
        <v>55</v>
      </c>
      <c r="H184" t="s">
        <v>49</v>
      </c>
      <c r="I184" t="s">
        <v>81</v>
      </c>
      <c r="J184" s="4">
        <v>766.59</v>
      </c>
      <c r="K184" s="8" t="str">
        <f t="shared" si="14"/>
        <v>High</v>
      </c>
      <c r="L184" s="4">
        <v>1912.8</v>
      </c>
      <c r="M184" s="4">
        <v>0.19600000000000001</v>
      </c>
      <c r="N184" s="4">
        <v>5</v>
      </c>
      <c r="O184" s="4">
        <f t="shared" si="12"/>
        <v>7256.5421999999999</v>
      </c>
      <c r="P184">
        <f t="shared" si="13"/>
        <v>3832.9500000000003</v>
      </c>
      <c r="Q184" s="4">
        <f t="shared" si="15"/>
        <v>3423.5921999999996</v>
      </c>
      <c r="R184" s="18">
        <f t="shared" si="16"/>
        <v>0.47179388001078526</v>
      </c>
    </row>
    <row r="185" spans="1:18" x14ac:dyDescent="0.3">
      <c r="A185" t="s">
        <v>469</v>
      </c>
      <c r="B185" s="7">
        <v>45157</v>
      </c>
      <c r="C185" s="2">
        <v>45161</v>
      </c>
      <c r="D185" s="4">
        <f t="shared" si="17"/>
        <v>4</v>
      </c>
      <c r="E185" s="4" t="str">
        <f>TEXT(Data!B185,"MMM-YYYY")</f>
        <v>Oct-2024</v>
      </c>
      <c r="F185" t="s">
        <v>62</v>
      </c>
      <c r="G185" t="s">
        <v>28</v>
      </c>
      <c r="H185" t="s">
        <v>29</v>
      </c>
      <c r="I185" t="s">
        <v>64</v>
      </c>
      <c r="J185" s="4">
        <v>790.63</v>
      </c>
      <c r="K185" s="8" t="str">
        <f t="shared" si="14"/>
        <v>High</v>
      </c>
      <c r="L185" s="4">
        <v>1382.31</v>
      </c>
      <c r="M185" s="4">
        <v>0.10100000000000001</v>
      </c>
      <c r="N185" s="4">
        <v>7</v>
      </c>
      <c r="O185" s="4">
        <f t="shared" si="12"/>
        <v>12999.63889</v>
      </c>
      <c r="P185">
        <f t="shared" si="13"/>
        <v>5534.41</v>
      </c>
      <c r="Q185" s="4">
        <f t="shared" si="15"/>
        <v>7465.2288900000003</v>
      </c>
      <c r="R185" s="18">
        <f t="shared" si="16"/>
        <v>0.57426432789164961</v>
      </c>
    </row>
    <row r="186" spans="1:18" x14ac:dyDescent="0.3">
      <c r="A186" t="s">
        <v>471</v>
      </c>
      <c r="B186" s="7">
        <v>45587</v>
      </c>
      <c r="C186" s="2">
        <v>45594</v>
      </c>
      <c r="D186" s="4">
        <f t="shared" si="17"/>
        <v>7</v>
      </c>
      <c r="E186" s="4" t="str">
        <f>TEXT(Data!B186,"MMM-YYYY")</f>
        <v>Jun-2023</v>
      </c>
      <c r="F186" t="s">
        <v>105</v>
      </c>
      <c r="G186" t="s">
        <v>55</v>
      </c>
      <c r="H186" t="s">
        <v>110</v>
      </c>
      <c r="I186" t="s">
        <v>64</v>
      </c>
      <c r="J186" s="4">
        <v>1023.06</v>
      </c>
      <c r="K186" s="8" t="str">
        <f t="shared" si="14"/>
        <v>High</v>
      </c>
      <c r="L186" s="4">
        <v>1355.61</v>
      </c>
      <c r="M186" s="4">
        <v>0.153</v>
      </c>
      <c r="N186" s="4">
        <v>23</v>
      </c>
      <c r="O186" s="4">
        <f t="shared" si="12"/>
        <v>46101.981310000003</v>
      </c>
      <c r="P186">
        <f t="shared" si="13"/>
        <v>23530.379999999997</v>
      </c>
      <c r="Q186" s="4">
        <f t="shared" si="15"/>
        <v>22571.601310000005</v>
      </c>
      <c r="R186" s="18">
        <f t="shared" si="16"/>
        <v>0.4896015457171683</v>
      </c>
    </row>
    <row r="187" spans="1:18" x14ac:dyDescent="0.3">
      <c r="A187" t="s">
        <v>473</v>
      </c>
      <c r="B187" s="7">
        <v>45099</v>
      </c>
      <c r="C187" s="2">
        <v>45128</v>
      </c>
      <c r="D187" s="4">
        <f t="shared" si="17"/>
        <v>29</v>
      </c>
      <c r="E187" s="4" t="str">
        <f>TEXT(Data!B187,"MMM-YYYY")</f>
        <v>Jan-2025</v>
      </c>
      <c r="F187" t="s">
        <v>19</v>
      </c>
      <c r="G187" t="s">
        <v>20</v>
      </c>
      <c r="H187" t="s">
        <v>29</v>
      </c>
      <c r="I187" t="s">
        <v>81</v>
      </c>
      <c r="J187" s="4">
        <v>734.34</v>
      </c>
      <c r="K187" s="8" t="str">
        <f t="shared" si="14"/>
        <v>High</v>
      </c>
      <c r="L187" s="4">
        <v>887.9</v>
      </c>
      <c r="M187" s="4">
        <v>2.5000000000000001E-2</v>
      </c>
      <c r="N187" s="4">
        <v>12</v>
      </c>
      <c r="O187" s="4">
        <f t="shared" si="12"/>
        <v>1541.5919999999999</v>
      </c>
      <c r="P187">
        <f t="shared" si="13"/>
        <v>8812.08</v>
      </c>
      <c r="Q187" s="4">
        <f t="shared" si="15"/>
        <v>-7270.4880000000003</v>
      </c>
      <c r="R187" s="18">
        <f t="shared" si="16"/>
        <v>-4.7162206342534221</v>
      </c>
    </row>
    <row r="188" spans="1:18" x14ac:dyDescent="0.3">
      <c r="A188" t="s">
        <v>475</v>
      </c>
      <c r="B188" s="7">
        <v>45670</v>
      </c>
      <c r="C188" s="2">
        <v>45696</v>
      </c>
      <c r="D188" s="4">
        <f t="shared" si="17"/>
        <v>26</v>
      </c>
      <c r="E188" s="4" t="str">
        <f>TEXT(Data!B188,"MMM-YYYY")</f>
        <v>Jan-2023</v>
      </c>
      <c r="F188" t="s">
        <v>39</v>
      </c>
      <c r="G188" t="s">
        <v>1364</v>
      </c>
      <c r="H188" t="s">
        <v>63</v>
      </c>
      <c r="I188" t="s">
        <v>64</v>
      </c>
      <c r="J188" s="4">
        <v>594.74</v>
      </c>
      <c r="K188" s="8" t="str">
        <f t="shared" si="14"/>
        <v>High</v>
      </c>
      <c r="L188" s="4">
        <v>1020.69</v>
      </c>
      <c r="M188" s="4">
        <v>0.21099999999999999</v>
      </c>
      <c r="N188" s="4">
        <v>6</v>
      </c>
      <c r="O188" s="4">
        <f t="shared" si="12"/>
        <v>6319.9846800000005</v>
      </c>
      <c r="P188">
        <f t="shared" si="13"/>
        <v>3568.44</v>
      </c>
      <c r="Q188" s="4">
        <f t="shared" si="15"/>
        <v>2751.5446800000004</v>
      </c>
      <c r="R188" s="18">
        <f t="shared" si="16"/>
        <v>0.43537204903477711</v>
      </c>
    </row>
    <row r="189" spans="1:18" x14ac:dyDescent="0.3">
      <c r="A189" t="s">
        <v>360</v>
      </c>
      <c r="B189" s="7">
        <v>44955</v>
      </c>
      <c r="C189" s="2">
        <v>44985</v>
      </c>
      <c r="D189" s="4">
        <f t="shared" si="17"/>
        <v>30</v>
      </c>
      <c r="E189" s="4" t="str">
        <f>TEXT(Data!B189,"MMM-YYYY")</f>
        <v>Jul-2023</v>
      </c>
      <c r="F189" t="s">
        <v>39</v>
      </c>
      <c r="G189" t="s">
        <v>20</v>
      </c>
      <c r="H189" t="s">
        <v>56</v>
      </c>
      <c r="I189" t="s">
        <v>81</v>
      </c>
      <c r="J189" s="4">
        <v>1262.0999999999999</v>
      </c>
      <c r="K189" s="8" t="str">
        <f t="shared" si="14"/>
        <v>High</v>
      </c>
      <c r="L189" s="4">
        <v>1395.53</v>
      </c>
      <c r="M189" s="4">
        <v>0.23300000000000001</v>
      </c>
      <c r="N189" s="4">
        <v>25</v>
      </c>
      <c r="O189" s="4">
        <f t="shared" si="12"/>
        <v>51608.553749999999</v>
      </c>
      <c r="P189">
        <f t="shared" si="13"/>
        <v>31552.499999999996</v>
      </c>
      <c r="Q189" s="4">
        <f t="shared" si="15"/>
        <v>20056.053750000003</v>
      </c>
      <c r="R189" s="18">
        <f t="shared" si="16"/>
        <v>0.38861879073679723</v>
      </c>
    </row>
    <row r="190" spans="1:18" x14ac:dyDescent="0.3">
      <c r="A190" t="s">
        <v>478</v>
      </c>
      <c r="B190" s="7">
        <v>45126</v>
      </c>
      <c r="C190" s="2">
        <v>45138</v>
      </c>
      <c r="D190" s="4">
        <f t="shared" si="17"/>
        <v>12</v>
      </c>
      <c r="E190" s="4" t="str">
        <f>TEXT(Data!B190,"MMM-YYYY")</f>
        <v>May-2024</v>
      </c>
      <c r="F190" t="s">
        <v>19</v>
      </c>
      <c r="G190" t="s">
        <v>20</v>
      </c>
      <c r="H190" t="s">
        <v>21</v>
      </c>
      <c r="I190" t="s">
        <v>64</v>
      </c>
      <c r="J190" s="4">
        <v>1334.64</v>
      </c>
      <c r="K190" s="8" t="str">
        <f t="shared" si="14"/>
        <v>High</v>
      </c>
      <c r="L190" s="4">
        <v>2273.42</v>
      </c>
      <c r="M190" s="4">
        <v>0.11799999999999999</v>
      </c>
      <c r="N190" s="4">
        <v>14</v>
      </c>
      <c r="O190" s="4">
        <f t="shared" si="12"/>
        <v>9587.7280800000008</v>
      </c>
      <c r="P190">
        <f t="shared" si="13"/>
        <v>18684.960000000003</v>
      </c>
      <c r="Q190" s="4">
        <f t="shared" si="15"/>
        <v>-9097.231920000002</v>
      </c>
      <c r="R190" s="18">
        <f t="shared" si="16"/>
        <v>-0.94884125249409468</v>
      </c>
    </row>
    <row r="191" spans="1:18" x14ac:dyDescent="0.3">
      <c r="A191" t="s">
        <v>480</v>
      </c>
      <c r="B191" s="7">
        <v>45431</v>
      </c>
      <c r="C191" s="2">
        <v>45451</v>
      </c>
      <c r="D191" s="4">
        <f t="shared" si="17"/>
        <v>20</v>
      </c>
      <c r="E191" s="4" t="str">
        <f>TEXT(Data!B191,"MMM-YYYY")</f>
        <v>Feb-2024</v>
      </c>
      <c r="F191" t="s">
        <v>62</v>
      </c>
      <c r="G191" t="s">
        <v>20</v>
      </c>
      <c r="H191" t="s">
        <v>63</v>
      </c>
      <c r="I191" t="s">
        <v>64</v>
      </c>
      <c r="J191" s="4">
        <v>1075.9000000000001</v>
      </c>
      <c r="K191" s="8" t="str">
        <f t="shared" si="14"/>
        <v>High</v>
      </c>
      <c r="L191" s="4">
        <v>1242.1500000000001</v>
      </c>
      <c r="M191" s="4">
        <v>1.2E-2</v>
      </c>
      <c r="N191" s="4">
        <v>7</v>
      </c>
      <c r="O191" s="4">
        <f t="shared" si="12"/>
        <v>2200.4637200000002</v>
      </c>
      <c r="P191">
        <f t="shared" si="13"/>
        <v>7531.3000000000011</v>
      </c>
      <c r="Q191" s="4">
        <f t="shared" si="15"/>
        <v>-5330.8362800000014</v>
      </c>
      <c r="R191" s="18">
        <f t="shared" si="16"/>
        <v>-2.4225967606500691</v>
      </c>
    </row>
    <row r="192" spans="1:18" x14ac:dyDescent="0.3">
      <c r="A192" t="s">
        <v>482</v>
      </c>
      <c r="B192" s="7">
        <v>45325</v>
      </c>
      <c r="C192" s="2">
        <v>45341</v>
      </c>
      <c r="D192" s="4">
        <f t="shared" si="17"/>
        <v>16</v>
      </c>
      <c r="E192" s="4" t="str">
        <f>TEXT(Data!B192,"MMM-YYYY")</f>
        <v>Aug-2023</v>
      </c>
      <c r="F192" t="s">
        <v>62</v>
      </c>
      <c r="G192" t="s">
        <v>28</v>
      </c>
      <c r="H192" t="s">
        <v>92</v>
      </c>
      <c r="I192" t="s">
        <v>57</v>
      </c>
      <c r="J192" s="4">
        <v>993.75</v>
      </c>
      <c r="K192" s="8" t="str">
        <f t="shared" si="14"/>
        <v>High</v>
      </c>
      <c r="L192" s="4">
        <v>1310.29</v>
      </c>
      <c r="M192" s="4">
        <v>0.215</v>
      </c>
      <c r="N192" s="4">
        <v>19</v>
      </c>
      <c r="O192" s="4">
        <f t="shared" si="12"/>
        <v>18590.205150000002</v>
      </c>
      <c r="P192">
        <f t="shared" si="13"/>
        <v>18881.25</v>
      </c>
      <c r="Q192" s="4">
        <f t="shared" si="15"/>
        <v>-291.04484999999841</v>
      </c>
      <c r="R192" s="18">
        <f t="shared" si="16"/>
        <v>-1.5655817009636301E-2</v>
      </c>
    </row>
    <row r="193" spans="1:18" x14ac:dyDescent="0.3">
      <c r="A193" t="s">
        <v>484</v>
      </c>
      <c r="B193" s="7">
        <v>45146</v>
      </c>
      <c r="C193" s="2">
        <v>45160</v>
      </c>
      <c r="D193" s="4">
        <f t="shared" si="17"/>
        <v>14</v>
      </c>
      <c r="E193" s="4" t="str">
        <f>TEXT(Data!B193,"MMM-YYYY")</f>
        <v>Aug-2024</v>
      </c>
      <c r="F193" t="s">
        <v>39</v>
      </c>
      <c r="G193" t="s">
        <v>98</v>
      </c>
      <c r="H193" t="s">
        <v>126</v>
      </c>
      <c r="I193" t="s">
        <v>64</v>
      </c>
      <c r="J193" s="4">
        <v>446.69</v>
      </c>
      <c r="K193" s="8" t="str">
        <f t="shared" si="14"/>
        <v>High</v>
      </c>
      <c r="L193" s="4">
        <v>967.25</v>
      </c>
      <c r="M193" s="4">
        <v>9.4E-2</v>
      </c>
      <c r="N193" s="4">
        <v>10</v>
      </c>
      <c r="O193" s="4">
        <f t="shared" si="12"/>
        <v>3143.4576000000002</v>
      </c>
      <c r="P193">
        <f t="shared" si="13"/>
        <v>4466.8999999999996</v>
      </c>
      <c r="Q193" s="4">
        <f t="shared" si="15"/>
        <v>-1323.4423999999995</v>
      </c>
      <c r="R193" s="18">
        <f t="shared" si="16"/>
        <v>-0.42101487228585471</v>
      </c>
    </row>
    <row r="194" spans="1:18" x14ac:dyDescent="0.3">
      <c r="A194" t="s">
        <v>486</v>
      </c>
      <c r="B194" s="7">
        <v>45516</v>
      </c>
      <c r="C194" s="2">
        <v>45538</v>
      </c>
      <c r="D194" s="4">
        <f t="shared" si="17"/>
        <v>22</v>
      </c>
      <c r="E194" s="4" t="str">
        <f>TEXT(Data!B194,"MMM-YYYY")</f>
        <v>Oct-2023</v>
      </c>
      <c r="F194" t="s">
        <v>48</v>
      </c>
      <c r="G194" t="s">
        <v>55</v>
      </c>
      <c r="H194" t="s">
        <v>34</v>
      </c>
      <c r="I194" t="s">
        <v>57</v>
      </c>
      <c r="J194" s="4">
        <v>797.8</v>
      </c>
      <c r="K194" s="8" t="str">
        <f t="shared" si="14"/>
        <v>High</v>
      </c>
      <c r="L194" s="4">
        <v>886.22</v>
      </c>
      <c r="M194" s="4">
        <v>0.23599999999999999</v>
      </c>
      <c r="N194" s="4">
        <v>36</v>
      </c>
      <c r="O194" s="4">
        <f t="shared" ref="O194:O257" si="18">(L220*N194)*(1-M194)</f>
        <v>13882.919040000001</v>
      </c>
      <c r="P194">
        <f t="shared" ref="P194:P257" si="19">(J194*N194)</f>
        <v>28720.799999999999</v>
      </c>
      <c r="Q194" s="4">
        <f t="shared" si="15"/>
        <v>-14837.880959999999</v>
      </c>
      <c r="R194" s="18">
        <f t="shared" si="16"/>
        <v>-1.06878682482038</v>
      </c>
    </row>
    <row r="195" spans="1:18" x14ac:dyDescent="0.3">
      <c r="A195" t="s">
        <v>488</v>
      </c>
      <c r="B195" s="7">
        <v>45214</v>
      </c>
      <c r="C195" s="2">
        <v>45243</v>
      </c>
      <c r="D195" s="4">
        <f t="shared" si="17"/>
        <v>29</v>
      </c>
      <c r="E195" s="4" t="str">
        <f>TEXT(Data!B195,"MMM-YYYY")</f>
        <v>May-2023</v>
      </c>
      <c r="F195" t="s">
        <v>39</v>
      </c>
      <c r="G195" t="s">
        <v>55</v>
      </c>
      <c r="H195" t="s">
        <v>29</v>
      </c>
      <c r="I195" t="s">
        <v>30</v>
      </c>
      <c r="J195" s="4">
        <v>986.44</v>
      </c>
      <c r="K195" s="8" t="str">
        <f t="shared" ref="K195:K258" si="20">IF(L195&lt;50, "Low", IF(L195&lt;200, "Medium", "High"))</f>
        <v>High</v>
      </c>
      <c r="L195" s="4">
        <v>790.61</v>
      </c>
      <c r="M195" s="4">
        <v>7.1999999999999995E-2</v>
      </c>
      <c r="N195" s="4">
        <v>6</v>
      </c>
      <c r="O195" s="4">
        <f t="shared" si="18"/>
        <v>5219.7772800000002</v>
      </c>
      <c r="P195">
        <f t="shared" si="19"/>
        <v>5918.64</v>
      </c>
      <c r="Q195" s="4">
        <f t="shared" ref="Q195:Q258" si="21">(O195-P195)</f>
        <v>-698.86272000000008</v>
      </c>
      <c r="R195" s="18">
        <f t="shared" ref="R195:R258" si="22">(Q195/O195)</f>
        <v>-0.13388745965804888</v>
      </c>
    </row>
    <row r="196" spans="1:18" x14ac:dyDescent="0.3">
      <c r="A196" t="s">
        <v>490</v>
      </c>
      <c r="B196" s="7">
        <v>45050</v>
      </c>
      <c r="C196" s="2">
        <v>45072</v>
      </c>
      <c r="D196" s="4">
        <f t="shared" ref="D196:D259" si="23">DATEDIF(B196,C196, "MD")</f>
        <v>22</v>
      </c>
      <c r="E196" s="4" t="str">
        <f>TEXT(Data!B196,"MMM-YYYY")</f>
        <v>Sept-2024</v>
      </c>
      <c r="F196" t="s">
        <v>105</v>
      </c>
      <c r="G196" t="s">
        <v>28</v>
      </c>
      <c r="H196" t="s">
        <v>29</v>
      </c>
      <c r="I196" t="s">
        <v>35</v>
      </c>
      <c r="J196" s="4">
        <v>249.71</v>
      </c>
      <c r="K196" s="8" t="str">
        <f t="shared" si="20"/>
        <v>High</v>
      </c>
      <c r="L196" s="4">
        <v>361.33</v>
      </c>
      <c r="M196" s="4">
        <v>9.4E-2</v>
      </c>
      <c r="N196" s="4">
        <v>12</v>
      </c>
      <c r="O196" s="4">
        <f t="shared" si="18"/>
        <v>14139.90576</v>
      </c>
      <c r="P196">
        <f t="shared" si="19"/>
        <v>2996.52</v>
      </c>
      <c r="Q196" s="4">
        <f t="shared" si="21"/>
        <v>11143.385759999999</v>
      </c>
      <c r="R196" s="18">
        <f t="shared" si="22"/>
        <v>0.7880806243789279</v>
      </c>
    </row>
    <row r="197" spans="1:18" x14ac:dyDescent="0.3">
      <c r="A197" t="s">
        <v>492</v>
      </c>
      <c r="B197" s="7">
        <v>45557</v>
      </c>
      <c r="C197" s="2">
        <v>45566</v>
      </c>
      <c r="D197" s="4">
        <f t="shared" si="23"/>
        <v>9</v>
      </c>
      <c r="E197" s="4" t="str">
        <f>TEXT(Data!B197,"MMM-YYYY")</f>
        <v>Oct-2024</v>
      </c>
      <c r="F197" t="s">
        <v>39</v>
      </c>
      <c r="G197" t="s">
        <v>28</v>
      </c>
      <c r="H197" t="s">
        <v>95</v>
      </c>
      <c r="I197" t="s">
        <v>64</v>
      </c>
      <c r="J197" s="4">
        <v>1378.8</v>
      </c>
      <c r="K197" s="8" t="str">
        <f t="shared" si="20"/>
        <v>High</v>
      </c>
      <c r="L197" s="4">
        <v>1952.04</v>
      </c>
      <c r="M197" s="4">
        <v>0.159</v>
      </c>
      <c r="N197" s="4">
        <v>19</v>
      </c>
      <c r="O197" s="4">
        <f t="shared" si="18"/>
        <v>3645.6088500000001</v>
      </c>
      <c r="P197">
        <f t="shared" si="19"/>
        <v>26197.200000000001</v>
      </c>
      <c r="Q197" s="4">
        <f t="shared" si="21"/>
        <v>-22551.59115</v>
      </c>
      <c r="R197" s="18">
        <f t="shared" si="22"/>
        <v>-6.1859601723317077</v>
      </c>
    </row>
    <row r="198" spans="1:18" x14ac:dyDescent="0.3">
      <c r="A198" t="s">
        <v>494</v>
      </c>
      <c r="B198" s="7">
        <v>45588</v>
      </c>
      <c r="C198" s="2">
        <v>45610</v>
      </c>
      <c r="D198" s="4">
        <f t="shared" si="23"/>
        <v>22</v>
      </c>
      <c r="E198" s="4" t="str">
        <f>TEXT(Data!B198,"MMM-YYYY")</f>
        <v>Feb-2024</v>
      </c>
      <c r="F198" t="s">
        <v>39</v>
      </c>
      <c r="G198" t="s">
        <v>98</v>
      </c>
      <c r="H198" t="s">
        <v>56</v>
      </c>
      <c r="I198" t="s">
        <v>42</v>
      </c>
      <c r="J198" s="4">
        <v>1406.4</v>
      </c>
      <c r="K198" s="8" t="str">
        <f t="shared" si="20"/>
        <v>High</v>
      </c>
      <c r="L198" s="4">
        <v>1564.76</v>
      </c>
      <c r="M198" s="4">
        <v>0.185</v>
      </c>
      <c r="N198" s="4">
        <v>17</v>
      </c>
      <c r="O198" s="4">
        <f t="shared" si="18"/>
        <v>6879.2846</v>
      </c>
      <c r="P198">
        <f t="shared" si="19"/>
        <v>23908.800000000003</v>
      </c>
      <c r="Q198" s="4">
        <f t="shared" si="21"/>
        <v>-17029.515400000004</v>
      </c>
      <c r="R198" s="18">
        <f t="shared" si="22"/>
        <v>-2.4754776681284567</v>
      </c>
    </row>
    <row r="199" spans="1:18" x14ac:dyDescent="0.3">
      <c r="A199" t="s">
        <v>496</v>
      </c>
      <c r="B199" s="7">
        <v>45333</v>
      </c>
      <c r="C199" s="2">
        <v>45354</v>
      </c>
      <c r="D199" s="4">
        <f t="shared" si="23"/>
        <v>21</v>
      </c>
      <c r="E199" s="4" t="str">
        <f>TEXT(Data!B199,"MMM-YYYY")</f>
        <v>Jan-2023</v>
      </c>
      <c r="F199" t="s">
        <v>105</v>
      </c>
      <c r="G199" t="s">
        <v>28</v>
      </c>
      <c r="H199" t="s">
        <v>56</v>
      </c>
      <c r="I199" t="s">
        <v>42</v>
      </c>
      <c r="J199" s="4">
        <v>516.86</v>
      </c>
      <c r="K199" s="8" t="str">
        <f t="shared" si="20"/>
        <v>High</v>
      </c>
      <c r="L199" s="4">
        <v>852.54</v>
      </c>
      <c r="M199" s="4">
        <v>5.0999999999999997E-2</v>
      </c>
      <c r="N199" s="4">
        <v>14</v>
      </c>
      <c r="O199" s="4">
        <f t="shared" si="18"/>
        <v>39076.783199999991</v>
      </c>
      <c r="P199">
        <f t="shared" si="19"/>
        <v>7236.04</v>
      </c>
      <c r="Q199" s="4">
        <f t="shared" si="21"/>
        <v>31840.74319999999</v>
      </c>
      <c r="R199" s="18">
        <f t="shared" si="22"/>
        <v>0.81482508519278518</v>
      </c>
    </row>
    <row r="200" spans="1:18" x14ac:dyDescent="0.3">
      <c r="A200" t="s">
        <v>498</v>
      </c>
      <c r="B200" s="7">
        <v>44956</v>
      </c>
      <c r="C200" s="2">
        <v>44978</v>
      </c>
      <c r="D200" s="4">
        <f t="shared" si="23"/>
        <v>22</v>
      </c>
      <c r="E200" s="4" t="str">
        <f>TEXT(Data!B200,"MMM-YYYY")</f>
        <v>Apr-2023</v>
      </c>
      <c r="F200" t="s">
        <v>62</v>
      </c>
      <c r="G200" t="s">
        <v>40</v>
      </c>
      <c r="H200" t="s">
        <v>41</v>
      </c>
      <c r="I200" t="s">
        <v>35</v>
      </c>
      <c r="J200" s="4">
        <v>1142.8800000000001</v>
      </c>
      <c r="K200" s="8" t="str">
        <f t="shared" si="20"/>
        <v>High</v>
      </c>
      <c r="L200" s="4">
        <v>1465.29</v>
      </c>
      <c r="M200" s="4">
        <v>0.186</v>
      </c>
      <c r="N200" s="4">
        <v>7</v>
      </c>
      <c r="O200" s="4">
        <f t="shared" si="18"/>
        <v>6200.5636000000013</v>
      </c>
      <c r="P200">
        <f t="shared" si="19"/>
        <v>8000.1600000000008</v>
      </c>
      <c r="Q200" s="4">
        <f t="shared" si="21"/>
        <v>-1799.5963999999994</v>
      </c>
      <c r="R200" s="18">
        <f t="shared" si="22"/>
        <v>-0.29023110092766391</v>
      </c>
    </row>
    <row r="201" spans="1:18" x14ac:dyDescent="0.3">
      <c r="A201" t="s">
        <v>500</v>
      </c>
      <c r="B201" s="7">
        <v>45030</v>
      </c>
      <c r="C201" s="2">
        <v>45059</v>
      </c>
      <c r="D201" s="4">
        <f t="shared" si="23"/>
        <v>29</v>
      </c>
      <c r="E201" s="4" t="str">
        <f>TEXT(Data!B201,"MMM-YYYY")</f>
        <v>Jan-2023</v>
      </c>
      <c r="F201" t="s">
        <v>48</v>
      </c>
      <c r="G201" t="s">
        <v>98</v>
      </c>
      <c r="H201" t="s">
        <v>29</v>
      </c>
      <c r="I201" t="s">
        <v>30</v>
      </c>
      <c r="J201" s="4">
        <v>1320.33</v>
      </c>
      <c r="K201" s="8" t="str">
        <f t="shared" si="20"/>
        <v>High</v>
      </c>
      <c r="L201" s="4">
        <v>2645.23</v>
      </c>
      <c r="M201" s="4">
        <v>0.155</v>
      </c>
      <c r="N201" s="4">
        <v>25</v>
      </c>
      <c r="O201" s="4">
        <f t="shared" si="18"/>
        <v>53428.293749999997</v>
      </c>
      <c r="P201">
        <f t="shared" si="19"/>
        <v>33008.25</v>
      </c>
      <c r="Q201" s="4">
        <f t="shared" si="21"/>
        <v>20420.043749999997</v>
      </c>
      <c r="R201" s="18">
        <f t="shared" si="22"/>
        <v>0.38219531856189959</v>
      </c>
    </row>
    <row r="202" spans="1:18" x14ac:dyDescent="0.3">
      <c r="A202" t="s">
        <v>502</v>
      </c>
      <c r="B202" s="7">
        <v>44939</v>
      </c>
      <c r="C202" s="2">
        <v>44945</v>
      </c>
      <c r="D202" s="4">
        <f t="shared" si="23"/>
        <v>6</v>
      </c>
      <c r="E202" s="4" t="str">
        <f>TEXT(Data!B202,"MMM-YYYY")</f>
        <v>Jan-2024</v>
      </c>
      <c r="F202" t="s">
        <v>19</v>
      </c>
      <c r="G202" t="s">
        <v>98</v>
      </c>
      <c r="H202" t="s">
        <v>92</v>
      </c>
      <c r="I202" t="s">
        <v>42</v>
      </c>
      <c r="J202" s="4">
        <v>833.57</v>
      </c>
      <c r="K202" s="8" t="str">
        <f t="shared" si="20"/>
        <v>High</v>
      </c>
      <c r="L202" s="4">
        <v>881.57</v>
      </c>
      <c r="M202" s="4">
        <v>5.7000000000000002E-2</v>
      </c>
      <c r="N202" s="4">
        <v>18</v>
      </c>
      <c r="O202" s="4">
        <f t="shared" si="18"/>
        <v>45796.021740000004</v>
      </c>
      <c r="P202">
        <f t="shared" si="19"/>
        <v>15004.26</v>
      </c>
      <c r="Q202" s="4">
        <f t="shared" si="21"/>
        <v>30791.761740000002</v>
      </c>
      <c r="R202" s="18">
        <f t="shared" si="22"/>
        <v>0.67236761120464961</v>
      </c>
    </row>
    <row r="203" spans="1:18" x14ac:dyDescent="0.3">
      <c r="A203" t="s">
        <v>504</v>
      </c>
      <c r="B203" s="7">
        <v>45303</v>
      </c>
      <c r="C203" s="2">
        <v>45320</v>
      </c>
      <c r="D203" s="4">
        <f t="shared" si="23"/>
        <v>17</v>
      </c>
      <c r="E203" s="4" t="str">
        <f>TEXT(Data!B203,"MMM-YYYY")</f>
        <v>Aug-2023</v>
      </c>
      <c r="F203" t="s">
        <v>27</v>
      </c>
      <c r="G203" t="s">
        <v>55</v>
      </c>
      <c r="H203" t="s">
        <v>75</v>
      </c>
      <c r="I203" t="s">
        <v>30</v>
      </c>
      <c r="J203" s="4">
        <v>493.76</v>
      </c>
      <c r="K203" s="8" t="str">
        <f t="shared" si="20"/>
        <v>High</v>
      </c>
      <c r="L203" s="4">
        <v>625.04</v>
      </c>
      <c r="M203" s="4">
        <v>0.25800000000000001</v>
      </c>
      <c r="N203" s="4">
        <v>10</v>
      </c>
      <c r="O203" s="4">
        <f t="shared" si="18"/>
        <v>11002.004999999999</v>
      </c>
      <c r="P203">
        <f t="shared" si="19"/>
        <v>4937.6000000000004</v>
      </c>
      <c r="Q203" s="4">
        <f t="shared" si="21"/>
        <v>6064.4049999999988</v>
      </c>
      <c r="R203" s="18">
        <f t="shared" si="22"/>
        <v>0.55120907507313432</v>
      </c>
    </row>
    <row r="204" spans="1:18" x14ac:dyDescent="0.3">
      <c r="A204" t="s">
        <v>506</v>
      </c>
      <c r="B204" s="7">
        <v>45153</v>
      </c>
      <c r="C204" s="2">
        <v>45176</v>
      </c>
      <c r="D204" s="4">
        <f t="shared" si="23"/>
        <v>23</v>
      </c>
      <c r="E204" s="4" t="str">
        <f>TEXT(Data!B204,"MMM-YYYY")</f>
        <v>Jan-2023</v>
      </c>
      <c r="F204" t="s">
        <v>105</v>
      </c>
      <c r="G204" t="s">
        <v>28</v>
      </c>
      <c r="H204" t="s">
        <v>95</v>
      </c>
      <c r="I204" t="s">
        <v>42</v>
      </c>
      <c r="J204" s="4">
        <v>590.33000000000004</v>
      </c>
      <c r="K204" s="8" t="str">
        <f t="shared" si="20"/>
        <v>High</v>
      </c>
      <c r="L204" s="4">
        <v>973.04</v>
      </c>
      <c r="M204" s="4">
        <v>0</v>
      </c>
      <c r="N204" s="4">
        <v>26</v>
      </c>
      <c r="O204" s="4">
        <f t="shared" si="18"/>
        <v>37877.06</v>
      </c>
      <c r="P204">
        <f t="shared" si="19"/>
        <v>15348.580000000002</v>
      </c>
      <c r="Q204" s="4">
        <f t="shared" si="21"/>
        <v>22528.479999999996</v>
      </c>
      <c r="R204" s="18">
        <f t="shared" si="22"/>
        <v>0.59477900343902079</v>
      </c>
    </row>
    <row r="205" spans="1:18" x14ac:dyDescent="0.3">
      <c r="A205" t="s">
        <v>508</v>
      </c>
      <c r="B205" s="7">
        <v>44946</v>
      </c>
      <c r="C205" s="2">
        <v>44960</v>
      </c>
      <c r="D205" s="4">
        <f t="shared" si="23"/>
        <v>14</v>
      </c>
      <c r="E205" s="4" t="str">
        <f>TEXT(Data!B205,"MMM-YYYY")</f>
        <v>Feb-2025</v>
      </c>
      <c r="F205" t="s">
        <v>19</v>
      </c>
      <c r="G205" t="s">
        <v>20</v>
      </c>
      <c r="H205" t="s">
        <v>110</v>
      </c>
      <c r="I205" t="s">
        <v>35</v>
      </c>
      <c r="J205" s="4">
        <v>884.36</v>
      </c>
      <c r="K205" s="8" t="str">
        <f t="shared" si="20"/>
        <v>High</v>
      </c>
      <c r="L205" s="4">
        <v>1545.34</v>
      </c>
      <c r="M205" s="4">
        <v>0.24299999999999999</v>
      </c>
      <c r="N205" s="4">
        <v>41</v>
      </c>
      <c r="O205" s="4">
        <f t="shared" si="18"/>
        <v>28497.86303</v>
      </c>
      <c r="P205">
        <f t="shared" si="19"/>
        <v>36258.76</v>
      </c>
      <c r="Q205" s="4">
        <f t="shared" si="21"/>
        <v>-7760.8969700000016</v>
      </c>
      <c r="R205" s="18">
        <f t="shared" si="22"/>
        <v>-0.27233259426610423</v>
      </c>
    </row>
    <row r="206" spans="1:18" x14ac:dyDescent="0.3">
      <c r="A206" t="s">
        <v>510</v>
      </c>
      <c r="B206" s="7">
        <v>45692</v>
      </c>
      <c r="C206" s="2">
        <v>45713</v>
      </c>
      <c r="D206" s="4">
        <f t="shared" si="23"/>
        <v>21</v>
      </c>
      <c r="E206" s="4" t="str">
        <f>TEXT(Data!B206,"MMM-YYYY")</f>
        <v>Apr-2023</v>
      </c>
      <c r="F206" t="s">
        <v>19</v>
      </c>
      <c r="G206" t="s">
        <v>40</v>
      </c>
      <c r="H206" t="s">
        <v>145</v>
      </c>
      <c r="I206" t="s">
        <v>64</v>
      </c>
      <c r="J206" s="4">
        <v>1016.32</v>
      </c>
      <c r="K206" s="8" t="str">
        <f t="shared" si="20"/>
        <v>High</v>
      </c>
      <c r="L206" s="4">
        <v>2253.42</v>
      </c>
      <c r="M206" s="4">
        <v>5.5E-2</v>
      </c>
      <c r="N206" s="4">
        <v>12</v>
      </c>
      <c r="O206" s="4">
        <f t="shared" si="18"/>
        <v>554.97959999999989</v>
      </c>
      <c r="P206">
        <f t="shared" si="19"/>
        <v>12195.84</v>
      </c>
      <c r="Q206" s="4">
        <f t="shared" si="21"/>
        <v>-11640.8604</v>
      </c>
      <c r="R206" s="18">
        <f t="shared" si="22"/>
        <v>-20.97529422703105</v>
      </c>
    </row>
    <row r="207" spans="1:18" x14ac:dyDescent="0.3">
      <c r="A207" t="s">
        <v>512</v>
      </c>
      <c r="B207" s="7">
        <v>45035</v>
      </c>
      <c r="C207" s="2">
        <v>45044</v>
      </c>
      <c r="D207" s="4">
        <f t="shared" si="23"/>
        <v>9</v>
      </c>
      <c r="E207" s="4" t="str">
        <f>TEXT(Data!B207,"MMM-YYYY")</f>
        <v>Jul-2023</v>
      </c>
      <c r="F207" t="s">
        <v>27</v>
      </c>
      <c r="G207" t="s">
        <v>28</v>
      </c>
      <c r="H207" t="s">
        <v>63</v>
      </c>
      <c r="I207" t="s">
        <v>64</v>
      </c>
      <c r="J207" s="4">
        <v>1178.42</v>
      </c>
      <c r="K207" s="8" t="str">
        <f t="shared" si="20"/>
        <v>High</v>
      </c>
      <c r="L207" s="4">
        <v>2446.56</v>
      </c>
      <c r="M207" s="4">
        <v>2.9000000000000001E-2</v>
      </c>
      <c r="N207" s="4">
        <v>11</v>
      </c>
      <c r="O207" s="4">
        <f t="shared" si="18"/>
        <v>9957.7894899999992</v>
      </c>
      <c r="P207">
        <f t="shared" si="19"/>
        <v>12962.62</v>
      </c>
      <c r="Q207" s="4">
        <f t="shared" si="21"/>
        <v>-3004.8305100000016</v>
      </c>
      <c r="R207" s="18">
        <f t="shared" si="22"/>
        <v>-0.30175678176542792</v>
      </c>
    </row>
    <row r="208" spans="1:18" x14ac:dyDescent="0.3">
      <c r="A208" t="s">
        <v>514</v>
      </c>
      <c r="B208" s="7">
        <v>45109</v>
      </c>
      <c r="C208" s="2">
        <v>45139</v>
      </c>
      <c r="D208" s="4">
        <f t="shared" si="23"/>
        <v>30</v>
      </c>
      <c r="E208" s="4" t="str">
        <f>TEXT(Data!B208,"MMM-YYYY")</f>
        <v>Jan-2025</v>
      </c>
      <c r="F208" t="s">
        <v>62</v>
      </c>
      <c r="G208" t="s">
        <v>20</v>
      </c>
      <c r="H208" t="s">
        <v>56</v>
      </c>
      <c r="I208" t="s">
        <v>22</v>
      </c>
      <c r="J208" s="4">
        <v>137.46</v>
      </c>
      <c r="K208" s="8" t="str">
        <f t="shared" si="20"/>
        <v>Medium</v>
      </c>
      <c r="L208" s="4">
        <v>188.3</v>
      </c>
      <c r="M208" s="4">
        <v>3.7999999999999999E-2</v>
      </c>
      <c r="N208" s="4">
        <v>37</v>
      </c>
      <c r="O208" s="4">
        <f t="shared" si="18"/>
        <v>11596.169260000001</v>
      </c>
      <c r="P208">
        <f t="shared" si="19"/>
        <v>5086.0200000000004</v>
      </c>
      <c r="Q208" s="4">
        <f t="shared" si="21"/>
        <v>6510.1492600000001</v>
      </c>
      <c r="R208" s="18">
        <f t="shared" si="22"/>
        <v>0.56140516010370822</v>
      </c>
    </row>
    <row r="209" spans="1:18" x14ac:dyDescent="0.3">
      <c r="A209" t="s">
        <v>516</v>
      </c>
      <c r="B209" s="7">
        <v>45678</v>
      </c>
      <c r="C209" s="2">
        <v>45702</v>
      </c>
      <c r="D209" s="4">
        <f t="shared" si="23"/>
        <v>24</v>
      </c>
      <c r="E209" s="4" t="str">
        <f>TEXT(Data!B209,"MMM-YYYY")</f>
        <v>Sept-2024</v>
      </c>
      <c r="F209" t="s">
        <v>62</v>
      </c>
      <c r="G209" t="s">
        <v>20</v>
      </c>
      <c r="H209" t="s">
        <v>29</v>
      </c>
      <c r="I209" t="s">
        <v>81</v>
      </c>
      <c r="J209" s="4">
        <v>1030.44</v>
      </c>
      <c r="K209" s="8" t="str">
        <f t="shared" si="20"/>
        <v>High</v>
      </c>
      <c r="L209" s="4">
        <v>2562.84</v>
      </c>
      <c r="M209" s="4">
        <v>0.14799999999999999</v>
      </c>
      <c r="N209" s="4">
        <v>13</v>
      </c>
      <c r="O209" s="4">
        <f t="shared" si="18"/>
        <v>4496.5237200000001</v>
      </c>
      <c r="P209">
        <f t="shared" si="19"/>
        <v>13395.720000000001</v>
      </c>
      <c r="Q209" s="4">
        <f t="shared" si="21"/>
        <v>-8899.1962800000001</v>
      </c>
      <c r="R209" s="18">
        <f t="shared" si="22"/>
        <v>-1.9791280629561541</v>
      </c>
    </row>
    <row r="210" spans="1:18" x14ac:dyDescent="0.3">
      <c r="A210" t="s">
        <v>518</v>
      </c>
      <c r="B210" s="7">
        <v>45545</v>
      </c>
      <c r="C210" s="2">
        <v>45572</v>
      </c>
      <c r="D210" s="4">
        <f t="shared" si="23"/>
        <v>27</v>
      </c>
      <c r="E210" s="4" t="str">
        <f>TEXT(Data!B210,"MMM-YYYY")</f>
        <v>Jul-2025</v>
      </c>
      <c r="F210" t="s">
        <v>48</v>
      </c>
      <c r="G210" t="s">
        <v>20</v>
      </c>
      <c r="H210" t="s">
        <v>49</v>
      </c>
      <c r="I210" t="s">
        <v>30</v>
      </c>
      <c r="J210" s="4">
        <v>1248.3900000000001</v>
      </c>
      <c r="K210" s="8" t="str">
        <f t="shared" si="20"/>
        <v>High</v>
      </c>
      <c r="L210" s="4">
        <v>1805.11</v>
      </c>
      <c r="M210" s="4">
        <v>0.20300000000000001</v>
      </c>
      <c r="N210" s="4">
        <v>11</v>
      </c>
      <c r="O210" s="4">
        <f t="shared" si="18"/>
        <v>13931.376689999999</v>
      </c>
      <c r="P210">
        <f t="shared" si="19"/>
        <v>13732.29</v>
      </c>
      <c r="Q210" s="4">
        <f t="shared" si="21"/>
        <v>199.08668999999827</v>
      </c>
      <c r="R210" s="18">
        <f t="shared" si="22"/>
        <v>1.4290525224467122E-2</v>
      </c>
    </row>
    <row r="211" spans="1:18" x14ac:dyDescent="0.3">
      <c r="A211" t="s">
        <v>520</v>
      </c>
      <c r="B211" s="7">
        <v>45859</v>
      </c>
      <c r="C211" s="2">
        <v>45876</v>
      </c>
      <c r="D211" s="4">
        <f t="shared" si="23"/>
        <v>17</v>
      </c>
      <c r="E211" s="4" t="str">
        <f>TEXT(Data!B211,"MMM-YYYY")</f>
        <v>Oct-2024</v>
      </c>
      <c r="F211" t="s">
        <v>105</v>
      </c>
      <c r="G211" t="s">
        <v>98</v>
      </c>
      <c r="H211" t="s">
        <v>110</v>
      </c>
      <c r="I211" t="s">
        <v>81</v>
      </c>
      <c r="J211" s="4">
        <v>1204.95</v>
      </c>
      <c r="K211" s="8" t="str">
        <f t="shared" si="20"/>
        <v>High</v>
      </c>
      <c r="L211" s="4">
        <v>2065.73</v>
      </c>
      <c r="M211" s="4">
        <v>0.13600000000000001</v>
      </c>
      <c r="N211" s="4">
        <v>10</v>
      </c>
      <c r="O211" s="4">
        <f t="shared" si="18"/>
        <v>12379.392</v>
      </c>
      <c r="P211">
        <f t="shared" si="19"/>
        <v>12049.5</v>
      </c>
      <c r="Q211" s="4">
        <f t="shared" si="21"/>
        <v>329.89199999999983</v>
      </c>
      <c r="R211" s="18">
        <f t="shared" si="22"/>
        <v>2.6648481605558643E-2</v>
      </c>
    </row>
    <row r="212" spans="1:18" x14ac:dyDescent="0.3">
      <c r="A212" t="s">
        <v>522</v>
      </c>
      <c r="B212" s="7">
        <v>45567</v>
      </c>
      <c r="C212" s="2">
        <v>45588</v>
      </c>
      <c r="D212" s="4">
        <f t="shared" si="23"/>
        <v>21</v>
      </c>
      <c r="E212" s="4" t="str">
        <f>TEXT(Data!B212,"MMM-YYYY")</f>
        <v>Jul-2025</v>
      </c>
      <c r="F212" t="s">
        <v>19</v>
      </c>
      <c r="G212" t="s">
        <v>40</v>
      </c>
      <c r="H212" t="s">
        <v>75</v>
      </c>
      <c r="I212" t="s">
        <v>22</v>
      </c>
      <c r="J212" s="4">
        <v>1095.6099999999999</v>
      </c>
      <c r="K212" s="8" t="str">
        <f t="shared" si="20"/>
        <v>High</v>
      </c>
      <c r="L212" s="4">
        <v>2366.5100000000002</v>
      </c>
      <c r="M212" s="4">
        <v>0.152</v>
      </c>
      <c r="N212" s="4">
        <v>9</v>
      </c>
      <c r="O212" s="4">
        <f t="shared" si="18"/>
        <v>13476.28032</v>
      </c>
      <c r="P212">
        <f t="shared" si="19"/>
        <v>9860.49</v>
      </c>
      <c r="Q212" s="4">
        <f t="shared" si="21"/>
        <v>3615.7903200000001</v>
      </c>
      <c r="R212" s="18">
        <f t="shared" si="22"/>
        <v>0.26830774027710341</v>
      </c>
    </row>
    <row r="213" spans="1:18" x14ac:dyDescent="0.3">
      <c r="A213" t="s">
        <v>524</v>
      </c>
      <c r="B213" s="7">
        <v>45852</v>
      </c>
      <c r="C213" s="2">
        <v>45873</v>
      </c>
      <c r="D213" s="4">
        <f t="shared" si="23"/>
        <v>21</v>
      </c>
      <c r="E213" s="4" t="str">
        <f>TEXT(Data!B213,"MMM-YYYY")</f>
        <v>Sept-2024</v>
      </c>
      <c r="F213" t="s">
        <v>48</v>
      </c>
      <c r="G213" t="s">
        <v>28</v>
      </c>
      <c r="H213" t="s">
        <v>92</v>
      </c>
      <c r="I213" t="s">
        <v>64</v>
      </c>
      <c r="J213" s="4">
        <v>90.3</v>
      </c>
      <c r="K213" s="8" t="str">
        <f t="shared" si="20"/>
        <v>Medium</v>
      </c>
      <c r="L213" s="4">
        <v>131.76</v>
      </c>
      <c r="M213" s="4">
        <v>0.10199999999999999</v>
      </c>
      <c r="N213" s="4">
        <v>15</v>
      </c>
      <c r="O213" s="4">
        <f t="shared" si="18"/>
        <v>37144.063799999996</v>
      </c>
      <c r="P213">
        <f t="shared" si="19"/>
        <v>1354.5</v>
      </c>
      <c r="Q213" s="4">
        <f t="shared" si="21"/>
        <v>35789.563799999996</v>
      </c>
      <c r="R213" s="18">
        <f t="shared" si="22"/>
        <v>0.96353387697982573</v>
      </c>
    </row>
    <row r="214" spans="1:18" x14ac:dyDescent="0.3">
      <c r="A214" t="s">
        <v>526</v>
      </c>
      <c r="B214" s="7">
        <v>45544</v>
      </c>
      <c r="C214" s="2">
        <v>45566</v>
      </c>
      <c r="D214" s="4">
        <f t="shared" si="23"/>
        <v>22</v>
      </c>
      <c r="E214" s="4" t="str">
        <f>TEXT(Data!B214,"MMM-YYYY")</f>
        <v>Jan-2025</v>
      </c>
      <c r="F214" t="s">
        <v>48</v>
      </c>
      <c r="G214" t="s">
        <v>98</v>
      </c>
      <c r="H214" t="s">
        <v>49</v>
      </c>
      <c r="I214" t="s">
        <v>30</v>
      </c>
      <c r="J214" s="4">
        <v>1166.18</v>
      </c>
      <c r="K214" s="8" t="str">
        <f t="shared" si="20"/>
        <v>High</v>
      </c>
      <c r="L214" s="4">
        <v>1335.02</v>
      </c>
      <c r="M214" s="4">
        <v>0.128</v>
      </c>
      <c r="N214" s="4">
        <v>6</v>
      </c>
      <c r="O214" s="4">
        <f t="shared" si="18"/>
        <v>4571.46</v>
      </c>
      <c r="P214">
        <f t="shared" si="19"/>
        <v>6997.08</v>
      </c>
      <c r="Q214" s="4">
        <f t="shared" si="21"/>
        <v>-2425.62</v>
      </c>
      <c r="R214" s="18">
        <f t="shared" si="22"/>
        <v>-0.53060072712000106</v>
      </c>
    </row>
    <row r="215" spans="1:18" x14ac:dyDescent="0.3">
      <c r="A215" t="s">
        <v>528</v>
      </c>
      <c r="B215" s="7">
        <v>45686</v>
      </c>
      <c r="C215" s="2">
        <v>45694</v>
      </c>
      <c r="D215" s="4">
        <f t="shared" si="23"/>
        <v>8</v>
      </c>
      <c r="E215" s="4" t="str">
        <f>TEXT(Data!B215,"MMM-YYYY")</f>
        <v>Nov-2023</v>
      </c>
      <c r="F215" t="s">
        <v>27</v>
      </c>
      <c r="G215" t="s">
        <v>20</v>
      </c>
      <c r="H215" t="s">
        <v>56</v>
      </c>
      <c r="I215" t="s">
        <v>42</v>
      </c>
      <c r="J215" s="4">
        <v>1445.27</v>
      </c>
      <c r="K215" s="8" t="str">
        <f t="shared" si="20"/>
        <v>High</v>
      </c>
      <c r="L215" s="4">
        <v>2691.45</v>
      </c>
      <c r="M215" s="4">
        <v>0</v>
      </c>
      <c r="N215" s="4">
        <v>9</v>
      </c>
      <c r="O215" s="4">
        <f t="shared" si="18"/>
        <v>2326.6799999999998</v>
      </c>
      <c r="P215">
        <f t="shared" si="19"/>
        <v>13007.43</v>
      </c>
      <c r="Q215" s="4">
        <f t="shared" si="21"/>
        <v>-10680.75</v>
      </c>
      <c r="R215" s="18">
        <f t="shared" si="22"/>
        <v>-4.5905539223270928</v>
      </c>
    </row>
    <row r="216" spans="1:18" x14ac:dyDescent="0.3">
      <c r="A216" t="s">
        <v>530</v>
      </c>
      <c r="B216" s="7">
        <v>45240</v>
      </c>
      <c r="C216" s="2">
        <v>45258</v>
      </c>
      <c r="D216" s="4">
        <f t="shared" si="23"/>
        <v>18</v>
      </c>
      <c r="E216" s="4" t="str">
        <f>TEXT(Data!B216,"MMM-YYYY")</f>
        <v>Feb-2024</v>
      </c>
      <c r="F216" t="s">
        <v>27</v>
      </c>
      <c r="G216" t="s">
        <v>40</v>
      </c>
      <c r="H216" t="s">
        <v>49</v>
      </c>
      <c r="I216" t="s">
        <v>81</v>
      </c>
      <c r="J216" s="4">
        <v>388.51</v>
      </c>
      <c r="K216" s="8" t="str">
        <f t="shared" si="20"/>
        <v>High</v>
      </c>
      <c r="L216" s="4">
        <v>776.46</v>
      </c>
      <c r="M216" s="4">
        <v>0.157</v>
      </c>
      <c r="N216" s="4">
        <v>12</v>
      </c>
      <c r="O216" s="4">
        <f t="shared" si="18"/>
        <v>6137.98416</v>
      </c>
      <c r="P216">
        <f t="shared" si="19"/>
        <v>4662.12</v>
      </c>
      <c r="Q216" s="4">
        <f t="shared" si="21"/>
        <v>1475.8641600000001</v>
      </c>
      <c r="R216" s="18">
        <f t="shared" si="22"/>
        <v>0.24044769773403912</v>
      </c>
    </row>
    <row r="217" spans="1:18" x14ac:dyDescent="0.3">
      <c r="A217" t="s">
        <v>532</v>
      </c>
      <c r="B217" s="7">
        <v>45351</v>
      </c>
      <c r="C217" s="2">
        <v>45381</v>
      </c>
      <c r="D217" s="4">
        <f t="shared" si="23"/>
        <v>1</v>
      </c>
      <c r="E217" s="4" t="str">
        <f>TEXT(Data!B217,"MMM-YYYY")</f>
        <v>Dec-2023</v>
      </c>
      <c r="F217" t="s">
        <v>62</v>
      </c>
      <c r="G217" t="s">
        <v>98</v>
      </c>
      <c r="H217" t="s">
        <v>34</v>
      </c>
      <c r="I217" t="s">
        <v>35</v>
      </c>
      <c r="J217" s="4">
        <v>231.11</v>
      </c>
      <c r="K217" s="8" t="str">
        <f t="shared" si="20"/>
        <v>High</v>
      </c>
      <c r="L217" s="4">
        <v>318.17</v>
      </c>
      <c r="M217" s="4">
        <v>0.20100000000000001</v>
      </c>
      <c r="N217" s="4">
        <v>60</v>
      </c>
      <c r="O217" s="4">
        <f t="shared" si="18"/>
        <v>64128.8586</v>
      </c>
      <c r="P217">
        <f t="shared" si="19"/>
        <v>13866.6</v>
      </c>
      <c r="Q217" s="4">
        <f t="shared" si="21"/>
        <v>50262.258600000001</v>
      </c>
      <c r="R217" s="18">
        <f t="shared" si="22"/>
        <v>0.7837697363913475</v>
      </c>
    </row>
    <row r="218" spans="1:18" x14ac:dyDescent="0.3">
      <c r="A218" t="s">
        <v>534</v>
      </c>
      <c r="B218" s="7">
        <v>45280</v>
      </c>
      <c r="C218" s="2">
        <v>45305</v>
      </c>
      <c r="D218" s="4">
        <f t="shared" si="23"/>
        <v>25</v>
      </c>
      <c r="E218" s="4" t="str">
        <f>TEXT(Data!B218,"MMM-YYYY")</f>
        <v>Jan-2023</v>
      </c>
      <c r="F218" t="s">
        <v>39</v>
      </c>
      <c r="G218" t="s">
        <v>40</v>
      </c>
      <c r="H218" t="s">
        <v>49</v>
      </c>
      <c r="I218" t="s">
        <v>64</v>
      </c>
      <c r="J218" s="4">
        <v>1085.6099999999999</v>
      </c>
      <c r="K218" s="8" t="str">
        <f t="shared" si="20"/>
        <v>High</v>
      </c>
      <c r="L218" s="4">
        <v>1246.4100000000001</v>
      </c>
      <c r="M218" s="4">
        <v>0.113</v>
      </c>
      <c r="N218" s="4">
        <v>7</v>
      </c>
      <c r="O218" s="4">
        <f t="shared" si="18"/>
        <v>11133.23372</v>
      </c>
      <c r="P218">
        <f t="shared" si="19"/>
        <v>7599.2699999999995</v>
      </c>
      <c r="Q218" s="4">
        <f t="shared" si="21"/>
        <v>3533.9637200000006</v>
      </c>
      <c r="R218" s="18">
        <f t="shared" si="22"/>
        <v>0.31742473111397151</v>
      </c>
    </row>
    <row r="219" spans="1:18" x14ac:dyDescent="0.3">
      <c r="A219" t="s">
        <v>536</v>
      </c>
      <c r="B219" s="7">
        <v>44948</v>
      </c>
      <c r="C219" s="2">
        <v>44947</v>
      </c>
      <c r="D219" s="4">
        <f>DATEDIF(C219,B219, "MD")</f>
        <v>1</v>
      </c>
      <c r="E219" s="4" t="str">
        <f>TEXT(Data!B219,"MMM-YYYY")</f>
        <v>Oct-2024</v>
      </c>
      <c r="F219" t="s">
        <v>19</v>
      </c>
      <c r="G219" t="s">
        <v>98</v>
      </c>
      <c r="H219" t="s">
        <v>84</v>
      </c>
      <c r="I219" t="s">
        <v>64</v>
      </c>
      <c r="J219" s="4">
        <v>150.86000000000001</v>
      </c>
      <c r="K219" s="8" t="str">
        <f t="shared" si="20"/>
        <v>High</v>
      </c>
      <c r="L219" s="4">
        <v>346.96</v>
      </c>
      <c r="M219" s="4">
        <v>0.19600000000000001</v>
      </c>
      <c r="N219" s="4">
        <v>8</v>
      </c>
      <c r="O219" s="4">
        <f t="shared" si="18"/>
        <v>789.46368000000007</v>
      </c>
      <c r="P219">
        <f t="shared" si="19"/>
        <v>1206.8800000000001</v>
      </c>
      <c r="Q219" s="4">
        <f t="shared" si="21"/>
        <v>-417.41632000000004</v>
      </c>
      <c r="R219" s="18">
        <f t="shared" si="22"/>
        <v>-0.52873403878440617</v>
      </c>
    </row>
    <row r="220" spans="1:18" x14ac:dyDescent="0.3">
      <c r="A220" t="s">
        <v>538</v>
      </c>
      <c r="B220" s="7">
        <v>45576</v>
      </c>
      <c r="C220" s="2">
        <v>45605</v>
      </c>
      <c r="D220" s="4">
        <f t="shared" si="23"/>
        <v>29</v>
      </c>
      <c r="E220" s="4" t="str">
        <f>TEXT(Data!B220,"MMM-YYYY")</f>
        <v>Sept-2024</v>
      </c>
      <c r="F220" t="s">
        <v>39</v>
      </c>
      <c r="G220" t="s">
        <v>28</v>
      </c>
      <c r="H220" t="s">
        <v>84</v>
      </c>
      <c r="I220" t="s">
        <v>30</v>
      </c>
      <c r="J220" s="4">
        <v>391.64</v>
      </c>
      <c r="K220" s="8" t="str">
        <f t="shared" si="20"/>
        <v>High</v>
      </c>
      <c r="L220" s="4">
        <v>504.76</v>
      </c>
      <c r="M220" s="4">
        <v>4.0000000000000001E-3</v>
      </c>
      <c r="N220" s="4">
        <v>13</v>
      </c>
      <c r="O220" s="4">
        <f t="shared" si="18"/>
        <v>12014.83764</v>
      </c>
      <c r="P220">
        <f t="shared" si="19"/>
        <v>5091.32</v>
      </c>
      <c r="Q220" s="4">
        <f t="shared" si="21"/>
        <v>6923.51764</v>
      </c>
      <c r="R220" s="18">
        <f t="shared" si="22"/>
        <v>0.57624729084562143</v>
      </c>
    </row>
    <row r="221" spans="1:18" x14ac:dyDescent="0.3">
      <c r="A221" t="s">
        <v>540</v>
      </c>
      <c r="B221" s="7">
        <v>45554</v>
      </c>
      <c r="C221" s="2">
        <v>45579</v>
      </c>
      <c r="D221" s="4">
        <f t="shared" si="23"/>
        <v>25</v>
      </c>
      <c r="E221" s="4" t="str">
        <f>TEXT(Data!B221,"MMM-YYYY")</f>
        <v>Aug-2025</v>
      </c>
      <c r="F221" t="s">
        <v>62</v>
      </c>
      <c r="G221" t="s">
        <v>20</v>
      </c>
      <c r="H221" t="s">
        <v>95</v>
      </c>
      <c r="I221" t="s">
        <v>30</v>
      </c>
      <c r="J221" s="4">
        <v>386.96</v>
      </c>
      <c r="K221" s="8" t="str">
        <f t="shared" si="20"/>
        <v>High</v>
      </c>
      <c r="L221" s="4">
        <v>937.46</v>
      </c>
      <c r="M221" s="4">
        <v>0.26600000000000001</v>
      </c>
      <c r="N221" s="4">
        <v>41</v>
      </c>
      <c r="O221" s="4">
        <f t="shared" si="18"/>
        <v>4570.6767199999995</v>
      </c>
      <c r="P221">
        <f t="shared" si="19"/>
        <v>15865.359999999999</v>
      </c>
      <c r="Q221" s="4">
        <f t="shared" si="21"/>
        <v>-11294.683279999999</v>
      </c>
      <c r="R221" s="18">
        <f t="shared" si="22"/>
        <v>-2.4711183861631763</v>
      </c>
    </row>
    <row r="222" spans="1:18" x14ac:dyDescent="0.3">
      <c r="A222" t="s">
        <v>542</v>
      </c>
      <c r="B222" s="7">
        <v>45894</v>
      </c>
      <c r="C222" s="2">
        <v>45924</v>
      </c>
      <c r="D222" s="4">
        <f t="shared" si="23"/>
        <v>30</v>
      </c>
      <c r="E222" s="4" t="str">
        <f>TEXT(Data!B222,"MMM-YYYY")</f>
        <v>Sept-2023</v>
      </c>
      <c r="F222" t="s">
        <v>48</v>
      </c>
      <c r="G222" t="s">
        <v>98</v>
      </c>
      <c r="H222" t="s">
        <v>56</v>
      </c>
      <c r="I222" t="s">
        <v>22</v>
      </c>
      <c r="J222" s="4">
        <v>589.14</v>
      </c>
      <c r="K222" s="8" t="str">
        <f t="shared" si="20"/>
        <v>High</v>
      </c>
      <c r="L222" s="4">
        <v>1300.58</v>
      </c>
      <c r="M222" s="4">
        <v>5.5E-2</v>
      </c>
      <c r="N222" s="4">
        <v>11</v>
      </c>
      <c r="O222" s="4">
        <f t="shared" si="18"/>
        <v>22977.108</v>
      </c>
      <c r="P222">
        <f t="shared" si="19"/>
        <v>6480.54</v>
      </c>
      <c r="Q222" s="4">
        <f t="shared" si="21"/>
        <v>16496.567999999999</v>
      </c>
      <c r="R222" s="18">
        <f t="shared" si="22"/>
        <v>0.71795667235406646</v>
      </c>
    </row>
    <row r="223" spans="1:18" x14ac:dyDescent="0.3">
      <c r="A223" t="s">
        <v>544</v>
      </c>
      <c r="B223" s="7">
        <v>45194</v>
      </c>
      <c r="C223" s="2">
        <v>45201</v>
      </c>
      <c r="D223" s="4">
        <f t="shared" si="23"/>
        <v>7</v>
      </c>
      <c r="E223" s="4" t="str">
        <f>TEXT(Data!B223,"MMM-YYYY")</f>
        <v>Aug-2023</v>
      </c>
      <c r="F223" t="s">
        <v>27</v>
      </c>
      <c r="G223" t="s">
        <v>40</v>
      </c>
      <c r="H223" t="s">
        <v>34</v>
      </c>
      <c r="I223" t="s">
        <v>81</v>
      </c>
      <c r="J223" s="4">
        <v>145.58000000000001</v>
      </c>
      <c r="K223" s="8" t="str">
        <f t="shared" si="20"/>
        <v>High</v>
      </c>
      <c r="L223" s="4">
        <v>228.15</v>
      </c>
      <c r="M223" s="4">
        <v>0.20399999999999999</v>
      </c>
      <c r="N223" s="4">
        <v>5</v>
      </c>
      <c r="O223" s="4">
        <f t="shared" si="18"/>
        <v>158.16520000000003</v>
      </c>
      <c r="P223">
        <f t="shared" si="19"/>
        <v>727.90000000000009</v>
      </c>
      <c r="Q223" s="4">
        <f t="shared" si="21"/>
        <v>-569.73480000000006</v>
      </c>
      <c r="R223" s="18">
        <f t="shared" si="22"/>
        <v>-3.602150156924532</v>
      </c>
    </row>
    <row r="224" spans="1:18" x14ac:dyDescent="0.3">
      <c r="A224" t="s">
        <v>546</v>
      </c>
      <c r="B224" s="7">
        <v>45164</v>
      </c>
      <c r="C224" s="2">
        <v>45179</v>
      </c>
      <c r="D224" s="4">
        <f t="shared" si="23"/>
        <v>15</v>
      </c>
      <c r="E224" s="4" t="str">
        <f>TEXT(Data!B224,"MMM-YYYY")</f>
        <v>Jul-2025</v>
      </c>
      <c r="F224" t="s">
        <v>39</v>
      </c>
      <c r="G224" t="s">
        <v>98</v>
      </c>
      <c r="H224" t="s">
        <v>126</v>
      </c>
      <c r="I224" t="s">
        <v>22</v>
      </c>
      <c r="J224" s="4">
        <v>241.14</v>
      </c>
      <c r="K224" s="8" t="str">
        <f t="shared" si="20"/>
        <v>High</v>
      </c>
      <c r="L224" s="4">
        <v>496.52</v>
      </c>
      <c r="M224" s="4">
        <v>9.2999999999999999E-2</v>
      </c>
      <c r="N224" s="4">
        <v>10</v>
      </c>
      <c r="O224" s="4">
        <f t="shared" si="18"/>
        <v>9151.630000000001</v>
      </c>
      <c r="P224">
        <f t="shared" si="19"/>
        <v>2411.3999999999996</v>
      </c>
      <c r="Q224" s="4">
        <f t="shared" si="21"/>
        <v>6740.2300000000014</v>
      </c>
      <c r="R224" s="18">
        <f t="shared" si="22"/>
        <v>0.73650595576962796</v>
      </c>
    </row>
    <row r="225" spans="1:18" x14ac:dyDescent="0.3">
      <c r="A225" t="s">
        <v>548</v>
      </c>
      <c r="B225" s="7">
        <v>45854</v>
      </c>
      <c r="C225" s="2">
        <v>45855</v>
      </c>
      <c r="D225" s="4">
        <f t="shared" si="23"/>
        <v>1</v>
      </c>
      <c r="E225" s="4" t="str">
        <f>TEXT(Data!B225,"MMM-YYYY")</f>
        <v>Apr-2023</v>
      </c>
      <c r="F225" t="s">
        <v>62</v>
      </c>
      <c r="G225" t="s">
        <v>55</v>
      </c>
      <c r="H225" t="s">
        <v>56</v>
      </c>
      <c r="I225" t="s">
        <v>35</v>
      </c>
      <c r="J225" s="4">
        <v>1198.9000000000001</v>
      </c>
      <c r="K225" s="8" t="str">
        <f t="shared" si="20"/>
        <v>High</v>
      </c>
      <c r="L225" s="4">
        <v>2941.2</v>
      </c>
      <c r="M225" s="4">
        <v>5.0999999999999997E-2</v>
      </c>
      <c r="N225" s="4">
        <v>24</v>
      </c>
      <c r="O225" s="4">
        <f t="shared" si="18"/>
        <v>37663.304640000002</v>
      </c>
      <c r="P225">
        <f t="shared" si="19"/>
        <v>28773.600000000002</v>
      </c>
      <c r="Q225" s="4">
        <f t="shared" si="21"/>
        <v>8889.7046399999999</v>
      </c>
      <c r="R225" s="18">
        <f t="shared" si="22"/>
        <v>0.23603092519286697</v>
      </c>
    </row>
    <row r="226" spans="1:18" x14ac:dyDescent="0.3">
      <c r="A226" t="s">
        <v>550</v>
      </c>
      <c r="B226" s="7">
        <v>45035</v>
      </c>
      <c r="C226" s="2">
        <v>45053</v>
      </c>
      <c r="D226" s="4">
        <f t="shared" si="23"/>
        <v>18</v>
      </c>
      <c r="E226" s="4" t="str">
        <f>TEXT(Data!B226,"MMM-YYYY")</f>
        <v>Dec-2023</v>
      </c>
      <c r="F226" t="s">
        <v>105</v>
      </c>
      <c r="G226" t="s">
        <v>20</v>
      </c>
      <c r="H226" t="s">
        <v>126</v>
      </c>
      <c r="I226" t="s">
        <v>57</v>
      </c>
      <c r="J226" s="4">
        <v>1089.1500000000001</v>
      </c>
      <c r="K226" s="8" t="str">
        <f t="shared" si="20"/>
        <v>High</v>
      </c>
      <c r="L226" s="4">
        <v>1088.2</v>
      </c>
      <c r="M226" s="4">
        <v>5.0999999999999997E-2</v>
      </c>
      <c r="N226" s="4">
        <v>15</v>
      </c>
      <c r="O226" s="4">
        <f t="shared" si="18"/>
        <v>14458.4895</v>
      </c>
      <c r="P226">
        <f t="shared" si="19"/>
        <v>16337.250000000002</v>
      </c>
      <c r="Q226" s="4">
        <f t="shared" si="21"/>
        <v>-1878.7605000000021</v>
      </c>
      <c r="R226" s="18">
        <f t="shared" si="22"/>
        <v>-0.12994168581718044</v>
      </c>
    </row>
    <row r="227" spans="1:18" x14ac:dyDescent="0.3">
      <c r="A227" t="s">
        <v>552</v>
      </c>
      <c r="B227" s="7">
        <v>45279</v>
      </c>
      <c r="C227" s="2">
        <v>45280</v>
      </c>
      <c r="D227" s="4">
        <f t="shared" si="23"/>
        <v>1</v>
      </c>
      <c r="E227" s="4" t="str">
        <f>TEXT(Data!B227,"MMM-YYYY")</f>
        <v>Jul-2023</v>
      </c>
      <c r="F227" t="s">
        <v>48</v>
      </c>
      <c r="G227" t="s">
        <v>55</v>
      </c>
      <c r="H227" t="s">
        <v>29</v>
      </c>
      <c r="I227" t="s">
        <v>42</v>
      </c>
      <c r="J227" s="4">
        <v>1080.43</v>
      </c>
      <c r="K227" s="8" t="str">
        <f t="shared" si="20"/>
        <v>High</v>
      </c>
      <c r="L227" s="4">
        <v>2529.15</v>
      </c>
      <c r="M227" s="4">
        <v>0.14699999999999999</v>
      </c>
      <c r="N227" s="4">
        <v>10</v>
      </c>
      <c r="O227" s="4">
        <f t="shared" si="18"/>
        <v>7783.1984999999995</v>
      </c>
      <c r="P227">
        <f t="shared" si="19"/>
        <v>10804.300000000001</v>
      </c>
      <c r="Q227" s="4">
        <f t="shared" si="21"/>
        <v>-3021.1015000000016</v>
      </c>
      <c r="R227" s="18">
        <f t="shared" si="22"/>
        <v>-0.38815680982567796</v>
      </c>
    </row>
    <row r="228" spans="1:18" x14ac:dyDescent="0.3">
      <c r="A228" t="s">
        <v>554</v>
      </c>
      <c r="B228" s="7">
        <v>45137</v>
      </c>
      <c r="C228" s="2">
        <v>45145</v>
      </c>
      <c r="D228" s="4">
        <f t="shared" si="23"/>
        <v>8</v>
      </c>
      <c r="E228" s="4" t="str">
        <f>TEXT(Data!B228,"MMM-YYYY")</f>
        <v>Oct-2023</v>
      </c>
      <c r="F228" t="s">
        <v>27</v>
      </c>
      <c r="G228" t="s">
        <v>40</v>
      </c>
      <c r="H228" t="s">
        <v>75</v>
      </c>
      <c r="I228" t="s">
        <v>35</v>
      </c>
      <c r="J228" s="4">
        <v>1352.44</v>
      </c>
      <c r="K228" s="8" t="str">
        <f t="shared" si="20"/>
        <v>High</v>
      </c>
      <c r="L228" s="4">
        <v>2698.01</v>
      </c>
      <c r="M228" s="4">
        <v>0.13100000000000001</v>
      </c>
      <c r="N228" s="4">
        <v>13</v>
      </c>
      <c r="O228" s="4">
        <f t="shared" si="18"/>
        <v>9209.201430000001</v>
      </c>
      <c r="P228">
        <f t="shared" si="19"/>
        <v>17581.72</v>
      </c>
      <c r="Q228" s="4">
        <f t="shared" si="21"/>
        <v>-8372.5185700000002</v>
      </c>
      <c r="R228" s="18">
        <f t="shared" si="22"/>
        <v>-0.90914707791335603</v>
      </c>
    </row>
    <row r="229" spans="1:18" x14ac:dyDescent="0.3">
      <c r="A229" t="s">
        <v>556</v>
      </c>
      <c r="B229" s="7">
        <v>45203</v>
      </c>
      <c r="C229" s="2">
        <v>45228</v>
      </c>
      <c r="D229" s="4">
        <f t="shared" si="23"/>
        <v>25</v>
      </c>
      <c r="E229" s="4" t="str">
        <f>TEXT(Data!B229,"MMM-YYYY")</f>
        <v>Aug-2025</v>
      </c>
      <c r="F229" t="s">
        <v>62</v>
      </c>
      <c r="G229" t="s">
        <v>55</v>
      </c>
      <c r="H229" t="s">
        <v>68</v>
      </c>
      <c r="I229" t="s">
        <v>81</v>
      </c>
      <c r="J229" s="4">
        <v>1239.8399999999999</v>
      </c>
      <c r="K229" s="8" t="str">
        <f t="shared" si="20"/>
        <v>High</v>
      </c>
      <c r="L229" s="4">
        <v>1482.75</v>
      </c>
      <c r="M229" s="4">
        <v>6.7000000000000004E-2</v>
      </c>
      <c r="N229" s="4">
        <v>4</v>
      </c>
      <c r="O229" s="4">
        <f t="shared" si="18"/>
        <v>6770.0719200000003</v>
      </c>
      <c r="P229">
        <f t="shared" si="19"/>
        <v>4959.3599999999997</v>
      </c>
      <c r="Q229" s="4">
        <f t="shared" si="21"/>
        <v>1810.7119200000006</v>
      </c>
      <c r="R229" s="18">
        <f t="shared" si="22"/>
        <v>0.26745829902498297</v>
      </c>
    </row>
    <row r="230" spans="1:18" x14ac:dyDescent="0.3">
      <c r="A230" t="s">
        <v>558</v>
      </c>
      <c r="B230" s="7">
        <v>45879</v>
      </c>
      <c r="C230" s="2">
        <v>45899</v>
      </c>
      <c r="D230" s="4">
        <f t="shared" si="23"/>
        <v>20</v>
      </c>
      <c r="E230" s="4" t="str">
        <f>TEXT(Data!B230,"MMM-YYYY")</f>
        <v>Mar-2023</v>
      </c>
      <c r="F230" t="s">
        <v>19</v>
      </c>
      <c r="G230" t="s">
        <v>40</v>
      </c>
      <c r="H230" t="s">
        <v>95</v>
      </c>
      <c r="I230" t="s">
        <v>30</v>
      </c>
      <c r="J230" s="4">
        <v>933.29</v>
      </c>
      <c r="K230" s="8" t="str">
        <f t="shared" si="20"/>
        <v>High</v>
      </c>
      <c r="L230" s="4">
        <v>1456.81</v>
      </c>
      <c r="M230" s="4">
        <v>0.123</v>
      </c>
      <c r="N230" s="4">
        <v>13</v>
      </c>
      <c r="O230" s="4">
        <f t="shared" si="18"/>
        <v>8652.4469199999985</v>
      </c>
      <c r="P230">
        <f t="shared" si="19"/>
        <v>12132.77</v>
      </c>
      <c r="Q230" s="4">
        <f t="shared" si="21"/>
        <v>-3480.3230800000019</v>
      </c>
      <c r="R230" s="18">
        <f t="shared" si="22"/>
        <v>-0.4022357042093247</v>
      </c>
    </row>
    <row r="231" spans="1:18" x14ac:dyDescent="0.3">
      <c r="A231" t="s">
        <v>560</v>
      </c>
      <c r="B231" s="7">
        <v>44992</v>
      </c>
      <c r="C231" s="2">
        <v>45017</v>
      </c>
      <c r="D231" s="4">
        <f t="shared" si="23"/>
        <v>25</v>
      </c>
      <c r="E231" s="4" t="str">
        <f>TEXT(Data!B231,"MMM-YYYY")</f>
        <v>May-2023</v>
      </c>
      <c r="F231" t="s">
        <v>48</v>
      </c>
      <c r="G231" t="s">
        <v>40</v>
      </c>
      <c r="H231" t="s">
        <v>145</v>
      </c>
      <c r="I231" t="s">
        <v>30</v>
      </c>
      <c r="J231" s="4">
        <v>1024.0999999999999</v>
      </c>
      <c r="K231" s="8" t="str">
        <f t="shared" si="20"/>
        <v>High</v>
      </c>
      <c r="L231" s="4">
        <v>918.19</v>
      </c>
      <c r="M231" s="4">
        <v>0.189</v>
      </c>
      <c r="N231" s="4">
        <v>10</v>
      </c>
      <c r="O231" s="4">
        <f t="shared" si="18"/>
        <v>13522.938400000001</v>
      </c>
      <c r="P231">
        <f t="shared" si="19"/>
        <v>10241</v>
      </c>
      <c r="Q231" s="4">
        <f t="shared" si="21"/>
        <v>3281.9384000000009</v>
      </c>
      <c r="R231" s="18">
        <f t="shared" si="22"/>
        <v>0.24269417658517181</v>
      </c>
    </row>
    <row r="232" spans="1:18" x14ac:dyDescent="0.3">
      <c r="A232" t="s">
        <v>562</v>
      </c>
      <c r="B232" s="7">
        <v>45069</v>
      </c>
      <c r="C232" s="2">
        <v>45087</v>
      </c>
      <c r="D232" s="4">
        <f t="shared" si="23"/>
        <v>18</v>
      </c>
      <c r="E232" s="4" t="str">
        <f>TEXT(Data!B232,"MMM-YYYY")</f>
        <v>Apr-2025</v>
      </c>
      <c r="F232" t="s">
        <v>19</v>
      </c>
      <c r="G232" t="s">
        <v>55</v>
      </c>
      <c r="H232" t="s">
        <v>63</v>
      </c>
      <c r="I232" t="s">
        <v>22</v>
      </c>
      <c r="J232" s="4">
        <v>54.62</v>
      </c>
      <c r="K232" s="8" t="str">
        <f t="shared" si="20"/>
        <v>Low</v>
      </c>
      <c r="L232" s="4">
        <v>48.94</v>
      </c>
      <c r="M232" s="4">
        <v>0.14799999999999999</v>
      </c>
      <c r="N232" s="4">
        <v>16</v>
      </c>
      <c r="O232" s="4">
        <f t="shared" si="18"/>
        <v>34932.681600000004</v>
      </c>
      <c r="P232">
        <f t="shared" si="19"/>
        <v>873.92</v>
      </c>
      <c r="Q232" s="4">
        <f t="shared" si="21"/>
        <v>34058.761600000005</v>
      </c>
      <c r="R232" s="18">
        <f t="shared" si="22"/>
        <v>0.9749827393726338</v>
      </c>
    </row>
    <row r="233" spans="1:18" x14ac:dyDescent="0.3">
      <c r="A233" t="s">
        <v>564</v>
      </c>
      <c r="B233" s="7">
        <v>45771</v>
      </c>
      <c r="C233" s="2">
        <v>45783</v>
      </c>
      <c r="D233" s="4">
        <f t="shared" si="23"/>
        <v>12</v>
      </c>
      <c r="E233" s="4" t="str">
        <f>TEXT(Data!B233,"MMM-YYYY")</f>
        <v>Sept-2024</v>
      </c>
      <c r="F233" t="s">
        <v>48</v>
      </c>
      <c r="G233" t="s">
        <v>28</v>
      </c>
      <c r="H233" t="s">
        <v>21</v>
      </c>
      <c r="I233" t="s">
        <v>42</v>
      </c>
      <c r="J233" s="4">
        <v>394.13</v>
      </c>
      <c r="K233" s="8" t="str">
        <f t="shared" si="20"/>
        <v>High</v>
      </c>
      <c r="L233" s="4">
        <v>932.29</v>
      </c>
      <c r="M233" s="4">
        <v>0.109</v>
      </c>
      <c r="N233" s="4">
        <v>7</v>
      </c>
      <c r="O233" s="4">
        <f t="shared" si="18"/>
        <v>4648.9350599999998</v>
      </c>
      <c r="P233">
        <f t="shared" si="19"/>
        <v>2758.91</v>
      </c>
      <c r="Q233" s="4">
        <f t="shared" si="21"/>
        <v>1890.0250599999999</v>
      </c>
      <c r="R233" s="18">
        <f t="shared" si="22"/>
        <v>0.40655010999443819</v>
      </c>
    </row>
    <row r="234" spans="1:18" x14ac:dyDescent="0.3">
      <c r="A234" t="s">
        <v>566</v>
      </c>
      <c r="B234" s="7">
        <v>45538</v>
      </c>
      <c r="C234" s="2">
        <v>45543</v>
      </c>
      <c r="D234" s="4">
        <f t="shared" si="23"/>
        <v>5</v>
      </c>
      <c r="E234" s="4" t="str">
        <f>TEXT(Data!B234,"MMM-YYYY")</f>
        <v>Sept-2024</v>
      </c>
      <c r="F234" t="s">
        <v>62</v>
      </c>
      <c r="G234" t="s">
        <v>98</v>
      </c>
      <c r="H234" t="s">
        <v>95</v>
      </c>
      <c r="I234" t="s">
        <v>30</v>
      </c>
      <c r="J234" s="4">
        <v>197.63</v>
      </c>
      <c r="K234" s="8" t="str">
        <f t="shared" si="20"/>
        <v>High</v>
      </c>
      <c r="L234" s="4">
        <v>325.79000000000002</v>
      </c>
      <c r="M234" s="4">
        <v>0.11600000000000001</v>
      </c>
      <c r="N234" s="4">
        <v>10</v>
      </c>
      <c r="O234" s="4">
        <f t="shared" si="18"/>
        <v>6081.4780000000001</v>
      </c>
      <c r="P234">
        <f t="shared" si="19"/>
        <v>1976.3</v>
      </c>
      <c r="Q234" s="4">
        <f t="shared" si="21"/>
        <v>4105.1779999999999</v>
      </c>
      <c r="R234" s="18">
        <f t="shared" si="22"/>
        <v>0.67502965561990025</v>
      </c>
    </row>
    <row r="235" spans="1:18" x14ac:dyDescent="0.3">
      <c r="A235" t="s">
        <v>568</v>
      </c>
      <c r="B235" s="7">
        <v>45540</v>
      </c>
      <c r="C235" s="2">
        <v>45560</v>
      </c>
      <c r="D235" s="4">
        <f t="shared" si="23"/>
        <v>20</v>
      </c>
      <c r="E235" s="4" t="str">
        <f>TEXT(Data!B235,"MMM-YYYY")</f>
        <v>Mar-2023</v>
      </c>
      <c r="F235" t="s">
        <v>105</v>
      </c>
      <c r="G235" t="s">
        <v>55</v>
      </c>
      <c r="H235" t="s">
        <v>145</v>
      </c>
      <c r="I235" t="s">
        <v>64</v>
      </c>
      <c r="J235" s="4">
        <v>195.54</v>
      </c>
      <c r="K235" s="8" t="str">
        <f t="shared" si="20"/>
        <v>High</v>
      </c>
      <c r="L235" s="4">
        <v>405.97</v>
      </c>
      <c r="M235" s="4">
        <v>0.187</v>
      </c>
      <c r="N235" s="4">
        <v>16</v>
      </c>
      <c r="O235" s="4">
        <f t="shared" si="18"/>
        <v>7155.3105599999999</v>
      </c>
      <c r="P235">
        <f t="shared" si="19"/>
        <v>3128.64</v>
      </c>
      <c r="Q235" s="4">
        <f t="shared" si="21"/>
        <v>4026.67056</v>
      </c>
      <c r="R235" s="18">
        <f t="shared" si="22"/>
        <v>0.56275273116866642</v>
      </c>
    </row>
    <row r="236" spans="1:18" x14ac:dyDescent="0.3">
      <c r="A236" t="s">
        <v>570</v>
      </c>
      <c r="B236" s="7">
        <v>44999</v>
      </c>
      <c r="C236" s="2">
        <v>45015</v>
      </c>
      <c r="D236" s="4">
        <f t="shared" si="23"/>
        <v>16</v>
      </c>
      <c r="E236" s="4" t="str">
        <f>TEXT(Data!B236,"MMM-YYYY")</f>
        <v>Jan-2024</v>
      </c>
      <c r="F236" t="s">
        <v>48</v>
      </c>
      <c r="G236" t="s">
        <v>55</v>
      </c>
      <c r="H236" t="s">
        <v>95</v>
      </c>
      <c r="I236" t="s">
        <v>22</v>
      </c>
      <c r="J236" s="4">
        <v>1309.77</v>
      </c>
      <c r="K236" s="8" t="str">
        <f t="shared" si="20"/>
        <v>High</v>
      </c>
      <c r="L236" s="4">
        <v>1589.07</v>
      </c>
      <c r="M236" s="4">
        <v>0.10199999999999999</v>
      </c>
      <c r="N236" s="4">
        <v>10</v>
      </c>
      <c r="O236" s="4">
        <f t="shared" si="18"/>
        <v>18572.525799999999</v>
      </c>
      <c r="P236">
        <f t="shared" si="19"/>
        <v>13097.7</v>
      </c>
      <c r="Q236" s="4">
        <f t="shared" si="21"/>
        <v>5474.8257999999987</v>
      </c>
      <c r="R236" s="18">
        <f t="shared" si="22"/>
        <v>0.29478089619883574</v>
      </c>
    </row>
    <row r="237" spans="1:18" x14ac:dyDescent="0.3">
      <c r="A237" t="s">
        <v>572</v>
      </c>
      <c r="B237" s="7">
        <v>45302</v>
      </c>
      <c r="C237" s="2">
        <v>45324</v>
      </c>
      <c r="D237" s="4">
        <f t="shared" si="23"/>
        <v>22</v>
      </c>
      <c r="E237" s="4" t="str">
        <f>TEXT(Data!B237,"MMM-YYYY")</f>
        <v>Sept-2024</v>
      </c>
      <c r="F237" t="s">
        <v>62</v>
      </c>
      <c r="G237" t="s">
        <v>28</v>
      </c>
      <c r="H237" t="s">
        <v>1364</v>
      </c>
      <c r="I237" t="s">
        <v>30</v>
      </c>
      <c r="J237" s="4">
        <v>1237.68</v>
      </c>
      <c r="K237" s="8" t="str">
        <f t="shared" si="20"/>
        <v>High</v>
      </c>
      <c r="L237" s="4">
        <v>1432.8</v>
      </c>
      <c r="M237" s="4">
        <v>6.8000000000000005E-2</v>
      </c>
      <c r="N237" s="4">
        <v>13</v>
      </c>
      <c r="O237" s="4">
        <f t="shared" si="18"/>
        <v>31218.691400000003</v>
      </c>
      <c r="P237">
        <f t="shared" si="19"/>
        <v>16089.84</v>
      </c>
      <c r="Q237" s="4">
        <f t="shared" si="21"/>
        <v>15128.851400000003</v>
      </c>
      <c r="R237" s="18">
        <f t="shared" si="22"/>
        <v>0.48460876230065175</v>
      </c>
    </row>
    <row r="238" spans="1:18" x14ac:dyDescent="0.3">
      <c r="A238" t="s">
        <v>574</v>
      </c>
      <c r="B238" s="7">
        <v>45548</v>
      </c>
      <c r="C238" s="2">
        <v>45567</v>
      </c>
      <c r="D238" s="4">
        <f t="shared" si="23"/>
        <v>19</v>
      </c>
      <c r="E238" s="4" t="str">
        <f>TEXT(Data!B238,"MMM-YYYY")</f>
        <v>Jul-2025</v>
      </c>
      <c r="F238" t="s">
        <v>62</v>
      </c>
      <c r="G238" t="s">
        <v>20</v>
      </c>
      <c r="H238" t="s">
        <v>110</v>
      </c>
      <c r="I238" t="s">
        <v>42</v>
      </c>
      <c r="J238" s="4">
        <v>1338.99</v>
      </c>
      <c r="K238" s="8" t="str">
        <f t="shared" si="20"/>
        <v>High</v>
      </c>
      <c r="L238" s="4">
        <v>1765.76</v>
      </c>
      <c r="M238" s="4">
        <v>0.126</v>
      </c>
      <c r="N238" s="4">
        <v>24</v>
      </c>
      <c r="O238" s="4">
        <f t="shared" si="18"/>
        <v>21901.880639999999</v>
      </c>
      <c r="P238">
        <f t="shared" si="19"/>
        <v>32135.760000000002</v>
      </c>
      <c r="Q238" s="4">
        <f t="shared" si="21"/>
        <v>-10233.879360000003</v>
      </c>
      <c r="R238" s="18">
        <f t="shared" si="22"/>
        <v>-0.46726030189889678</v>
      </c>
    </row>
    <row r="239" spans="1:18" x14ac:dyDescent="0.3">
      <c r="A239" t="s">
        <v>576</v>
      </c>
      <c r="B239" s="7">
        <v>45855</v>
      </c>
      <c r="C239" s="2">
        <v>45861</v>
      </c>
      <c r="D239" s="4">
        <f t="shared" si="23"/>
        <v>6</v>
      </c>
      <c r="E239" s="4" t="str">
        <f>TEXT(Data!B239,"MMM-YYYY")</f>
        <v>Nov-2023</v>
      </c>
      <c r="F239" t="s">
        <v>48</v>
      </c>
      <c r="G239" t="s">
        <v>28</v>
      </c>
      <c r="H239" t="s">
        <v>92</v>
      </c>
      <c r="I239" t="s">
        <v>22</v>
      </c>
      <c r="J239" s="4">
        <v>1364.89</v>
      </c>
      <c r="K239" s="8" t="str">
        <f t="shared" si="20"/>
        <v>High</v>
      </c>
      <c r="L239" s="4">
        <v>2757.54</v>
      </c>
      <c r="M239" s="4">
        <v>0.17199999999999999</v>
      </c>
      <c r="N239" s="4">
        <v>61</v>
      </c>
      <c r="O239" s="4">
        <f t="shared" si="18"/>
        <v>5002.3123200000009</v>
      </c>
      <c r="P239">
        <f t="shared" si="19"/>
        <v>83258.290000000008</v>
      </c>
      <c r="Q239" s="4">
        <f t="shared" si="21"/>
        <v>-78255.977680000011</v>
      </c>
      <c r="R239" s="18">
        <f t="shared" si="22"/>
        <v>-15.643960767327698</v>
      </c>
    </row>
    <row r="240" spans="1:18" x14ac:dyDescent="0.3">
      <c r="A240" t="s">
        <v>578</v>
      </c>
      <c r="B240" s="7">
        <v>45258</v>
      </c>
      <c r="C240" s="2">
        <v>45267</v>
      </c>
      <c r="D240" s="4">
        <f t="shared" si="23"/>
        <v>9</v>
      </c>
      <c r="E240" s="4" t="str">
        <f>TEXT(Data!B240,"MMM-YYYY")</f>
        <v>Mar-2024</v>
      </c>
      <c r="F240" t="s">
        <v>105</v>
      </c>
      <c r="G240" t="s">
        <v>40</v>
      </c>
      <c r="H240" t="s">
        <v>49</v>
      </c>
      <c r="I240" t="s">
        <v>42</v>
      </c>
      <c r="J240" s="4">
        <v>699.33</v>
      </c>
      <c r="K240" s="8" t="str">
        <f t="shared" si="20"/>
        <v>High</v>
      </c>
      <c r="L240" s="4">
        <v>873.75</v>
      </c>
      <c r="M240" s="4">
        <v>0.23499999999999999</v>
      </c>
      <c r="N240" s="4">
        <v>10</v>
      </c>
      <c r="O240" s="4">
        <f t="shared" si="18"/>
        <v>15275.5965</v>
      </c>
      <c r="P240">
        <f t="shared" si="19"/>
        <v>6993.3</v>
      </c>
      <c r="Q240" s="4">
        <f t="shared" si="21"/>
        <v>8282.2965000000004</v>
      </c>
      <c r="R240" s="18">
        <f t="shared" si="22"/>
        <v>0.5421913638527962</v>
      </c>
    </row>
    <row r="241" spans="1:18" x14ac:dyDescent="0.3">
      <c r="A241" t="s">
        <v>580</v>
      </c>
      <c r="B241" s="7">
        <v>45381</v>
      </c>
      <c r="C241" s="2">
        <v>45406</v>
      </c>
      <c r="D241" s="4">
        <f t="shared" si="23"/>
        <v>25</v>
      </c>
      <c r="E241" s="4" t="str">
        <f>TEXT(Data!B241,"MMM-YYYY")</f>
        <v>Sept-2023</v>
      </c>
      <c r="F241" t="s">
        <v>39</v>
      </c>
      <c r="G241" t="s">
        <v>28</v>
      </c>
      <c r="H241" t="s">
        <v>41</v>
      </c>
      <c r="I241" t="s">
        <v>57</v>
      </c>
      <c r="J241" s="4">
        <v>160.82</v>
      </c>
      <c r="K241" s="8" t="str">
        <f t="shared" si="20"/>
        <v>High</v>
      </c>
      <c r="L241" s="4">
        <v>258.52</v>
      </c>
      <c r="M241" s="4">
        <v>0.13</v>
      </c>
      <c r="N241" s="4">
        <v>17</v>
      </c>
      <c r="O241" s="4">
        <f t="shared" si="18"/>
        <v>13631.647199999999</v>
      </c>
      <c r="P241">
        <f t="shared" si="19"/>
        <v>2733.94</v>
      </c>
      <c r="Q241" s="4">
        <f t="shared" si="21"/>
        <v>10897.707199999999</v>
      </c>
      <c r="R241" s="18">
        <f t="shared" si="22"/>
        <v>0.79944169916604058</v>
      </c>
    </row>
    <row r="242" spans="1:18" x14ac:dyDescent="0.3">
      <c r="A242" t="s">
        <v>582</v>
      </c>
      <c r="B242" s="7">
        <v>45188</v>
      </c>
      <c r="C242" s="2">
        <v>45207</v>
      </c>
      <c r="D242" s="4">
        <f t="shared" si="23"/>
        <v>19</v>
      </c>
      <c r="E242" s="4" t="str">
        <f>TEXT(Data!B242,"MMM-YYYY")</f>
        <v>May-2025</v>
      </c>
      <c r="F242" t="s">
        <v>27</v>
      </c>
      <c r="G242" t="s">
        <v>98</v>
      </c>
      <c r="H242" t="s">
        <v>29</v>
      </c>
      <c r="I242" t="s">
        <v>30</v>
      </c>
      <c r="J242" s="4">
        <v>385.32</v>
      </c>
      <c r="K242" s="8" t="str">
        <f t="shared" si="20"/>
        <v>High</v>
      </c>
      <c r="L242" s="4">
        <v>606.76</v>
      </c>
      <c r="M242" s="4">
        <v>8.5999999999999993E-2</v>
      </c>
      <c r="N242" s="4">
        <v>8</v>
      </c>
      <c r="O242" s="4">
        <f t="shared" si="18"/>
        <v>18307.712480000002</v>
      </c>
      <c r="P242">
        <f t="shared" si="19"/>
        <v>3082.56</v>
      </c>
      <c r="Q242" s="4">
        <f t="shared" si="21"/>
        <v>15225.152480000002</v>
      </c>
      <c r="R242" s="18">
        <f t="shared" si="22"/>
        <v>0.8316250594732959</v>
      </c>
    </row>
    <row r="243" spans="1:18" x14ac:dyDescent="0.3">
      <c r="A243" t="s">
        <v>584</v>
      </c>
      <c r="B243" s="7">
        <v>45793</v>
      </c>
      <c r="C243" s="2">
        <v>45804</v>
      </c>
      <c r="D243" s="4">
        <f t="shared" si="23"/>
        <v>11</v>
      </c>
      <c r="E243" s="4" t="str">
        <f>TEXT(Data!B243,"MMM-YYYY")</f>
        <v>Aug-2025</v>
      </c>
      <c r="F243" t="s">
        <v>105</v>
      </c>
      <c r="G243" t="s">
        <v>28</v>
      </c>
      <c r="H243" t="s">
        <v>84</v>
      </c>
      <c r="I243" t="s">
        <v>42</v>
      </c>
      <c r="J243" s="4">
        <v>918.12</v>
      </c>
      <c r="K243" s="8" t="str">
        <f t="shared" si="20"/>
        <v>High</v>
      </c>
      <c r="L243" s="4">
        <v>1337.69</v>
      </c>
      <c r="M243" s="4">
        <v>9.5000000000000001E-2</v>
      </c>
      <c r="N243" s="4">
        <v>8</v>
      </c>
      <c r="O243" s="4">
        <f t="shared" si="18"/>
        <v>17830.4548</v>
      </c>
      <c r="P243">
        <f t="shared" si="19"/>
        <v>7344.96</v>
      </c>
      <c r="Q243" s="4">
        <f t="shared" si="21"/>
        <v>10485.4948</v>
      </c>
      <c r="R243" s="18">
        <f t="shared" si="22"/>
        <v>0.58806659267042372</v>
      </c>
    </row>
    <row r="244" spans="1:18" x14ac:dyDescent="0.3">
      <c r="A244" t="s">
        <v>586</v>
      </c>
      <c r="B244" s="7">
        <v>45871</v>
      </c>
      <c r="C244" s="2">
        <v>45877</v>
      </c>
      <c r="D244" s="4">
        <f t="shared" si="23"/>
        <v>6</v>
      </c>
      <c r="E244" s="4" t="str">
        <f>TEXT(Data!B244,"MMM-YYYY")</f>
        <v>Dec-2024</v>
      </c>
      <c r="F244" t="s">
        <v>48</v>
      </c>
      <c r="G244" t="s">
        <v>98</v>
      </c>
      <c r="H244" t="s">
        <v>126</v>
      </c>
      <c r="I244" t="s">
        <v>57</v>
      </c>
      <c r="J244" s="4">
        <v>1225.94</v>
      </c>
      <c r="K244" s="8" t="str">
        <f t="shared" si="20"/>
        <v>High</v>
      </c>
      <c r="L244" s="4">
        <v>1793.08</v>
      </c>
      <c r="M244" s="4">
        <v>0.13600000000000001</v>
      </c>
      <c r="N244" s="4">
        <v>22</v>
      </c>
      <c r="O244" s="4">
        <f t="shared" si="18"/>
        <v>9431.7695999999996</v>
      </c>
      <c r="P244">
        <f t="shared" si="19"/>
        <v>26970.68</v>
      </c>
      <c r="Q244" s="4">
        <f t="shared" si="21"/>
        <v>-17538.910400000001</v>
      </c>
      <c r="R244" s="18">
        <f t="shared" si="22"/>
        <v>-1.8595567050323198</v>
      </c>
    </row>
    <row r="245" spans="1:18" x14ac:dyDescent="0.3">
      <c r="A245" t="s">
        <v>588</v>
      </c>
      <c r="B245" s="7">
        <v>45630</v>
      </c>
      <c r="C245" s="2">
        <v>45638</v>
      </c>
      <c r="D245" s="4">
        <f t="shared" si="23"/>
        <v>8</v>
      </c>
      <c r="E245" s="4" t="str">
        <f>TEXT(Data!B245,"MMM-YYYY")</f>
        <v>Apr-2023</v>
      </c>
      <c r="F245" t="s">
        <v>105</v>
      </c>
      <c r="G245" t="s">
        <v>40</v>
      </c>
      <c r="H245" t="s">
        <v>56</v>
      </c>
      <c r="I245" t="s">
        <v>30</v>
      </c>
      <c r="J245" s="4">
        <v>72.06</v>
      </c>
      <c r="K245" s="8" t="str">
        <f t="shared" si="20"/>
        <v>Medium</v>
      </c>
      <c r="L245" s="4">
        <v>122.74</v>
      </c>
      <c r="M245" s="4">
        <v>0.23799999999999999</v>
      </c>
      <c r="N245" s="4">
        <v>8</v>
      </c>
      <c r="O245" s="4">
        <f t="shared" si="18"/>
        <v>5532.6686399999999</v>
      </c>
      <c r="P245">
        <f t="shared" si="19"/>
        <v>576.48</v>
      </c>
      <c r="Q245" s="4">
        <f t="shared" si="21"/>
        <v>4956.1886400000003</v>
      </c>
      <c r="R245" s="18">
        <f t="shared" si="22"/>
        <v>0.89580435093615152</v>
      </c>
    </row>
    <row r="246" spans="1:18" x14ac:dyDescent="0.3">
      <c r="A246" t="s">
        <v>590</v>
      </c>
      <c r="B246" s="7">
        <v>45035</v>
      </c>
      <c r="C246" s="2">
        <v>45044</v>
      </c>
      <c r="D246" s="4">
        <f t="shared" si="23"/>
        <v>9</v>
      </c>
      <c r="E246" s="4" t="str">
        <f>TEXT(Data!B246,"MMM-YYYY")</f>
        <v>Mar-2024</v>
      </c>
      <c r="F246" t="s">
        <v>19</v>
      </c>
      <c r="G246" t="s">
        <v>55</v>
      </c>
      <c r="H246" t="s">
        <v>110</v>
      </c>
      <c r="I246" t="s">
        <v>42</v>
      </c>
      <c r="J246" s="4">
        <v>1013.54</v>
      </c>
      <c r="K246" s="8" t="str">
        <f t="shared" si="20"/>
        <v>High</v>
      </c>
      <c r="L246" s="4">
        <v>927.93</v>
      </c>
      <c r="M246" s="4">
        <v>0.17499999999999999</v>
      </c>
      <c r="N246" s="4">
        <v>16</v>
      </c>
      <c r="O246" s="4">
        <f t="shared" si="18"/>
        <v>4411.308</v>
      </c>
      <c r="P246">
        <f t="shared" si="19"/>
        <v>16216.64</v>
      </c>
      <c r="Q246" s="4">
        <f t="shared" si="21"/>
        <v>-11805.331999999999</v>
      </c>
      <c r="R246" s="18">
        <f t="shared" si="22"/>
        <v>-2.6761522886182507</v>
      </c>
    </row>
    <row r="247" spans="1:18" x14ac:dyDescent="0.3">
      <c r="A247" t="s">
        <v>592</v>
      </c>
      <c r="B247" s="7">
        <v>45357</v>
      </c>
      <c r="C247" s="2">
        <v>45377</v>
      </c>
      <c r="D247" s="4">
        <f t="shared" si="23"/>
        <v>20</v>
      </c>
      <c r="E247" s="4" t="str">
        <f>TEXT(Data!B247,"MMM-YYYY")</f>
        <v>Feb-2024</v>
      </c>
      <c r="F247" t="s">
        <v>48</v>
      </c>
      <c r="G247" t="s">
        <v>40</v>
      </c>
      <c r="H247" t="s">
        <v>34</v>
      </c>
      <c r="I247" t="s">
        <v>42</v>
      </c>
      <c r="J247" s="4">
        <v>65.64</v>
      </c>
      <c r="K247" s="8" t="str">
        <f t="shared" si="20"/>
        <v>Medium</v>
      </c>
      <c r="L247" s="4">
        <v>151.88</v>
      </c>
      <c r="M247" s="4">
        <v>0.16700000000000001</v>
      </c>
      <c r="N247" s="4">
        <v>23</v>
      </c>
      <c r="O247" s="4">
        <f t="shared" si="18"/>
        <v>10322.677609999999</v>
      </c>
      <c r="P247">
        <f t="shared" si="19"/>
        <v>1509.72</v>
      </c>
      <c r="Q247" s="4">
        <f t="shared" si="21"/>
        <v>8812.9576099999995</v>
      </c>
      <c r="R247" s="18">
        <f t="shared" si="22"/>
        <v>0.8537472488206479</v>
      </c>
    </row>
    <row r="248" spans="1:18" x14ac:dyDescent="0.3">
      <c r="A248" t="s">
        <v>594</v>
      </c>
      <c r="B248" s="7">
        <v>45338</v>
      </c>
      <c r="C248" s="2">
        <v>45355</v>
      </c>
      <c r="D248" s="4">
        <f t="shared" si="23"/>
        <v>17</v>
      </c>
      <c r="E248" s="4" t="str">
        <f>TEXT(Data!B248,"MMM-YYYY")</f>
        <v>Apr-2025</v>
      </c>
      <c r="F248" t="s">
        <v>39</v>
      </c>
      <c r="G248" t="s">
        <v>20</v>
      </c>
      <c r="H248" t="s">
        <v>145</v>
      </c>
      <c r="I248" t="s">
        <v>57</v>
      </c>
      <c r="J248" s="4">
        <v>1350.98</v>
      </c>
      <c r="K248" s="8" t="str">
        <f t="shared" si="20"/>
        <v>High</v>
      </c>
      <c r="L248" s="4">
        <v>2210.4</v>
      </c>
      <c r="M248" s="4">
        <v>0.26300000000000001</v>
      </c>
      <c r="N248" s="4">
        <v>6</v>
      </c>
      <c r="O248" s="4">
        <f t="shared" si="18"/>
        <v>6352.3798799999995</v>
      </c>
      <c r="P248">
        <f t="shared" si="19"/>
        <v>8105.88</v>
      </c>
      <c r="Q248" s="4">
        <f t="shared" si="21"/>
        <v>-1753.5001200000006</v>
      </c>
      <c r="R248" s="18">
        <f t="shared" si="22"/>
        <v>-0.27603829637468102</v>
      </c>
    </row>
    <row r="249" spans="1:18" x14ac:dyDescent="0.3">
      <c r="A249" t="s">
        <v>596</v>
      </c>
      <c r="B249" s="7">
        <v>45769</v>
      </c>
      <c r="C249" s="2">
        <v>45779</v>
      </c>
      <c r="D249" s="4">
        <f t="shared" si="23"/>
        <v>10</v>
      </c>
      <c r="E249" s="4" t="str">
        <f>TEXT(Data!B249,"MMM-YYYY")</f>
        <v>Nov-2024</v>
      </c>
      <c r="F249" t="s">
        <v>19</v>
      </c>
      <c r="G249" t="s">
        <v>40</v>
      </c>
      <c r="H249" t="s">
        <v>21</v>
      </c>
      <c r="I249" t="s">
        <v>64</v>
      </c>
      <c r="J249" s="4">
        <v>20.149999999999999</v>
      </c>
      <c r="K249" s="8" t="str">
        <f t="shared" si="20"/>
        <v>Low</v>
      </c>
      <c r="L249" s="4">
        <v>39.74</v>
      </c>
      <c r="M249" s="4">
        <v>0.151</v>
      </c>
      <c r="N249" s="4">
        <v>18</v>
      </c>
      <c r="O249" s="4">
        <f t="shared" si="18"/>
        <v>26996.417099999999</v>
      </c>
      <c r="P249">
        <f t="shared" si="19"/>
        <v>362.7</v>
      </c>
      <c r="Q249" s="4">
        <f t="shared" si="21"/>
        <v>26633.717099999998</v>
      </c>
      <c r="R249" s="18">
        <f t="shared" si="22"/>
        <v>0.98656488382675045</v>
      </c>
    </row>
    <row r="250" spans="1:18" x14ac:dyDescent="0.3">
      <c r="A250" t="s">
        <v>598</v>
      </c>
      <c r="B250" s="7">
        <v>45604</v>
      </c>
      <c r="C250" s="2">
        <v>45604</v>
      </c>
      <c r="D250" s="4">
        <f t="shared" si="23"/>
        <v>0</v>
      </c>
      <c r="E250" s="4" t="str">
        <f>TEXT(Data!B250,"MMM-YYYY")</f>
        <v>Sept-2025</v>
      </c>
      <c r="F250" t="s">
        <v>105</v>
      </c>
      <c r="G250" t="s">
        <v>40</v>
      </c>
      <c r="H250" t="s">
        <v>110</v>
      </c>
      <c r="I250" t="s">
        <v>35</v>
      </c>
      <c r="J250" s="4">
        <v>803.28</v>
      </c>
      <c r="K250" s="8" t="str">
        <f t="shared" si="20"/>
        <v>High</v>
      </c>
      <c r="L250" s="4">
        <v>1009</v>
      </c>
      <c r="M250" s="4">
        <v>0.11</v>
      </c>
      <c r="N250" s="4">
        <v>4</v>
      </c>
      <c r="O250" s="4">
        <f t="shared" si="18"/>
        <v>2237.6023999999998</v>
      </c>
      <c r="P250">
        <f t="shared" si="19"/>
        <v>3213.12</v>
      </c>
      <c r="Q250" s="4">
        <f t="shared" si="21"/>
        <v>-975.51760000000013</v>
      </c>
      <c r="R250" s="18">
        <f t="shared" si="22"/>
        <v>-0.43596556743056775</v>
      </c>
    </row>
    <row r="251" spans="1:18" x14ac:dyDescent="0.3">
      <c r="A251" t="s">
        <v>600</v>
      </c>
      <c r="B251" s="7">
        <v>45912</v>
      </c>
      <c r="C251" s="2">
        <v>45930</v>
      </c>
      <c r="D251" s="4">
        <f t="shared" si="23"/>
        <v>18</v>
      </c>
      <c r="E251" s="4" t="str">
        <f>TEXT(Data!B251,"MMM-YYYY")</f>
        <v>Sept-2024</v>
      </c>
      <c r="F251" t="s">
        <v>39</v>
      </c>
      <c r="G251" t="s">
        <v>40</v>
      </c>
      <c r="H251" t="s">
        <v>84</v>
      </c>
      <c r="I251" t="s">
        <v>64</v>
      </c>
      <c r="J251" s="4">
        <v>1212.99</v>
      </c>
      <c r="K251" s="8" t="str">
        <f t="shared" si="20"/>
        <v>High</v>
      </c>
      <c r="L251" s="4">
        <v>1653.64</v>
      </c>
      <c r="M251" s="4">
        <v>0.107</v>
      </c>
      <c r="N251" s="4">
        <v>8</v>
      </c>
      <c r="O251" s="4">
        <f t="shared" si="18"/>
        <v>11792.958000000001</v>
      </c>
      <c r="P251">
        <f t="shared" si="19"/>
        <v>9703.92</v>
      </c>
      <c r="Q251" s="4">
        <f t="shared" si="21"/>
        <v>2089.0380000000005</v>
      </c>
      <c r="R251" s="18">
        <f t="shared" si="22"/>
        <v>0.17714283388442495</v>
      </c>
    </row>
    <row r="252" spans="1:18" x14ac:dyDescent="0.3">
      <c r="A252" t="s">
        <v>602</v>
      </c>
      <c r="B252" s="7">
        <v>45537</v>
      </c>
      <c r="C252" s="2">
        <v>45543</v>
      </c>
      <c r="D252" s="4">
        <f t="shared" si="23"/>
        <v>6</v>
      </c>
      <c r="E252" s="4" t="str">
        <f>TEXT(Data!B252,"MMM-YYYY")</f>
        <v>Mar-2023</v>
      </c>
      <c r="F252" t="s">
        <v>48</v>
      </c>
      <c r="G252" t="s">
        <v>98</v>
      </c>
      <c r="H252" t="s">
        <v>92</v>
      </c>
      <c r="I252" t="s">
        <v>22</v>
      </c>
      <c r="J252" s="4">
        <v>462.94</v>
      </c>
      <c r="K252" s="8" t="str">
        <f t="shared" si="20"/>
        <v>High</v>
      </c>
      <c r="L252" s="4">
        <v>1015.7</v>
      </c>
      <c r="M252" s="4">
        <v>0.14299999999999999</v>
      </c>
      <c r="N252" s="4">
        <v>14</v>
      </c>
      <c r="O252" s="4">
        <f t="shared" si="18"/>
        <v>26961.185719999998</v>
      </c>
      <c r="P252">
        <f t="shared" si="19"/>
        <v>6481.16</v>
      </c>
      <c r="Q252" s="4">
        <f t="shared" si="21"/>
        <v>20480.025719999998</v>
      </c>
      <c r="R252" s="18">
        <f t="shared" si="22"/>
        <v>0.75961146266678359</v>
      </c>
    </row>
    <row r="253" spans="1:18" x14ac:dyDescent="0.3">
      <c r="A253" t="s">
        <v>604</v>
      </c>
      <c r="B253" s="7">
        <v>44989</v>
      </c>
      <c r="C253" s="2">
        <v>45009</v>
      </c>
      <c r="D253" s="4">
        <f t="shared" si="23"/>
        <v>20</v>
      </c>
      <c r="E253" s="4" t="str">
        <f>TEXT(Data!B253,"MMM-YYYY")</f>
        <v>Mar-2024</v>
      </c>
      <c r="F253" t="s">
        <v>48</v>
      </c>
      <c r="G253" t="s">
        <v>55</v>
      </c>
      <c r="H253" t="s">
        <v>34</v>
      </c>
      <c r="I253" t="s">
        <v>57</v>
      </c>
      <c r="J253" s="4">
        <v>481.71</v>
      </c>
      <c r="K253" s="8" t="str">
        <f t="shared" si="20"/>
        <v>High</v>
      </c>
      <c r="L253" s="4">
        <v>912.45</v>
      </c>
      <c r="M253" s="4">
        <v>0.20300000000000001</v>
      </c>
      <c r="N253" s="4">
        <v>24</v>
      </c>
      <c r="O253" s="4">
        <f t="shared" si="18"/>
        <v>17084.938320000001</v>
      </c>
      <c r="P253">
        <f t="shared" si="19"/>
        <v>11561.039999999999</v>
      </c>
      <c r="Q253" s="4">
        <f t="shared" si="21"/>
        <v>5523.8983200000021</v>
      </c>
      <c r="R253" s="18">
        <f t="shared" si="22"/>
        <v>0.3233197695266834</v>
      </c>
    </row>
    <row r="254" spans="1:18" x14ac:dyDescent="0.3">
      <c r="A254" t="s">
        <v>606</v>
      </c>
      <c r="B254" s="7">
        <v>45366</v>
      </c>
      <c r="C254" s="2">
        <v>45391</v>
      </c>
      <c r="D254" s="4">
        <f t="shared" si="23"/>
        <v>25</v>
      </c>
      <c r="E254" s="4" t="str">
        <f>TEXT(Data!B254,"MMM-YYYY")</f>
        <v>Jul-2024</v>
      </c>
      <c r="F254" t="s">
        <v>48</v>
      </c>
      <c r="G254" t="s">
        <v>28</v>
      </c>
      <c r="H254" t="s">
        <v>84</v>
      </c>
      <c r="I254" t="s">
        <v>64</v>
      </c>
      <c r="J254" s="4">
        <v>648.64</v>
      </c>
      <c r="K254" s="8" t="str">
        <f t="shared" si="20"/>
        <v>High</v>
      </c>
      <c r="L254" s="4">
        <v>815.19</v>
      </c>
      <c r="M254" s="4">
        <v>0.22500000000000001</v>
      </c>
      <c r="N254" s="4">
        <v>28</v>
      </c>
      <c r="O254" s="4">
        <f t="shared" si="18"/>
        <v>50537.130000000005</v>
      </c>
      <c r="P254">
        <f t="shared" si="19"/>
        <v>18161.919999999998</v>
      </c>
      <c r="Q254" s="4">
        <f t="shared" si="21"/>
        <v>32375.210000000006</v>
      </c>
      <c r="R254" s="18">
        <f t="shared" si="22"/>
        <v>0.64062225140208795</v>
      </c>
    </row>
    <row r="255" spans="1:18" x14ac:dyDescent="0.3">
      <c r="A255" t="s">
        <v>608</v>
      </c>
      <c r="B255" s="7">
        <v>45502</v>
      </c>
      <c r="C255" s="2">
        <v>45504</v>
      </c>
      <c r="D255" s="4">
        <f t="shared" si="23"/>
        <v>2</v>
      </c>
      <c r="E255" s="4" t="str">
        <f>TEXT(Data!B255,"MMM-YYYY")</f>
        <v>Oct-2024</v>
      </c>
      <c r="F255" t="s">
        <v>27</v>
      </c>
      <c r="G255" t="s">
        <v>40</v>
      </c>
      <c r="H255" t="s">
        <v>34</v>
      </c>
      <c r="I255" t="s">
        <v>30</v>
      </c>
      <c r="J255" s="4">
        <v>798.97</v>
      </c>
      <c r="K255" s="8" t="str">
        <f t="shared" si="20"/>
        <v>High</v>
      </c>
      <c r="L255" s="4">
        <v>1814.06</v>
      </c>
      <c r="M255" s="4">
        <v>0.122</v>
      </c>
      <c r="N255" s="4">
        <v>16</v>
      </c>
      <c r="O255" s="4">
        <f t="shared" si="18"/>
        <v>29033.704000000002</v>
      </c>
      <c r="P255">
        <f t="shared" si="19"/>
        <v>12783.52</v>
      </c>
      <c r="Q255" s="4">
        <f t="shared" si="21"/>
        <v>16250.184000000001</v>
      </c>
      <c r="R255" s="18">
        <f t="shared" si="22"/>
        <v>0.55970068441835741</v>
      </c>
    </row>
    <row r="256" spans="1:18" x14ac:dyDescent="0.3">
      <c r="A256" t="s">
        <v>610</v>
      </c>
      <c r="B256" s="7">
        <v>45592</v>
      </c>
      <c r="C256" s="2">
        <v>45616</v>
      </c>
      <c r="D256" s="4">
        <f t="shared" si="23"/>
        <v>24</v>
      </c>
      <c r="E256" s="4" t="str">
        <f>TEXT(Data!B256,"MMM-YYYY")</f>
        <v>Apr-2024</v>
      </c>
      <c r="F256" t="s">
        <v>39</v>
      </c>
      <c r="G256" t="s">
        <v>28</v>
      </c>
      <c r="H256" t="s">
        <v>92</v>
      </c>
      <c r="I256" t="s">
        <v>64</v>
      </c>
      <c r="J256" s="4">
        <v>317.25</v>
      </c>
      <c r="K256" s="8" t="str">
        <f t="shared" si="20"/>
        <v>High</v>
      </c>
      <c r="L256" s="4">
        <v>758.92</v>
      </c>
      <c r="M256" s="4">
        <v>5.2999999999999999E-2</v>
      </c>
      <c r="N256" s="4">
        <v>9</v>
      </c>
      <c r="O256" s="4">
        <f t="shared" si="18"/>
        <v>18599.828130000002</v>
      </c>
      <c r="P256">
        <f t="shared" si="19"/>
        <v>2855.25</v>
      </c>
      <c r="Q256" s="4">
        <f t="shared" si="21"/>
        <v>15744.578130000002</v>
      </c>
      <c r="R256" s="18">
        <f t="shared" si="22"/>
        <v>0.84649051700672895</v>
      </c>
    </row>
    <row r="257" spans="1:18" x14ac:dyDescent="0.3">
      <c r="A257" t="s">
        <v>612</v>
      </c>
      <c r="B257" s="7">
        <v>45411</v>
      </c>
      <c r="C257" s="2">
        <v>45431</v>
      </c>
      <c r="D257" s="4">
        <f t="shared" si="23"/>
        <v>20</v>
      </c>
      <c r="E257" s="4" t="str">
        <f>TEXT(Data!B257,"MMM-YYYY")</f>
        <v>Oct-2023</v>
      </c>
      <c r="F257" t="s">
        <v>105</v>
      </c>
      <c r="G257" t="s">
        <v>40</v>
      </c>
      <c r="H257" t="s">
        <v>21</v>
      </c>
      <c r="I257" t="s">
        <v>57</v>
      </c>
      <c r="J257" s="4">
        <v>668.97</v>
      </c>
      <c r="K257" s="8" t="str">
        <f t="shared" si="20"/>
        <v>High</v>
      </c>
      <c r="L257" s="4">
        <v>1667.44</v>
      </c>
      <c r="M257" s="4">
        <v>3.4000000000000002E-2</v>
      </c>
      <c r="N257" s="4">
        <v>15</v>
      </c>
      <c r="O257" s="4">
        <f t="shared" si="18"/>
        <v>39508.723799999992</v>
      </c>
      <c r="P257">
        <f t="shared" si="19"/>
        <v>10034.550000000001</v>
      </c>
      <c r="Q257" s="4">
        <f t="shared" si="21"/>
        <v>29474.17379999999</v>
      </c>
      <c r="R257" s="18">
        <f t="shared" si="22"/>
        <v>0.74601685311839905</v>
      </c>
    </row>
    <row r="258" spans="1:18" x14ac:dyDescent="0.3">
      <c r="A258" t="s">
        <v>614</v>
      </c>
      <c r="B258" s="7">
        <v>45204</v>
      </c>
      <c r="C258" s="2">
        <v>45205</v>
      </c>
      <c r="D258" s="4">
        <f t="shared" si="23"/>
        <v>1</v>
      </c>
      <c r="E258" s="4" t="str">
        <f>TEXT(Data!B258,"MMM-YYYY")</f>
        <v>Apr-2023</v>
      </c>
      <c r="F258" t="s">
        <v>39</v>
      </c>
      <c r="G258" t="s">
        <v>28</v>
      </c>
      <c r="H258" t="s">
        <v>34</v>
      </c>
      <c r="I258" t="s">
        <v>22</v>
      </c>
      <c r="J258" s="4">
        <v>1470.26</v>
      </c>
      <c r="K258" s="8" t="str">
        <f t="shared" si="20"/>
        <v>High</v>
      </c>
      <c r="L258" s="4">
        <v>2562.5500000000002</v>
      </c>
      <c r="M258" s="4">
        <v>0.17299999999999999</v>
      </c>
      <c r="N258" s="4">
        <v>9</v>
      </c>
      <c r="O258" s="4">
        <f t="shared" ref="O258:O321" si="24">(L284*N258)*(1-M258)</f>
        <v>828.33146999999997</v>
      </c>
      <c r="P258">
        <f t="shared" ref="P258:P321" si="25">(J258*N258)</f>
        <v>13232.34</v>
      </c>
      <c r="Q258" s="4">
        <f t="shared" si="21"/>
        <v>-12404.008530000001</v>
      </c>
      <c r="R258" s="18">
        <f t="shared" si="22"/>
        <v>-14.974691870634834</v>
      </c>
    </row>
    <row r="259" spans="1:18" x14ac:dyDescent="0.3">
      <c r="A259" t="s">
        <v>616</v>
      </c>
      <c r="B259" s="7">
        <v>45035</v>
      </c>
      <c r="C259" s="2">
        <v>45053</v>
      </c>
      <c r="D259" s="4">
        <f t="shared" si="23"/>
        <v>18</v>
      </c>
      <c r="E259" s="4" t="str">
        <f>TEXT(Data!B259,"MMM-YYYY")</f>
        <v>Jun-2025</v>
      </c>
      <c r="F259" t="s">
        <v>39</v>
      </c>
      <c r="G259" t="s">
        <v>98</v>
      </c>
      <c r="H259" t="s">
        <v>92</v>
      </c>
      <c r="I259" t="s">
        <v>35</v>
      </c>
      <c r="J259" s="4">
        <v>516.96</v>
      </c>
      <c r="K259" s="8" t="str">
        <f t="shared" ref="K259:K322" si="26">IF(L259&lt;50, "Low", IF(L259&lt;200, "Medium", "High"))</f>
        <v>High</v>
      </c>
      <c r="L259" s="4">
        <v>745.38</v>
      </c>
      <c r="M259" s="4">
        <v>0.19700000000000001</v>
      </c>
      <c r="N259" s="4">
        <v>4</v>
      </c>
      <c r="O259" s="4">
        <f t="shared" si="24"/>
        <v>3533.4890799999994</v>
      </c>
      <c r="P259">
        <f t="shared" si="25"/>
        <v>2067.84</v>
      </c>
      <c r="Q259" s="4">
        <f t="shared" ref="Q259:Q322" si="27">(O259-P259)</f>
        <v>1465.6490799999992</v>
      </c>
      <c r="R259" s="18">
        <f t="shared" ref="R259:R322" si="28">(Q259/O259)</f>
        <v>0.41478805985159561</v>
      </c>
    </row>
    <row r="260" spans="1:18" x14ac:dyDescent="0.3">
      <c r="A260" t="s">
        <v>618</v>
      </c>
      <c r="B260" s="7">
        <v>45835</v>
      </c>
      <c r="C260" s="2">
        <v>45843</v>
      </c>
      <c r="D260" s="4">
        <f t="shared" ref="D260:D322" si="29">DATEDIF(B260,C260, "MD")</f>
        <v>8</v>
      </c>
      <c r="E260" s="4" t="str">
        <f>TEXT(Data!B260,"MMM-YYYY")</f>
        <v>Oct-2023</v>
      </c>
      <c r="F260" t="s">
        <v>62</v>
      </c>
      <c r="G260" t="s">
        <v>98</v>
      </c>
      <c r="H260" t="s">
        <v>41</v>
      </c>
      <c r="I260" t="s">
        <v>64</v>
      </c>
      <c r="J260" s="4">
        <v>314.93</v>
      </c>
      <c r="K260" s="8" t="str">
        <f t="shared" si="26"/>
        <v>High</v>
      </c>
      <c r="L260" s="4">
        <v>687.95</v>
      </c>
      <c r="M260" s="4">
        <v>0.20499999999999999</v>
      </c>
      <c r="N260" s="4">
        <v>8</v>
      </c>
      <c r="O260" s="4">
        <f t="shared" si="24"/>
        <v>9725.3304000000007</v>
      </c>
      <c r="P260">
        <f t="shared" si="25"/>
        <v>2519.44</v>
      </c>
      <c r="Q260" s="4">
        <f t="shared" si="27"/>
        <v>7205.8904000000002</v>
      </c>
      <c r="R260" s="18">
        <f t="shared" si="28"/>
        <v>0.74094042090333501</v>
      </c>
    </row>
    <row r="261" spans="1:18" x14ac:dyDescent="0.3">
      <c r="A261" t="s">
        <v>620</v>
      </c>
      <c r="B261" s="7">
        <v>45210</v>
      </c>
      <c r="C261" s="2">
        <v>45212</v>
      </c>
      <c r="D261" s="4">
        <f t="shared" si="29"/>
        <v>2</v>
      </c>
      <c r="E261" s="4" t="str">
        <f>TEXT(Data!B261,"MMM-YYYY")</f>
        <v>May-2023</v>
      </c>
      <c r="F261" t="s">
        <v>48</v>
      </c>
      <c r="G261" t="s">
        <v>55</v>
      </c>
      <c r="H261" t="s">
        <v>1364</v>
      </c>
      <c r="I261" t="s">
        <v>81</v>
      </c>
      <c r="J261" s="4">
        <v>715.94</v>
      </c>
      <c r="K261" s="8" t="str">
        <f t="shared" si="26"/>
        <v>High</v>
      </c>
      <c r="L261" s="4">
        <v>550.07000000000005</v>
      </c>
      <c r="M261" s="4">
        <v>0.14000000000000001</v>
      </c>
      <c r="N261" s="4">
        <v>16</v>
      </c>
      <c r="O261" s="4">
        <f t="shared" si="24"/>
        <v>10026.7744</v>
      </c>
      <c r="P261">
        <f t="shared" si="25"/>
        <v>11455.04</v>
      </c>
      <c r="Q261" s="4">
        <f t="shared" si="27"/>
        <v>-1428.2656000000006</v>
      </c>
      <c r="R261" s="18">
        <f t="shared" si="28"/>
        <v>-0.14244517159975201</v>
      </c>
    </row>
    <row r="262" spans="1:18" x14ac:dyDescent="0.3">
      <c r="A262" t="s">
        <v>622</v>
      </c>
      <c r="B262" s="7">
        <v>45066</v>
      </c>
      <c r="C262" s="2">
        <v>45084</v>
      </c>
      <c r="D262" s="4">
        <f t="shared" si="29"/>
        <v>18</v>
      </c>
      <c r="E262" s="4" t="str">
        <f>TEXT(Data!B262,"MMM-YYYY")</f>
        <v>May-2023</v>
      </c>
      <c r="F262" t="s">
        <v>105</v>
      </c>
      <c r="G262" t="s">
        <v>55</v>
      </c>
      <c r="H262" t="s">
        <v>63</v>
      </c>
      <c r="I262" t="s">
        <v>22</v>
      </c>
      <c r="J262" s="4">
        <v>1120.06</v>
      </c>
      <c r="K262" s="8" t="str">
        <f t="shared" si="26"/>
        <v>High</v>
      </c>
      <c r="L262" s="4">
        <v>2068.21</v>
      </c>
      <c r="M262" s="4">
        <v>7.8E-2</v>
      </c>
      <c r="N262" s="4">
        <v>12</v>
      </c>
      <c r="O262" s="4">
        <f t="shared" si="24"/>
        <v>69.481920000000002</v>
      </c>
      <c r="P262">
        <f t="shared" si="25"/>
        <v>13440.72</v>
      </c>
      <c r="Q262" s="4">
        <f t="shared" si="27"/>
        <v>-13371.238079999999</v>
      </c>
      <c r="R262" s="18">
        <f t="shared" si="28"/>
        <v>-192.44197742376721</v>
      </c>
    </row>
    <row r="263" spans="1:18" x14ac:dyDescent="0.3">
      <c r="A263" t="s">
        <v>624</v>
      </c>
      <c r="B263" s="7">
        <v>45073</v>
      </c>
      <c r="C263" s="2">
        <v>45096</v>
      </c>
      <c r="D263" s="4">
        <f t="shared" si="29"/>
        <v>23</v>
      </c>
      <c r="E263" s="4" t="str">
        <f>TEXT(Data!B263,"MMM-YYYY")</f>
        <v>Aug-2023</v>
      </c>
      <c r="F263" t="s">
        <v>27</v>
      </c>
      <c r="G263" t="s">
        <v>20</v>
      </c>
      <c r="H263" t="s">
        <v>68</v>
      </c>
      <c r="I263" t="s">
        <v>81</v>
      </c>
      <c r="J263" s="4">
        <v>1471.58</v>
      </c>
      <c r="K263" s="8" t="str">
        <f t="shared" si="26"/>
        <v>High</v>
      </c>
      <c r="L263" s="4">
        <v>2576.65</v>
      </c>
      <c r="M263" s="4">
        <v>4.0000000000000001E-3</v>
      </c>
      <c r="N263" s="4">
        <v>7</v>
      </c>
      <c r="O263" s="4">
        <f t="shared" si="24"/>
        <v>17916.436439999998</v>
      </c>
      <c r="P263">
        <f t="shared" si="25"/>
        <v>10301.06</v>
      </c>
      <c r="Q263" s="4">
        <f t="shared" si="27"/>
        <v>7615.3764399999982</v>
      </c>
      <c r="R263" s="18">
        <f t="shared" si="28"/>
        <v>0.42504972824830334</v>
      </c>
    </row>
    <row r="264" spans="1:18" x14ac:dyDescent="0.3">
      <c r="A264" t="s">
        <v>626</v>
      </c>
      <c r="B264" s="7">
        <v>45142</v>
      </c>
      <c r="C264" s="2">
        <v>45162</v>
      </c>
      <c r="D264" s="4">
        <f t="shared" si="29"/>
        <v>20</v>
      </c>
      <c r="E264" s="4" t="str">
        <f>TEXT(Data!B264,"MMM-YYYY")</f>
        <v>Jun-2025</v>
      </c>
      <c r="F264" t="s">
        <v>39</v>
      </c>
      <c r="G264" t="s">
        <v>98</v>
      </c>
      <c r="H264" t="s">
        <v>1364</v>
      </c>
      <c r="I264" t="s">
        <v>35</v>
      </c>
      <c r="J264" s="4">
        <v>582.88</v>
      </c>
      <c r="K264" s="8" t="str">
        <f t="shared" si="26"/>
        <v>High</v>
      </c>
      <c r="L264" s="4">
        <v>1044.1400000000001</v>
      </c>
      <c r="M264" s="4">
        <v>0.216</v>
      </c>
      <c r="N264" s="4">
        <v>10</v>
      </c>
      <c r="O264" s="4">
        <f t="shared" si="24"/>
        <v>12481.436800000001</v>
      </c>
      <c r="P264">
        <f t="shared" si="25"/>
        <v>5828.8</v>
      </c>
      <c r="Q264" s="4">
        <f t="shared" si="27"/>
        <v>6652.6368000000011</v>
      </c>
      <c r="R264" s="18">
        <f t="shared" si="28"/>
        <v>0.53300248253470306</v>
      </c>
    </row>
    <row r="265" spans="1:18" x14ac:dyDescent="0.3">
      <c r="A265" t="s">
        <v>628</v>
      </c>
      <c r="B265" s="7">
        <v>45829</v>
      </c>
      <c r="C265" s="2">
        <v>45835</v>
      </c>
      <c r="D265" s="4">
        <f t="shared" si="29"/>
        <v>6</v>
      </c>
      <c r="E265" s="4" t="str">
        <f>TEXT(Data!B265,"MMM-YYYY")</f>
        <v>Apr-2025</v>
      </c>
      <c r="F265" t="s">
        <v>105</v>
      </c>
      <c r="G265" t="s">
        <v>55</v>
      </c>
      <c r="H265" t="s">
        <v>126</v>
      </c>
      <c r="I265" t="s">
        <v>42</v>
      </c>
      <c r="J265" s="4">
        <v>93.91</v>
      </c>
      <c r="K265" s="8" t="str">
        <f t="shared" si="26"/>
        <v>Medium</v>
      </c>
      <c r="L265" s="4">
        <v>99.04</v>
      </c>
      <c r="M265" s="4">
        <v>5.7000000000000002E-2</v>
      </c>
      <c r="N265" s="4">
        <v>6</v>
      </c>
      <c r="O265" s="4">
        <f t="shared" si="24"/>
        <v>5632.3692599999995</v>
      </c>
      <c r="P265">
        <f t="shared" si="25"/>
        <v>563.46</v>
      </c>
      <c r="Q265" s="4">
        <f t="shared" si="27"/>
        <v>5068.9092599999994</v>
      </c>
      <c r="R265" s="18">
        <f t="shared" si="28"/>
        <v>0.89996039428707486</v>
      </c>
    </row>
    <row r="266" spans="1:18" x14ac:dyDescent="0.3">
      <c r="A266" t="s">
        <v>630</v>
      </c>
      <c r="B266" s="7">
        <v>45763</v>
      </c>
      <c r="C266" s="2">
        <v>45773</v>
      </c>
      <c r="D266" s="4">
        <f t="shared" si="29"/>
        <v>10</v>
      </c>
      <c r="E266" s="4" t="str">
        <f>TEXT(Data!B266,"MMM-YYYY")</f>
        <v>Sept-2025</v>
      </c>
      <c r="F266" t="s">
        <v>105</v>
      </c>
      <c r="G266" t="s">
        <v>40</v>
      </c>
      <c r="H266" t="s">
        <v>84</v>
      </c>
      <c r="I266" t="s">
        <v>57</v>
      </c>
      <c r="J266" s="4">
        <v>1457.44</v>
      </c>
      <c r="K266" s="8" t="str">
        <f t="shared" si="26"/>
        <v>High</v>
      </c>
      <c r="L266" s="4">
        <v>1996.81</v>
      </c>
      <c r="M266" s="4">
        <v>0.126</v>
      </c>
      <c r="N266" s="4">
        <v>23</v>
      </c>
      <c r="O266" s="4">
        <f t="shared" si="24"/>
        <v>24932.711619999998</v>
      </c>
      <c r="P266">
        <f t="shared" si="25"/>
        <v>33521.120000000003</v>
      </c>
      <c r="Q266" s="4">
        <f t="shared" si="27"/>
        <v>-8588.4083800000044</v>
      </c>
      <c r="R266" s="18">
        <f t="shared" si="28"/>
        <v>-0.3444634707566559</v>
      </c>
    </row>
    <row r="267" spans="1:18" x14ac:dyDescent="0.3">
      <c r="A267" t="s">
        <v>632</v>
      </c>
      <c r="B267" s="7">
        <v>45902</v>
      </c>
      <c r="C267" s="2">
        <v>45911</v>
      </c>
      <c r="D267" s="4">
        <f t="shared" si="29"/>
        <v>9</v>
      </c>
      <c r="E267" s="4" t="str">
        <f>TEXT(Data!B267,"MMM-YYYY")</f>
        <v>Oct-2024</v>
      </c>
      <c r="F267" t="s">
        <v>19</v>
      </c>
      <c r="G267" t="s">
        <v>55</v>
      </c>
      <c r="H267" t="s">
        <v>110</v>
      </c>
      <c r="I267" t="s">
        <v>30</v>
      </c>
      <c r="J267" s="4">
        <v>1207.6300000000001</v>
      </c>
      <c r="K267" s="8" t="str">
        <f t="shared" si="26"/>
        <v>High</v>
      </c>
      <c r="L267" s="4">
        <v>921.68</v>
      </c>
      <c r="M267" s="4">
        <v>0.19600000000000001</v>
      </c>
      <c r="N267" s="4">
        <v>17</v>
      </c>
      <c r="O267" s="4">
        <f t="shared" si="24"/>
        <v>1617.8811600000001</v>
      </c>
      <c r="P267">
        <f t="shared" si="25"/>
        <v>20529.710000000003</v>
      </c>
      <c r="Q267" s="4">
        <f t="shared" si="27"/>
        <v>-18911.828840000002</v>
      </c>
      <c r="R267" s="18">
        <f t="shared" si="28"/>
        <v>-11.689257102171831</v>
      </c>
    </row>
    <row r="268" spans="1:18" x14ac:dyDescent="0.3">
      <c r="A268" t="s">
        <v>634</v>
      </c>
      <c r="B268" s="7">
        <v>45573</v>
      </c>
      <c r="C268" s="2">
        <v>45573</v>
      </c>
      <c r="D268" s="4">
        <f t="shared" si="29"/>
        <v>0</v>
      </c>
      <c r="E268" s="4" t="str">
        <f>TEXT(Data!B268,"MMM-YYYY")</f>
        <v>May-2023</v>
      </c>
      <c r="F268" t="s">
        <v>19</v>
      </c>
      <c r="G268" t="s">
        <v>28</v>
      </c>
      <c r="H268" t="s">
        <v>63</v>
      </c>
      <c r="I268" t="s">
        <v>64</v>
      </c>
      <c r="J268" s="4">
        <v>1108.1099999999999</v>
      </c>
      <c r="K268" s="8" t="str">
        <f t="shared" si="26"/>
        <v>High</v>
      </c>
      <c r="L268" s="4">
        <v>2503.79</v>
      </c>
      <c r="M268" s="4">
        <v>0.184</v>
      </c>
      <c r="N268" s="4">
        <v>19</v>
      </c>
      <c r="O268" s="4">
        <f t="shared" si="24"/>
        <v>32644.137120000007</v>
      </c>
      <c r="P268">
        <f t="shared" si="25"/>
        <v>21054.089999999997</v>
      </c>
      <c r="Q268" s="4">
        <f t="shared" si="27"/>
        <v>11590.04712000001</v>
      </c>
      <c r="R268" s="18">
        <f t="shared" si="28"/>
        <v>0.35504222633898824</v>
      </c>
    </row>
    <row r="269" spans="1:18" x14ac:dyDescent="0.3">
      <c r="A269" t="s">
        <v>636</v>
      </c>
      <c r="B269" s="7">
        <v>45053</v>
      </c>
      <c r="C269" s="2">
        <v>45051</v>
      </c>
      <c r="D269" s="4">
        <f>DATEDIF(C269,B269, "MD")</f>
        <v>2</v>
      </c>
      <c r="E269" s="4" t="str">
        <f>TEXT(Data!B269,"MMM-YYYY")</f>
        <v>Dec-2023</v>
      </c>
      <c r="F269" t="s">
        <v>39</v>
      </c>
      <c r="G269" t="s">
        <v>40</v>
      </c>
      <c r="H269" t="s">
        <v>75</v>
      </c>
      <c r="I269" t="s">
        <v>22</v>
      </c>
      <c r="J269" s="4">
        <v>1269.6500000000001</v>
      </c>
      <c r="K269" s="8" t="str">
        <f t="shared" si="26"/>
        <v>High</v>
      </c>
      <c r="L269" s="4">
        <v>2462.77</v>
      </c>
      <c r="M269" s="4">
        <v>0.107</v>
      </c>
      <c r="N269" s="4">
        <v>8</v>
      </c>
      <c r="O269" s="4">
        <f t="shared" si="24"/>
        <v>3736.3119999999999</v>
      </c>
      <c r="P269">
        <f t="shared" si="25"/>
        <v>10157.200000000001</v>
      </c>
      <c r="Q269" s="4">
        <f t="shared" si="27"/>
        <v>-6420.8880000000008</v>
      </c>
      <c r="R269" s="18">
        <f t="shared" si="28"/>
        <v>-1.7185095891349547</v>
      </c>
    </row>
    <row r="270" spans="1:18" x14ac:dyDescent="0.3">
      <c r="A270" t="s">
        <v>638</v>
      </c>
      <c r="B270" s="7">
        <v>45284</v>
      </c>
      <c r="C270" s="2">
        <v>45292</v>
      </c>
      <c r="D270" s="4">
        <f t="shared" si="29"/>
        <v>8</v>
      </c>
      <c r="E270" s="4" t="str">
        <f>TEXT(Data!B270,"MMM-YYYY")</f>
        <v>Jan-2024</v>
      </c>
      <c r="F270" t="s">
        <v>27</v>
      </c>
      <c r="G270" t="s">
        <v>98</v>
      </c>
      <c r="H270" t="s">
        <v>21</v>
      </c>
      <c r="I270" t="s">
        <v>42</v>
      </c>
      <c r="J270" s="4">
        <v>526.49</v>
      </c>
      <c r="K270" s="8" t="str">
        <f t="shared" si="26"/>
        <v>High</v>
      </c>
      <c r="L270" s="4">
        <v>496.2</v>
      </c>
      <c r="M270" s="4">
        <v>0</v>
      </c>
      <c r="N270" s="4">
        <v>14</v>
      </c>
      <c r="O270" s="4">
        <f t="shared" si="24"/>
        <v>15054.199999999999</v>
      </c>
      <c r="P270">
        <f t="shared" si="25"/>
        <v>7370.8600000000006</v>
      </c>
      <c r="Q270" s="4">
        <f t="shared" si="27"/>
        <v>7683.3399999999983</v>
      </c>
      <c r="R270" s="18">
        <f t="shared" si="28"/>
        <v>0.51037849902352828</v>
      </c>
    </row>
    <row r="271" spans="1:18" x14ac:dyDescent="0.3">
      <c r="A271" t="s">
        <v>640</v>
      </c>
      <c r="B271" s="7">
        <v>45301</v>
      </c>
      <c r="C271" s="2">
        <v>45314</v>
      </c>
      <c r="D271" s="4">
        <f t="shared" si="29"/>
        <v>13</v>
      </c>
      <c r="E271" s="4" t="str">
        <f>TEXT(Data!B271,"MMM-YYYY")</f>
        <v>Aug-2023</v>
      </c>
      <c r="F271" t="s">
        <v>19</v>
      </c>
      <c r="G271" t="s">
        <v>98</v>
      </c>
      <c r="H271" t="s">
        <v>75</v>
      </c>
      <c r="I271" t="s">
        <v>30</v>
      </c>
      <c r="J271" s="4">
        <v>720</v>
      </c>
      <c r="K271" s="8" t="str">
        <f t="shared" si="26"/>
        <v>High</v>
      </c>
      <c r="L271" s="4">
        <v>907.59</v>
      </c>
      <c r="M271" s="4">
        <v>0.154</v>
      </c>
      <c r="N271" s="4">
        <v>10</v>
      </c>
      <c r="O271" s="4">
        <f t="shared" si="24"/>
        <v>27872.062200000004</v>
      </c>
      <c r="P271">
        <f t="shared" si="25"/>
        <v>7200</v>
      </c>
      <c r="Q271" s="4">
        <f t="shared" si="27"/>
        <v>20672.062200000004</v>
      </c>
      <c r="R271" s="18">
        <f t="shared" si="28"/>
        <v>0.7416768106954067</v>
      </c>
    </row>
    <row r="272" spans="1:18" x14ac:dyDescent="0.3">
      <c r="A272" t="s">
        <v>642</v>
      </c>
      <c r="B272" s="7">
        <v>45141</v>
      </c>
      <c r="C272" s="2">
        <v>45152</v>
      </c>
      <c r="D272" s="4">
        <f t="shared" si="29"/>
        <v>11</v>
      </c>
      <c r="E272" s="4" t="str">
        <f>TEXT(Data!B272,"MMM-YYYY")</f>
        <v>Feb-2025</v>
      </c>
      <c r="F272" t="s">
        <v>19</v>
      </c>
      <c r="G272" t="s">
        <v>98</v>
      </c>
      <c r="H272" t="s">
        <v>29</v>
      </c>
      <c r="I272" t="s">
        <v>81</v>
      </c>
      <c r="J272" s="4">
        <v>232.73</v>
      </c>
      <c r="K272" s="8" t="str">
        <f t="shared" si="26"/>
        <v>High</v>
      </c>
      <c r="L272" s="4">
        <v>334.19</v>
      </c>
      <c r="M272" s="4">
        <v>0.13400000000000001</v>
      </c>
      <c r="N272" s="4">
        <v>25</v>
      </c>
      <c r="O272" s="4">
        <f t="shared" si="24"/>
        <v>10046.682500000001</v>
      </c>
      <c r="P272">
        <f t="shared" si="25"/>
        <v>5818.25</v>
      </c>
      <c r="Q272" s="4">
        <f t="shared" si="27"/>
        <v>4228.4325000000008</v>
      </c>
      <c r="R272" s="18">
        <f t="shared" si="28"/>
        <v>0.42087848401698774</v>
      </c>
    </row>
    <row r="273" spans="1:18" x14ac:dyDescent="0.3">
      <c r="A273" t="s">
        <v>644</v>
      </c>
      <c r="B273" s="7">
        <v>45707</v>
      </c>
      <c r="C273" s="2">
        <v>45725</v>
      </c>
      <c r="D273" s="4">
        <f t="shared" si="29"/>
        <v>18</v>
      </c>
      <c r="E273" s="4" t="str">
        <f>TEXT(Data!B273,"MMM-YYYY")</f>
        <v>Mar-2024</v>
      </c>
      <c r="F273" t="s">
        <v>62</v>
      </c>
      <c r="G273" t="s">
        <v>98</v>
      </c>
      <c r="H273" t="s">
        <v>68</v>
      </c>
      <c r="I273" t="s">
        <v>64</v>
      </c>
      <c r="J273" s="4">
        <v>325.87</v>
      </c>
      <c r="K273" s="8" t="str">
        <f t="shared" si="26"/>
        <v>High</v>
      </c>
      <c r="L273" s="4">
        <v>538.79</v>
      </c>
      <c r="M273" s="4">
        <v>0.17399999999999999</v>
      </c>
      <c r="N273" s="4">
        <v>16</v>
      </c>
      <c r="O273" s="4">
        <f t="shared" si="24"/>
        <v>6753.7724800000005</v>
      </c>
      <c r="P273">
        <f t="shared" si="25"/>
        <v>5213.92</v>
      </c>
      <c r="Q273" s="4">
        <f t="shared" si="27"/>
        <v>1539.8524800000005</v>
      </c>
      <c r="R273" s="18">
        <f t="shared" si="28"/>
        <v>0.22799886797489516</v>
      </c>
    </row>
    <row r="274" spans="1:18" x14ac:dyDescent="0.3">
      <c r="A274" t="s">
        <v>646</v>
      </c>
      <c r="B274" s="7">
        <v>45382</v>
      </c>
      <c r="C274" s="2">
        <v>45399</v>
      </c>
      <c r="D274" s="4">
        <f t="shared" si="29"/>
        <v>17</v>
      </c>
      <c r="E274" s="4" t="str">
        <f>TEXT(Data!B274,"MMM-YYYY")</f>
        <v>Jul-2023</v>
      </c>
      <c r="F274" t="s">
        <v>27</v>
      </c>
      <c r="G274" t="s">
        <v>98</v>
      </c>
      <c r="H274" t="s">
        <v>92</v>
      </c>
      <c r="I274" t="s">
        <v>64</v>
      </c>
      <c r="J274" s="4">
        <v>1025.51</v>
      </c>
      <c r="K274" s="8" t="str">
        <f t="shared" si="26"/>
        <v>High</v>
      </c>
      <c r="L274" s="4">
        <v>1436.54</v>
      </c>
      <c r="M274" s="4">
        <v>0.13900000000000001</v>
      </c>
      <c r="N274" s="4">
        <v>28</v>
      </c>
      <c r="O274" s="4">
        <f t="shared" si="24"/>
        <v>101.73576</v>
      </c>
      <c r="P274">
        <f t="shared" si="25"/>
        <v>28714.28</v>
      </c>
      <c r="Q274" s="4">
        <f t="shared" si="27"/>
        <v>-28612.544239999999</v>
      </c>
      <c r="R274" s="18">
        <f t="shared" si="28"/>
        <v>-281.24372629643699</v>
      </c>
    </row>
    <row r="275" spans="1:18" x14ac:dyDescent="0.3">
      <c r="A275" t="s">
        <v>648</v>
      </c>
      <c r="B275" s="7">
        <v>45131</v>
      </c>
      <c r="C275" s="2">
        <v>45151</v>
      </c>
      <c r="D275" s="4">
        <f t="shared" si="29"/>
        <v>20</v>
      </c>
      <c r="E275" s="4" t="str">
        <f>TEXT(Data!B275,"MMM-YYYY")</f>
        <v>Mar-2024</v>
      </c>
      <c r="F275" t="s">
        <v>27</v>
      </c>
      <c r="G275" t="s">
        <v>98</v>
      </c>
      <c r="H275" t="s">
        <v>21</v>
      </c>
      <c r="I275" t="s">
        <v>64</v>
      </c>
      <c r="J275" s="4">
        <v>1082.3800000000001</v>
      </c>
      <c r="K275" s="8" t="str">
        <f t="shared" si="26"/>
        <v>High</v>
      </c>
      <c r="L275" s="4">
        <v>1766.55</v>
      </c>
      <c r="M275" s="4">
        <v>0.16400000000000001</v>
      </c>
      <c r="N275" s="4">
        <v>20</v>
      </c>
      <c r="O275" s="4">
        <f t="shared" si="24"/>
        <v>9651.4527999999991</v>
      </c>
      <c r="P275">
        <f t="shared" si="25"/>
        <v>21647.600000000002</v>
      </c>
      <c r="Q275" s="4">
        <f t="shared" si="27"/>
        <v>-11996.147200000003</v>
      </c>
      <c r="R275" s="18">
        <f t="shared" si="28"/>
        <v>-1.242936938986015</v>
      </c>
    </row>
    <row r="276" spans="1:18" x14ac:dyDescent="0.3">
      <c r="A276" t="s">
        <v>650</v>
      </c>
      <c r="B276" s="7">
        <v>45367</v>
      </c>
      <c r="C276" s="2">
        <v>45395</v>
      </c>
      <c r="D276" s="4">
        <f t="shared" si="29"/>
        <v>28</v>
      </c>
      <c r="E276" s="4" t="str">
        <f>TEXT(Data!B276,"MMM-YYYY")</f>
        <v>Jan-2024</v>
      </c>
      <c r="F276" t="s">
        <v>62</v>
      </c>
      <c r="G276" t="s">
        <v>28</v>
      </c>
      <c r="H276" t="s">
        <v>95</v>
      </c>
      <c r="I276" t="s">
        <v>30</v>
      </c>
      <c r="J276" s="4">
        <v>287.61</v>
      </c>
      <c r="K276" s="8" t="str">
        <f t="shared" si="26"/>
        <v>High</v>
      </c>
      <c r="L276" s="4">
        <v>628.54</v>
      </c>
      <c r="M276" s="4">
        <v>0.13500000000000001</v>
      </c>
      <c r="N276" s="4">
        <v>21</v>
      </c>
      <c r="O276" s="4">
        <f t="shared" si="24"/>
        <v>25903.83495</v>
      </c>
      <c r="P276">
        <f t="shared" si="25"/>
        <v>6039.81</v>
      </c>
      <c r="Q276" s="4">
        <f t="shared" si="27"/>
        <v>19864.024949999999</v>
      </c>
      <c r="R276" s="18">
        <f t="shared" si="28"/>
        <v>0.76683722654741504</v>
      </c>
    </row>
    <row r="277" spans="1:18" x14ac:dyDescent="0.3">
      <c r="A277" t="s">
        <v>652</v>
      </c>
      <c r="B277" s="7">
        <v>45316</v>
      </c>
      <c r="C277" s="2">
        <v>45318</v>
      </c>
      <c r="D277" s="4">
        <f t="shared" si="29"/>
        <v>2</v>
      </c>
      <c r="E277" s="4" t="str">
        <f>TEXT(Data!B277,"MMM-YYYY")</f>
        <v>Mar-2024</v>
      </c>
      <c r="F277" t="s">
        <v>39</v>
      </c>
      <c r="G277" t="s">
        <v>40</v>
      </c>
      <c r="H277" t="s">
        <v>126</v>
      </c>
      <c r="I277" t="s">
        <v>57</v>
      </c>
      <c r="J277" s="4">
        <v>1410.97</v>
      </c>
      <c r="K277" s="8" t="str">
        <f t="shared" si="26"/>
        <v>High</v>
      </c>
      <c r="L277" s="4">
        <v>1650.75</v>
      </c>
      <c r="M277" s="4">
        <v>0.13500000000000001</v>
      </c>
      <c r="N277" s="4">
        <v>6</v>
      </c>
      <c r="O277" s="4">
        <f t="shared" si="24"/>
        <v>7059.0227999999997</v>
      </c>
      <c r="P277">
        <f t="shared" si="25"/>
        <v>8465.82</v>
      </c>
      <c r="Q277" s="4">
        <f t="shared" si="27"/>
        <v>-1406.7972</v>
      </c>
      <c r="R277" s="18">
        <f t="shared" si="28"/>
        <v>-0.19929064402511917</v>
      </c>
    </row>
    <row r="278" spans="1:18" x14ac:dyDescent="0.3">
      <c r="A278" t="s">
        <v>654</v>
      </c>
      <c r="B278" s="7">
        <v>45378</v>
      </c>
      <c r="C278" s="2">
        <v>45393</v>
      </c>
      <c r="D278" s="4">
        <f t="shared" si="29"/>
        <v>15</v>
      </c>
      <c r="E278" s="4" t="str">
        <f>TEXT(Data!B278,"MMM-YYYY")</f>
        <v>Jun-2025</v>
      </c>
      <c r="F278" t="s">
        <v>62</v>
      </c>
      <c r="G278" t="s">
        <v>98</v>
      </c>
      <c r="H278" t="s">
        <v>68</v>
      </c>
      <c r="I278" t="s">
        <v>35</v>
      </c>
      <c r="J278" s="4">
        <v>1338.35</v>
      </c>
      <c r="K278" s="8" t="str">
        <f t="shared" si="26"/>
        <v>High</v>
      </c>
      <c r="L278" s="4">
        <v>2247.14</v>
      </c>
      <c r="M278" s="4">
        <v>0.115</v>
      </c>
      <c r="N278" s="4">
        <v>40</v>
      </c>
      <c r="O278" s="4">
        <f t="shared" si="24"/>
        <v>73316.94</v>
      </c>
      <c r="P278">
        <f t="shared" si="25"/>
        <v>53534</v>
      </c>
      <c r="Q278" s="4">
        <f t="shared" si="27"/>
        <v>19782.940000000002</v>
      </c>
      <c r="R278" s="18">
        <f t="shared" si="28"/>
        <v>0.26982768238827209</v>
      </c>
    </row>
    <row r="279" spans="1:18" x14ac:dyDescent="0.3">
      <c r="A279" t="s">
        <v>656</v>
      </c>
      <c r="B279" s="7">
        <v>45832</v>
      </c>
      <c r="C279" s="2">
        <v>45852</v>
      </c>
      <c r="D279" s="4">
        <f t="shared" si="29"/>
        <v>20</v>
      </c>
      <c r="E279" s="4" t="str">
        <f>TEXT(Data!B279,"MMM-YYYY")</f>
        <v>Jun-2024</v>
      </c>
      <c r="F279" t="s">
        <v>19</v>
      </c>
      <c r="G279" t="s">
        <v>98</v>
      </c>
      <c r="H279" t="s">
        <v>68</v>
      </c>
      <c r="I279" t="s">
        <v>81</v>
      </c>
      <c r="J279" s="4">
        <v>385.08</v>
      </c>
      <c r="K279" s="8" t="str">
        <f t="shared" si="26"/>
        <v>High</v>
      </c>
      <c r="L279" s="4">
        <v>893.19</v>
      </c>
      <c r="M279" s="4">
        <v>0.151</v>
      </c>
      <c r="N279" s="4">
        <v>8</v>
      </c>
      <c r="O279" s="4">
        <f t="shared" si="24"/>
        <v>6655.0732799999996</v>
      </c>
      <c r="P279">
        <f t="shared" si="25"/>
        <v>3080.64</v>
      </c>
      <c r="Q279" s="4">
        <f t="shared" si="27"/>
        <v>3574.4332799999997</v>
      </c>
      <c r="R279" s="18">
        <f t="shared" si="28"/>
        <v>0.53709901147775185</v>
      </c>
    </row>
    <row r="280" spans="1:18" x14ac:dyDescent="0.3">
      <c r="A280" t="s">
        <v>658</v>
      </c>
      <c r="B280" s="7">
        <v>45459</v>
      </c>
      <c r="C280" s="2">
        <v>45476</v>
      </c>
      <c r="D280" s="4">
        <f t="shared" si="29"/>
        <v>17</v>
      </c>
      <c r="E280" s="4" t="str">
        <f>TEXT(Data!B280,"MMM-YYYY")</f>
        <v>Oct-2023</v>
      </c>
      <c r="F280" t="s">
        <v>105</v>
      </c>
      <c r="G280" t="s">
        <v>40</v>
      </c>
      <c r="H280" t="s">
        <v>84</v>
      </c>
      <c r="I280" t="s">
        <v>42</v>
      </c>
      <c r="J280" s="4">
        <v>1173.83</v>
      </c>
      <c r="K280" s="8" t="str">
        <f t="shared" si="26"/>
        <v>High</v>
      </c>
      <c r="L280" s="4">
        <v>2328.9</v>
      </c>
      <c r="M280" s="4">
        <v>0.12</v>
      </c>
      <c r="N280" s="4">
        <v>17</v>
      </c>
      <c r="O280" s="4">
        <f t="shared" si="24"/>
        <v>8039.3543999999993</v>
      </c>
      <c r="P280">
        <f t="shared" si="25"/>
        <v>19955.11</v>
      </c>
      <c r="Q280" s="4">
        <f t="shared" si="27"/>
        <v>-11915.7556</v>
      </c>
      <c r="R280" s="18">
        <f t="shared" si="28"/>
        <v>-1.4821781709237749</v>
      </c>
    </row>
    <row r="281" spans="1:18" x14ac:dyDescent="0.3">
      <c r="A281" t="s">
        <v>660</v>
      </c>
      <c r="B281" s="7">
        <v>45229</v>
      </c>
      <c r="C281" s="2">
        <v>45244</v>
      </c>
      <c r="D281" s="4">
        <f t="shared" si="29"/>
        <v>15</v>
      </c>
      <c r="E281" s="4" t="str">
        <f>TEXT(Data!B281,"MMM-YYYY")</f>
        <v>Jun-2023</v>
      </c>
      <c r="F281" t="s">
        <v>19</v>
      </c>
      <c r="G281" t="s">
        <v>28</v>
      </c>
      <c r="H281" t="s">
        <v>84</v>
      </c>
      <c r="I281" t="s">
        <v>57</v>
      </c>
      <c r="J281" s="4">
        <v>953.46</v>
      </c>
      <c r="K281" s="8" t="str">
        <f t="shared" si="26"/>
        <v>High</v>
      </c>
      <c r="L281" s="4">
        <v>2066.75</v>
      </c>
      <c r="M281" s="4">
        <v>0.13800000000000001</v>
      </c>
      <c r="N281" s="4">
        <v>5</v>
      </c>
      <c r="O281" s="4">
        <f t="shared" si="24"/>
        <v>919.40919999999994</v>
      </c>
      <c r="P281">
        <f t="shared" si="25"/>
        <v>4767.3</v>
      </c>
      <c r="Q281" s="4">
        <f t="shared" si="27"/>
        <v>-3847.8908000000001</v>
      </c>
      <c r="R281" s="18">
        <f t="shared" si="28"/>
        <v>-4.1851776118838062</v>
      </c>
    </row>
    <row r="282" spans="1:18" x14ac:dyDescent="0.3">
      <c r="A282" t="s">
        <v>662</v>
      </c>
      <c r="B282" s="7">
        <v>45092</v>
      </c>
      <c r="C282" s="2">
        <v>45100</v>
      </c>
      <c r="D282" s="4">
        <f t="shared" si="29"/>
        <v>8</v>
      </c>
      <c r="E282" s="4" t="str">
        <f>TEXT(Data!B282,"MMM-YYYY")</f>
        <v>Mar-2025</v>
      </c>
      <c r="F282" t="s">
        <v>48</v>
      </c>
      <c r="G282" t="s">
        <v>55</v>
      </c>
      <c r="H282" t="s">
        <v>68</v>
      </c>
      <c r="I282" t="s">
        <v>64</v>
      </c>
      <c r="J282" s="4">
        <v>1097.0899999999999</v>
      </c>
      <c r="K282" s="8" t="str">
        <f t="shared" si="26"/>
        <v>High</v>
      </c>
      <c r="L282" s="4">
        <v>2182.31</v>
      </c>
      <c r="M282" s="4">
        <v>0.112</v>
      </c>
      <c r="N282" s="4">
        <v>9</v>
      </c>
      <c r="O282" s="4">
        <f t="shared" si="24"/>
        <v>15941.402639999998</v>
      </c>
      <c r="P282">
        <f t="shared" si="25"/>
        <v>9873.81</v>
      </c>
      <c r="Q282" s="4">
        <f t="shared" si="27"/>
        <v>6067.5926399999989</v>
      </c>
      <c r="R282" s="18">
        <f t="shared" si="28"/>
        <v>0.38061849242646062</v>
      </c>
    </row>
    <row r="283" spans="1:18" x14ac:dyDescent="0.3">
      <c r="A283" t="s">
        <v>664</v>
      </c>
      <c r="B283" s="7">
        <v>45730</v>
      </c>
      <c r="C283" s="2">
        <v>45745</v>
      </c>
      <c r="D283" s="4">
        <f t="shared" si="29"/>
        <v>15</v>
      </c>
      <c r="E283" s="4" t="str">
        <f>TEXT(Data!B283,"MMM-YYYY")</f>
        <v>Aug-2023</v>
      </c>
      <c r="F283" t="s">
        <v>39</v>
      </c>
      <c r="G283" t="s">
        <v>98</v>
      </c>
      <c r="H283" t="s">
        <v>92</v>
      </c>
      <c r="I283" t="s">
        <v>35</v>
      </c>
      <c r="J283" s="4">
        <v>1106.96</v>
      </c>
      <c r="K283" s="8" t="str">
        <f t="shared" si="26"/>
        <v>High</v>
      </c>
      <c r="L283" s="4">
        <v>2726.62</v>
      </c>
      <c r="M283" s="4">
        <v>0.317</v>
      </c>
      <c r="N283" s="4">
        <v>7</v>
      </c>
      <c r="O283" s="4">
        <f t="shared" si="24"/>
        <v>2643.1280400000001</v>
      </c>
      <c r="P283">
        <f t="shared" si="25"/>
        <v>7748.72</v>
      </c>
      <c r="Q283" s="4">
        <f t="shared" si="27"/>
        <v>-5105.5919599999997</v>
      </c>
      <c r="R283" s="18">
        <f t="shared" si="28"/>
        <v>-1.9316476094741137</v>
      </c>
    </row>
    <row r="284" spans="1:18" x14ac:dyDescent="0.3">
      <c r="A284" t="s">
        <v>666</v>
      </c>
      <c r="B284" s="7">
        <v>45153</v>
      </c>
      <c r="C284" s="2">
        <v>45163</v>
      </c>
      <c r="D284" s="4">
        <f t="shared" si="29"/>
        <v>10</v>
      </c>
      <c r="E284" s="4" t="str">
        <f>TEXT(Data!B284,"MMM-YYYY")</f>
        <v>May-2025</v>
      </c>
      <c r="F284" t="s">
        <v>62</v>
      </c>
      <c r="G284" t="s">
        <v>20</v>
      </c>
      <c r="H284" t="s">
        <v>126</v>
      </c>
      <c r="I284" t="s">
        <v>42</v>
      </c>
      <c r="J284" s="4">
        <v>91.85</v>
      </c>
      <c r="K284" s="8" t="str">
        <f t="shared" si="26"/>
        <v>Medium</v>
      </c>
      <c r="L284" s="4">
        <v>111.29</v>
      </c>
      <c r="M284" s="4">
        <v>0</v>
      </c>
      <c r="N284" s="4">
        <v>6</v>
      </c>
      <c r="O284" s="4">
        <f t="shared" si="24"/>
        <v>1349.6999999999998</v>
      </c>
      <c r="P284">
        <f t="shared" si="25"/>
        <v>551.09999999999991</v>
      </c>
      <c r="Q284" s="4">
        <f t="shared" si="27"/>
        <v>798.59999999999991</v>
      </c>
      <c r="R284" s="18">
        <f t="shared" si="28"/>
        <v>0.59168704156479224</v>
      </c>
    </row>
    <row r="285" spans="1:18" x14ac:dyDescent="0.3">
      <c r="A285" t="s">
        <v>668</v>
      </c>
      <c r="B285" s="7">
        <v>45794</v>
      </c>
      <c r="C285" s="2">
        <v>45805</v>
      </c>
      <c r="D285" s="4">
        <f t="shared" si="29"/>
        <v>11</v>
      </c>
      <c r="E285" s="4" t="str">
        <f>TEXT(Data!B285,"MMM-YYYY")</f>
        <v>Jan-2024</v>
      </c>
      <c r="F285" t="s">
        <v>19</v>
      </c>
      <c r="G285" t="s">
        <v>55</v>
      </c>
      <c r="H285" t="s">
        <v>56</v>
      </c>
      <c r="I285" t="s">
        <v>57</v>
      </c>
      <c r="J285" s="4">
        <v>623.4</v>
      </c>
      <c r="K285" s="8" t="str">
        <f t="shared" si="26"/>
        <v>High</v>
      </c>
      <c r="L285" s="4">
        <v>1100.0899999999999</v>
      </c>
      <c r="M285" s="4">
        <v>0.114</v>
      </c>
      <c r="N285" s="4">
        <v>12</v>
      </c>
      <c r="O285" s="4">
        <f t="shared" si="24"/>
        <v>8208.8608800000002</v>
      </c>
      <c r="P285">
        <f t="shared" si="25"/>
        <v>7480.7999999999993</v>
      </c>
      <c r="Q285" s="4">
        <f t="shared" si="27"/>
        <v>728.06088000000091</v>
      </c>
      <c r="R285" s="18">
        <f t="shared" si="28"/>
        <v>8.8692071974790357E-2</v>
      </c>
    </row>
    <row r="286" spans="1:18" x14ac:dyDescent="0.3">
      <c r="A286" t="s">
        <v>670</v>
      </c>
      <c r="B286" s="7">
        <v>45304</v>
      </c>
      <c r="C286" s="2">
        <v>45327</v>
      </c>
      <c r="D286" s="4">
        <f t="shared" si="29"/>
        <v>23</v>
      </c>
      <c r="E286" s="4" t="str">
        <f>TEXT(Data!B286,"MMM-YYYY")</f>
        <v>Jun-2023</v>
      </c>
      <c r="F286" t="s">
        <v>27</v>
      </c>
      <c r="G286" t="s">
        <v>98</v>
      </c>
      <c r="H286" t="s">
        <v>56</v>
      </c>
      <c r="I286" t="s">
        <v>57</v>
      </c>
      <c r="J286" s="4">
        <v>1017.93</v>
      </c>
      <c r="K286" s="8" t="str">
        <f t="shared" si="26"/>
        <v>High</v>
      </c>
      <c r="L286" s="4">
        <v>1529.14</v>
      </c>
      <c r="M286" s="4">
        <v>0.155</v>
      </c>
      <c r="N286" s="4">
        <v>12</v>
      </c>
      <c r="O286" s="4">
        <f t="shared" si="24"/>
        <v>31932.989400000002</v>
      </c>
      <c r="P286">
        <f t="shared" si="25"/>
        <v>12215.16</v>
      </c>
      <c r="Q286" s="4">
        <f t="shared" si="27"/>
        <v>19717.829400000002</v>
      </c>
      <c r="R286" s="18">
        <f t="shared" si="28"/>
        <v>0.61747521201381794</v>
      </c>
    </row>
    <row r="287" spans="1:18" x14ac:dyDescent="0.3">
      <c r="A287" t="s">
        <v>672</v>
      </c>
      <c r="B287" s="7">
        <v>45101</v>
      </c>
      <c r="C287" s="2">
        <v>45128</v>
      </c>
      <c r="D287" s="4">
        <f t="shared" si="29"/>
        <v>27</v>
      </c>
      <c r="E287" s="4" t="str">
        <f>TEXT(Data!B287,"MMM-YYYY")</f>
        <v>Apr-2025</v>
      </c>
      <c r="F287" t="s">
        <v>48</v>
      </c>
      <c r="G287" t="s">
        <v>40</v>
      </c>
      <c r="H287" t="s">
        <v>29</v>
      </c>
      <c r="I287" t="s">
        <v>42</v>
      </c>
      <c r="J287" s="4">
        <v>554.76</v>
      </c>
      <c r="K287" s="8" t="str">
        <f t="shared" si="26"/>
        <v>High</v>
      </c>
      <c r="L287" s="4">
        <v>728.69</v>
      </c>
      <c r="M287" s="4">
        <v>0.22</v>
      </c>
      <c r="N287" s="4">
        <v>7</v>
      </c>
      <c r="O287" s="4">
        <f t="shared" si="24"/>
        <v>314.11380000000003</v>
      </c>
      <c r="P287">
        <f t="shared" si="25"/>
        <v>3883.3199999999997</v>
      </c>
      <c r="Q287" s="4">
        <f t="shared" si="27"/>
        <v>-3569.2061999999996</v>
      </c>
      <c r="R287" s="18">
        <f t="shared" si="28"/>
        <v>-11.362780622818862</v>
      </c>
    </row>
    <row r="288" spans="1:18" x14ac:dyDescent="0.3">
      <c r="A288" t="s">
        <v>674</v>
      </c>
      <c r="B288" s="7">
        <v>45751</v>
      </c>
      <c r="C288" s="2">
        <v>45760</v>
      </c>
      <c r="D288" s="4">
        <f t="shared" si="29"/>
        <v>9</v>
      </c>
      <c r="E288" s="4" t="str">
        <f>TEXT(Data!B288,"MMM-YYYY")</f>
        <v>Sept-2024</v>
      </c>
      <c r="F288" t="s">
        <v>48</v>
      </c>
      <c r="G288" t="s">
        <v>40</v>
      </c>
      <c r="H288" t="s">
        <v>84</v>
      </c>
      <c r="I288" t="s">
        <v>42</v>
      </c>
      <c r="J288" s="4">
        <v>7.02</v>
      </c>
      <c r="K288" s="8" t="str">
        <f t="shared" si="26"/>
        <v>Low</v>
      </c>
      <c r="L288" s="4">
        <v>6.28</v>
      </c>
      <c r="M288" s="4">
        <v>0.13400000000000001</v>
      </c>
      <c r="N288" s="4">
        <v>14</v>
      </c>
      <c r="O288" s="4">
        <f t="shared" si="24"/>
        <v>9999.9964400000008</v>
      </c>
      <c r="P288">
        <f t="shared" si="25"/>
        <v>98.28</v>
      </c>
      <c r="Q288" s="4">
        <f t="shared" si="27"/>
        <v>9901.7164400000001</v>
      </c>
      <c r="R288" s="18">
        <f t="shared" si="28"/>
        <v>0.99017199650123067</v>
      </c>
    </row>
    <row r="289" spans="1:18" x14ac:dyDescent="0.3">
      <c r="A289" t="s">
        <v>676</v>
      </c>
      <c r="B289" s="7">
        <v>45542</v>
      </c>
      <c r="C289" s="2">
        <v>45542</v>
      </c>
      <c r="D289" s="4">
        <f t="shared" si="29"/>
        <v>0</v>
      </c>
      <c r="E289" s="4" t="str">
        <f>TEXT(Data!B289,"MMM-YYYY")</f>
        <v>Jan-2024</v>
      </c>
      <c r="F289" t="s">
        <v>27</v>
      </c>
      <c r="G289" t="s">
        <v>55</v>
      </c>
      <c r="H289" t="s">
        <v>56</v>
      </c>
      <c r="I289" t="s">
        <v>35</v>
      </c>
      <c r="J289" s="4">
        <v>1066.6500000000001</v>
      </c>
      <c r="K289" s="8" t="str">
        <f t="shared" si="26"/>
        <v>High</v>
      </c>
      <c r="L289" s="4">
        <v>2569.77</v>
      </c>
      <c r="M289" s="4">
        <v>0.13400000000000001</v>
      </c>
      <c r="N289" s="4">
        <v>9</v>
      </c>
      <c r="O289" s="4">
        <f t="shared" si="24"/>
        <v>11640.572819999999</v>
      </c>
      <c r="P289">
        <f t="shared" si="25"/>
        <v>9599.85</v>
      </c>
      <c r="Q289" s="4">
        <f t="shared" si="27"/>
        <v>2040.722819999999</v>
      </c>
      <c r="R289" s="18">
        <f t="shared" si="28"/>
        <v>0.17531120259767416</v>
      </c>
    </row>
    <row r="290" spans="1:18" x14ac:dyDescent="0.3">
      <c r="A290" t="s">
        <v>678</v>
      </c>
      <c r="B290" s="7">
        <v>45319</v>
      </c>
      <c r="C290" s="2">
        <v>45321</v>
      </c>
      <c r="D290" s="4">
        <f t="shared" si="29"/>
        <v>2</v>
      </c>
      <c r="E290" s="4" t="str">
        <f>TEXT(Data!B290,"MMM-YYYY")</f>
        <v>Jul-2023</v>
      </c>
      <c r="F290" t="s">
        <v>48</v>
      </c>
      <c r="G290" t="s">
        <v>98</v>
      </c>
      <c r="H290" t="s">
        <v>84</v>
      </c>
      <c r="I290" t="s">
        <v>81</v>
      </c>
      <c r="J290" s="4">
        <v>798.45</v>
      </c>
      <c r="K290" s="8" t="str">
        <f t="shared" si="26"/>
        <v>High</v>
      </c>
      <c r="L290" s="4">
        <v>1592.02</v>
      </c>
      <c r="M290" s="4">
        <v>6.6000000000000003E-2</v>
      </c>
      <c r="N290" s="4">
        <v>18</v>
      </c>
      <c r="O290" s="4">
        <f t="shared" si="24"/>
        <v>12473.159039999999</v>
      </c>
      <c r="P290">
        <f t="shared" si="25"/>
        <v>14372.1</v>
      </c>
      <c r="Q290" s="4">
        <f t="shared" si="27"/>
        <v>-1898.9409600000017</v>
      </c>
      <c r="R290" s="18">
        <f t="shared" si="28"/>
        <v>-0.15224218290733843</v>
      </c>
    </row>
    <row r="291" spans="1:18" x14ac:dyDescent="0.3">
      <c r="A291" t="s">
        <v>680</v>
      </c>
      <c r="B291" s="7">
        <v>45125</v>
      </c>
      <c r="C291" s="2">
        <v>45148</v>
      </c>
      <c r="D291" s="4">
        <f t="shared" si="29"/>
        <v>23</v>
      </c>
      <c r="E291" s="4" t="str">
        <f>TEXT(Data!B291,"MMM-YYYY")</f>
        <v>Aug-2025</v>
      </c>
      <c r="F291" t="s">
        <v>62</v>
      </c>
      <c r="G291" t="s">
        <v>20</v>
      </c>
      <c r="H291" t="s">
        <v>49</v>
      </c>
      <c r="I291" t="s">
        <v>22</v>
      </c>
      <c r="J291" s="4">
        <v>1271.56</v>
      </c>
      <c r="K291" s="8" t="str">
        <f t="shared" si="26"/>
        <v>High</v>
      </c>
      <c r="L291" s="4">
        <v>995.47</v>
      </c>
      <c r="M291" s="4">
        <v>0.192</v>
      </c>
      <c r="N291" s="4">
        <v>13</v>
      </c>
      <c r="O291" s="4">
        <f t="shared" si="24"/>
        <v>7796.3839200000002</v>
      </c>
      <c r="P291">
        <f t="shared" si="25"/>
        <v>16530.28</v>
      </c>
      <c r="Q291" s="4">
        <f t="shared" si="27"/>
        <v>-8733.8960799999986</v>
      </c>
      <c r="R291" s="18">
        <f t="shared" si="28"/>
        <v>-1.1202496143878966</v>
      </c>
    </row>
    <row r="292" spans="1:18" x14ac:dyDescent="0.3">
      <c r="A292" t="s">
        <v>682</v>
      </c>
      <c r="B292" s="7">
        <v>45897</v>
      </c>
      <c r="C292" s="2">
        <v>45895</v>
      </c>
      <c r="D292" s="4">
        <f>DATEDIF(C292,B292, "MD")</f>
        <v>2</v>
      </c>
      <c r="E292" s="4" t="str">
        <f>TEXT(Data!B292,"MMM-YYYY")</f>
        <v>Mar-2025</v>
      </c>
      <c r="F292" t="s">
        <v>62</v>
      </c>
      <c r="G292" t="s">
        <v>20</v>
      </c>
      <c r="H292" t="s">
        <v>75</v>
      </c>
      <c r="I292" t="s">
        <v>81</v>
      </c>
      <c r="J292" s="4">
        <v>521.05999999999995</v>
      </c>
      <c r="K292" s="8" t="str">
        <f t="shared" si="26"/>
        <v>High</v>
      </c>
      <c r="L292" s="4">
        <v>1240.31</v>
      </c>
      <c r="M292" s="4">
        <v>0.14599999999999999</v>
      </c>
      <c r="N292" s="4">
        <v>18</v>
      </c>
      <c r="O292" s="4">
        <f t="shared" si="24"/>
        <v>7371.4888800000008</v>
      </c>
      <c r="P292">
        <f t="shared" si="25"/>
        <v>9379.0799999999981</v>
      </c>
      <c r="Q292" s="4">
        <f t="shared" si="27"/>
        <v>-2007.5911199999973</v>
      </c>
      <c r="R292" s="18">
        <f t="shared" si="28"/>
        <v>-0.27234540439271437</v>
      </c>
    </row>
    <row r="293" spans="1:18" x14ac:dyDescent="0.3">
      <c r="A293" t="s">
        <v>684</v>
      </c>
      <c r="B293" s="7">
        <v>45746</v>
      </c>
      <c r="C293" s="2">
        <v>45754</v>
      </c>
      <c r="D293" s="4">
        <f t="shared" si="29"/>
        <v>8</v>
      </c>
      <c r="E293" s="4" t="str">
        <f>TEXT(Data!B293,"MMM-YYYY")</f>
        <v>Oct-2023</v>
      </c>
      <c r="F293" t="s">
        <v>39</v>
      </c>
      <c r="G293" t="s">
        <v>98</v>
      </c>
      <c r="H293" t="s">
        <v>49</v>
      </c>
      <c r="I293" t="s">
        <v>30</v>
      </c>
      <c r="J293" s="4">
        <v>71.62</v>
      </c>
      <c r="K293" s="8" t="str">
        <f t="shared" si="26"/>
        <v>Medium</v>
      </c>
      <c r="L293" s="4">
        <v>118.37</v>
      </c>
      <c r="M293" s="4">
        <v>0.156</v>
      </c>
      <c r="N293" s="4">
        <v>11</v>
      </c>
      <c r="O293" s="4">
        <f t="shared" si="24"/>
        <v>10911.020999999999</v>
      </c>
      <c r="P293">
        <f t="shared" si="25"/>
        <v>787.82</v>
      </c>
      <c r="Q293" s="4">
        <f t="shared" si="27"/>
        <v>10123.200999999999</v>
      </c>
      <c r="R293" s="18">
        <f t="shared" si="28"/>
        <v>0.92779594136973986</v>
      </c>
    </row>
    <row r="294" spans="1:18" x14ac:dyDescent="0.3">
      <c r="A294" t="s">
        <v>686</v>
      </c>
      <c r="B294" s="7">
        <v>45220</v>
      </c>
      <c r="C294" s="2">
        <v>45239</v>
      </c>
      <c r="D294" s="4">
        <f t="shared" si="29"/>
        <v>19</v>
      </c>
      <c r="E294" s="4" t="str">
        <f>TEXT(Data!B294,"MMM-YYYY")</f>
        <v>Aug-2023</v>
      </c>
      <c r="F294" t="s">
        <v>39</v>
      </c>
      <c r="G294" t="s">
        <v>98</v>
      </c>
      <c r="H294" t="s">
        <v>75</v>
      </c>
      <c r="I294" t="s">
        <v>81</v>
      </c>
      <c r="J294" s="4">
        <v>1142.48</v>
      </c>
      <c r="K294" s="8" t="str">
        <f t="shared" si="26"/>
        <v>High</v>
      </c>
      <c r="L294" s="4">
        <v>2105.5300000000002</v>
      </c>
      <c r="M294" s="4">
        <v>0.20699999999999999</v>
      </c>
      <c r="N294" s="4">
        <v>14</v>
      </c>
      <c r="O294" s="4">
        <f t="shared" si="24"/>
        <v>2525.1498999999999</v>
      </c>
      <c r="P294">
        <f t="shared" si="25"/>
        <v>15994.720000000001</v>
      </c>
      <c r="Q294" s="4">
        <f t="shared" si="27"/>
        <v>-13469.570100000001</v>
      </c>
      <c r="R294" s="18">
        <f t="shared" si="28"/>
        <v>-5.3341665379944381</v>
      </c>
    </row>
    <row r="295" spans="1:18" x14ac:dyDescent="0.3">
      <c r="A295" t="s">
        <v>688</v>
      </c>
      <c r="B295" s="7">
        <v>45161</v>
      </c>
      <c r="C295" s="2">
        <v>45191</v>
      </c>
      <c r="D295" s="4">
        <f t="shared" si="29"/>
        <v>30</v>
      </c>
      <c r="E295" s="4" t="str">
        <f>TEXT(Data!B295,"MMM-YYYY")</f>
        <v>Apr-2025</v>
      </c>
      <c r="F295" t="s">
        <v>48</v>
      </c>
      <c r="G295" t="s">
        <v>55</v>
      </c>
      <c r="H295" t="s">
        <v>68</v>
      </c>
      <c r="I295" t="s">
        <v>81</v>
      </c>
      <c r="J295" s="4">
        <v>209.81</v>
      </c>
      <c r="K295" s="8" t="str">
        <f t="shared" si="26"/>
        <v>High</v>
      </c>
      <c r="L295" s="4">
        <v>523</v>
      </c>
      <c r="M295" s="4">
        <v>5.8999999999999997E-2</v>
      </c>
      <c r="N295" s="4">
        <v>15</v>
      </c>
      <c r="O295" s="4">
        <f t="shared" si="24"/>
        <v>16636.221300000001</v>
      </c>
      <c r="P295">
        <f t="shared" si="25"/>
        <v>3147.15</v>
      </c>
      <c r="Q295" s="4">
        <f t="shared" si="27"/>
        <v>13489.071300000001</v>
      </c>
      <c r="R295" s="18">
        <f t="shared" si="28"/>
        <v>0.81082543065233215</v>
      </c>
    </row>
    <row r="296" spans="1:18" x14ac:dyDescent="0.3">
      <c r="A296" t="s">
        <v>690</v>
      </c>
      <c r="B296" s="7">
        <v>45758</v>
      </c>
      <c r="C296" s="2">
        <v>45781</v>
      </c>
      <c r="D296" s="4">
        <f t="shared" si="29"/>
        <v>23</v>
      </c>
      <c r="E296" s="4" t="str">
        <f>TEXT(Data!B296,"MMM-YYYY")</f>
        <v>Jun-2025</v>
      </c>
      <c r="F296" t="s">
        <v>62</v>
      </c>
      <c r="G296" t="s">
        <v>28</v>
      </c>
      <c r="H296" t="s">
        <v>110</v>
      </c>
      <c r="I296" t="s">
        <v>22</v>
      </c>
      <c r="J296" s="4">
        <v>786.2</v>
      </c>
      <c r="K296" s="8" t="str">
        <f t="shared" si="26"/>
        <v>High</v>
      </c>
      <c r="L296" s="4">
        <v>1075.3</v>
      </c>
      <c r="M296" s="4">
        <v>0.08</v>
      </c>
      <c r="N296" s="4">
        <v>9</v>
      </c>
      <c r="O296" s="4">
        <f t="shared" si="24"/>
        <v>20054.987999999998</v>
      </c>
      <c r="P296">
        <f t="shared" si="25"/>
        <v>7075.8</v>
      </c>
      <c r="Q296" s="4">
        <f t="shared" si="27"/>
        <v>12979.187999999998</v>
      </c>
      <c r="R296" s="18">
        <f t="shared" si="28"/>
        <v>0.64718004318925548</v>
      </c>
    </row>
    <row r="297" spans="1:18" x14ac:dyDescent="0.3">
      <c r="A297" t="s">
        <v>692</v>
      </c>
      <c r="B297" s="7">
        <v>45809</v>
      </c>
      <c r="C297" s="2">
        <v>45835</v>
      </c>
      <c r="D297" s="4">
        <f t="shared" si="29"/>
        <v>26</v>
      </c>
      <c r="E297" s="4" t="str">
        <f>TEXT(Data!B297,"MMM-YYYY")</f>
        <v>Mar-2024</v>
      </c>
      <c r="F297" t="s">
        <v>48</v>
      </c>
      <c r="G297" t="s">
        <v>55</v>
      </c>
      <c r="H297" t="s">
        <v>63</v>
      </c>
      <c r="I297" t="s">
        <v>57</v>
      </c>
      <c r="J297" s="4">
        <v>1362.31</v>
      </c>
      <c r="K297" s="8" t="str">
        <f t="shared" si="26"/>
        <v>High</v>
      </c>
      <c r="L297" s="4">
        <v>3294.57</v>
      </c>
      <c r="M297" s="4">
        <v>0.113</v>
      </c>
      <c r="N297" s="4">
        <v>7</v>
      </c>
      <c r="O297" s="4">
        <f t="shared" si="24"/>
        <v>2693.96092</v>
      </c>
      <c r="P297">
        <f t="shared" si="25"/>
        <v>9536.17</v>
      </c>
      <c r="Q297" s="4">
        <f t="shared" si="27"/>
        <v>-6842.2090800000005</v>
      </c>
      <c r="R297" s="18">
        <f t="shared" si="28"/>
        <v>-2.5398323447097373</v>
      </c>
    </row>
    <row r="298" spans="1:18" x14ac:dyDescent="0.3">
      <c r="A298" t="s">
        <v>694</v>
      </c>
      <c r="B298" s="7">
        <v>45353</v>
      </c>
      <c r="C298" s="2">
        <v>45367</v>
      </c>
      <c r="D298" s="4">
        <f t="shared" si="29"/>
        <v>14</v>
      </c>
      <c r="E298" s="4" t="str">
        <f>TEXT(Data!B298,"MMM-YYYY")</f>
        <v>Jun-2023</v>
      </c>
      <c r="F298" t="s">
        <v>39</v>
      </c>
      <c r="G298" t="s">
        <v>98</v>
      </c>
      <c r="H298" t="s">
        <v>68</v>
      </c>
      <c r="I298" t="s">
        <v>30</v>
      </c>
      <c r="J298" s="4">
        <v>248.24</v>
      </c>
      <c r="K298" s="8" t="str">
        <f t="shared" si="26"/>
        <v>High</v>
      </c>
      <c r="L298" s="4">
        <v>464.05</v>
      </c>
      <c r="M298" s="4">
        <v>0.16900000000000001</v>
      </c>
      <c r="N298" s="4">
        <v>11</v>
      </c>
      <c r="O298" s="4">
        <f t="shared" si="24"/>
        <v>28786.197329999999</v>
      </c>
      <c r="P298">
        <f t="shared" si="25"/>
        <v>2730.6400000000003</v>
      </c>
      <c r="Q298" s="4">
        <f t="shared" si="27"/>
        <v>26055.55733</v>
      </c>
      <c r="R298" s="18">
        <f t="shared" si="28"/>
        <v>0.90514064887777934</v>
      </c>
    </row>
    <row r="299" spans="1:18" x14ac:dyDescent="0.3">
      <c r="A299" t="s">
        <v>696</v>
      </c>
      <c r="B299" s="7">
        <v>45097</v>
      </c>
      <c r="C299" s="2">
        <v>45115</v>
      </c>
      <c r="D299" s="4">
        <f t="shared" si="29"/>
        <v>18</v>
      </c>
      <c r="E299" s="4" t="str">
        <f>TEXT(Data!B299,"MMM-YYYY")</f>
        <v>Mar-2024</v>
      </c>
      <c r="F299" t="s">
        <v>39</v>
      </c>
      <c r="G299" t="s">
        <v>98</v>
      </c>
      <c r="H299" t="s">
        <v>84</v>
      </c>
      <c r="I299" t="s">
        <v>64</v>
      </c>
      <c r="J299" s="4">
        <v>337</v>
      </c>
      <c r="K299" s="8" t="str">
        <f t="shared" si="26"/>
        <v>High</v>
      </c>
      <c r="L299" s="4">
        <v>511.03</v>
      </c>
      <c r="M299" s="4">
        <v>0.108</v>
      </c>
      <c r="N299" s="4">
        <v>7</v>
      </c>
      <c r="O299" s="4">
        <f t="shared" si="24"/>
        <v>409.91860000000008</v>
      </c>
      <c r="P299">
        <f t="shared" si="25"/>
        <v>2359</v>
      </c>
      <c r="Q299" s="4">
        <f t="shared" si="27"/>
        <v>-1949.0814</v>
      </c>
      <c r="R299" s="18">
        <f t="shared" si="28"/>
        <v>-4.7548010751402829</v>
      </c>
    </row>
    <row r="300" spans="1:18" x14ac:dyDescent="0.3">
      <c r="A300" t="s">
        <v>698</v>
      </c>
      <c r="B300" s="7">
        <v>45377</v>
      </c>
      <c r="C300" s="2">
        <v>45387</v>
      </c>
      <c r="D300" s="4">
        <f t="shared" si="29"/>
        <v>10</v>
      </c>
      <c r="E300" s="4" t="str">
        <f>TEXT(Data!B300,"MMM-YYYY")</f>
        <v>Jan-2025</v>
      </c>
      <c r="F300" t="s">
        <v>48</v>
      </c>
      <c r="G300" t="s">
        <v>98</v>
      </c>
      <c r="H300" t="s">
        <v>29</v>
      </c>
      <c r="I300" t="s">
        <v>64</v>
      </c>
      <c r="J300" s="4">
        <v>5.66</v>
      </c>
      <c r="K300" s="8" t="str">
        <f t="shared" si="26"/>
        <v>Low</v>
      </c>
      <c r="L300" s="4">
        <v>4.22</v>
      </c>
      <c r="M300" s="4">
        <v>0.11899999999999999</v>
      </c>
      <c r="N300" s="4">
        <v>18</v>
      </c>
      <c r="O300" s="4">
        <f t="shared" si="24"/>
        <v>39520.356119999997</v>
      </c>
      <c r="P300">
        <f t="shared" si="25"/>
        <v>101.88</v>
      </c>
      <c r="Q300" s="4">
        <f t="shared" si="27"/>
        <v>39418.476119999999</v>
      </c>
      <c r="R300" s="18">
        <f t="shared" si="28"/>
        <v>0.99742208800723742</v>
      </c>
    </row>
    <row r="301" spans="1:18" x14ac:dyDescent="0.3">
      <c r="A301" t="s">
        <v>700</v>
      </c>
      <c r="B301" s="7">
        <v>45679</v>
      </c>
      <c r="C301" s="2">
        <v>45679</v>
      </c>
      <c r="D301" s="4">
        <f t="shared" si="29"/>
        <v>0</v>
      </c>
      <c r="E301" s="4" t="str">
        <f>TEXT(Data!B301,"MMM-YYYY")</f>
        <v>May-2025</v>
      </c>
      <c r="F301" t="s">
        <v>62</v>
      </c>
      <c r="G301" t="s">
        <v>28</v>
      </c>
      <c r="H301" t="s">
        <v>56</v>
      </c>
      <c r="I301" t="s">
        <v>81</v>
      </c>
      <c r="J301" s="4">
        <v>591.72</v>
      </c>
      <c r="K301" s="8" t="str">
        <f t="shared" si="26"/>
        <v>High</v>
      </c>
      <c r="L301" s="4">
        <v>577.24</v>
      </c>
      <c r="M301" s="4">
        <v>0</v>
      </c>
      <c r="N301" s="4">
        <v>22</v>
      </c>
      <c r="O301" s="4">
        <f t="shared" si="24"/>
        <v>20500.48</v>
      </c>
      <c r="P301">
        <f t="shared" si="25"/>
        <v>13017.84</v>
      </c>
      <c r="Q301" s="4">
        <f t="shared" si="27"/>
        <v>7482.6399999999994</v>
      </c>
      <c r="R301" s="18">
        <f t="shared" si="28"/>
        <v>0.36499828296703296</v>
      </c>
    </row>
    <row r="302" spans="1:18" x14ac:dyDescent="0.3">
      <c r="A302" t="s">
        <v>702</v>
      </c>
      <c r="B302" s="7">
        <v>45787</v>
      </c>
      <c r="C302" s="2">
        <v>45804</v>
      </c>
      <c r="D302" s="4">
        <f t="shared" si="29"/>
        <v>17</v>
      </c>
      <c r="E302" s="4" t="str">
        <f>TEXT(Data!B302,"MMM-YYYY")</f>
        <v>Oct-2023</v>
      </c>
      <c r="F302" t="s">
        <v>27</v>
      </c>
      <c r="G302" t="s">
        <v>98</v>
      </c>
      <c r="H302" t="s">
        <v>21</v>
      </c>
      <c r="I302" t="s">
        <v>22</v>
      </c>
      <c r="J302" s="4">
        <v>862.89</v>
      </c>
      <c r="K302" s="8" t="str">
        <f t="shared" si="26"/>
        <v>High</v>
      </c>
      <c r="L302" s="4">
        <v>1426.03</v>
      </c>
      <c r="M302" s="4">
        <v>5.6000000000000001E-2</v>
      </c>
      <c r="N302" s="4">
        <v>19</v>
      </c>
      <c r="O302" s="4">
        <f t="shared" si="24"/>
        <v>11111.531359999999</v>
      </c>
      <c r="P302">
        <f t="shared" si="25"/>
        <v>16394.91</v>
      </c>
      <c r="Q302" s="4">
        <f t="shared" si="27"/>
        <v>-5283.3786400000008</v>
      </c>
      <c r="R302" s="18">
        <f t="shared" si="28"/>
        <v>-0.4754860935747745</v>
      </c>
    </row>
    <row r="303" spans="1:18" x14ac:dyDescent="0.3">
      <c r="A303" t="s">
        <v>704</v>
      </c>
      <c r="B303" s="7">
        <v>45204</v>
      </c>
      <c r="C303" s="2">
        <v>45230</v>
      </c>
      <c r="D303" s="4">
        <f t="shared" si="29"/>
        <v>26</v>
      </c>
      <c r="E303" s="4" t="str">
        <f>TEXT(Data!B303,"MMM-YYYY")</f>
        <v>Jul-2023</v>
      </c>
      <c r="F303" t="s">
        <v>48</v>
      </c>
      <c r="G303" t="s">
        <v>1364</v>
      </c>
      <c r="H303" t="s">
        <v>29</v>
      </c>
      <c r="I303" t="s">
        <v>30</v>
      </c>
      <c r="J303" s="4">
        <v>649.91</v>
      </c>
      <c r="K303" s="8" t="str">
        <f t="shared" si="26"/>
        <v>High</v>
      </c>
      <c r="L303" s="4">
        <v>1360.12</v>
      </c>
      <c r="M303" s="4">
        <v>0.19400000000000001</v>
      </c>
      <c r="N303" s="4">
        <v>9</v>
      </c>
      <c r="O303" s="4">
        <f t="shared" si="24"/>
        <v>10311.923699999999</v>
      </c>
      <c r="P303">
        <f t="shared" si="25"/>
        <v>5849.19</v>
      </c>
      <c r="Q303" s="4">
        <f t="shared" si="27"/>
        <v>4462.7336999999998</v>
      </c>
      <c r="R303" s="18">
        <f t="shared" si="28"/>
        <v>0.43277411953697836</v>
      </c>
    </row>
    <row r="304" spans="1:18" x14ac:dyDescent="0.3">
      <c r="A304" t="s">
        <v>706</v>
      </c>
      <c r="B304" s="7">
        <v>45125</v>
      </c>
      <c r="C304" s="2">
        <v>45129</v>
      </c>
      <c r="D304" s="4">
        <f t="shared" si="29"/>
        <v>4</v>
      </c>
      <c r="E304" s="4" t="str">
        <f>TEXT(Data!B304,"MMM-YYYY")</f>
        <v>Jun-2025</v>
      </c>
      <c r="F304" t="s">
        <v>48</v>
      </c>
      <c r="G304" t="s">
        <v>98</v>
      </c>
      <c r="H304" t="s">
        <v>84</v>
      </c>
      <c r="I304" t="s">
        <v>35</v>
      </c>
      <c r="J304" s="4">
        <v>1269.55</v>
      </c>
      <c r="K304" s="8" t="str">
        <f t="shared" si="26"/>
        <v>High</v>
      </c>
      <c r="L304" s="4">
        <v>2071.1</v>
      </c>
      <c r="M304" s="4">
        <v>0.129</v>
      </c>
      <c r="N304" s="4">
        <v>22</v>
      </c>
      <c r="O304" s="4">
        <f t="shared" si="24"/>
        <v>18252.954719999998</v>
      </c>
      <c r="P304">
        <f t="shared" si="25"/>
        <v>27930.1</v>
      </c>
      <c r="Q304" s="4">
        <f t="shared" si="27"/>
        <v>-9677.1452800000006</v>
      </c>
      <c r="R304" s="18">
        <f t="shared" si="28"/>
        <v>-0.53016870027057195</v>
      </c>
    </row>
    <row r="305" spans="1:18" x14ac:dyDescent="0.3">
      <c r="A305" t="s">
        <v>708</v>
      </c>
      <c r="B305" s="7">
        <v>45830</v>
      </c>
      <c r="C305" s="2">
        <v>45846</v>
      </c>
      <c r="D305" s="4">
        <f t="shared" si="29"/>
        <v>16</v>
      </c>
      <c r="E305" s="4" t="str">
        <f>TEXT(Data!B305,"MMM-YYYY")</f>
        <v>Jun-2024</v>
      </c>
      <c r="F305" t="s">
        <v>27</v>
      </c>
      <c r="G305" t="s">
        <v>98</v>
      </c>
      <c r="H305" t="s">
        <v>75</v>
      </c>
      <c r="I305" t="s">
        <v>42</v>
      </c>
      <c r="J305" s="4">
        <v>892.73</v>
      </c>
      <c r="K305" s="8" t="str">
        <f t="shared" si="26"/>
        <v>High</v>
      </c>
      <c r="L305" s="4">
        <v>979.84</v>
      </c>
      <c r="M305" s="4">
        <v>0.17399999999999999</v>
      </c>
      <c r="N305" s="4">
        <v>10</v>
      </c>
      <c r="O305" s="4">
        <f t="shared" si="24"/>
        <v>26053.196400000001</v>
      </c>
      <c r="P305">
        <f t="shared" si="25"/>
        <v>8927.2999999999993</v>
      </c>
      <c r="Q305" s="4">
        <f t="shared" si="27"/>
        <v>17125.896400000001</v>
      </c>
      <c r="R305" s="18">
        <f t="shared" si="28"/>
        <v>0.65734338839129935</v>
      </c>
    </row>
    <row r="306" spans="1:18" x14ac:dyDescent="0.3">
      <c r="A306" t="s">
        <v>710</v>
      </c>
      <c r="B306" s="7">
        <v>45462</v>
      </c>
      <c r="C306" s="2">
        <v>45463</v>
      </c>
      <c r="D306" s="4">
        <f t="shared" si="29"/>
        <v>1</v>
      </c>
      <c r="E306" s="4" t="str">
        <f>TEXT(Data!B306,"MMM-YYYY")</f>
        <v>Apr-2025</v>
      </c>
      <c r="F306" t="s">
        <v>62</v>
      </c>
      <c r="G306" t="s">
        <v>98</v>
      </c>
      <c r="H306" t="s">
        <v>29</v>
      </c>
      <c r="I306" t="s">
        <v>57</v>
      </c>
      <c r="J306" s="4">
        <v>231.63</v>
      </c>
      <c r="K306" s="8" t="str">
        <f t="shared" si="26"/>
        <v>High</v>
      </c>
      <c r="L306" s="4">
        <v>537.39</v>
      </c>
      <c r="M306" s="4">
        <v>0.08</v>
      </c>
      <c r="N306" s="4">
        <v>12</v>
      </c>
      <c r="O306" s="4">
        <f t="shared" si="24"/>
        <v>2496.5855999999999</v>
      </c>
      <c r="P306">
        <f t="shared" si="25"/>
        <v>2779.56</v>
      </c>
      <c r="Q306" s="4">
        <f t="shared" si="27"/>
        <v>-282.97440000000006</v>
      </c>
      <c r="R306" s="18">
        <f t="shared" si="28"/>
        <v>-0.11334456146827093</v>
      </c>
    </row>
    <row r="307" spans="1:18" x14ac:dyDescent="0.3">
      <c r="A307" t="s">
        <v>712</v>
      </c>
      <c r="B307" s="7">
        <v>45756</v>
      </c>
      <c r="C307" s="2">
        <v>45759</v>
      </c>
      <c r="D307" s="4">
        <f t="shared" si="29"/>
        <v>3</v>
      </c>
      <c r="E307" s="4" t="str">
        <f>TEXT(Data!B307,"MMM-YYYY")</f>
        <v>Mar-2025</v>
      </c>
      <c r="F307" t="s">
        <v>62</v>
      </c>
      <c r="G307" t="s">
        <v>55</v>
      </c>
      <c r="H307" t="s">
        <v>92</v>
      </c>
      <c r="I307" t="s">
        <v>64</v>
      </c>
      <c r="J307" s="4">
        <v>86.68</v>
      </c>
      <c r="K307" s="8" t="str">
        <f t="shared" si="26"/>
        <v>High</v>
      </c>
      <c r="L307" s="4">
        <v>213.32</v>
      </c>
      <c r="M307" s="4">
        <v>3.7999999999999999E-2</v>
      </c>
      <c r="N307" s="4">
        <v>8</v>
      </c>
      <c r="O307" s="4">
        <f t="shared" si="24"/>
        <v>6818.0403199999992</v>
      </c>
      <c r="P307">
        <f t="shared" si="25"/>
        <v>693.44</v>
      </c>
      <c r="Q307" s="4">
        <f t="shared" si="27"/>
        <v>6124.6003199999996</v>
      </c>
      <c r="R307" s="18">
        <f t="shared" si="28"/>
        <v>0.89829335594190218</v>
      </c>
    </row>
    <row r="308" spans="1:18" x14ac:dyDescent="0.3">
      <c r="A308" t="s">
        <v>714</v>
      </c>
      <c r="B308" s="7">
        <v>45741</v>
      </c>
      <c r="C308" s="2">
        <v>45742</v>
      </c>
      <c r="D308" s="4">
        <f t="shared" si="29"/>
        <v>1</v>
      </c>
      <c r="E308" s="4" t="str">
        <f>TEXT(Data!B308,"MMM-YYYY")</f>
        <v>May-2025</v>
      </c>
      <c r="F308" t="s">
        <v>27</v>
      </c>
      <c r="G308" t="s">
        <v>55</v>
      </c>
      <c r="H308" t="s">
        <v>41</v>
      </c>
      <c r="I308" t="s">
        <v>81</v>
      </c>
      <c r="J308" s="4">
        <v>1450.43</v>
      </c>
      <c r="K308" s="8" t="str">
        <f t="shared" si="26"/>
        <v>High</v>
      </c>
      <c r="L308" s="4">
        <v>1994.67</v>
      </c>
      <c r="M308" s="4">
        <v>0.1</v>
      </c>
      <c r="N308" s="4">
        <v>24</v>
      </c>
      <c r="O308" s="4">
        <f t="shared" si="24"/>
        <v>52560.144000000008</v>
      </c>
      <c r="P308">
        <f t="shared" si="25"/>
        <v>34810.32</v>
      </c>
      <c r="Q308" s="4">
        <f t="shared" si="27"/>
        <v>17749.824000000008</v>
      </c>
      <c r="R308" s="18">
        <f t="shared" si="28"/>
        <v>0.33770501085385163</v>
      </c>
    </row>
    <row r="309" spans="1:18" x14ac:dyDescent="0.3">
      <c r="A309" t="s">
        <v>716</v>
      </c>
      <c r="B309" s="7">
        <v>45795</v>
      </c>
      <c r="C309" s="2">
        <v>45817</v>
      </c>
      <c r="D309" s="4">
        <f t="shared" si="29"/>
        <v>22</v>
      </c>
      <c r="E309" s="4" t="str">
        <f>TEXT(Data!B309,"MMM-YYYY")</f>
        <v>Jan-2025</v>
      </c>
      <c r="F309" t="s">
        <v>48</v>
      </c>
      <c r="G309" t="s">
        <v>20</v>
      </c>
      <c r="H309" t="s">
        <v>92</v>
      </c>
      <c r="I309" t="s">
        <v>35</v>
      </c>
      <c r="J309" s="4">
        <v>382.96</v>
      </c>
      <c r="K309" s="8" t="str">
        <f t="shared" si="26"/>
        <v>High</v>
      </c>
      <c r="L309" s="4">
        <v>552.84</v>
      </c>
      <c r="M309" s="4">
        <v>0.17599999999999999</v>
      </c>
      <c r="N309" s="4">
        <v>8</v>
      </c>
      <c r="O309" s="4">
        <f t="shared" si="24"/>
        <v>7609.4092799999999</v>
      </c>
      <c r="P309">
        <f t="shared" si="25"/>
        <v>3063.68</v>
      </c>
      <c r="Q309" s="4">
        <f t="shared" si="27"/>
        <v>4545.7292799999996</v>
      </c>
      <c r="R309" s="18">
        <f t="shared" si="28"/>
        <v>0.59738267620164065</v>
      </c>
    </row>
    <row r="310" spans="1:18" x14ac:dyDescent="0.3">
      <c r="A310" t="s">
        <v>718</v>
      </c>
      <c r="B310" s="7">
        <v>45679</v>
      </c>
      <c r="C310" s="2">
        <v>45692</v>
      </c>
      <c r="D310" s="4">
        <f t="shared" si="29"/>
        <v>13</v>
      </c>
      <c r="E310" s="4" t="str">
        <f>TEXT(Data!B310,"MMM-YYYY")</f>
        <v>Jan-2023</v>
      </c>
      <c r="F310" t="s">
        <v>62</v>
      </c>
      <c r="G310" t="s">
        <v>55</v>
      </c>
      <c r="H310" t="s">
        <v>49</v>
      </c>
      <c r="I310" t="s">
        <v>30</v>
      </c>
      <c r="J310" s="4">
        <v>122.29</v>
      </c>
      <c r="K310" s="8" t="str">
        <f t="shared" si="26"/>
        <v>High</v>
      </c>
      <c r="L310" s="4">
        <v>224.95</v>
      </c>
      <c r="M310" s="4">
        <v>0.153</v>
      </c>
      <c r="N310" s="4">
        <v>28</v>
      </c>
      <c r="O310" s="4">
        <f t="shared" si="24"/>
        <v>26941.13884</v>
      </c>
      <c r="P310">
        <f t="shared" si="25"/>
        <v>3424.1200000000003</v>
      </c>
      <c r="Q310" s="4">
        <f t="shared" si="27"/>
        <v>23517.018840000001</v>
      </c>
      <c r="R310" s="18">
        <f t="shared" si="28"/>
        <v>0.8729036652705956</v>
      </c>
    </row>
    <row r="311" spans="1:18" x14ac:dyDescent="0.3">
      <c r="A311" t="s">
        <v>720</v>
      </c>
      <c r="B311" s="7">
        <v>44936</v>
      </c>
      <c r="C311" s="2">
        <v>44955</v>
      </c>
      <c r="D311" s="4">
        <f t="shared" si="29"/>
        <v>19</v>
      </c>
      <c r="E311" s="4" t="str">
        <f>TEXT(Data!B311,"MMM-YYYY")</f>
        <v>Dec-2024</v>
      </c>
      <c r="F311" t="s">
        <v>39</v>
      </c>
      <c r="G311" t="s">
        <v>98</v>
      </c>
      <c r="H311" t="s">
        <v>145</v>
      </c>
      <c r="I311" t="s">
        <v>57</v>
      </c>
      <c r="J311" s="4">
        <v>401.66</v>
      </c>
      <c r="K311" s="8" t="str">
        <f t="shared" si="26"/>
        <v>High</v>
      </c>
      <c r="L311" s="4">
        <v>772.09</v>
      </c>
      <c r="M311" s="4">
        <v>8.8999999999999996E-2</v>
      </c>
      <c r="N311" s="4">
        <v>14</v>
      </c>
      <c r="O311" s="4">
        <f t="shared" si="24"/>
        <v>35096.967360000002</v>
      </c>
      <c r="P311">
        <f t="shared" si="25"/>
        <v>5623.2400000000007</v>
      </c>
      <c r="Q311" s="4">
        <f t="shared" si="27"/>
        <v>29473.727360000001</v>
      </c>
      <c r="R311" s="18">
        <f t="shared" si="28"/>
        <v>0.83977988917615698</v>
      </c>
    </row>
    <row r="312" spans="1:18" x14ac:dyDescent="0.3">
      <c r="A312" t="s">
        <v>722</v>
      </c>
      <c r="B312" s="7">
        <v>45655</v>
      </c>
      <c r="C312" s="2">
        <v>45669</v>
      </c>
      <c r="D312" s="4">
        <f t="shared" si="29"/>
        <v>14</v>
      </c>
      <c r="E312" s="4" t="str">
        <f>TEXT(Data!B312,"MMM-YYYY")</f>
        <v>May-2024</v>
      </c>
      <c r="F312" t="s">
        <v>19</v>
      </c>
      <c r="G312" t="s">
        <v>98</v>
      </c>
      <c r="H312" t="s">
        <v>56</v>
      </c>
      <c r="I312" t="s">
        <v>64</v>
      </c>
      <c r="J312" s="4">
        <v>1399.72</v>
      </c>
      <c r="K312" s="8" t="str">
        <f t="shared" si="26"/>
        <v>High</v>
      </c>
      <c r="L312" s="4">
        <v>3149.21</v>
      </c>
      <c r="M312" s="4">
        <v>0.185</v>
      </c>
      <c r="N312" s="4">
        <v>12</v>
      </c>
      <c r="O312" s="4">
        <f t="shared" si="24"/>
        <v>13444.761599999998</v>
      </c>
      <c r="P312">
        <f t="shared" si="25"/>
        <v>16796.64</v>
      </c>
      <c r="Q312" s="4">
        <f t="shared" si="27"/>
        <v>-3351.8784000000014</v>
      </c>
      <c r="R312" s="18">
        <f t="shared" si="28"/>
        <v>-0.24930738823959525</v>
      </c>
    </row>
    <row r="313" spans="1:18" x14ac:dyDescent="0.3">
      <c r="A313" t="s">
        <v>724</v>
      </c>
      <c r="B313" s="7">
        <v>45435</v>
      </c>
      <c r="C313" s="2">
        <v>45449</v>
      </c>
      <c r="D313" s="4">
        <f t="shared" si="29"/>
        <v>14</v>
      </c>
      <c r="E313" s="4" t="str">
        <f>TEXT(Data!B313,"MMM-YYYY")</f>
        <v>Jun-2023</v>
      </c>
      <c r="F313" t="s">
        <v>39</v>
      </c>
      <c r="G313" t="s">
        <v>28</v>
      </c>
      <c r="H313" t="s">
        <v>34</v>
      </c>
      <c r="I313" t="s">
        <v>35</v>
      </c>
      <c r="J313" s="4">
        <v>51.13</v>
      </c>
      <c r="K313" s="8" t="str">
        <f t="shared" si="26"/>
        <v>Medium</v>
      </c>
      <c r="L313" s="4">
        <v>57.53</v>
      </c>
      <c r="M313" s="4">
        <v>4.4999999999999998E-2</v>
      </c>
      <c r="N313" s="4">
        <v>16</v>
      </c>
      <c r="O313" s="4">
        <f t="shared" si="24"/>
        <v>20144.693599999999</v>
      </c>
      <c r="P313">
        <f t="shared" si="25"/>
        <v>818.08</v>
      </c>
      <c r="Q313" s="4">
        <f t="shared" si="27"/>
        <v>19326.613599999997</v>
      </c>
      <c r="R313" s="18">
        <f t="shared" si="28"/>
        <v>0.95938980178879452</v>
      </c>
    </row>
    <row r="314" spans="1:18" x14ac:dyDescent="0.3">
      <c r="A314" t="s">
        <v>726</v>
      </c>
      <c r="B314" s="7">
        <v>45101</v>
      </c>
      <c r="C314" s="2">
        <v>45099</v>
      </c>
      <c r="D314" s="4">
        <f>DATEDIF(C314,B314, "MD")</f>
        <v>2</v>
      </c>
      <c r="E314" s="4" t="str">
        <f>TEXT(Data!B314,"MMM-YYYY")</f>
        <v>Nov-2024</v>
      </c>
      <c r="F314" t="s">
        <v>39</v>
      </c>
      <c r="G314" t="s">
        <v>20</v>
      </c>
      <c r="H314" t="s">
        <v>110</v>
      </c>
      <c r="I314" t="s">
        <v>81</v>
      </c>
      <c r="J314" s="4">
        <v>471.42</v>
      </c>
      <c r="K314" s="8" t="str">
        <f t="shared" si="26"/>
        <v>High</v>
      </c>
      <c r="L314" s="4">
        <v>824.81</v>
      </c>
      <c r="M314" s="4">
        <v>8.7999999999999995E-2</v>
      </c>
      <c r="N314" s="4">
        <v>15</v>
      </c>
      <c r="O314" s="4">
        <f t="shared" si="24"/>
        <v>6043.0032000000001</v>
      </c>
      <c r="P314">
        <f t="shared" si="25"/>
        <v>7071.3</v>
      </c>
      <c r="Q314" s="4">
        <f t="shared" si="27"/>
        <v>-1028.2968000000001</v>
      </c>
      <c r="R314" s="18">
        <f t="shared" si="28"/>
        <v>-0.17016320626803574</v>
      </c>
    </row>
    <row r="315" spans="1:18" x14ac:dyDescent="0.3">
      <c r="A315" t="s">
        <v>728</v>
      </c>
      <c r="B315" s="7">
        <v>45600</v>
      </c>
      <c r="C315" s="2">
        <v>45601</v>
      </c>
      <c r="D315" s="4">
        <f t="shared" si="29"/>
        <v>1</v>
      </c>
      <c r="E315" s="4" t="str">
        <f>TEXT(Data!B315,"MMM-YYYY")</f>
        <v>Jun-2024</v>
      </c>
      <c r="F315" t="s">
        <v>19</v>
      </c>
      <c r="G315" t="s">
        <v>20</v>
      </c>
      <c r="H315" t="s">
        <v>110</v>
      </c>
      <c r="I315" t="s">
        <v>30</v>
      </c>
      <c r="J315" s="4">
        <v>840.68</v>
      </c>
      <c r="K315" s="8" t="str">
        <f t="shared" si="26"/>
        <v>High</v>
      </c>
      <c r="L315" s="4">
        <v>1493.53</v>
      </c>
      <c r="M315" s="4">
        <v>0</v>
      </c>
      <c r="N315" s="4">
        <v>27</v>
      </c>
      <c r="O315" s="4">
        <f t="shared" si="24"/>
        <v>35911.89</v>
      </c>
      <c r="P315">
        <f t="shared" si="25"/>
        <v>22698.359999999997</v>
      </c>
      <c r="Q315" s="4">
        <f t="shared" si="27"/>
        <v>13213.530000000002</v>
      </c>
      <c r="R315" s="18">
        <f t="shared" si="28"/>
        <v>0.36794304059184862</v>
      </c>
    </row>
    <row r="316" spans="1:18" x14ac:dyDescent="0.3">
      <c r="A316" t="s">
        <v>730</v>
      </c>
      <c r="B316" s="7">
        <v>45451</v>
      </c>
      <c r="C316" s="2">
        <v>45467</v>
      </c>
      <c r="D316" s="4">
        <f t="shared" si="29"/>
        <v>16</v>
      </c>
      <c r="E316" s="4" t="str">
        <f>TEXT(Data!B316,"MMM-YYYY")</f>
        <v>Jun-2025</v>
      </c>
      <c r="F316" t="s">
        <v>27</v>
      </c>
      <c r="G316" t="s">
        <v>55</v>
      </c>
      <c r="H316" t="s">
        <v>92</v>
      </c>
      <c r="I316" t="s">
        <v>64</v>
      </c>
      <c r="J316" s="4">
        <v>597.85</v>
      </c>
      <c r="K316" s="8" t="str">
        <f t="shared" si="26"/>
        <v>High</v>
      </c>
      <c r="L316" s="4">
        <v>741.92</v>
      </c>
      <c r="M316" s="4">
        <v>3.1E-2</v>
      </c>
      <c r="N316" s="4">
        <v>7</v>
      </c>
      <c r="O316" s="4">
        <f t="shared" si="24"/>
        <v>11089.255379999999</v>
      </c>
      <c r="P316">
        <f t="shared" si="25"/>
        <v>4184.95</v>
      </c>
      <c r="Q316" s="4">
        <f t="shared" si="27"/>
        <v>6904.3053799999989</v>
      </c>
      <c r="R316" s="18">
        <f t="shared" si="28"/>
        <v>0.62261217217995024</v>
      </c>
    </row>
    <row r="317" spans="1:18" x14ac:dyDescent="0.3">
      <c r="A317" t="s">
        <v>732</v>
      </c>
      <c r="B317" s="7">
        <v>45809</v>
      </c>
      <c r="C317" s="2">
        <v>45814</v>
      </c>
      <c r="D317" s="4">
        <f t="shared" si="29"/>
        <v>5</v>
      </c>
      <c r="E317" s="4" t="str">
        <f>TEXT(Data!B317,"MMM-YYYY")</f>
        <v>May-2023</v>
      </c>
      <c r="F317" t="s">
        <v>48</v>
      </c>
      <c r="G317" t="s">
        <v>55</v>
      </c>
      <c r="H317" t="s">
        <v>41</v>
      </c>
      <c r="I317" t="s">
        <v>22</v>
      </c>
      <c r="J317" s="4">
        <v>379.45</v>
      </c>
      <c r="K317" s="8" t="str">
        <f t="shared" si="26"/>
        <v>High</v>
      </c>
      <c r="L317" s="4">
        <v>742.23</v>
      </c>
      <c r="M317" s="4">
        <v>0.09</v>
      </c>
      <c r="N317" s="4">
        <v>13</v>
      </c>
      <c r="O317" s="4">
        <f t="shared" si="24"/>
        <v>835.19799999999998</v>
      </c>
      <c r="P317">
        <f t="shared" si="25"/>
        <v>4932.8499999999995</v>
      </c>
      <c r="Q317" s="4">
        <f t="shared" si="27"/>
        <v>-4097.6519999999991</v>
      </c>
      <c r="R317" s="18">
        <f t="shared" si="28"/>
        <v>-4.9062042773090919</v>
      </c>
    </row>
    <row r="318" spans="1:18" x14ac:dyDescent="0.3">
      <c r="A318" t="s">
        <v>734</v>
      </c>
      <c r="B318" s="7">
        <v>45052</v>
      </c>
      <c r="C318" s="2">
        <v>45060</v>
      </c>
      <c r="D318" s="4">
        <f t="shared" si="29"/>
        <v>8</v>
      </c>
      <c r="E318" s="4" t="str">
        <f>TEXT(Data!B318,"MMM-YYYY")</f>
        <v>Nov-2023</v>
      </c>
      <c r="F318" t="s">
        <v>105</v>
      </c>
      <c r="G318" t="s">
        <v>40</v>
      </c>
      <c r="H318" t="s">
        <v>56</v>
      </c>
      <c r="I318" t="s">
        <v>42</v>
      </c>
      <c r="J318" s="4">
        <v>291.18</v>
      </c>
      <c r="K318" s="8" t="str">
        <f t="shared" si="26"/>
        <v>High</v>
      </c>
      <c r="L318" s="4">
        <v>479.54</v>
      </c>
      <c r="M318" s="4">
        <v>0.14099999999999999</v>
      </c>
      <c r="N318" s="4">
        <v>22</v>
      </c>
      <c r="O318" s="4">
        <f t="shared" si="24"/>
        <v>34451.80992</v>
      </c>
      <c r="P318">
        <f t="shared" si="25"/>
        <v>6405.96</v>
      </c>
      <c r="Q318" s="4">
        <f t="shared" si="27"/>
        <v>28045.849920000001</v>
      </c>
      <c r="R318" s="18">
        <f t="shared" si="28"/>
        <v>0.81406027680765747</v>
      </c>
    </row>
    <row r="319" spans="1:18" x14ac:dyDescent="0.3">
      <c r="A319" t="s">
        <v>736</v>
      </c>
      <c r="B319" s="7">
        <v>45244</v>
      </c>
      <c r="C319" s="2">
        <v>45260</v>
      </c>
      <c r="D319" s="4">
        <f t="shared" si="29"/>
        <v>16</v>
      </c>
      <c r="E319" s="4" t="str">
        <f>TEXT(Data!B319,"MMM-YYYY")</f>
        <v>Apr-2025</v>
      </c>
      <c r="F319" t="s">
        <v>105</v>
      </c>
      <c r="G319" t="s">
        <v>98</v>
      </c>
      <c r="H319" t="s">
        <v>95</v>
      </c>
      <c r="I319" t="s">
        <v>35</v>
      </c>
      <c r="J319" s="4">
        <v>1017.92</v>
      </c>
      <c r="K319" s="8" t="str">
        <f t="shared" si="26"/>
        <v>High</v>
      </c>
      <c r="L319" s="4">
        <v>1175.25</v>
      </c>
      <c r="M319" s="4">
        <v>7.4999999999999997E-2</v>
      </c>
      <c r="N319" s="4">
        <v>15</v>
      </c>
      <c r="O319" s="4">
        <f t="shared" si="24"/>
        <v>27971.861250000002</v>
      </c>
      <c r="P319">
        <f t="shared" si="25"/>
        <v>15268.8</v>
      </c>
      <c r="Q319" s="4">
        <f t="shared" si="27"/>
        <v>12703.061250000002</v>
      </c>
      <c r="R319" s="18">
        <f t="shared" si="28"/>
        <v>0.45413714648681097</v>
      </c>
    </row>
    <row r="320" spans="1:18" x14ac:dyDescent="0.3">
      <c r="A320" t="s">
        <v>738</v>
      </c>
      <c r="B320" s="7">
        <v>45748</v>
      </c>
      <c r="C320" s="2">
        <v>45774</v>
      </c>
      <c r="D320" s="4">
        <f t="shared" si="29"/>
        <v>26</v>
      </c>
      <c r="E320" s="4" t="str">
        <f>TEXT(Data!B320,"MMM-YYYY")</f>
        <v>Mar-2023</v>
      </c>
      <c r="F320" t="s">
        <v>19</v>
      </c>
      <c r="G320" t="s">
        <v>98</v>
      </c>
      <c r="H320" t="s">
        <v>34</v>
      </c>
      <c r="I320" t="s">
        <v>64</v>
      </c>
      <c r="J320" s="4">
        <v>156.55000000000001</v>
      </c>
      <c r="K320" s="8" t="str">
        <f t="shared" si="26"/>
        <v>High</v>
      </c>
      <c r="L320" s="4">
        <v>227.45</v>
      </c>
      <c r="M320" s="4">
        <v>1.4E-2</v>
      </c>
      <c r="N320" s="4">
        <v>13</v>
      </c>
      <c r="O320" s="4">
        <f t="shared" si="24"/>
        <v>3129.2583399999999</v>
      </c>
      <c r="P320">
        <f t="shared" si="25"/>
        <v>2035.15</v>
      </c>
      <c r="Q320" s="4">
        <f t="shared" si="27"/>
        <v>1094.1083399999998</v>
      </c>
      <c r="R320" s="18">
        <f t="shared" si="28"/>
        <v>0.34963822769583153</v>
      </c>
    </row>
    <row r="321" spans="1:18" x14ac:dyDescent="0.3">
      <c r="A321" t="s">
        <v>740</v>
      </c>
      <c r="B321" s="7">
        <v>45008</v>
      </c>
      <c r="C321" s="2">
        <v>45031</v>
      </c>
      <c r="D321" s="4">
        <f t="shared" si="29"/>
        <v>23</v>
      </c>
      <c r="E321" s="4" t="str">
        <f>TEXT(Data!B321,"MMM-YYYY")</f>
        <v>May-2024</v>
      </c>
      <c r="F321" t="s">
        <v>62</v>
      </c>
      <c r="G321" t="s">
        <v>20</v>
      </c>
      <c r="H321" t="s">
        <v>21</v>
      </c>
      <c r="I321" t="s">
        <v>81</v>
      </c>
      <c r="J321" s="4">
        <v>875.36</v>
      </c>
      <c r="K321" s="8" t="str">
        <f t="shared" si="26"/>
        <v>High</v>
      </c>
      <c r="L321" s="4">
        <v>1178.6199999999999</v>
      </c>
      <c r="M321" s="4">
        <v>0.151</v>
      </c>
      <c r="N321" s="4">
        <v>53</v>
      </c>
      <c r="O321" s="4">
        <f t="shared" si="24"/>
        <v>125232.05063999999</v>
      </c>
      <c r="P321">
        <f t="shared" si="25"/>
        <v>46394.080000000002</v>
      </c>
      <c r="Q321" s="4">
        <f t="shared" si="27"/>
        <v>78837.970639999985</v>
      </c>
      <c r="R321" s="18">
        <f t="shared" si="28"/>
        <v>0.62953509295022747</v>
      </c>
    </row>
    <row r="322" spans="1:18" x14ac:dyDescent="0.3">
      <c r="A322" t="s">
        <v>742</v>
      </c>
      <c r="B322" s="7">
        <v>45440</v>
      </c>
      <c r="C322" s="2">
        <v>45461</v>
      </c>
      <c r="D322" s="4">
        <f t="shared" si="29"/>
        <v>21</v>
      </c>
      <c r="E322" s="4" t="str">
        <f>TEXT(Data!B322,"MMM-YYYY")</f>
        <v>Jan-2024</v>
      </c>
      <c r="F322" t="s">
        <v>62</v>
      </c>
      <c r="G322" t="s">
        <v>28</v>
      </c>
      <c r="H322" t="s">
        <v>63</v>
      </c>
      <c r="I322" t="s">
        <v>42</v>
      </c>
      <c r="J322" s="4">
        <v>986.85</v>
      </c>
      <c r="K322" s="8" t="str">
        <f t="shared" si="26"/>
        <v>High</v>
      </c>
      <c r="L322" s="4">
        <v>2422.1</v>
      </c>
      <c r="M322" s="4">
        <v>7.5999999999999998E-2</v>
      </c>
      <c r="N322" s="4">
        <v>10</v>
      </c>
      <c r="O322" s="4">
        <f t="shared" ref="O322:O385" si="30">(L348*N322)*(1-M322)</f>
        <v>18944.864399999999</v>
      </c>
      <c r="P322">
        <f t="shared" ref="P322:P385" si="31">(J322*N322)</f>
        <v>9868.5</v>
      </c>
      <c r="Q322" s="4">
        <f t="shared" si="27"/>
        <v>9076.3643999999986</v>
      </c>
      <c r="R322" s="18">
        <f t="shared" si="28"/>
        <v>0.47909365875429538</v>
      </c>
    </row>
    <row r="323" spans="1:18" x14ac:dyDescent="0.3">
      <c r="A323" t="s">
        <v>744</v>
      </c>
      <c r="B323" s="7">
        <v>45293</v>
      </c>
      <c r="C323" s="2">
        <v>45292</v>
      </c>
      <c r="D323" s="4">
        <f>DATEDIF(C323,B323, "MD")</f>
        <v>1</v>
      </c>
      <c r="E323" s="4" t="str">
        <f>TEXT(Data!B323,"MMM-YYYY")</f>
        <v>Feb-2023</v>
      </c>
      <c r="F323" t="s">
        <v>27</v>
      </c>
      <c r="G323" t="s">
        <v>40</v>
      </c>
      <c r="H323" t="s">
        <v>56</v>
      </c>
      <c r="I323" t="s">
        <v>35</v>
      </c>
      <c r="J323" s="4">
        <v>404.77</v>
      </c>
      <c r="K323" s="8" t="str">
        <f t="shared" ref="K323:K386" si="32">IF(L323&lt;50, "Low", IF(L323&lt;200, "Medium", "High"))</f>
        <v>High</v>
      </c>
      <c r="L323" s="4">
        <v>433.88</v>
      </c>
      <c r="M323" s="4">
        <v>0.215</v>
      </c>
      <c r="N323" s="4">
        <v>22</v>
      </c>
      <c r="O323" s="4">
        <f t="shared" si="30"/>
        <v>2540.7624000000005</v>
      </c>
      <c r="P323">
        <f t="shared" si="31"/>
        <v>8904.9399999999987</v>
      </c>
      <c r="Q323" s="4">
        <f t="shared" ref="Q323:Q386" si="33">(O323-P323)</f>
        <v>-6364.1775999999982</v>
      </c>
      <c r="R323" s="18">
        <f t="shared" ref="R323:R386" si="34">(Q323/O323)</f>
        <v>-2.504829888855407</v>
      </c>
    </row>
    <row r="324" spans="1:18" x14ac:dyDescent="0.3">
      <c r="A324" t="s">
        <v>746</v>
      </c>
      <c r="B324" s="7">
        <v>44985</v>
      </c>
      <c r="C324" s="2">
        <v>44984</v>
      </c>
      <c r="D324" s="4">
        <f>DATEDIF(C324,B324, "MD")</f>
        <v>1</v>
      </c>
      <c r="E324" s="4" t="str">
        <f>TEXT(Data!B324,"MMM-YYYY")</f>
        <v>Feb-2024</v>
      </c>
      <c r="F324" t="s">
        <v>19</v>
      </c>
      <c r="G324" t="s">
        <v>20</v>
      </c>
      <c r="H324" t="s">
        <v>95</v>
      </c>
      <c r="I324" t="s">
        <v>35</v>
      </c>
      <c r="J324" s="4">
        <v>1299.81</v>
      </c>
      <c r="K324" s="8" t="str">
        <f t="shared" si="32"/>
        <v>High</v>
      </c>
      <c r="L324" s="4">
        <v>3149.13</v>
      </c>
      <c r="M324" s="4">
        <v>0.10299999999999999</v>
      </c>
      <c r="N324" s="4">
        <v>14</v>
      </c>
      <c r="O324" s="4">
        <f t="shared" si="30"/>
        <v>24902.262840000003</v>
      </c>
      <c r="P324">
        <f t="shared" si="31"/>
        <v>18197.34</v>
      </c>
      <c r="Q324" s="4">
        <f t="shared" si="33"/>
        <v>6704.9228400000029</v>
      </c>
      <c r="R324" s="18">
        <f t="shared" si="34"/>
        <v>0.26924954101881943</v>
      </c>
    </row>
    <row r="325" spans="1:18" x14ac:dyDescent="0.3">
      <c r="A325" t="s">
        <v>748</v>
      </c>
      <c r="B325" s="7">
        <v>45340</v>
      </c>
      <c r="C325" s="2">
        <v>45362</v>
      </c>
      <c r="D325" s="4">
        <f t="shared" ref="D325:D388" si="35">DATEDIF(B325,C325, "MD")</f>
        <v>22</v>
      </c>
      <c r="E325" s="4" t="str">
        <f>TEXT(Data!B325,"MMM-YYYY")</f>
        <v>Sept-2024</v>
      </c>
      <c r="F325" t="s">
        <v>48</v>
      </c>
      <c r="G325" t="s">
        <v>28</v>
      </c>
      <c r="H325" t="s">
        <v>75</v>
      </c>
      <c r="I325" t="s">
        <v>22</v>
      </c>
      <c r="J325" s="4">
        <v>80.48</v>
      </c>
      <c r="K325" s="8" t="str">
        <f t="shared" si="32"/>
        <v>Medium</v>
      </c>
      <c r="L325" s="4">
        <v>65.650000000000006</v>
      </c>
      <c r="M325" s="4">
        <v>0.17599999999999999</v>
      </c>
      <c r="N325" s="4">
        <v>13</v>
      </c>
      <c r="O325" s="4">
        <f t="shared" si="30"/>
        <v>24630.101600000002</v>
      </c>
      <c r="P325">
        <f t="shared" si="31"/>
        <v>1046.24</v>
      </c>
      <c r="Q325" s="4">
        <f t="shared" si="33"/>
        <v>23583.8616</v>
      </c>
      <c r="R325" s="18">
        <f t="shared" si="34"/>
        <v>0.95752189670220433</v>
      </c>
    </row>
    <row r="326" spans="1:18" x14ac:dyDescent="0.3">
      <c r="A326" t="s">
        <v>750</v>
      </c>
      <c r="B326" s="7">
        <v>45544</v>
      </c>
      <c r="C326" s="2">
        <v>45573</v>
      </c>
      <c r="D326" s="4">
        <f t="shared" si="35"/>
        <v>29</v>
      </c>
      <c r="E326" s="4" t="str">
        <f>TEXT(Data!B326,"MMM-YYYY")</f>
        <v>May-2023</v>
      </c>
      <c r="F326" t="s">
        <v>27</v>
      </c>
      <c r="G326" t="s">
        <v>98</v>
      </c>
      <c r="H326" t="s">
        <v>29</v>
      </c>
      <c r="I326" t="s">
        <v>22</v>
      </c>
      <c r="J326" s="4">
        <v>1010.33</v>
      </c>
      <c r="K326" s="8" t="str">
        <f t="shared" si="32"/>
        <v>High</v>
      </c>
      <c r="L326" s="4">
        <v>2492.14</v>
      </c>
      <c r="M326" s="4">
        <v>5.0999999999999997E-2</v>
      </c>
      <c r="N326" s="4">
        <v>11</v>
      </c>
      <c r="O326" s="4">
        <f t="shared" si="30"/>
        <v>4829.1857899999995</v>
      </c>
      <c r="P326">
        <f t="shared" si="31"/>
        <v>11113.630000000001</v>
      </c>
      <c r="Q326" s="4">
        <f t="shared" si="33"/>
        <v>-6284.4442100000015</v>
      </c>
      <c r="R326" s="18">
        <f t="shared" si="34"/>
        <v>-1.3013465381707756</v>
      </c>
    </row>
    <row r="327" spans="1:18" x14ac:dyDescent="0.3">
      <c r="A327" t="s">
        <v>752</v>
      </c>
      <c r="B327" s="7">
        <v>45053</v>
      </c>
      <c r="C327" s="2">
        <v>45075</v>
      </c>
      <c r="D327" s="4">
        <f t="shared" si="35"/>
        <v>22</v>
      </c>
      <c r="E327" s="4" t="str">
        <f>TEXT(Data!B327,"MMM-YYYY")</f>
        <v>Jan-2024</v>
      </c>
      <c r="F327" t="s">
        <v>27</v>
      </c>
      <c r="G327" t="s">
        <v>55</v>
      </c>
      <c r="H327" t="s">
        <v>95</v>
      </c>
      <c r="I327" t="s">
        <v>81</v>
      </c>
      <c r="J327" s="4">
        <v>653.86</v>
      </c>
      <c r="K327" s="8" t="str">
        <f t="shared" si="32"/>
        <v>High</v>
      </c>
      <c r="L327" s="4">
        <v>931.84</v>
      </c>
      <c r="M327" s="4">
        <v>0.121</v>
      </c>
      <c r="N327" s="4">
        <v>12</v>
      </c>
      <c r="O327" s="4">
        <f t="shared" si="30"/>
        <v>11533.077720000001</v>
      </c>
      <c r="P327">
        <f t="shared" si="31"/>
        <v>7846.32</v>
      </c>
      <c r="Q327" s="4">
        <f t="shared" si="33"/>
        <v>3686.7577200000014</v>
      </c>
      <c r="R327" s="18">
        <f t="shared" si="34"/>
        <v>0.3196681587956906</v>
      </c>
    </row>
    <row r="328" spans="1:18" x14ac:dyDescent="0.3">
      <c r="A328" t="s">
        <v>754</v>
      </c>
      <c r="B328" s="7">
        <v>45303</v>
      </c>
      <c r="C328" s="2">
        <v>45320</v>
      </c>
      <c r="D328" s="4">
        <f t="shared" si="35"/>
        <v>17</v>
      </c>
      <c r="E328" s="4" t="str">
        <f>TEXT(Data!B328,"MMM-YYYY")</f>
        <v>Jun-2023</v>
      </c>
      <c r="F328" t="s">
        <v>62</v>
      </c>
      <c r="G328" t="s">
        <v>98</v>
      </c>
      <c r="H328" t="s">
        <v>56</v>
      </c>
      <c r="I328" t="s">
        <v>22</v>
      </c>
      <c r="J328" s="4">
        <v>310.02</v>
      </c>
      <c r="K328" s="8" t="str">
        <f t="shared" si="32"/>
        <v>High</v>
      </c>
      <c r="L328" s="4">
        <v>619.51</v>
      </c>
      <c r="M328" s="4">
        <v>4.2000000000000003E-2</v>
      </c>
      <c r="N328" s="4">
        <v>4</v>
      </c>
      <c r="O328" s="4">
        <f t="shared" si="30"/>
        <v>5572.5710399999998</v>
      </c>
      <c r="P328">
        <f t="shared" si="31"/>
        <v>1240.08</v>
      </c>
      <c r="Q328" s="4">
        <f t="shared" si="33"/>
        <v>4332.4910399999999</v>
      </c>
      <c r="R328" s="18">
        <f t="shared" si="34"/>
        <v>0.77746717070115634</v>
      </c>
    </row>
    <row r="329" spans="1:18" x14ac:dyDescent="0.3">
      <c r="A329" t="s">
        <v>756</v>
      </c>
      <c r="B329" s="7">
        <v>45087</v>
      </c>
      <c r="C329" s="2">
        <v>45095</v>
      </c>
      <c r="D329" s="4">
        <f t="shared" si="35"/>
        <v>8</v>
      </c>
      <c r="E329" s="4" t="str">
        <f>TEXT(Data!B329,"MMM-YYYY")</f>
        <v>May-2025</v>
      </c>
      <c r="F329" t="s">
        <v>105</v>
      </c>
      <c r="G329" t="s">
        <v>98</v>
      </c>
      <c r="H329" t="s">
        <v>92</v>
      </c>
      <c r="I329" t="s">
        <v>42</v>
      </c>
      <c r="J329" s="4">
        <v>894.23</v>
      </c>
      <c r="K329" s="8" t="str">
        <f t="shared" si="32"/>
        <v>High</v>
      </c>
      <c r="L329" s="4">
        <v>1421.55</v>
      </c>
      <c r="M329" s="4">
        <v>0.109</v>
      </c>
      <c r="N329" s="4">
        <v>3</v>
      </c>
      <c r="O329" s="4">
        <f t="shared" si="30"/>
        <v>5667.829200000001</v>
      </c>
      <c r="P329">
        <f t="shared" si="31"/>
        <v>2682.69</v>
      </c>
      <c r="Q329" s="4">
        <f t="shared" si="33"/>
        <v>2985.139200000001</v>
      </c>
      <c r="R329" s="18">
        <f t="shared" si="34"/>
        <v>0.52668122038681064</v>
      </c>
    </row>
    <row r="330" spans="1:18" x14ac:dyDescent="0.3">
      <c r="A330" t="s">
        <v>758</v>
      </c>
      <c r="B330" s="7">
        <v>45796</v>
      </c>
      <c r="C330" s="2">
        <v>45794</v>
      </c>
      <c r="D330" s="4">
        <f>DATEDIF(C330,B330, "MD")</f>
        <v>2</v>
      </c>
      <c r="E330" s="4" t="str">
        <f>TEXT(Data!B330,"MMM-YYYY")</f>
        <v>Oct-2023</v>
      </c>
      <c r="F330" t="s">
        <v>62</v>
      </c>
      <c r="G330" t="s">
        <v>55</v>
      </c>
      <c r="H330" t="s">
        <v>49</v>
      </c>
      <c r="I330" t="s">
        <v>64</v>
      </c>
      <c r="J330" s="4">
        <v>383.77</v>
      </c>
      <c r="K330" s="8" t="str">
        <f t="shared" si="32"/>
        <v>High</v>
      </c>
      <c r="L330" s="4">
        <v>952.56</v>
      </c>
      <c r="M330" s="4">
        <v>0.34599999999999997</v>
      </c>
      <c r="N330" s="4">
        <v>10</v>
      </c>
      <c r="O330" s="4">
        <f t="shared" si="30"/>
        <v>841.56720000000018</v>
      </c>
      <c r="P330">
        <f t="shared" si="31"/>
        <v>3837.7</v>
      </c>
      <c r="Q330" s="4">
        <f t="shared" si="33"/>
        <v>-2996.1327999999994</v>
      </c>
      <c r="R330" s="18">
        <f t="shared" si="34"/>
        <v>-3.5601824785946965</v>
      </c>
    </row>
    <row r="331" spans="1:18" x14ac:dyDescent="0.3">
      <c r="A331" t="s">
        <v>760</v>
      </c>
      <c r="B331" s="7">
        <v>45221</v>
      </c>
      <c r="C331" s="2">
        <v>45246</v>
      </c>
      <c r="D331" s="4">
        <f t="shared" si="35"/>
        <v>25</v>
      </c>
      <c r="E331" s="4" t="str">
        <f>TEXT(Data!B331,"MMM-YYYY")</f>
        <v>Jan-2025</v>
      </c>
      <c r="F331" t="s">
        <v>62</v>
      </c>
      <c r="G331" t="s">
        <v>40</v>
      </c>
      <c r="H331" t="s">
        <v>34</v>
      </c>
      <c r="I331" t="s">
        <v>57</v>
      </c>
      <c r="J331" s="4">
        <v>1373.31</v>
      </c>
      <c r="K331" s="8" t="str">
        <f t="shared" si="32"/>
        <v>High</v>
      </c>
      <c r="L331" s="4">
        <v>3154.14</v>
      </c>
      <c r="M331" s="4">
        <v>0.2</v>
      </c>
      <c r="N331" s="4">
        <v>11</v>
      </c>
      <c r="O331" s="4">
        <f t="shared" si="30"/>
        <v>11668.448000000002</v>
      </c>
      <c r="P331">
        <f t="shared" si="31"/>
        <v>15106.41</v>
      </c>
      <c r="Q331" s="4">
        <f t="shared" si="33"/>
        <v>-3437.9619999999977</v>
      </c>
      <c r="R331" s="18">
        <f t="shared" si="34"/>
        <v>-0.29463747021026249</v>
      </c>
    </row>
    <row r="332" spans="1:18" x14ac:dyDescent="0.3">
      <c r="A332" t="s">
        <v>762</v>
      </c>
      <c r="B332" s="7">
        <v>45668</v>
      </c>
      <c r="C332" s="2">
        <v>45680</v>
      </c>
      <c r="D332" s="4">
        <f t="shared" si="35"/>
        <v>12</v>
      </c>
      <c r="E332" s="4" t="str">
        <f>TEXT(Data!B332,"MMM-YYYY")</f>
        <v>Sept-2025</v>
      </c>
      <c r="F332" t="s">
        <v>48</v>
      </c>
      <c r="G332" t="s">
        <v>55</v>
      </c>
      <c r="H332" t="s">
        <v>92</v>
      </c>
      <c r="I332" t="s">
        <v>42</v>
      </c>
      <c r="J332" s="4">
        <v>100.69</v>
      </c>
      <c r="K332" s="8" t="str">
        <f t="shared" si="32"/>
        <v>High</v>
      </c>
      <c r="L332" s="4">
        <v>226.14</v>
      </c>
      <c r="M332" s="4">
        <v>6.5000000000000002E-2</v>
      </c>
      <c r="N332" s="4">
        <v>12</v>
      </c>
      <c r="O332" s="4">
        <f t="shared" si="30"/>
        <v>27369.282600000002</v>
      </c>
      <c r="P332">
        <f t="shared" si="31"/>
        <v>1208.28</v>
      </c>
      <c r="Q332" s="4">
        <f t="shared" si="33"/>
        <v>26161.002600000003</v>
      </c>
      <c r="R332" s="18">
        <f t="shared" si="34"/>
        <v>0.95585269743241286</v>
      </c>
    </row>
    <row r="333" spans="1:18" x14ac:dyDescent="0.3">
      <c r="A333" t="s">
        <v>764</v>
      </c>
      <c r="B333" s="7">
        <v>45914</v>
      </c>
      <c r="C333" s="2">
        <v>45926</v>
      </c>
      <c r="D333" s="4">
        <f t="shared" si="35"/>
        <v>12</v>
      </c>
      <c r="E333" s="4" t="str">
        <f>TEXT(Data!B333,"MMM-YYYY")</f>
        <v>Aug-2023</v>
      </c>
      <c r="F333" t="s">
        <v>62</v>
      </c>
      <c r="G333" t="s">
        <v>98</v>
      </c>
      <c r="H333" t="s">
        <v>126</v>
      </c>
      <c r="I333" t="s">
        <v>35</v>
      </c>
      <c r="J333" s="4">
        <v>425.15</v>
      </c>
      <c r="K333" s="8" t="str">
        <f t="shared" si="32"/>
        <v>High</v>
      </c>
      <c r="L333" s="4">
        <v>885.92</v>
      </c>
      <c r="M333" s="4">
        <v>0.23899999999999999</v>
      </c>
      <c r="N333" s="4">
        <v>13</v>
      </c>
      <c r="O333" s="4">
        <f t="shared" si="30"/>
        <v>21779.835220000001</v>
      </c>
      <c r="P333">
        <f t="shared" si="31"/>
        <v>5526.95</v>
      </c>
      <c r="Q333" s="4">
        <f t="shared" si="33"/>
        <v>16252.88522</v>
      </c>
      <c r="R333" s="18">
        <f t="shared" si="34"/>
        <v>0.74623545384196899</v>
      </c>
    </row>
    <row r="334" spans="1:18" x14ac:dyDescent="0.3">
      <c r="A334" t="s">
        <v>766</v>
      </c>
      <c r="B334" s="7">
        <v>45168</v>
      </c>
      <c r="C334" s="2">
        <v>45172</v>
      </c>
      <c r="D334" s="4">
        <f t="shared" si="35"/>
        <v>4</v>
      </c>
      <c r="E334" s="4" t="str">
        <f>TEXT(Data!B334,"MMM-YYYY")</f>
        <v>Nov-2023</v>
      </c>
      <c r="F334" t="s">
        <v>62</v>
      </c>
      <c r="G334" t="s">
        <v>40</v>
      </c>
      <c r="H334" t="s">
        <v>49</v>
      </c>
      <c r="I334" t="s">
        <v>81</v>
      </c>
      <c r="J334" s="4">
        <v>1082.25</v>
      </c>
      <c r="K334" s="8" t="str">
        <f t="shared" si="32"/>
        <v>High</v>
      </c>
      <c r="L334" s="4">
        <v>2433.34</v>
      </c>
      <c r="M334" s="4">
        <v>0.27</v>
      </c>
      <c r="N334" s="4">
        <v>4</v>
      </c>
      <c r="O334" s="4">
        <f t="shared" si="30"/>
        <v>2377.9312</v>
      </c>
      <c r="P334">
        <f t="shared" si="31"/>
        <v>4329</v>
      </c>
      <c r="Q334" s="4">
        <f t="shared" si="33"/>
        <v>-1951.0688</v>
      </c>
      <c r="R334" s="18">
        <f t="shared" si="34"/>
        <v>-0.82049001249489473</v>
      </c>
    </row>
    <row r="335" spans="1:18" x14ac:dyDescent="0.3">
      <c r="A335" t="s">
        <v>768</v>
      </c>
      <c r="B335" s="7">
        <v>45245</v>
      </c>
      <c r="C335" s="2">
        <v>45266</v>
      </c>
      <c r="D335" s="4">
        <f t="shared" si="35"/>
        <v>21</v>
      </c>
      <c r="E335" s="4" t="str">
        <f>TEXT(Data!B335,"MMM-YYYY")</f>
        <v>Apr-2025</v>
      </c>
      <c r="F335" t="s">
        <v>27</v>
      </c>
      <c r="G335" t="s">
        <v>98</v>
      </c>
      <c r="H335" t="s">
        <v>92</v>
      </c>
      <c r="I335" t="s">
        <v>81</v>
      </c>
      <c r="J335" s="4">
        <v>1184.99</v>
      </c>
      <c r="K335" s="8" t="str">
        <f t="shared" si="32"/>
        <v>High</v>
      </c>
      <c r="L335" s="4">
        <v>1154.3399999999999</v>
      </c>
      <c r="M335" s="4">
        <v>2.8000000000000001E-2</v>
      </c>
      <c r="N335" s="4">
        <v>5</v>
      </c>
      <c r="O335" s="4">
        <f t="shared" si="30"/>
        <v>6720.9426000000003</v>
      </c>
      <c r="P335">
        <f t="shared" si="31"/>
        <v>5924.95</v>
      </c>
      <c r="Q335" s="4">
        <f t="shared" si="33"/>
        <v>795.99260000000049</v>
      </c>
      <c r="R335" s="18">
        <f t="shared" si="34"/>
        <v>0.11843466718492737</v>
      </c>
    </row>
    <row r="336" spans="1:18" x14ac:dyDescent="0.3">
      <c r="A336" t="s">
        <v>770</v>
      </c>
      <c r="B336" s="7">
        <v>45774</v>
      </c>
      <c r="C336" s="2">
        <v>45804</v>
      </c>
      <c r="D336" s="4">
        <f t="shared" si="35"/>
        <v>0</v>
      </c>
      <c r="E336" s="4" t="str">
        <f>TEXT(Data!B336,"MMM-YYYY")</f>
        <v>Apr-2024</v>
      </c>
      <c r="F336" t="s">
        <v>105</v>
      </c>
      <c r="G336" t="s">
        <v>40</v>
      </c>
      <c r="H336" t="s">
        <v>92</v>
      </c>
      <c r="I336" t="s">
        <v>42</v>
      </c>
      <c r="J336" s="4">
        <v>481.32</v>
      </c>
      <c r="K336" s="8" t="str">
        <f t="shared" si="32"/>
        <v>High</v>
      </c>
      <c r="L336" s="4">
        <v>1135.99</v>
      </c>
      <c r="M336" s="4">
        <v>0.14499999999999999</v>
      </c>
      <c r="N336" s="4">
        <v>5</v>
      </c>
      <c r="O336" s="4">
        <f t="shared" si="30"/>
        <v>7038.4882499999994</v>
      </c>
      <c r="P336">
        <f t="shared" si="31"/>
        <v>2406.6</v>
      </c>
      <c r="Q336" s="4">
        <f t="shared" si="33"/>
        <v>4631.88825</v>
      </c>
      <c r="R336" s="18">
        <f t="shared" si="34"/>
        <v>0.65807998613906904</v>
      </c>
    </row>
    <row r="337" spans="1:18" x14ac:dyDescent="0.3">
      <c r="A337" t="s">
        <v>772</v>
      </c>
      <c r="B337" s="7">
        <v>45391</v>
      </c>
      <c r="C337" s="2">
        <v>45400</v>
      </c>
      <c r="D337" s="4">
        <f t="shared" si="35"/>
        <v>9</v>
      </c>
      <c r="E337" s="4" t="str">
        <f>TEXT(Data!B337,"MMM-YYYY")</f>
        <v>Jul-2024</v>
      </c>
      <c r="F337" t="s">
        <v>48</v>
      </c>
      <c r="G337" t="s">
        <v>28</v>
      </c>
      <c r="H337" t="s">
        <v>63</v>
      </c>
      <c r="I337" t="s">
        <v>30</v>
      </c>
      <c r="J337" s="4">
        <v>1288.8499999999999</v>
      </c>
      <c r="K337" s="8" t="str">
        <f t="shared" si="32"/>
        <v>High</v>
      </c>
      <c r="L337" s="4">
        <v>2751.84</v>
      </c>
      <c r="M337" s="4">
        <v>0.158</v>
      </c>
      <c r="N337" s="4">
        <v>7</v>
      </c>
      <c r="O337" s="4">
        <f t="shared" si="30"/>
        <v>2362.5509599999996</v>
      </c>
      <c r="P337">
        <f t="shared" si="31"/>
        <v>9021.9499999999989</v>
      </c>
      <c r="Q337" s="4">
        <f t="shared" si="33"/>
        <v>-6659.3990399999993</v>
      </c>
      <c r="R337" s="18">
        <f t="shared" si="34"/>
        <v>-2.8187324433416667</v>
      </c>
    </row>
    <row r="338" spans="1:18" x14ac:dyDescent="0.3">
      <c r="A338" t="s">
        <v>774</v>
      </c>
      <c r="B338" s="7">
        <v>45484</v>
      </c>
      <c r="C338" s="2">
        <v>45504</v>
      </c>
      <c r="D338" s="4">
        <f t="shared" si="35"/>
        <v>20</v>
      </c>
      <c r="E338" s="4" t="str">
        <f>TEXT(Data!B338,"MMM-YYYY")</f>
        <v>Feb-2024</v>
      </c>
      <c r="F338" t="s">
        <v>48</v>
      </c>
      <c r="G338" t="s">
        <v>28</v>
      </c>
      <c r="H338" t="s">
        <v>41</v>
      </c>
      <c r="I338" t="s">
        <v>42</v>
      </c>
      <c r="J338" s="4">
        <v>647.26</v>
      </c>
      <c r="K338" s="8" t="str">
        <f t="shared" si="32"/>
        <v>High</v>
      </c>
      <c r="L338" s="4">
        <v>1374.72</v>
      </c>
      <c r="M338" s="4">
        <v>6.6000000000000003E-2</v>
      </c>
      <c r="N338" s="4">
        <v>22</v>
      </c>
      <c r="O338" s="4">
        <f t="shared" si="30"/>
        <v>36586.946879999996</v>
      </c>
      <c r="P338">
        <f t="shared" si="31"/>
        <v>14239.72</v>
      </c>
      <c r="Q338" s="4">
        <f t="shared" si="33"/>
        <v>22347.226879999995</v>
      </c>
      <c r="R338" s="18">
        <f t="shared" si="34"/>
        <v>0.6107978059305067</v>
      </c>
    </row>
    <row r="339" spans="1:18" x14ac:dyDescent="0.3">
      <c r="A339" t="s">
        <v>776</v>
      </c>
      <c r="B339" s="7">
        <v>45340</v>
      </c>
      <c r="C339" s="2">
        <v>45354</v>
      </c>
      <c r="D339" s="4">
        <f t="shared" si="35"/>
        <v>14</v>
      </c>
      <c r="E339" s="4" t="str">
        <f>TEXT(Data!B339,"MMM-YYYY")</f>
        <v>Jul-2023</v>
      </c>
      <c r="F339" t="s">
        <v>105</v>
      </c>
      <c r="G339" t="s">
        <v>55</v>
      </c>
      <c r="H339" t="s">
        <v>75</v>
      </c>
      <c r="I339" t="s">
        <v>30</v>
      </c>
      <c r="J339" s="4">
        <v>624.23</v>
      </c>
      <c r="K339" s="8" t="str">
        <f t="shared" si="32"/>
        <v>High</v>
      </c>
      <c r="L339" s="4">
        <v>1318.37</v>
      </c>
      <c r="M339" s="4">
        <v>0.21</v>
      </c>
      <c r="N339" s="4">
        <v>37</v>
      </c>
      <c r="O339" s="4">
        <f t="shared" si="30"/>
        <v>32691.708900000005</v>
      </c>
      <c r="P339">
        <f t="shared" si="31"/>
        <v>23096.510000000002</v>
      </c>
      <c r="Q339" s="4">
        <f t="shared" si="33"/>
        <v>9595.1989000000031</v>
      </c>
      <c r="R339" s="18">
        <f t="shared" si="34"/>
        <v>0.29350557749521627</v>
      </c>
    </row>
    <row r="340" spans="1:18" x14ac:dyDescent="0.3">
      <c r="A340" t="s">
        <v>778</v>
      </c>
      <c r="B340" s="7">
        <v>45132</v>
      </c>
      <c r="C340" s="2">
        <v>45148</v>
      </c>
      <c r="D340" s="4">
        <f t="shared" si="35"/>
        <v>16</v>
      </c>
      <c r="E340" s="4" t="str">
        <f>TEXT(Data!B340,"MMM-YYYY")</f>
        <v>Jul-2023</v>
      </c>
      <c r="F340" t="s">
        <v>19</v>
      </c>
      <c r="G340" t="s">
        <v>55</v>
      </c>
      <c r="H340" t="s">
        <v>34</v>
      </c>
      <c r="I340" t="s">
        <v>81</v>
      </c>
      <c r="J340" s="4">
        <v>506.83</v>
      </c>
      <c r="K340" s="8" t="str">
        <f t="shared" si="32"/>
        <v>High</v>
      </c>
      <c r="L340" s="4">
        <v>441.74</v>
      </c>
      <c r="M340" s="4">
        <v>0.24</v>
      </c>
      <c r="N340" s="4">
        <v>9</v>
      </c>
      <c r="O340" s="4">
        <f t="shared" si="30"/>
        <v>5274.4607999999998</v>
      </c>
      <c r="P340">
        <f t="shared" si="31"/>
        <v>4561.47</v>
      </c>
      <c r="Q340" s="4">
        <f t="shared" si="33"/>
        <v>712.99079999999958</v>
      </c>
      <c r="R340" s="18">
        <f t="shared" si="34"/>
        <v>0.1351779503224291</v>
      </c>
    </row>
    <row r="341" spans="1:18" x14ac:dyDescent="0.3">
      <c r="A341" t="s">
        <v>780</v>
      </c>
      <c r="B341" s="7">
        <v>45121</v>
      </c>
      <c r="C341" s="2">
        <v>45128</v>
      </c>
      <c r="D341" s="4">
        <f t="shared" si="35"/>
        <v>7</v>
      </c>
      <c r="E341" s="4" t="str">
        <f>TEXT(Data!B341,"MMM-YYYY")</f>
        <v>Jul-2023</v>
      </c>
      <c r="F341" t="s">
        <v>105</v>
      </c>
      <c r="G341" t="s">
        <v>40</v>
      </c>
      <c r="H341" t="s">
        <v>1364</v>
      </c>
      <c r="I341" t="s">
        <v>64</v>
      </c>
      <c r="J341" s="4">
        <v>620.74</v>
      </c>
      <c r="K341" s="8" t="str">
        <f t="shared" si="32"/>
        <v>High</v>
      </c>
      <c r="L341" s="4">
        <v>1330.07</v>
      </c>
      <c r="M341" s="4">
        <v>0.29899999999999999</v>
      </c>
      <c r="N341" s="4">
        <v>28</v>
      </c>
      <c r="O341" s="4">
        <f t="shared" si="30"/>
        <v>23750.665119999998</v>
      </c>
      <c r="P341">
        <f t="shared" si="31"/>
        <v>17380.72</v>
      </c>
      <c r="Q341" s="4">
        <f t="shared" si="33"/>
        <v>6369.9451199999967</v>
      </c>
      <c r="R341" s="18">
        <f t="shared" si="34"/>
        <v>0.26820070460409901</v>
      </c>
    </row>
    <row r="342" spans="1:18" x14ac:dyDescent="0.3">
      <c r="A342" t="s">
        <v>782</v>
      </c>
      <c r="B342" s="7">
        <v>45131</v>
      </c>
      <c r="C342" s="2">
        <v>45157</v>
      </c>
      <c r="D342" s="4">
        <f t="shared" si="35"/>
        <v>26</v>
      </c>
      <c r="E342" s="4" t="str">
        <f>TEXT(Data!B342,"MMM-YYYY")</f>
        <v>Apr-2023</v>
      </c>
      <c r="F342" t="s">
        <v>105</v>
      </c>
      <c r="G342" t="s">
        <v>55</v>
      </c>
      <c r="H342" t="s">
        <v>110</v>
      </c>
      <c r="I342" t="s">
        <v>81</v>
      </c>
      <c r="J342" s="4">
        <v>661.45</v>
      </c>
      <c r="K342" s="8" t="str">
        <f t="shared" si="32"/>
        <v>High</v>
      </c>
      <c r="L342" s="4">
        <v>1634.86</v>
      </c>
      <c r="M342" s="4">
        <v>0.56499999999999995</v>
      </c>
      <c r="N342" s="4">
        <v>24</v>
      </c>
      <c r="O342" s="4">
        <f t="shared" si="30"/>
        <v>31570.873200000005</v>
      </c>
      <c r="P342">
        <f t="shared" si="31"/>
        <v>15874.800000000001</v>
      </c>
      <c r="Q342" s="4">
        <f t="shared" si="33"/>
        <v>15696.073200000004</v>
      </c>
      <c r="R342" s="18">
        <f t="shared" si="34"/>
        <v>0.49716943527555019</v>
      </c>
    </row>
    <row r="343" spans="1:18" x14ac:dyDescent="0.3">
      <c r="A343" t="s">
        <v>784</v>
      </c>
      <c r="B343" s="7">
        <v>45029</v>
      </c>
      <c r="C343" s="2">
        <v>45027</v>
      </c>
      <c r="D343" s="4">
        <f>DATEDIF(C343,B343, "MD")</f>
        <v>2</v>
      </c>
      <c r="E343" s="4" t="str">
        <f>TEXT(Data!B343,"MMM-YYYY")</f>
        <v>Oct-2024</v>
      </c>
      <c r="F343" t="s">
        <v>27</v>
      </c>
      <c r="G343" t="s">
        <v>40</v>
      </c>
      <c r="H343" t="s">
        <v>41</v>
      </c>
      <c r="I343" t="s">
        <v>35</v>
      </c>
      <c r="J343" s="4">
        <v>32.1</v>
      </c>
      <c r="K343" s="8" t="str">
        <f t="shared" si="32"/>
        <v>Medium</v>
      </c>
      <c r="L343" s="4">
        <v>70.599999999999994</v>
      </c>
      <c r="M343" s="4">
        <v>0.28199999999999997</v>
      </c>
      <c r="N343" s="4">
        <v>22</v>
      </c>
      <c r="O343" s="4">
        <f t="shared" si="30"/>
        <v>36385.454160000001</v>
      </c>
      <c r="P343">
        <f t="shared" si="31"/>
        <v>706.2</v>
      </c>
      <c r="Q343" s="4">
        <f t="shared" si="33"/>
        <v>35679.254160000004</v>
      </c>
      <c r="R343" s="18">
        <f t="shared" si="34"/>
        <v>0.98059114510720191</v>
      </c>
    </row>
    <row r="344" spans="1:18" x14ac:dyDescent="0.3">
      <c r="A344" t="s">
        <v>786</v>
      </c>
      <c r="B344" s="7">
        <v>45594</v>
      </c>
      <c r="C344" s="2">
        <v>45600</v>
      </c>
      <c r="D344" s="4">
        <f t="shared" si="35"/>
        <v>6</v>
      </c>
      <c r="E344" s="4" t="str">
        <f>TEXT(Data!B344,"MMM-YYYY")</f>
        <v>Feb-2024</v>
      </c>
      <c r="F344" t="s">
        <v>19</v>
      </c>
      <c r="G344" t="s">
        <v>55</v>
      </c>
      <c r="H344" t="s">
        <v>110</v>
      </c>
      <c r="I344" t="s">
        <v>30</v>
      </c>
      <c r="J344" s="4">
        <v>805.81</v>
      </c>
      <c r="K344" s="8" t="str">
        <f t="shared" si="32"/>
        <v>High</v>
      </c>
      <c r="L344" s="4">
        <v>1823.04</v>
      </c>
      <c r="M344" s="4">
        <v>0</v>
      </c>
      <c r="N344" s="4">
        <v>11</v>
      </c>
      <c r="O344" s="4">
        <f t="shared" si="30"/>
        <v>33921.800000000003</v>
      </c>
      <c r="P344">
        <f t="shared" si="31"/>
        <v>8863.91</v>
      </c>
      <c r="Q344" s="4">
        <f t="shared" si="33"/>
        <v>25057.890000000003</v>
      </c>
      <c r="R344" s="18">
        <f t="shared" si="34"/>
        <v>0.73869576496530254</v>
      </c>
    </row>
    <row r="345" spans="1:18" x14ac:dyDescent="0.3">
      <c r="A345" t="s">
        <v>788</v>
      </c>
      <c r="B345" s="7">
        <v>45339</v>
      </c>
      <c r="C345" s="2">
        <v>45355</v>
      </c>
      <c r="D345" s="4">
        <f t="shared" si="35"/>
        <v>16</v>
      </c>
      <c r="E345" s="4" t="str">
        <f>TEXT(Data!B345,"MMM-YYYY")</f>
        <v>Jul-2024</v>
      </c>
      <c r="F345" t="s">
        <v>62</v>
      </c>
      <c r="G345" t="s">
        <v>40</v>
      </c>
      <c r="H345" t="s">
        <v>84</v>
      </c>
      <c r="I345" t="s">
        <v>42</v>
      </c>
      <c r="J345" s="4">
        <v>1231.8</v>
      </c>
      <c r="K345" s="8" t="str">
        <f t="shared" si="32"/>
        <v>High</v>
      </c>
      <c r="L345" s="4">
        <v>2015.99</v>
      </c>
      <c r="M345" s="4">
        <v>0.26100000000000001</v>
      </c>
      <c r="N345" s="4">
        <v>6</v>
      </c>
      <c r="O345" s="4">
        <f t="shared" si="30"/>
        <v>1430.8961399999998</v>
      </c>
      <c r="P345">
        <f t="shared" si="31"/>
        <v>7390.7999999999993</v>
      </c>
      <c r="Q345" s="4">
        <f t="shared" si="33"/>
        <v>-5959.9038599999994</v>
      </c>
      <c r="R345" s="18">
        <f t="shared" si="34"/>
        <v>-4.1651547539991265</v>
      </c>
    </row>
    <row r="346" spans="1:18" x14ac:dyDescent="0.3">
      <c r="A346" t="s">
        <v>790</v>
      </c>
      <c r="B346" s="7">
        <v>45486</v>
      </c>
      <c r="C346" s="2">
        <v>45485</v>
      </c>
      <c r="D346" s="4">
        <f>DATEDIF(C346,B346, "MD")</f>
        <v>1</v>
      </c>
      <c r="E346" s="4" t="str">
        <f>TEXT(Data!B346,"MMM-YYYY")</f>
        <v>Dec-2023</v>
      </c>
      <c r="F346" t="s">
        <v>62</v>
      </c>
      <c r="G346" t="s">
        <v>40</v>
      </c>
      <c r="H346" t="s">
        <v>84</v>
      </c>
      <c r="I346" t="s">
        <v>35</v>
      </c>
      <c r="J346" s="4">
        <v>105.13</v>
      </c>
      <c r="K346" s="8" t="str">
        <f t="shared" si="32"/>
        <v>High</v>
      </c>
      <c r="L346" s="4">
        <v>244.13</v>
      </c>
      <c r="M346" s="4">
        <v>7.0999999999999994E-2</v>
      </c>
      <c r="N346" s="4">
        <v>14</v>
      </c>
      <c r="O346" s="4">
        <f t="shared" si="30"/>
        <v>9511.1577400000006</v>
      </c>
      <c r="P346">
        <f t="shared" si="31"/>
        <v>1471.82</v>
      </c>
      <c r="Q346" s="4">
        <f t="shared" si="33"/>
        <v>8039.3377400000008</v>
      </c>
      <c r="R346" s="18">
        <f t="shared" si="34"/>
        <v>0.84525332874986048</v>
      </c>
    </row>
    <row r="347" spans="1:18" x14ac:dyDescent="0.3">
      <c r="A347" t="s">
        <v>792</v>
      </c>
      <c r="B347" s="7">
        <v>45261</v>
      </c>
      <c r="C347" s="2">
        <v>45278</v>
      </c>
      <c r="D347" s="4">
        <f t="shared" si="35"/>
        <v>17</v>
      </c>
      <c r="E347" s="4" t="str">
        <f>TEXT(Data!B347,"MMM-YYYY")</f>
        <v>Jul-2024</v>
      </c>
      <c r="F347" t="s">
        <v>62</v>
      </c>
      <c r="G347" t="s">
        <v>98</v>
      </c>
      <c r="H347" t="s">
        <v>126</v>
      </c>
      <c r="I347" t="s">
        <v>57</v>
      </c>
      <c r="J347" s="4">
        <v>1495.79</v>
      </c>
      <c r="K347" s="8" t="str">
        <f t="shared" si="32"/>
        <v>High</v>
      </c>
      <c r="L347" s="4">
        <v>2783.12</v>
      </c>
      <c r="M347" s="4">
        <v>0.02</v>
      </c>
      <c r="N347" s="4">
        <v>5</v>
      </c>
      <c r="O347" s="4">
        <f t="shared" si="30"/>
        <v>7516.3549999999996</v>
      </c>
      <c r="P347">
        <f t="shared" si="31"/>
        <v>7478.95</v>
      </c>
      <c r="Q347" s="4">
        <f t="shared" si="33"/>
        <v>37.404999999999745</v>
      </c>
      <c r="R347" s="18">
        <f t="shared" si="34"/>
        <v>4.9764812864745937E-3</v>
      </c>
    </row>
    <row r="348" spans="1:18" x14ac:dyDescent="0.3">
      <c r="A348" t="s">
        <v>794</v>
      </c>
      <c r="B348" s="7">
        <v>45498</v>
      </c>
      <c r="C348" s="2">
        <v>45506</v>
      </c>
      <c r="D348" s="4">
        <f t="shared" si="35"/>
        <v>8</v>
      </c>
      <c r="E348" s="4" t="str">
        <f>TEXT(Data!B348,"MMM-YYYY")</f>
        <v>May-2023</v>
      </c>
      <c r="F348" t="s">
        <v>48</v>
      </c>
      <c r="G348" t="s">
        <v>98</v>
      </c>
      <c r="H348" t="s">
        <v>29</v>
      </c>
      <c r="I348" t="s">
        <v>81</v>
      </c>
      <c r="J348" s="4">
        <v>986.81</v>
      </c>
      <c r="K348" s="8" t="str">
        <f t="shared" si="32"/>
        <v>High</v>
      </c>
      <c r="L348" s="4">
        <v>2050.31</v>
      </c>
      <c r="M348" s="4">
        <v>0.10299999999999999</v>
      </c>
      <c r="N348" s="4">
        <v>43</v>
      </c>
      <c r="O348" s="4">
        <f t="shared" si="30"/>
        <v>60620.497860000003</v>
      </c>
      <c r="P348">
        <f t="shared" si="31"/>
        <v>42432.829999999994</v>
      </c>
      <c r="Q348" s="4">
        <f t="shared" si="33"/>
        <v>18187.667860000009</v>
      </c>
      <c r="R348" s="18">
        <f t="shared" si="34"/>
        <v>0.30002504931588508</v>
      </c>
    </row>
    <row r="349" spans="1:18" x14ac:dyDescent="0.3">
      <c r="A349" t="s">
        <v>796</v>
      </c>
      <c r="B349" s="7">
        <v>45050</v>
      </c>
      <c r="C349" s="2">
        <v>45062</v>
      </c>
      <c r="D349" s="4">
        <f t="shared" si="35"/>
        <v>12</v>
      </c>
      <c r="E349" s="4" t="str">
        <f>TEXT(Data!B349,"MMM-YYYY")</f>
        <v>Dec-2023</v>
      </c>
      <c r="F349" t="s">
        <v>62</v>
      </c>
      <c r="G349" t="s">
        <v>40</v>
      </c>
      <c r="H349" t="s">
        <v>29</v>
      </c>
      <c r="I349" t="s">
        <v>42</v>
      </c>
      <c r="J349" s="4">
        <v>77.739999999999995</v>
      </c>
      <c r="K349" s="8" t="str">
        <f t="shared" si="32"/>
        <v>Medium</v>
      </c>
      <c r="L349" s="4">
        <v>147.12</v>
      </c>
      <c r="M349" s="4">
        <v>0</v>
      </c>
      <c r="N349" s="4">
        <v>15</v>
      </c>
      <c r="O349" s="4">
        <f t="shared" si="30"/>
        <v>3760.95</v>
      </c>
      <c r="P349">
        <f t="shared" si="31"/>
        <v>1166.0999999999999</v>
      </c>
      <c r="Q349" s="4">
        <f t="shared" si="33"/>
        <v>2594.85</v>
      </c>
      <c r="R349" s="18">
        <f t="shared" si="34"/>
        <v>0.68994535955011371</v>
      </c>
    </row>
    <row r="350" spans="1:18" x14ac:dyDescent="0.3">
      <c r="A350" t="s">
        <v>798</v>
      </c>
      <c r="B350" s="7">
        <v>45281</v>
      </c>
      <c r="C350" s="2">
        <v>45297</v>
      </c>
      <c r="D350" s="4">
        <f t="shared" si="35"/>
        <v>16</v>
      </c>
      <c r="E350" s="4" t="str">
        <f>TEXT(Data!B350,"MMM-YYYY")</f>
        <v>Jun-2025</v>
      </c>
      <c r="F350" t="s">
        <v>19</v>
      </c>
      <c r="G350" t="s">
        <v>40</v>
      </c>
      <c r="H350" t="s">
        <v>95</v>
      </c>
      <c r="I350" t="s">
        <v>22</v>
      </c>
      <c r="J350" s="4">
        <v>932.61</v>
      </c>
      <c r="K350" s="8" t="str">
        <f t="shared" si="32"/>
        <v>High</v>
      </c>
      <c r="L350" s="4">
        <v>1982.98</v>
      </c>
      <c r="M350" s="4">
        <v>0.14399999999999999</v>
      </c>
      <c r="N350" s="4">
        <v>16</v>
      </c>
      <c r="O350" s="4">
        <f t="shared" si="30"/>
        <v>47563.605759999999</v>
      </c>
      <c r="P350">
        <f t="shared" si="31"/>
        <v>14921.76</v>
      </c>
      <c r="Q350" s="4">
        <f t="shared" si="33"/>
        <v>32641.845759999997</v>
      </c>
      <c r="R350" s="18">
        <f t="shared" si="34"/>
        <v>0.68627777979463256</v>
      </c>
    </row>
    <row r="351" spans="1:18" x14ac:dyDescent="0.3">
      <c r="A351" t="s">
        <v>800</v>
      </c>
      <c r="B351" s="7">
        <v>45825</v>
      </c>
      <c r="C351" s="2">
        <v>45843</v>
      </c>
      <c r="D351" s="4">
        <f t="shared" si="35"/>
        <v>18</v>
      </c>
      <c r="E351" s="4" t="str">
        <f>TEXT(Data!B351,"MMM-YYYY")</f>
        <v>Feb-2023</v>
      </c>
      <c r="F351" t="s">
        <v>48</v>
      </c>
      <c r="G351" t="s">
        <v>40</v>
      </c>
      <c r="H351" t="s">
        <v>49</v>
      </c>
      <c r="I351" t="s">
        <v>57</v>
      </c>
      <c r="J351" s="4">
        <v>982.93</v>
      </c>
      <c r="K351" s="8" t="str">
        <f t="shared" si="32"/>
        <v>High</v>
      </c>
      <c r="L351" s="4">
        <v>2299.3000000000002</v>
      </c>
      <c r="M351" s="4">
        <v>0.113</v>
      </c>
      <c r="N351" s="4">
        <v>6</v>
      </c>
      <c r="O351" s="4">
        <f t="shared" si="30"/>
        <v>6418.5448799999995</v>
      </c>
      <c r="P351">
        <f t="shared" si="31"/>
        <v>5897.58</v>
      </c>
      <c r="Q351" s="4">
        <f t="shared" si="33"/>
        <v>520.96487999999954</v>
      </c>
      <c r="R351" s="18">
        <f t="shared" si="34"/>
        <v>8.1165574088811171E-2</v>
      </c>
    </row>
    <row r="352" spans="1:18" x14ac:dyDescent="0.3">
      <c r="A352" t="s">
        <v>802</v>
      </c>
      <c r="B352" s="7">
        <v>44980</v>
      </c>
      <c r="C352" s="2">
        <v>44993</v>
      </c>
      <c r="D352" s="4">
        <f t="shared" si="35"/>
        <v>13</v>
      </c>
      <c r="E352" s="4" t="str">
        <f>TEXT(Data!B352,"MMM-YYYY")</f>
        <v>Dec-2023</v>
      </c>
      <c r="F352" t="s">
        <v>62</v>
      </c>
      <c r="G352" t="s">
        <v>98</v>
      </c>
      <c r="H352" t="s">
        <v>21</v>
      </c>
      <c r="I352" t="s">
        <v>30</v>
      </c>
      <c r="J352" s="4">
        <v>307.37</v>
      </c>
      <c r="K352" s="8" t="str">
        <f t="shared" si="32"/>
        <v>High</v>
      </c>
      <c r="L352" s="4">
        <v>462.61</v>
      </c>
      <c r="M352" s="4">
        <v>0.188</v>
      </c>
      <c r="N352" s="4">
        <v>11</v>
      </c>
      <c r="O352" s="4">
        <f t="shared" si="30"/>
        <v>19625.658360000001</v>
      </c>
      <c r="P352">
        <f t="shared" si="31"/>
        <v>3381.07</v>
      </c>
      <c r="Q352" s="4">
        <f t="shared" si="33"/>
        <v>16244.588360000002</v>
      </c>
      <c r="R352" s="18">
        <f t="shared" si="34"/>
        <v>0.82772195775652957</v>
      </c>
    </row>
    <row r="353" spans="1:18" x14ac:dyDescent="0.3">
      <c r="A353" t="s">
        <v>804</v>
      </c>
      <c r="B353" s="7">
        <v>45262</v>
      </c>
      <c r="C353" s="2">
        <v>45276</v>
      </c>
      <c r="D353" s="4">
        <f t="shared" si="35"/>
        <v>14</v>
      </c>
      <c r="E353" s="4" t="str">
        <f>TEXT(Data!B353,"MMM-YYYY")</f>
        <v>Jul-2023</v>
      </c>
      <c r="F353" t="s">
        <v>27</v>
      </c>
      <c r="G353" t="s">
        <v>98</v>
      </c>
      <c r="H353" t="s">
        <v>126</v>
      </c>
      <c r="I353" t="s">
        <v>64</v>
      </c>
      <c r="J353" s="4">
        <v>879.08</v>
      </c>
      <c r="K353" s="8" t="str">
        <f t="shared" si="32"/>
        <v>High</v>
      </c>
      <c r="L353" s="4">
        <v>1093.3900000000001</v>
      </c>
      <c r="M353" s="4">
        <v>0.113</v>
      </c>
      <c r="N353" s="4">
        <v>17</v>
      </c>
      <c r="O353" s="4">
        <f t="shared" si="30"/>
        <v>24437.027399999999</v>
      </c>
      <c r="P353">
        <f t="shared" si="31"/>
        <v>14944.36</v>
      </c>
      <c r="Q353" s="4">
        <f t="shared" si="33"/>
        <v>9492.6673999999985</v>
      </c>
      <c r="R353" s="18">
        <f t="shared" si="34"/>
        <v>0.38845426019369272</v>
      </c>
    </row>
    <row r="354" spans="1:18" x14ac:dyDescent="0.3">
      <c r="A354" t="s">
        <v>806</v>
      </c>
      <c r="B354" s="7">
        <v>45121</v>
      </c>
      <c r="C354" s="2">
        <v>45121</v>
      </c>
      <c r="D354" s="4">
        <f t="shared" si="35"/>
        <v>0</v>
      </c>
      <c r="E354" s="4" t="str">
        <f>TEXT(Data!B354,"MMM-YYYY")</f>
        <v>Aug-2024</v>
      </c>
      <c r="F354" t="s">
        <v>27</v>
      </c>
      <c r="G354" t="s">
        <v>20</v>
      </c>
      <c r="H354" t="s">
        <v>34</v>
      </c>
      <c r="I354" t="s">
        <v>81</v>
      </c>
      <c r="J354" s="4">
        <v>956.38</v>
      </c>
      <c r="K354" s="8" t="str">
        <f t="shared" si="32"/>
        <v>High</v>
      </c>
      <c r="L354" s="4">
        <v>1454.22</v>
      </c>
      <c r="M354" s="4">
        <v>3.9E-2</v>
      </c>
      <c r="N354" s="4">
        <v>19</v>
      </c>
      <c r="O354" s="4">
        <f t="shared" si="30"/>
        <v>18891.856940000001</v>
      </c>
      <c r="P354">
        <f t="shared" si="31"/>
        <v>18171.22</v>
      </c>
      <c r="Q354" s="4">
        <f t="shared" si="33"/>
        <v>720.63694000000032</v>
      </c>
      <c r="R354" s="18">
        <f t="shared" si="34"/>
        <v>3.8145373548440616E-2</v>
      </c>
    </row>
    <row r="355" spans="1:18" x14ac:dyDescent="0.3">
      <c r="A355" t="s">
        <v>808</v>
      </c>
      <c r="B355" s="7">
        <v>45512</v>
      </c>
      <c r="C355" s="2">
        <v>45524</v>
      </c>
      <c r="D355" s="4">
        <f t="shared" si="35"/>
        <v>12</v>
      </c>
      <c r="E355" s="4" t="str">
        <f>TEXT(Data!B355,"MMM-YYYY")</f>
        <v>Nov-2024</v>
      </c>
      <c r="F355" t="s">
        <v>62</v>
      </c>
      <c r="G355" t="s">
        <v>20</v>
      </c>
      <c r="H355" t="s">
        <v>92</v>
      </c>
      <c r="I355" t="s">
        <v>35</v>
      </c>
      <c r="J355" s="4">
        <v>1233.3599999999999</v>
      </c>
      <c r="K355" s="8" t="str">
        <f t="shared" si="32"/>
        <v>High</v>
      </c>
      <c r="L355" s="4">
        <v>2120.4</v>
      </c>
      <c r="M355" s="4">
        <v>0.17899999999999999</v>
      </c>
      <c r="N355" s="4">
        <v>20</v>
      </c>
      <c r="O355" s="4">
        <f t="shared" si="30"/>
        <v>31286.9964</v>
      </c>
      <c r="P355">
        <f t="shared" si="31"/>
        <v>24667.199999999997</v>
      </c>
      <c r="Q355" s="4">
        <f t="shared" si="33"/>
        <v>6619.7964000000029</v>
      </c>
      <c r="R355" s="18">
        <f t="shared" si="34"/>
        <v>0.21158299490838958</v>
      </c>
    </row>
    <row r="356" spans="1:18" x14ac:dyDescent="0.3">
      <c r="A356" t="s">
        <v>810</v>
      </c>
      <c r="B356" s="7">
        <v>45603</v>
      </c>
      <c r="C356" s="2">
        <v>45622</v>
      </c>
      <c r="D356" s="4">
        <f t="shared" si="35"/>
        <v>19</v>
      </c>
      <c r="E356" s="4" t="str">
        <f>TEXT(Data!B356,"MMM-YYYY")</f>
        <v>Jan-2024</v>
      </c>
      <c r="F356" t="s">
        <v>39</v>
      </c>
      <c r="G356" t="s">
        <v>55</v>
      </c>
      <c r="H356" t="s">
        <v>29</v>
      </c>
      <c r="I356" t="s">
        <v>30</v>
      </c>
      <c r="J356" s="4">
        <v>55.35</v>
      </c>
      <c r="K356" s="8" t="str">
        <f t="shared" si="32"/>
        <v>Medium</v>
      </c>
      <c r="L356" s="4">
        <v>128.68</v>
      </c>
      <c r="M356" s="4">
        <v>0.128</v>
      </c>
      <c r="N356" s="4">
        <v>10</v>
      </c>
      <c r="O356" s="4">
        <f t="shared" si="30"/>
        <v>4722.4031999999997</v>
      </c>
      <c r="P356">
        <f t="shared" si="31"/>
        <v>553.5</v>
      </c>
      <c r="Q356" s="4">
        <f t="shared" si="33"/>
        <v>4168.9031999999997</v>
      </c>
      <c r="R356" s="18">
        <f t="shared" si="34"/>
        <v>0.88279272722837387</v>
      </c>
    </row>
    <row r="357" spans="1:18" x14ac:dyDescent="0.3">
      <c r="A357" t="s">
        <v>812</v>
      </c>
      <c r="B357" s="7">
        <v>45292</v>
      </c>
      <c r="C357" s="2">
        <v>45318</v>
      </c>
      <c r="D357" s="4">
        <f t="shared" si="35"/>
        <v>26</v>
      </c>
      <c r="E357" s="4" t="str">
        <f>TEXT(Data!B357,"MMM-YYYY")</f>
        <v>Aug-2025</v>
      </c>
      <c r="F357" t="s">
        <v>27</v>
      </c>
      <c r="G357" t="s">
        <v>55</v>
      </c>
      <c r="H357" t="s">
        <v>145</v>
      </c>
      <c r="I357" t="s">
        <v>81</v>
      </c>
      <c r="J357" s="4">
        <v>657.45</v>
      </c>
      <c r="K357" s="8" t="str">
        <f t="shared" si="32"/>
        <v>High</v>
      </c>
      <c r="L357" s="4">
        <v>1325.96</v>
      </c>
      <c r="M357" s="4">
        <v>0.16700000000000001</v>
      </c>
      <c r="N357" s="4">
        <v>21</v>
      </c>
      <c r="O357" s="4">
        <f t="shared" si="30"/>
        <v>19532.683799999999</v>
      </c>
      <c r="P357">
        <f t="shared" si="31"/>
        <v>13806.45</v>
      </c>
      <c r="Q357" s="4">
        <f t="shared" si="33"/>
        <v>5726.2337999999982</v>
      </c>
      <c r="R357" s="18">
        <f t="shared" si="34"/>
        <v>0.29316164939914702</v>
      </c>
    </row>
    <row r="358" spans="1:18" x14ac:dyDescent="0.3">
      <c r="A358" t="s">
        <v>814</v>
      </c>
      <c r="B358" s="7">
        <v>45883</v>
      </c>
      <c r="C358" s="2">
        <v>45911</v>
      </c>
      <c r="D358" s="4">
        <f t="shared" si="35"/>
        <v>28</v>
      </c>
      <c r="E358" s="4" t="str">
        <f>TEXT(Data!B358,"MMM-YYYY")</f>
        <v>Apr-2024</v>
      </c>
      <c r="F358" t="s">
        <v>39</v>
      </c>
      <c r="G358" t="s">
        <v>98</v>
      </c>
      <c r="H358" t="s">
        <v>84</v>
      </c>
      <c r="I358" t="s">
        <v>30</v>
      </c>
      <c r="J358" s="4">
        <v>1203.02</v>
      </c>
      <c r="K358" s="8" t="str">
        <f t="shared" si="32"/>
        <v>High</v>
      </c>
      <c r="L358" s="4">
        <v>2439.33</v>
      </c>
      <c r="M358" s="4">
        <v>0</v>
      </c>
      <c r="N358" s="4">
        <v>18</v>
      </c>
      <c r="O358" s="4">
        <f t="shared" si="30"/>
        <v>26190</v>
      </c>
      <c r="P358">
        <f t="shared" si="31"/>
        <v>21654.36</v>
      </c>
      <c r="Q358" s="4">
        <f t="shared" si="33"/>
        <v>4535.6399999999994</v>
      </c>
      <c r="R358" s="18">
        <f t="shared" si="34"/>
        <v>0.17318213058419241</v>
      </c>
    </row>
    <row r="359" spans="1:18" x14ac:dyDescent="0.3">
      <c r="A359" t="s">
        <v>816</v>
      </c>
      <c r="B359" s="7">
        <v>45385</v>
      </c>
      <c r="C359" s="2">
        <v>45403</v>
      </c>
      <c r="D359" s="4">
        <f t="shared" si="35"/>
        <v>18</v>
      </c>
      <c r="E359" s="4" t="str">
        <f>TEXT(Data!B359,"MMM-YYYY")</f>
        <v>Nov-2024</v>
      </c>
      <c r="F359" t="s">
        <v>62</v>
      </c>
      <c r="G359" t="s">
        <v>55</v>
      </c>
      <c r="H359" t="s">
        <v>56</v>
      </c>
      <c r="I359" t="s">
        <v>35</v>
      </c>
      <c r="J359" s="4">
        <v>1176.69</v>
      </c>
      <c r="K359" s="8" t="str">
        <f t="shared" si="32"/>
        <v>High</v>
      </c>
      <c r="L359" s="4">
        <v>2201.54</v>
      </c>
      <c r="M359" s="4">
        <v>0.17</v>
      </c>
      <c r="N359" s="4">
        <v>27</v>
      </c>
      <c r="O359" s="4">
        <f t="shared" si="30"/>
        <v>28646.702999999998</v>
      </c>
      <c r="P359">
        <f t="shared" si="31"/>
        <v>31770.63</v>
      </c>
      <c r="Q359" s="4">
        <f t="shared" si="33"/>
        <v>-3123.9270000000033</v>
      </c>
      <c r="R359" s="18">
        <f t="shared" si="34"/>
        <v>-0.1090501409533936</v>
      </c>
    </row>
    <row r="360" spans="1:18" x14ac:dyDescent="0.3">
      <c r="A360" t="s">
        <v>818</v>
      </c>
      <c r="B360" s="7">
        <v>45621</v>
      </c>
      <c r="C360" s="2">
        <v>45633</v>
      </c>
      <c r="D360" s="4">
        <f t="shared" si="35"/>
        <v>12</v>
      </c>
      <c r="E360" s="4" t="str">
        <f>TEXT(Data!B360,"MMM-YYYY")</f>
        <v>Jan-2024</v>
      </c>
      <c r="F360" t="s">
        <v>19</v>
      </c>
      <c r="G360" t="s">
        <v>55</v>
      </c>
      <c r="H360" t="s">
        <v>75</v>
      </c>
      <c r="I360" t="s">
        <v>81</v>
      </c>
      <c r="J360" s="4">
        <v>769.9</v>
      </c>
      <c r="K360" s="8" t="str">
        <f t="shared" si="32"/>
        <v>High</v>
      </c>
      <c r="L360" s="4">
        <v>814.36</v>
      </c>
      <c r="M360" s="4">
        <v>0</v>
      </c>
      <c r="N360" s="4">
        <v>5</v>
      </c>
      <c r="O360" s="4">
        <f t="shared" si="30"/>
        <v>4499.1500000000005</v>
      </c>
      <c r="P360">
        <f t="shared" si="31"/>
        <v>3849.5</v>
      </c>
      <c r="Q360" s="4">
        <f t="shared" si="33"/>
        <v>649.65000000000055</v>
      </c>
      <c r="R360" s="18">
        <f t="shared" si="34"/>
        <v>0.14439394107775924</v>
      </c>
    </row>
    <row r="361" spans="1:18" x14ac:dyDescent="0.3">
      <c r="A361" t="s">
        <v>820</v>
      </c>
      <c r="B361" s="7">
        <v>45309</v>
      </c>
      <c r="C361" s="2">
        <v>45325</v>
      </c>
      <c r="D361" s="4">
        <f t="shared" si="35"/>
        <v>16</v>
      </c>
      <c r="E361" s="4" t="str">
        <f>TEXT(Data!B361,"MMM-YYYY")</f>
        <v>Jun-2024</v>
      </c>
      <c r="F361" t="s">
        <v>39</v>
      </c>
      <c r="G361" t="s">
        <v>55</v>
      </c>
      <c r="H361" t="s">
        <v>49</v>
      </c>
      <c r="I361" t="s">
        <v>30</v>
      </c>
      <c r="J361" s="4">
        <v>666.23</v>
      </c>
      <c r="K361" s="8" t="str">
        <f t="shared" si="32"/>
        <v>High</v>
      </c>
      <c r="L361" s="4">
        <v>1382.91</v>
      </c>
      <c r="M361" s="4">
        <v>0.17599999999999999</v>
      </c>
      <c r="N361" s="4">
        <v>13</v>
      </c>
      <c r="O361" s="4">
        <f t="shared" si="30"/>
        <v>9412.9557600000007</v>
      </c>
      <c r="P361">
        <f t="shared" si="31"/>
        <v>8660.99</v>
      </c>
      <c r="Q361" s="4">
        <f t="shared" si="33"/>
        <v>751.96576000000096</v>
      </c>
      <c r="R361" s="18">
        <f t="shared" si="34"/>
        <v>7.9886252434697616E-2</v>
      </c>
    </row>
    <row r="362" spans="1:18" x14ac:dyDescent="0.3">
      <c r="A362" t="s">
        <v>822</v>
      </c>
      <c r="B362" s="7">
        <v>45466</v>
      </c>
      <c r="C362" s="2">
        <v>45468</v>
      </c>
      <c r="D362" s="4">
        <f t="shared" si="35"/>
        <v>2</v>
      </c>
      <c r="E362" s="4" t="str">
        <f>TEXT(Data!B362,"MMM-YYYY")</f>
        <v>Jun-2025</v>
      </c>
      <c r="F362" t="s">
        <v>62</v>
      </c>
      <c r="G362" t="s">
        <v>40</v>
      </c>
      <c r="H362" t="s">
        <v>49</v>
      </c>
      <c r="I362" t="s">
        <v>81</v>
      </c>
      <c r="J362" s="4">
        <v>951.44</v>
      </c>
      <c r="K362" s="8" t="str">
        <f t="shared" si="32"/>
        <v>High</v>
      </c>
      <c r="L362" s="4">
        <v>1646.43</v>
      </c>
      <c r="M362" s="4">
        <v>0.11</v>
      </c>
      <c r="N362" s="4">
        <v>24</v>
      </c>
      <c r="O362" s="4">
        <f t="shared" si="30"/>
        <v>12696.811199999998</v>
      </c>
      <c r="P362">
        <f t="shared" si="31"/>
        <v>22834.560000000001</v>
      </c>
      <c r="Q362" s="4">
        <f t="shared" si="33"/>
        <v>-10137.748800000003</v>
      </c>
      <c r="R362" s="18">
        <f t="shared" si="34"/>
        <v>-0.79844841671741995</v>
      </c>
    </row>
    <row r="363" spans="1:18" x14ac:dyDescent="0.3">
      <c r="A363" t="s">
        <v>824</v>
      </c>
      <c r="B363" s="7">
        <v>45833</v>
      </c>
      <c r="C363" s="2">
        <v>45848</v>
      </c>
      <c r="D363" s="4">
        <f t="shared" si="35"/>
        <v>15</v>
      </c>
      <c r="E363" s="4" t="str">
        <f>TEXT(Data!B363,"MMM-YYYY")</f>
        <v>Jul-2023</v>
      </c>
      <c r="F363" t="s">
        <v>39</v>
      </c>
      <c r="G363" t="s">
        <v>40</v>
      </c>
      <c r="H363" t="s">
        <v>145</v>
      </c>
      <c r="I363" t="s">
        <v>42</v>
      </c>
      <c r="J363" s="4">
        <v>546.83000000000004</v>
      </c>
      <c r="K363" s="8" t="str">
        <f t="shared" si="32"/>
        <v>High</v>
      </c>
      <c r="L363" s="4">
        <v>400.84</v>
      </c>
      <c r="M363" s="4">
        <v>7.8E-2</v>
      </c>
      <c r="N363" s="4">
        <v>13</v>
      </c>
      <c r="O363" s="4">
        <f t="shared" si="30"/>
        <v>19391.5501</v>
      </c>
      <c r="P363">
        <f t="shared" si="31"/>
        <v>7108.7900000000009</v>
      </c>
      <c r="Q363" s="4">
        <f t="shared" si="33"/>
        <v>12282.7601</v>
      </c>
      <c r="R363" s="18">
        <f t="shared" si="34"/>
        <v>0.63340785221703344</v>
      </c>
    </row>
    <row r="364" spans="1:18" x14ac:dyDescent="0.3">
      <c r="A364" t="s">
        <v>826</v>
      </c>
      <c r="B364" s="7">
        <v>45108</v>
      </c>
      <c r="C364" s="2">
        <v>45115</v>
      </c>
      <c r="D364" s="4">
        <f t="shared" si="35"/>
        <v>7</v>
      </c>
      <c r="E364" s="4" t="str">
        <f>TEXT(Data!B364,"MMM-YYYY")</f>
        <v>Mar-2024</v>
      </c>
      <c r="F364" t="s">
        <v>19</v>
      </c>
      <c r="G364" t="s">
        <v>20</v>
      </c>
      <c r="H364" t="s">
        <v>75</v>
      </c>
      <c r="I364" t="s">
        <v>57</v>
      </c>
      <c r="J364" s="4">
        <v>834.26</v>
      </c>
      <c r="K364" s="8" t="str">
        <f t="shared" si="32"/>
        <v>High</v>
      </c>
      <c r="L364" s="4">
        <v>1780.56</v>
      </c>
      <c r="M364" s="4">
        <v>1.4E-2</v>
      </c>
      <c r="N364" s="4">
        <v>47</v>
      </c>
      <c r="O364" s="4">
        <f t="shared" si="30"/>
        <v>45086.595219999996</v>
      </c>
      <c r="P364">
        <f t="shared" si="31"/>
        <v>39210.22</v>
      </c>
      <c r="Q364" s="4">
        <f t="shared" si="33"/>
        <v>5876.3752199999944</v>
      </c>
      <c r="R364" s="18">
        <f t="shared" si="34"/>
        <v>0.13033530678744376</v>
      </c>
    </row>
    <row r="365" spans="1:18" x14ac:dyDescent="0.3">
      <c r="A365" t="s">
        <v>828</v>
      </c>
      <c r="B365" s="7">
        <v>45360</v>
      </c>
      <c r="C365" s="2">
        <v>45377</v>
      </c>
      <c r="D365" s="4">
        <f t="shared" si="35"/>
        <v>17</v>
      </c>
      <c r="E365" s="4" t="str">
        <f>TEXT(Data!B365,"MMM-YYYY")</f>
        <v>Jun-2023</v>
      </c>
      <c r="F365" t="s">
        <v>105</v>
      </c>
      <c r="G365" t="s">
        <v>28</v>
      </c>
      <c r="H365" t="s">
        <v>95</v>
      </c>
      <c r="I365" t="s">
        <v>64</v>
      </c>
      <c r="J365" s="4">
        <v>1029.67</v>
      </c>
      <c r="K365" s="8" t="str">
        <f t="shared" si="32"/>
        <v>High</v>
      </c>
      <c r="L365" s="4">
        <v>1118.43</v>
      </c>
      <c r="M365" s="4">
        <v>0.27200000000000002</v>
      </c>
      <c r="N365" s="4">
        <v>9</v>
      </c>
      <c r="O365" s="4">
        <f t="shared" si="30"/>
        <v>278.85311999999999</v>
      </c>
      <c r="P365">
        <f t="shared" si="31"/>
        <v>9267.0300000000007</v>
      </c>
      <c r="Q365" s="4">
        <f t="shared" si="33"/>
        <v>-8988.1768800000009</v>
      </c>
      <c r="R365" s="18">
        <f t="shared" si="34"/>
        <v>-32.232656676030743</v>
      </c>
    </row>
    <row r="366" spans="1:18" x14ac:dyDescent="0.3">
      <c r="A366" t="s">
        <v>830</v>
      </c>
      <c r="B366" s="7">
        <v>45082</v>
      </c>
      <c r="C366" s="2">
        <v>45105</v>
      </c>
      <c r="D366" s="4">
        <f t="shared" si="35"/>
        <v>23</v>
      </c>
      <c r="E366" s="4" t="str">
        <f>TEXT(Data!B366,"MMM-YYYY")</f>
        <v>Mar-2025</v>
      </c>
      <c r="F366" t="s">
        <v>19</v>
      </c>
      <c r="G366" t="s">
        <v>98</v>
      </c>
      <c r="H366" t="s">
        <v>95</v>
      </c>
      <c r="I366" t="s">
        <v>30</v>
      </c>
      <c r="J366" s="4">
        <v>605.82000000000005</v>
      </c>
      <c r="K366" s="8" t="str">
        <f t="shared" si="32"/>
        <v>High</v>
      </c>
      <c r="L366" s="4">
        <v>771.12</v>
      </c>
      <c r="M366" s="4">
        <v>0.13200000000000001</v>
      </c>
      <c r="N366" s="4">
        <v>19</v>
      </c>
      <c r="O366" s="4">
        <f t="shared" si="30"/>
        <v>24421.848359999996</v>
      </c>
      <c r="P366">
        <f t="shared" si="31"/>
        <v>11510.580000000002</v>
      </c>
      <c r="Q366" s="4">
        <f t="shared" si="33"/>
        <v>12911.268359999995</v>
      </c>
      <c r="R366" s="18">
        <f t="shared" si="34"/>
        <v>0.52867695227962652</v>
      </c>
    </row>
    <row r="367" spans="1:18" x14ac:dyDescent="0.3">
      <c r="A367" t="s">
        <v>832</v>
      </c>
      <c r="B367" s="7">
        <v>45737</v>
      </c>
      <c r="C367" s="2">
        <v>45756</v>
      </c>
      <c r="D367" s="4">
        <f t="shared" si="35"/>
        <v>19</v>
      </c>
      <c r="E367" s="4" t="str">
        <f>TEXT(Data!B367,"MMM-YYYY")</f>
        <v>Jun-2024</v>
      </c>
      <c r="F367" t="s">
        <v>62</v>
      </c>
      <c r="G367" t="s">
        <v>55</v>
      </c>
      <c r="H367" t="s">
        <v>63</v>
      </c>
      <c r="I367" t="s">
        <v>22</v>
      </c>
      <c r="J367" s="4">
        <v>1055.45</v>
      </c>
      <c r="K367" s="8" t="str">
        <f t="shared" si="32"/>
        <v>High</v>
      </c>
      <c r="L367" s="4">
        <v>1210.04</v>
      </c>
      <c r="M367" s="4">
        <v>8.9999999999999993E-3</v>
      </c>
      <c r="N367" s="4">
        <v>18</v>
      </c>
      <c r="O367" s="4">
        <f t="shared" si="30"/>
        <v>10065.26988</v>
      </c>
      <c r="P367">
        <f t="shared" si="31"/>
        <v>18998.100000000002</v>
      </c>
      <c r="Q367" s="4">
        <f t="shared" si="33"/>
        <v>-8932.8301200000024</v>
      </c>
      <c r="R367" s="18">
        <f t="shared" si="34"/>
        <v>-0.887490372985409</v>
      </c>
    </row>
    <row r="368" spans="1:18" x14ac:dyDescent="0.3">
      <c r="A368" t="s">
        <v>834</v>
      </c>
      <c r="B368" s="7">
        <v>45445</v>
      </c>
      <c r="C368" s="2">
        <v>45458</v>
      </c>
      <c r="D368" s="4">
        <f t="shared" si="35"/>
        <v>13</v>
      </c>
      <c r="E368" s="4" t="str">
        <f>TEXT(Data!B368,"MMM-YYYY")</f>
        <v>Mar-2025</v>
      </c>
      <c r="F368" t="s">
        <v>27</v>
      </c>
      <c r="G368" t="s">
        <v>28</v>
      </c>
      <c r="H368" t="s">
        <v>68</v>
      </c>
      <c r="I368" t="s">
        <v>42</v>
      </c>
      <c r="J368" s="4">
        <v>1295.18</v>
      </c>
      <c r="K368" s="8" t="str">
        <f t="shared" si="32"/>
        <v>High</v>
      </c>
      <c r="L368" s="4">
        <v>3024.03</v>
      </c>
      <c r="M368" s="4">
        <v>0.192</v>
      </c>
      <c r="N368" s="4">
        <v>8</v>
      </c>
      <c r="O368" s="4">
        <f t="shared" si="30"/>
        <v>13814.925440000001</v>
      </c>
      <c r="P368">
        <f t="shared" si="31"/>
        <v>10361.44</v>
      </c>
      <c r="Q368" s="4">
        <f t="shared" si="33"/>
        <v>3453.4854400000004</v>
      </c>
      <c r="R368" s="18">
        <f t="shared" si="34"/>
        <v>0.24998219896292109</v>
      </c>
    </row>
    <row r="369" spans="1:18" x14ac:dyDescent="0.3">
      <c r="A369" t="s">
        <v>836</v>
      </c>
      <c r="B369" s="7">
        <v>45731</v>
      </c>
      <c r="C369" s="2">
        <v>45745</v>
      </c>
      <c r="D369" s="4">
        <f t="shared" si="35"/>
        <v>14</v>
      </c>
      <c r="E369" s="4" t="str">
        <f>TEXT(Data!B369,"MMM-YYYY")</f>
        <v>Sept-2023</v>
      </c>
      <c r="F369" t="s">
        <v>105</v>
      </c>
      <c r="G369" t="s">
        <v>98</v>
      </c>
      <c r="H369" t="s">
        <v>21</v>
      </c>
      <c r="I369" t="s">
        <v>22</v>
      </c>
      <c r="J369" s="4">
        <v>935.83</v>
      </c>
      <c r="K369" s="8" t="str">
        <f t="shared" si="32"/>
        <v>High</v>
      </c>
      <c r="L369" s="4">
        <v>2303.46</v>
      </c>
      <c r="M369" s="4">
        <v>0.105</v>
      </c>
      <c r="N369" s="4">
        <v>9</v>
      </c>
      <c r="O369" s="4">
        <f t="shared" si="30"/>
        <v>13539.891150000001</v>
      </c>
      <c r="P369">
        <f t="shared" si="31"/>
        <v>8422.4700000000012</v>
      </c>
      <c r="Q369" s="4">
        <f t="shared" si="33"/>
        <v>5117.4211500000001</v>
      </c>
      <c r="R369" s="18">
        <f t="shared" si="34"/>
        <v>0.37795142466858012</v>
      </c>
    </row>
    <row r="370" spans="1:18" x14ac:dyDescent="0.3">
      <c r="A370" t="s">
        <v>838</v>
      </c>
      <c r="B370" s="7">
        <v>45194</v>
      </c>
      <c r="C370" s="2">
        <v>45208</v>
      </c>
      <c r="D370" s="4">
        <f t="shared" si="35"/>
        <v>14</v>
      </c>
      <c r="E370" s="4" t="str">
        <f>TEXT(Data!B370,"MMM-YYYY")</f>
        <v>Jun-2025</v>
      </c>
      <c r="F370" t="s">
        <v>62</v>
      </c>
      <c r="G370" t="s">
        <v>40</v>
      </c>
      <c r="H370" t="s">
        <v>29</v>
      </c>
      <c r="I370" t="s">
        <v>57</v>
      </c>
      <c r="J370" s="4">
        <v>1279.56</v>
      </c>
      <c r="K370" s="8" t="str">
        <f t="shared" si="32"/>
        <v>High</v>
      </c>
      <c r="L370" s="4">
        <v>3083.8</v>
      </c>
      <c r="M370" s="4">
        <v>0.106</v>
      </c>
      <c r="N370" s="4">
        <v>5</v>
      </c>
      <c r="O370" s="4">
        <f t="shared" si="30"/>
        <v>12985.618199999999</v>
      </c>
      <c r="P370">
        <f t="shared" si="31"/>
        <v>6397.7999999999993</v>
      </c>
      <c r="Q370" s="4">
        <f t="shared" si="33"/>
        <v>6587.8181999999997</v>
      </c>
      <c r="R370" s="18">
        <f t="shared" si="34"/>
        <v>0.50731648648040495</v>
      </c>
    </row>
    <row r="371" spans="1:18" x14ac:dyDescent="0.3">
      <c r="A371" t="s">
        <v>840</v>
      </c>
      <c r="B371" s="7">
        <v>45832</v>
      </c>
      <c r="C371" s="2">
        <v>45861</v>
      </c>
      <c r="D371" s="4">
        <f t="shared" si="35"/>
        <v>29</v>
      </c>
      <c r="E371" s="4" t="str">
        <f>TEXT(Data!B371,"MMM-YYYY")</f>
        <v>Dec-2023</v>
      </c>
      <c r="F371" t="s">
        <v>39</v>
      </c>
      <c r="G371" t="s">
        <v>40</v>
      </c>
      <c r="H371" t="s">
        <v>34</v>
      </c>
      <c r="I371" t="s">
        <v>30</v>
      </c>
      <c r="J371" s="4">
        <v>255.4</v>
      </c>
      <c r="K371" s="8" t="str">
        <f t="shared" si="32"/>
        <v>High</v>
      </c>
      <c r="L371" s="4">
        <v>322.70999999999998</v>
      </c>
      <c r="M371" s="4">
        <v>0.115</v>
      </c>
      <c r="N371" s="4">
        <v>16</v>
      </c>
      <c r="O371" s="4">
        <f t="shared" si="30"/>
        <v>11923.994400000001</v>
      </c>
      <c r="P371">
        <f t="shared" si="31"/>
        <v>4086.4</v>
      </c>
      <c r="Q371" s="4">
        <f t="shared" si="33"/>
        <v>7837.5944000000018</v>
      </c>
      <c r="R371" s="18">
        <f t="shared" si="34"/>
        <v>0.65729604837788258</v>
      </c>
    </row>
    <row r="372" spans="1:18" x14ac:dyDescent="0.3">
      <c r="A372" t="s">
        <v>842</v>
      </c>
      <c r="B372" s="7">
        <v>45286</v>
      </c>
      <c r="C372" s="2">
        <v>45294</v>
      </c>
      <c r="D372" s="4">
        <f t="shared" si="35"/>
        <v>8</v>
      </c>
      <c r="E372" s="4" t="str">
        <f>TEXT(Data!B372,"MMM-YYYY")</f>
        <v>Feb-2023</v>
      </c>
      <c r="F372" t="s">
        <v>62</v>
      </c>
      <c r="G372" t="s">
        <v>20</v>
      </c>
      <c r="H372" t="s">
        <v>110</v>
      </c>
      <c r="I372" t="s">
        <v>57</v>
      </c>
      <c r="J372" s="4">
        <v>492.75</v>
      </c>
      <c r="K372" s="8" t="str">
        <f t="shared" si="32"/>
        <v>High</v>
      </c>
      <c r="L372" s="4">
        <v>731.29</v>
      </c>
      <c r="M372" s="4">
        <v>5.8000000000000003E-2</v>
      </c>
      <c r="N372" s="4">
        <v>6</v>
      </c>
      <c r="O372" s="4">
        <f t="shared" si="30"/>
        <v>17698.503240000002</v>
      </c>
      <c r="P372">
        <f t="shared" si="31"/>
        <v>2956.5</v>
      </c>
      <c r="Q372" s="4">
        <f t="shared" si="33"/>
        <v>14742.003240000002</v>
      </c>
      <c r="R372" s="18">
        <f t="shared" si="34"/>
        <v>0.83295197566096557</v>
      </c>
    </row>
    <row r="373" spans="1:18" x14ac:dyDescent="0.3">
      <c r="A373" t="s">
        <v>844</v>
      </c>
      <c r="B373" s="7">
        <v>44962</v>
      </c>
      <c r="C373" s="2">
        <v>44985</v>
      </c>
      <c r="D373" s="4">
        <f t="shared" si="35"/>
        <v>23</v>
      </c>
      <c r="E373" s="4" t="str">
        <f>TEXT(Data!B373,"MMM-YYYY")</f>
        <v>Apr-2023</v>
      </c>
      <c r="F373" t="s">
        <v>39</v>
      </c>
      <c r="G373" t="s">
        <v>55</v>
      </c>
      <c r="H373" t="s">
        <v>49</v>
      </c>
      <c r="I373" t="s">
        <v>42</v>
      </c>
      <c r="J373" s="4">
        <v>1214.49</v>
      </c>
      <c r="K373" s="8" t="str">
        <f t="shared" si="32"/>
        <v>High</v>
      </c>
      <c r="L373" s="4">
        <v>1533.95</v>
      </c>
      <c r="M373" s="4">
        <v>0</v>
      </c>
      <c r="N373" s="4">
        <v>11</v>
      </c>
      <c r="O373" s="4">
        <f t="shared" si="30"/>
        <v>15891.92</v>
      </c>
      <c r="P373">
        <f t="shared" si="31"/>
        <v>13359.39</v>
      </c>
      <c r="Q373" s="4">
        <f t="shared" si="33"/>
        <v>2532.5300000000007</v>
      </c>
      <c r="R373" s="18">
        <f t="shared" si="34"/>
        <v>0.15935959909186559</v>
      </c>
    </row>
    <row r="374" spans="1:18" x14ac:dyDescent="0.3">
      <c r="A374" t="s">
        <v>846</v>
      </c>
      <c r="B374" s="7">
        <v>45022</v>
      </c>
      <c r="C374" s="2">
        <v>45024</v>
      </c>
      <c r="D374" s="4">
        <f t="shared" si="35"/>
        <v>2</v>
      </c>
      <c r="E374" s="4" t="str">
        <f>TEXT(Data!B374,"MMM-YYYY")</f>
        <v>Apr-2025</v>
      </c>
      <c r="F374" t="s">
        <v>62</v>
      </c>
      <c r="G374" t="s">
        <v>40</v>
      </c>
      <c r="H374" t="s">
        <v>95</v>
      </c>
      <c r="I374" t="s">
        <v>64</v>
      </c>
      <c r="J374" s="4">
        <v>720.35</v>
      </c>
      <c r="K374" s="8" t="str">
        <f t="shared" si="32"/>
        <v>High</v>
      </c>
      <c r="L374" s="4">
        <v>1571.66</v>
      </c>
      <c r="M374" s="4">
        <v>0.107</v>
      </c>
      <c r="N374" s="4">
        <v>23</v>
      </c>
      <c r="O374" s="4">
        <f t="shared" si="30"/>
        <v>59066.056200000006</v>
      </c>
      <c r="P374">
        <f t="shared" si="31"/>
        <v>16568.05</v>
      </c>
      <c r="Q374" s="4">
        <f t="shared" si="33"/>
        <v>42498.006200000003</v>
      </c>
      <c r="R374" s="18">
        <f t="shared" si="34"/>
        <v>0.71949964047201787</v>
      </c>
    </row>
    <row r="375" spans="1:18" x14ac:dyDescent="0.3">
      <c r="A375" t="s">
        <v>848</v>
      </c>
      <c r="B375" s="7">
        <v>45751</v>
      </c>
      <c r="C375" s="2">
        <v>45757</v>
      </c>
      <c r="D375" s="4">
        <f t="shared" si="35"/>
        <v>6</v>
      </c>
      <c r="E375" s="4" t="str">
        <f>TEXT(Data!B375,"MMM-YYYY")</f>
        <v>May-2024</v>
      </c>
      <c r="F375" t="s">
        <v>39</v>
      </c>
      <c r="G375" t="s">
        <v>98</v>
      </c>
      <c r="H375" t="s">
        <v>126</v>
      </c>
      <c r="I375" t="s">
        <v>30</v>
      </c>
      <c r="J375" s="4">
        <v>290.14</v>
      </c>
      <c r="K375" s="8" t="str">
        <f t="shared" si="32"/>
        <v>High</v>
      </c>
      <c r="L375" s="4">
        <v>250.73</v>
      </c>
      <c r="M375" s="4">
        <v>3.4000000000000002E-2</v>
      </c>
      <c r="N375" s="4">
        <v>17</v>
      </c>
      <c r="O375" s="4">
        <f t="shared" si="30"/>
        <v>26958.519419999997</v>
      </c>
      <c r="P375">
        <f t="shared" si="31"/>
        <v>4932.38</v>
      </c>
      <c r="Q375" s="4">
        <f t="shared" si="33"/>
        <v>22026.139419999996</v>
      </c>
      <c r="R375" s="18">
        <f t="shared" si="34"/>
        <v>0.81703817174986382</v>
      </c>
    </row>
    <row r="376" spans="1:18" x14ac:dyDescent="0.3">
      <c r="A376" t="s">
        <v>850</v>
      </c>
      <c r="B376" s="7">
        <v>45429</v>
      </c>
      <c r="C376" s="2">
        <v>45439</v>
      </c>
      <c r="D376" s="4">
        <f t="shared" si="35"/>
        <v>10</v>
      </c>
      <c r="E376" s="4" t="str">
        <f>TEXT(Data!B376,"MMM-YYYY")</f>
        <v>Mar-2024</v>
      </c>
      <c r="F376" t="s">
        <v>39</v>
      </c>
      <c r="G376" t="s">
        <v>28</v>
      </c>
      <c r="H376" t="s">
        <v>21</v>
      </c>
      <c r="I376" t="s">
        <v>42</v>
      </c>
      <c r="J376" s="4">
        <v>1484.23</v>
      </c>
      <c r="K376" s="8" t="str">
        <f t="shared" si="32"/>
        <v>High</v>
      </c>
      <c r="L376" s="4">
        <v>3472.81</v>
      </c>
      <c r="M376" s="4">
        <v>0.25600000000000001</v>
      </c>
      <c r="N376" s="4">
        <v>12</v>
      </c>
      <c r="O376" s="4">
        <f t="shared" si="30"/>
        <v>11597.65056</v>
      </c>
      <c r="P376">
        <f t="shared" si="31"/>
        <v>17810.760000000002</v>
      </c>
      <c r="Q376" s="4">
        <f t="shared" si="33"/>
        <v>-6213.109440000002</v>
      </c>
      <c r="R376" s="18">
        <f t="shared" si="34"/>
        <v>-0.53572138665988589</v>
      </c>
    </row>
    <row r="377" spans="1:18" x14ac:dyDescent="0.3">
      <c r="A377" t="s">
        <v>852</v>
      </c>
      <c r="B377" s="7">
        <v>45354</v>
      </c>
      <c r="C377" s="2">
        <v>45370</v>
      </c>
      <c r="D377" s="4">
        <f t="shared" si="35"/>
        <v>16</v>
      </c>
      <c r="E377" s="4" t="str">
        <f>TEXT(Data!B377,"MMM-YYYY")</f>
        <v>Jun-2025</v>
      </c>
      <c r="F377" t="s">
        <v>48</v>
      </c>
      <c r="G377" t="s">
        <v>55</v>
      </c>
      <c r="H377" t="s">
        <v>41</v>
      </c>
      <c r="I377" t="s">
        <v>42</v>
      </c>
      <c r="J377" s="4">
        <v>988.83</v>
      </c>
      <c r="K377" s="8" t="str">
        <f t="shared" si="32"/>
        <v>High</v>
      </c>
      <c r="L377" s="4">
        <v>1206.04</v>
      </c>
      <c r="M377" s="4">
        <v>6.3E-2</v>
      </c>
      <c r="N377" s="4">
        <v>34</v>
      </c>
      <c r="O377" s="4">
        <f t="shared" si="30"/>
        <v>35635.084480000005</v>
      </c>
      <c r="P377">
        <f t="shared" si="31"/>
        <v>33620.22</v>
      </c>
      <c r="Q377" s="4">
        <f t="shared" si="33"/>
        <v>2014.8644800000038</v>
      </c>
      <c r="R377" s="18">
        <f t="shared" si="34"/>
        <v>5.6541594033005182E-2</v>
      </c>
    </row>
    <row r="378" spans="1:18" x14ac:dyDescent="0.3">
      <c r="A378" t="s">
        <v>854</v>
      </c>
      <c r="B378" s="7">
        <v>45835</v>
      </c>
      <c r="C378" s="2">
        <v>45849</v>
      </c>
      <c r="D378" s="4">
        <f t="shared" si="35"/>
        <v>14</v>
      </c>
      <c r="E378" s="4" t="str">
        <f>TEXT(Data!B378,"MMM-YYYY")</f>
        <v>Mar-2023</v>
      </c>
      <c r="F378" t="s">
        <v>62</v>
      </c>
      <c r="G378" t="s">
        <v>40</v>
      </c>
      <c r="H378" t="s">
        <v>49</v>
      </c>
      <c r="I378" t="s">
        <v>35</v>
      </c>
      <c r="J378" s="4">
        <v>1227.7</v>
      </c>
      <c r="K378" s="8" t="str">
        <f t="shared" si="32"/>
        <v>High</v>
      </c>
      <c r="L378" s="4">
        <v>2197.23</v>
      </c>
      <c r="M378" s="4">
        <v>9.9000000000000005E-2</v>
      </c>
      <c r="N378" s="4">
        <v>22</v>
      </c>
      <c r="O378" s="4">
        <f t="shared" si="30"/>
        <v>23483.321620000002</v>
      </c>
      <c r="P378">
        <f t="shared" si="31"/>
        <v>27009.4</v>
      </c>
      <c r="Q378" s="4">
        <f t="shared" si="33"/>
        <v>-3526.078379999999</v>
      </c>
      <c r="R378" s="18">
        <f t="shared" si="34"/>
        <v>-0.15015245445503542</v>
      </c>
    </row>
    <row r="379" spans="1:18" x14ac:dyDescent="0.3">
      <c r="A379" t="s">
        <v>856</v>
      </c>
      <c r="B379" s="7">
        <v>44998</v>
      </c>
      <c r="C379" s="2">
        <v>45020</v>
      </c>
      <c r="D379" s="4">
        <f t="shared" si="35"/>
        <v>22</v>
      </c>
      <c r="E379" s="4" t="str">
        <f>TEXT(Data!B379,"MMM-YYYY")</f>
        <v>Jan-2025</v>
      </c>
      <c r="F379" t="s">
        <v>62</v>
      </c>
      <c r="G379" t="s">
        <v>20</v>
      </c>
      <c r="H379" t="s">
        <v>75</v>
      </c>
      <c r="I379" t="s">
        <v>22</v>
      </c>
      <c r="J379" s="4">
        <v>1113.7</v>
      </c>
      <c r="K379" s="8" t="str">
        <f t="shared" si="32"/>
        <v>High</v>
      </c>
      <c r="L379" s="4">
        <v>1620.6</v>
      </c>
      <c r="M379" s="4">
        <v>0.13900000000000001</v>
      </c>
      <c r="N379" s="4">
        <v>11</v>
      </c>
      <c r="O379" s="4">
        <f t="shared" si="30"/>
        <v>11379.122369999999</v>
      </c>
      <c r="P379">
        <f t="shared" si="31"/>
        <v>12250.7</v>
      </c>
      <c r="Q379" s="4">
        <f t="shared" si="33"/>
        <v>-871.57763000000159</v>
      </c>
      <c r="R379" s="18">
        <f t="shared" si="34"/>
        <v>-7.6594450930401736E-2</v>
      </c>
    </row>
    <row r="380" spans="1:18" x14ac:dyDescent="0.3">
      <c r="A380" t="s">
        <v>858</v>
      </c>
      <c r="B380" s="7">
        <v>45664</v>
      </c>
      <c r="C380" s="2">
        <v>45677</v>
      </c>
      <c r="D380" s="4">
        <f t="shared" si="35"/>
        <v>13</v>
      </c>
      <c r="E380" s="4" t="str">
        <f>TEXT(Data!B380,"MMM-YYYY")</f>
        <v>Feb-2025</v>
      </c>
      <c r="F380" t="s">
        <v>19</v>
      </c>
      <c r="G380" t="s">
        <v>98</v>
      </c>
      <c r="H380" t="s">
        <v>95</v>
      </c>
      <c r="I380" t="s">
        <v>35</v>
      </c>
      <c r="J380" s="4">
        <v>432.13</v>
      </c>
      <c r="K380" s="8" t="str">
        <f t="shared" si="32"/>
        <v>High</v>
      </c>
      <c r="L380" s="4">
        <v>1034.6600000000001</v>
      </c>
      <c r="M380" s="4">
        <v>9.1999999999999998E-2</v>
      </c>
      <c r="N380" s="4">
        <v>7</v>
      </c>
      <c r="O380" s="4">
        <f t="shared" si="30"/>
        <v>5599.5724400000008</v>
      </c>
      <c r="P380">
        <f t="shared" si="31"/>
        <v>3024.91</v>
      </c>
      <c r="Q380" s="4">
        <f t="shared" si="33"/>
        <v>2574.662440000001</v>
      </c>
      <c r="R380" s="18">
        <f t="shared" si="34"/>
        <v>0.45979625544410324</v>
      </c>
    </row>
    <row r="381" spans="1:18" x14ac:dyDescent="0.3">
      <c r="A381" t="s">
        <v>860</v>
      </c>
      <c r="B381" s="7">
        <v>45694</v>
      </c>
      <c r="C381" s="2">
        <v>45703</v>
      </c>
      <c r="D381" s="4">
        <f t="shared" si="35"/>
        <v>9</v>
      </c>
      <c r="E381" s="4" t="str">
        <f>TEXT(Data!B381,"MMM-YYYY")</f>
        <v>Jan-2025</v>
      </c>
      <c r="F381" t="s">
        <v>39</v>
      </c>
      <c r="G381" t="s">
        <v>55</v>
      </c>
      <c r="H381" t="s">
        <v>84</v>
      </c>
      <c r="I381" t="s">
        <v>35</v>
      </c>
      <c r="J381" s="4">
        <v>837.39</v>
      </c>
      <c r="K381" s="8" t="str">
        <f t="shared" si="32"/>
        <v>High</v>
      </c>
      <c r="L381" s="4">
        <v>1905.42</v>
      </c>
      <c r="M381" s="4">
        <v>3.2000000000000001E-2</v>
      </c>
      <c r="N381" s="4">
        <v>18</v>
      </c>
      <c r="O381" s="4">
        <f t="shared" si="30"/>
        <v>35734.358879999992</v>
      </c>
      <c r="P381">
        <f t="shared" si="31"/>
        <v>15073.02</v>
      </c>
      <c r="Q381" s="4">
        <f t="shared" si="33"/>
        <v>20661.338879999992</v>
      </c>
      <c r="R381" s="18">
        <f t="shared" si="34"/>
        <v>0.57819251632254265</v>
      </c>
    </row>
    <row r="382" spans="1:18" x14ac:dyDescent="0.3">
      <c r="A382" t="s">
        <v>862</v>
      </c>
      <c r="B382" s="7">
        <v>45688</v>
      </c>
      <c r="C382" s="2">
        <v>45705</v>
      </c>
      <c r="D382" s="4">
        <f t="shared" si="35"/>
        <v>17</v>
      </c>
      <c r="E382" s="4" t="str">
        <f>TEXT(Data!B382,"MMM-YYYY")</f>
        <v>Aug-2025</v>
      </c>
      <c r="F382" t="s">
        <v>105</v>
      </c>
      <c r="G382" t="s">
        <v>20</v>
      </c>
      <c r="H382" t="s">
        <v>92</v>
      </c>
      <c r="I382" t="s">
        <v>22</v>
      </c>
      <c r="J382" s="4">
        <v>378.26</v>
      </c>
      <c r="K382" s="8" t="str">
        <f t="shared" si="32"/>
        <v>High</v>
      </c>
      <c r="L382" s="4">
        <v>541.55999999999995</v>
      </c>
      <c r="M382" s="4">
        <v>0.16300000000000001</v>
      </c>
      <c r="N382" s="4">
        <v>25</v>
      </c>
      <c r="O382" s="4">
        <f t="shared" si="30"/>
        <v>36365.557499999995</v>
      </c>
      <c r="P382">
        <f t="shared" si="31"/>
        <v>9456.5</v>
      </c>
      <c r="Q382" s="4">
        <f t="shared" si="33"/>
        <v>26909.057499999995</v>
      </c>
      <c r="R382" s="18">
        <f t="shared" si="34"/>
        <v>0.73995998823887132</v>
      </c>
    </row>
    <row r="383" spans="1:18" x14ac:dyDescent="0.3">
      <c r="A383" t="s">
        <v>863</v>
      </c>
      <c r="B383" s="7">
        <v>45876</v>
      </c>
      <c r="C383" s="2">
        <v>45906</v>
      </c>
      <c r="D383" s="4">
        <f t="shared" si="35"/>
        <v>30</v>
      </c>
      <c r="E383" s="4" t="str">
        <f>TEXT(Data!B383,"MMM-YYYY")</f>
        <v>Jul-2025</v>
      </c>
      <c r="F383" t="s">
        <v>27</v>
      </c>
      <c r="G383" t="s">
        <v>98</v>
      </c>
      <c r="H383" t="s">
        <v>110</v>
      </c>
      <c r="I383" t="s">
        <v>35</v>
      </c>
      <c r="J383" s="4">
        <v>833.73</v>
      </c>
      <c r="K383" s="8" t="str">
        <f t="shared" si="32"/>
        <v>High</v>
      </c>
      <c r="L383" s="4">
        <v>1116.5999999999999</v>
      </c>
      <c r="M383" s="4">
        <v>0.17599999999999999</v>
      </c>
      <c r="N383" s="4">
        <v>14</v>
      </c>
      <c r="O383" s="4">
        <f t="shared" si="30"/>
        <v>16015.544160000001</v>
      </c>
      <c r="P383">
        <f t="shared" si="31"/>
        <v>11672.220000000001</v>
      </c>
      <c r="Q383" s="4">
        <f t="shared" si="33"/>
        <v>4343.3241600000001</v>
      </c>
      <c r="R383" s="18">
        <f t="shared" si="34"/>
        <v>0.27119429203334666</v>
      </c>
    </row>
    <row r="384" spans="1:18" x14ac:dyDescent="0.3">
      <c r="A384" t="s">
        <v>865</v>
      </c>
      <c r="B384" s="7">
        <v>45861</v>
      </c>
      <c r="C384" s="2">
        <v>45886</v>
      </c>
      <c r="D384" s="4">
        <f t="shared" si="35"/>
        <v>25</v>
      </c>
      <c r="E384" s="4" t="str">
        <f>TEXT(Data!B384,"MMM-YYYY")</f>
        <v>Jun-2023</v>
      </c>
      <c r="F384" t="s">
        <v>27</v>
      </c>
      <c r="G384" t="s">
        <v>28</v>
      </c>
      <c r="H384" t="s">
        <v>34</v>
      </c>
      <c r="I384" t="s">
        <v>30</v>
      </c>
      <c r="J384" s="4">
        <v>1142.06</v>
      </c>
      <c r="K384" s="8" t="str">
        <f t="shared" si="32"/>
        <v>High</v>
      </c>
      <c r="L384" s="4">
        <v>1455</v>
      </c>
      <c r="M384" s="4">
        <v>7.8E-2</v>
      </c>
      <c r="N384" s="4">
        <v>28</v>
      </c>
      <c r="O384" s="4">
        <f t="shared" si="30"/>
        <v>13660.278240000001</v>
      </c>
      <c r="P384">
        <f t="shared" si="31"/>
        <v>31977.68</v>
      </c>
      <c r="Q384" s="4">
        <f t="shared" si="33"/>
        <v>-18317.401760000001</v>
      </c>
      <c r="R384" s="18">
        <f t="shared" si="34"/>
        <v>-1.3409244993533893</v>
      </c>
    </row>
    <row r="385" spans="1:18" x14ac:dyDescent="0.3">
      <c r="A385" t="s">
        <v>867</v>
      </c>
      <c r="B385" s="7">
        <v>45097</v>
      </c>
      <c r="C385" s="2">
        <v>45115</v>
      </c>
      <c r="D385" s="4">
        <f t="shared" si="35"/>
        <v>18</v>
      </c>
      <c r="E385" s="4" t="str">
        <f>TEXT(Data!B385,"MMM-YYYY")</f>
        <v>Jul-2024</v>
      </c>
      <c r="F385" t="s">
        <v>48</v>
      </c>
      <c r="G385" t="s">
        <v>40</v>
      </c>
      <c r="H385" t="s">
        <v>68</v>
      </c>
      <c r="I385" t="s">
        <v>35</v>
      </c>
      <c r="J385" s="4">
        <v>1145.53</v>
      </c>
      <c r="K385" s="8" t="str">
        <f t="shared" si="32"/>
        <v>High</v>
      </c>
      <c r="L385" s="4">
        <v>1278.3</v>
      </c>
      <c r="M385" s="4">
        <v>0.09</v>
      </c>
      <c r="N385" s="4">
        <v>41</v>
      </c>
      <c r="O385" s="4">
        <f t="shared" si="30"/>
        <v>73589.497799999997</v>
      </c>
      <c r="P385">
        <f t="shared" si="31"/>
        <v>46966.729999999996</v>
      </c>
      <c r="Q385" s="4">
        <f t="shared" si="33"/>
        <v>26622.767800000001</v>
      </c>
      <c r="R385" s="18">
        <f t="shared" si="34"/>
        <v>0.36177401118234026</v>
      </c>
    </row>
    <row r="386" spans="1:18" x14ac:dyDescent="0.3">
      <c r="A386" t="s">
        <v>869</v>
      </c>
      <c r="B386" s="7">
        <v>45491</v>
      </c>
      <c r="C386" s="2">
        <v>45511</v>
      </c>
      <c r="D386" s="4">
        <f t="shared" si="35"/>
        <v>20</v>
      </c>
      <c r="E386" s="4" t="str">
        <f>TEXT(Data!B386,"MMM-YYYY")</f>
        <v>May-2023</v>
      </c>
      <c r="F386" t="s">
        <v>19</v>
      </c>
      <c r="G386" t="s">
        <v>20</v>
      </c>
      <c r="H386" t="s">
        <v>84</v>
      </c>
      <c r="I386" t="s">
        <v>64</v>
      </c>
      <c r="J386" s="4">
        <v>941.35</v>
      </c>
      <c r="K386" s="8" t="str">
        <f t="shared" si="32"/>
        <v>High</v>
      </c>
      <c r="L386" s="4">
        <v>899.83</v>
      </c>
      <c r="M386" s="4">
        <v>5.8000000000000003E-2</v>
      </c>
      <c r="N386" s="4">
        <v>18</v>
      </c>
      <c r="O386" s="4">
        <f t="shared" ref="O386:O449" si="36">(L412*N386)*(1-M386)</f>
        <v>14867.190359999997</v>
      </c>
      <c r="P386">
        <f t="shared" ref="P386:P449" si="37">(J386*N386)</f>
        <v>16944.3</v>
      </c>
      <c r="Q386" s="4">
        <f t="shared" si="33"/>
        <v>-2077.1096400000024</v>
      </c>
      <c r="R386" s="18">
        <f t="shared" si="34"/>
        <v>-0.13971097360725546</v>
      </c>
    </row>
    <row r="387" spans="1:18" x14ac:dyDescent="0.3">
      <c r="A387" t="s">
        <v>871</v>
      </c>
      <c r="B387" s="7">
        <v>45066</v>
      </c>
      <c r="C387" s="2">
        <v>45096</v>
      </c>
      <c r="D387" s="4">
        <f t="shared" si="35"/>
        <v>30</v>
      </c>
      <c r="E387" s="4" t="str">
        <f>TEXT(Data!B387,"MMM-YYYY")</f>
        <v>May-2025</v>
      </c>
      <c r="F387" t="s">
        <v>39</v>
      </c>
      <c r="G387" t="s">
        <v>40</v>
      </c>
      <c r="H387" t="s">
        <v>92</v>
      </c>
      <c r="I387" t="s">
        <v>57</v>
      </c>
      <c r="J387" s="4">
        <v>1161.2</v>
      </c>
      <c r="K387" s="8" t="str">
        <f t="shared" ref="K387:K450" si="38">IF(L387&lt;50, "Low", IF(L387&lt;200, "Medium", "High"))</f>
        <v>High</v>
      </c>
      <c r="L387" s="4">
        <v>878.73</v>
      </c>
      <c r="M387" s="4">
        <v>0.19</v>
      </c>
      <c r="N387" s="4">
        <v>31</v>
      </c>
      <c r="O387" s="4">
        <f t="shared" si="36"/>
        <v>20697.168600000001</v>
      </c>
      <c r="P387">
        <f t="shared" si="37"/>
        <v>35997.200000000004</v>
      </c>
      <c r="Q387" s="4">
        <f t="shared" ref="Q387:Q450" si="39">(O387-P387)</f>
        <v>-15300.031400000003</v>
      </c>
      <c r="R387" s="18">
        <f t="shared" ref="R387:R450" si="40">(Q387/O387)</f>
        <v>-0.73923306591801174</v>
      </c>
    </row>
    <row r="388" spans="1:18" x14ac:dyDescent="0.3">
      <c r="A388" t="s">
        <v>873</v>
      </c>
      <c r="B388" s="7">
        <v>45789</v>
      </c>
      <c r="C388" s="2">
        <v>45803</v>
      </c>
      <c r="D388" s="4">
        <f t="shared" si="35"/>
        <v>14</v>
      </c>
      <c r="E388" s="4" t="str">
        <f>TEXT(Data!B388,"MMM-YYYY")</f>
        <v>May-2024</v>
      </c>
      <c r="F388" t="s">
        <v>19</v>
      </c>
      <c r="G388" t="s">
        <v>40</v>
      </c>
      <c r="H388" t="s">
        <v>41</v>
      </c>
      <c r="I388" t="s">
        <v>30</v>
      </c>
      <c r="J388" s="4">
        <v>320.12</v>
      </c>
      <c r="K388" s="8" t="str">
        <f t="shared" si="38"/>
        <v>High</v>
      </c>
      <c r="L388" s="4">
        <v>594.41999999999996</v>
      </c>
      <c r="M388" s="4">
        <v>0.104</v>
      </c>
      <c r="N388" s="4">
        <v>18</v>
      </c>
      <c r="O388" s="4">
        <f t="shared" si="36"/>
        <v>18697.996800000001</v>
      </c>
      <c r="P388">
        <f t="shared" si="37"/>
        <v>5762.16</v>
      </c>
      <c r="Q388" s="4">
        <f t="shared" si="39"/>
        <v>12935.836800000001</v>
      </c>
      <c r="R388" s="18">
        <f t="shared" si="40"/>
        <v>0.69183008952060576</v>
      </c>
    </row>
    <row r="389" spans="1:18" x14ac:dyDescent="0.3">
      <c r="A389" t="s">
        <v>875</v>
      </c>
      <c r="B389" s="7">
        <v>45419</v>
      </c>
      <c r="C389" s="2">
        <v>45424</v>
      </c>
      <c r="D389" s="4">
        <f t="shared" ref="D389:D451" si="41">DATEDIF(B389,C389, "MD")</f>
        <v>5</v>
      </c>
      <c r="E389" s="4" t="str">
        <f>TEXT(Data!B389,"MMM-YYYY")</f>
        <v>Sept-2023</v>
      </c>
      <c r="F389" t="s">
        <v>39</v>
      </c>
      <c r="G389" t="s">
        <v>55</v>
      </c>
      <c r="H389" t="s">
        <v>49</v>
      </c>
      <c r="I389" t="s">
        <v>57</v>
      </c>
      <c r="J389" s="4">
        <v>1163.99</v>
      </c>
      <c r="K389" s="8" t="str">
        <f t="shared" si="38"/>
        <v>High</v>
      </c>
      <c r="L389" s="4">
        <v>1617.85</v>
      </c>
      <c r="M389" s="4">
        <v>0.127</v>
      </c>
      <c r="N389" s="4">
        <v>14</v>
      </c>
      <c r="O389" s="4">
        <f t="shared" si="36"/>
        <v>30720.11922</v>
      </c>
      <c r="P389">
        <f t="shared" si="37"/>
        <v>16295.86</v>
      </c>
      <c r="Q389" s="4">
        <f t="shared" si="39"/>
        <v>14424.25922</v>
      </c>
      <c r="R389" s="18">
        <f t="shared" si="40"/>
        <v>0.4695378659406127</v>
      </c>
    </row>
    <row r="390" spans="1:18" x14ac:dyDescent="0.3">
      <c r="A390" t="s">
        <v>877</v>
      </c>
      <c r="B390" s="7">
        <v>45199</v>
      </c>
      <c r="C390" s="2">
        <v>45202</v>
      </c>
      <c r="D390" s="4">
        <f t="shared" si="41"/>
        <v>3</v>
      </c>
      <c r="E390" s="4" t="str">
        <f>TEXT(Data!B390,"MMM-YYYY")</f>
        <v>Oct-2023</v>
      </c>
      <c r="F390" t="s">
        <v>39</v>
      </c>
      <c r="G390" t="s">
        <v>20</v>
      </c>
      <c r="H390" t="s">
        <v>29</v>
      </c>
      <c r="I390" t="s">
        <v>57</v>
      </c>
      <c r="J390" s="4">
        <v>1019.36</v>
      </c>
      <c r="K390" s="8" t="str">
        <f t="shared" si="38"/>
        <v>High</v>
      </c>
      <c r="L390" s="4">
        <v>972.91</v>
      </c>
      <c r="M390" s="4">
        <v>0.14699999999999999</v>
      </c>
      <c r="N390" s="4">
        <v>17</v>
      </c>
      <c r="O390" s="4">
        <f t="shared" si="36"/>
        <v>44766.472129999995</v>
      </c>
      <c r="P390">
        <f t="shared" si="37"/>
        <v>17329.12</v>
      </c>
      <c r="Q390" s="4">
        <f t="shared" si="39"/>
        <v>27437.352129999996</v>
      </c>
      <c r="R390" s="18">
        <f t="shared" si="40"/>
        <v>0.61289958365097552</v>
      </c>
    </row>
    <row r="391" spans="1:18" x14ac:dyDescent="0.3">
      <c r="A391" t="s">
        <v>879</v>
      </c>
      <c r="B391" s="7">
        <v>45225</v>
      </c>
      <c r="C391" s="2">
        <v>45235</v>
      </c>
      <c r="D391" s="4">
        <f t="shared" si="41"/>
        <v>10</v>
      </c>
      <c r="E391" s="4" t="str">
        <f>TEXT(Data!B391,"MMM-YYYY")</f>
        <v>Jun-2025</v>
      </c>
      <c r="F391" t="s">
        <v>39</v>
      </c>
      <c r="G391" t="s">
        <v>28</v>
      </c>
      <c r="H391" t="s">
        <v>34</v>
      </c>
      <c r="I391" t="s">
        <v>57</v>
      </c>
      <c r="J391" s="4">
        <v>20.38</v>
      </c>
      <c r="K391" s="8" t="str">
        <f t="shared" si="38"/>
        <v>Low</v>
      </c>
      <c r="L391" s="4">
        <v>42.56</v>
      </c>
      <c r="M391" s="4">
        <v>7.1999999999999995E-2</v>
      </c>
      <c r="N391" s="4">
        <v>11</v>
      </c>
      <c r="O391" s="4">
        <f t="shared" si="36"/>
        <v>27736.667200000004</v>
      </c>
      <c r="P391">
        <f t="shared" si="37"/>
        <v>224.17999999999998</v>
      </c>
      <c r="Q391" s="4">
        <f t="shared" si="39"/>
        <v>27512.487200000003</v>
      </c>
      <c r="R391" s="18">
        <f t="shared" si="40"/>
        <v>0.99191755814123195</v>
      </c>
    </row>
    <row r="392" spans="1:18" x14ac:dyDescent="0.3">
      <c r="A392" t="s">
        <v>881</v>
      </c>
      <c r="B392" s="7">
        <v>45823</v>
      </c>
      <c r="C392" s="2">
        <v>45838</v>
      </c>
      <c r="D392" s="4">
        <f t="shared" si="41"/>
        <v>15</v>
      </c>
      <c r="E392" s="4" t="str">
        <f>TEXT(Data!B392,"MMM-YYYY")</f>
        <v>Aug-2024</v>
      </c>
      <c r="F392" t="s">
        <v>62</v>
      </c>
      <c r="G392" t="s">
        <v>98</v>
      </c>
      <c r="H392" t="s">
        <v>21</v>
      </c>
      <c r="I392" t="s">
        <v>64</v>
      </c>
      <c r="J392" s="4">
        <v>1487.59</v>
      </c>
      <c r="K392" s="8" t="str">
        <f t="shared" si="38"/>
        <v>High</v>
      </c>
      <c r="L392" s="4">
        <v>1480.83</v>
      </c>
      <c r="M392" s="4">
        <v>8.9999999999999993E-3</v>
      </c>
      <c r="N392" s="4">
        <v>11</v>
      </c>
      <c r="O392" s="4">
        <f t="shared" si="36"/>
        <v>9830.4127899999985</v>
      </c>
      <c r="P392">
        <f t="shared" si="37"/>
        <v>16363.49</v>
      </c>
      <c r="Q392" s="4">
        <f t="shared" si="39"/>
        <v>-6533.0772100000013</v>
      </c>
      <c r="R392" s="18">
        <f t="shared" si="40"/>
        <v>-0.66457811584939586</v>
      </c>
    </row>
    <row r="393" spans="1:18" x14ac:dyDescent="0.3">
      <c r="A393" t="s">
        <v>883</v>
      </c>
      <c r="B393" s="7">
        <v>45514</v>
      </c>
      <c r="C393" s="2">
        <v>45542</v>
      </c>
      <c r="D393" s="4">
        <f t="shared" si="41"/>
        <v>28</v>
      </c>
      <c r="E393" s="4" t="str">
        <f>TEXT(Data!B393,"MMM-YYYY")</f>
        <v>Oct-2023</v>
      </c>
      <c r="F393" t="s">
        <v>39</v>
      </c>
      <c r="G393" t="s">
        <v>98</v>
      </c>
      <c r="H393" t="s">
        <v>84</v>
      </c>
      <c r="I393" t="s">
        <v>30</v>
      </c>
      <c r="J393" s="4">
        <v>229.96</v>
      </c>
      <c r="K393" s="8" t="str">
        <f t="shared" si="38"/>
        <v>High</v>
      </c>
      <c r="L393" s="4">
        <v>564.26</v>
      </c>
      <c r="M393" s="4">
        <v>0.105</v>
      </c>
      <c r="N393" s="4">
        <v>5</v>
      </c>
      <c r="O393" s="4">
        <f t="shared" si="36"/>
        <v>3562.7712500000002</v>
      </c>
      <c r="P393">
        <f t="shared" si="37"/>
        <v>1149.8</v>
      </c>
      <c r="Q393" s="4">
        <f t="shared" si="39"/>
        <v>2412.9712500000005</v>
      </c>
      <c r="R393" s="18">
        <f t="shared" si="40"/>
        <v>0.67727369530109471</v>
      </c>
    </row>
    <row r="394" spans="1:18" x14ac:dyDescent="0.3">
      <c r="A394" t="s">
        <v>885</v>
      </c>
      <c r="B394" s="7">
        <v>45208</v>
      </c>
      <c r="C394" s="2">
        <v>45225</v>
      </c>
      <c r="D394" s="4">
        <f t="shared" si="41"/>
        <v>17</v>
      </c>
      <c r="E394" s="4" t="str">
        <f>TEXT(Data!B394,"MMM-YYYY")</f>
        <v>Mar-2024</v>
      </c>
      <c r="F394" t="s">
        <v>48</v>
      </c>
      <c r="G394" t="s">
        <v>40</v>
      </c>
      <c r="H394" t="s">
        <v>21</v>
      </c>
      <c r="I394" t="s">
        <v>22</v>
      </c>
      <c r="J394" s="4">
        <v>1132.03</v>
      </c>
      <c r="K394" s="8" t="str">
        <f t="shared" si="38"/>
        <v>High</v>
      </c>
      <c r="L394" s="4">
        <v>2137.21</v>
      </c>
      <c r="M394" s="4">
        <v>0.35699999999999998</v>
      </c>
      <c r="N394" s="4">
        <v>35</v>
      </c>
      <c r="O394" s="4">
        <f t="shared" si="36"/>
        <v>3551.7390999999998</v>
      </c>
      <c r="P394">
        <f t="shared" si="37"/>
        <v>39621.049999999996</v>
      </c>
      <c r="Q394" s="4">
        <f t="shared" si="39"/>
        <v>-36069.310899999997</v>
      </c>
      <c r="R394" s="18">
        <f t="shared" si="40"/>
        <v>-10.155394268683755</v>
      </c>
    </row>
    <row r="395" spans="1:18" x14ac:dyDescent="0.3">
      <c r="A395" t="s">
        <v>887</v>
      </c>
      <c r="B395" s="7">
        <v>45360</v>
      </c>
      <c r="C395" s="2">
        <v>45377</v>
      </c>
      <c r="D395" s="4">
        <f t="shared" si="41"/>
        <v>17</v>
      </c>
      <c r="E395" s="4" t="str">
        <f>TEXT(Data!B395,"MMM-YYYY")</f>
        <v>May-2023</v>
      </c>
      <c r="F395" t="s">
        <v>27</v>
      </c>
      <c r="G395" t="s">
        <v>98</v>
      </c>
      <c r="H395" t="s">
        <v>34</v>
      </c>
      <c r="I395" t="s">
        <v>42</v>
      </c>
      <c r="J395" s="4">
        <v>1137.4100000000001</v>
      </c>
      <c r="K395" s="8" t="str">
        <f t="shared" si="38"/>
        <v>High</v>
      </c>
      <c r="L395" s="4">
        <v>1680.93</v>
      </c>
      <c r="M395" s="4">
        <v>0.254</v>
      </c>
      <c r="N395" s="4">
        <v>9</v>
      </c>
      <c r="O395" s="4">
        <f t="shared" si="36"/>
        <v>5499.1688399999994</v>
      </c>
      <c r="P395">
        <f t="shared" si="37"/>
        <v>10236.69</v>
      </c>
      <c r="Q395" s="4">
        <f t="shared" si="39"/>
        <v>-4737.5211600000011</v>
      </c>
      <c r="R395" s="18">
        <f t="shared" si="40"/>
        <v>-0.86149767316473258</v>
      </c>
    </row>
    <row r="396" spans="1:18" x14ac:dyDescent="0.3">
      <c r="A396" t="s">
        <v>889</v>
      </c>
      <c r="B396" s="7">
        <v>45075</v>
      </c>
      <c r="C396" s="2">
        <v>45097</v>
      </c>
      <c r="D396" s="4">
        <f t="shared" si="41"/>
        <v>22</v>
      </c>
      <c r="E396" s="4" t="str">
        <f>TEXT(Data!B396,"MMM-YYYY")</f>
        <v>May-2025</v>
      </c>
      <c r="F396" t="s">
        <v>62</v>
      </c>
      <c r="G396" t="s">
        <v>98</v>
      </c>
      <c r="H396" t="s">
        <v>95</v>
      </c>
      <c r="I396" t="s">
        <v>22</v>
      </c>
      <c r="J396" s="4">
        <v>1295.3900000000001</v>
      </c>
      <c r="K396" s="8" t="str">
        <f t="shared" si="38"/>
        <v>High</v>
      </c>
      <c r="L396" s="4">
        <v>2905.06</v>
      </c>
      <c r="M396" s="4">
        <v>0.14799999999999999</v>
      </c>
      <c r="N396" s="4">
        <v>8</v>
      </c>
      <c r="O396" s="4">
        <f t="shared" si="36"/>
        <v>11663.26656</v>
      </c>
      <c r="P396">
        <f t="shared" si="37"/>
        <v>10363.120000000001</v>
      </c>
      <c r="Q396" s="4">
        <f t="shared" si="39"/>
        <v>1300.1465599999992</v>
      </c>
      <c r="R396" s="18">
        <f t="shared" si="40"/>
        <v>0.11147362133168971</v>
      </c>
    </row>
    <row r="397" spans="1:18" x14ac:dyDescent="0.3">
      <c r="A397" t="s">
        <v>891</v>
      </c>
      <c r="B397" s="7">
        <v>45804</v>
      </c>
      <c r="C397" s="2">
        <v>45816</v>
      </c>
      <c r="D397" s="4">
        <f t="shared" si="41"/>
        <v>12</v>
      </c>
      <c r="E397" s="4" t="str">
        <f>TEXT(Data!B397,"MMM-YYYY")</f>
        <v>Aug-2025</v>
      </c>
      <c r="F397" t="s">
        <v>19</v>
      </c>
      <c r="G397" t="s">
        <v>20</v>
      </c>
      <c r="H397" t="s">
        <v>92</v>
      </c>
      <c r="I397" t="s">
        <v>81</v>
      </c>
      <c r="J397" s="4">
        <v>653.6</v>
      </c>
      <c r="K397" s="8" t="str">
        <f t="shared" si="38"/>
        <v>High</v>
      </c>
      <c r="L397" s="4">
        <v>842.09</v>
      </c>
      <c r="M397" s="4">
        <v>9.8000000000000004E-2</v>
      </c>
      <c r="N397" s="4">
        <v>19</v>
      </c>
      <c r="O397" s="4">
        <f t="shared" si="36"/>
        <v>29072.046299999998</v>
      </c>
      <c r="P397">
        <f t="shared" si="37"/>
        <v>12418.4</v>
      </c>
      <c r="Q397" s="4">
        <f t="shared" si="39"/>
        <v>16653.6463</v>
      </c>
      <c r="R397" s="18">
        <f t="shared" si="40"/>
        <v>0.5728405261930255</v>
      </c>
    </row>
    <row r="398" spans="1:18" x14ac:dyDescent="0.3">
      <c r="A398" t="s">
        <v>893</v>
      </c>
      <c r="B398" s="7">
        <v>45890</v>
      </c>
      <c r="C398" s="2">
        <v>45914</v>
      </c>
      <c r="D398" s="4">
        <f t="shared" si="41"/>
        <v>24</v>
      </c>
      <c r="E398" s="4" t="str">
        <f>TEXT(Data!B398,"MMM-YYYY")</f>
        <v>Dec-2024</v>
      </c>
      <c r="F398" t="s">
        <v>39</v>
      </c>
      <c r="G398" t="s">
        <v>28</v>
      </c>
      <c r="H398" t="s">
        <v>75</v>
      </c>
      <c r="I398" t="s">
        <v>64</v>
      </c>
      <c r="J398" s="4">
        <v>1397.67</v>
      </c>
      <c r="K398" s="8" t="str">
        <f t="shared" si="38"/>
        <v>High</v>
      </c>
      <c r="L398" s="4">
        <v>3131.37</v>
      </c>
      <c r="M398" s="4">
        <v>0.10299999999999999</v>
      </c>
      <c r="N398" s="4">
        <v>20</v>
      </c>
      <c r="O398" s="4">
        <f t="shared" si="36"/>
        <v>51745.059600000001</v>
      </c>
      <c r="P398">
        <f t="shared" si="37"/>
        <v>27953.4</v>
      </c>
      <c r="Q398" s="4">
        <f t="shared" si="39"/>
        <v>23791.659599999999</v>
      </c>
      <c r="R398" s="18">
        <f t="shared" si="40"/>
        <v>0.45978610873993464</v>
      </c>
    </row>
    <row r="399" spans="1:18" x14ac:dyDescent="0.3">
      <c r="A399" t="s">
        <v>895</v>
      </c>
      <c r="B399" s="7">
        <v>45638</v>
      </c>
      <c r="C399" s="2">
        <v>45646</v>
      </c>
      <c r="D399" s="4">
        <f t="shared" si="41"/>
        <v>8</v>
      </c>
      <c r="E399" s="4" t="str">
        <f>TEXT(Data!B399,"MMM-YYYY")</f>
        <v>Sept-2025</v>
      </c>
      <c r="F399" t="s">
        <v>19</v>
      </c>
      <c r="G399" t="s">
        <v>20</v>
      </c>
      <c r="H399" t="s">
        <v>56</v>
      </c>
      <c r="I399" t="s">
        <v>57</v>
      </c>
      <c r="J399" s="4">
        <v>1202.47</v>
      </c>
      <c r="K399" s="8" t="str">
        <f t="shared" si="38"/>
        <v>High</v>
      </c>
      <c r="L399" s="4">
        <v>1444.72</v>
      </c>
      <c r="M399" s="4">
        <v>0.24099999999999999</v>
      </c>
      <c r="N399" s="4">
        <v>17</v>
      </c>
      <c r="O399" s="4">
        <f t="shared" si="36"/>
        <v>19144.697220000002</v>
      </c>
      <c r="P399">
        <f t="shared" si="37"/>
        <v>20441.990000000002</v>
      </c>
      <c r="Q399" s="4">
        <f t="shared" si="39"/>
        <v>-1297.2927799999998</v>
      </c>
      <c r="R399" s="18">
        <f t="shared" si="40"/>
        <v>-6.7762512255599913E-2</v>
      </c>
    </row>
    <row r="400" spans="1:18" x14ac:dyDescent="0.3">
      <c r="A400" t="s">
        <v>897</v>
      </c>
      <c r="B400" s="7">
        <v>45914</v>
      </c>
      <c r="C400" s="2">
        <v>45923</v>
      </c>
      <c r="D400" s="4">
        <f t="shared" si="41"/>
        <v>9</v>
      </c>
      <c r="E400" s="4" t="str">
        <f>TEXT(Data!B400,"MMM-YYYY")</f>
        <v>Sept-2024</v>
      </c>
      <c r="F400" t="s">
        <v>39</v>
      </c>
      <c r="G400" t="s">
        <v>28</v>
      </c>
      <c r="H400" t="s">
        <v>145</v>
      </c>
      <c r="I400" t="s">
        <v>22</v>
      </c>
      <c r="J400" s="4">
        <v>1310.3</v>
      </c>
      <c r="K400" s="8" t="str">
        <f t="shared" si="38"/>
        <v>High</v>
      </c>
      <c r="L400" s="4">
        <v>2875.8</v>
      </c>
      <c r="M400" s="4">
        <v>8.3000000000000004E-2</v>
      </c>
      <c r="N400" s="4">
        <v>5</v>
      </c>
      <c r="O400" s="4">
        <f t="shared" si="36"/>
        <v>14660.399949999999</v>
      </c>
      <c r="P400">
        <f t="shared" si="37"/>
        <v>6551.5</v>
      </c>
      <c r="Q400" s="4">
        <f t="shared" si="39"/>
        <v>8108.8999499999991</v>
      </c>
      <c r="R400" s="18">
        <f t="shared" si="40"/>
        <v>0.55311587525959682</v>
      </c>
    </row>
    <row r="401" spans="1:18" x14ac:dyDescent="0.3">
      <c r="A401" t="s">
        <v>899</v>
      </c>
      <c r="B401" s="7">
        <v>45541</v>
      </c>
      <c r="C401" s="2">
        <v>45569</v>
      </c>
      <c r="D401" s="4">
        <f t="shared" si="41"/>
        <v>28</v>
      </c>
      <c r="E401" s="4" t="str">
        <f>TEXT(Data!B401,"MMM-YYYY")</f>
        <v>Apr-2025</v>
      </c>
      <c r="F401" t="s">
        <v>19</v>
      </c>
      <c r="G401" t="s">
        <v>40</v>
      </c>
      <c r="H401" t="s">
        <v>145</v>
      </c>
      <c r="I401" t="s">
        <v>64</v>
      </c>
      <c r="J401" s="4">
        <v>1174.17</v>
      </c>
      <c r="K401" s="8" t="str">
        <f t="shared" si="38"/>
        <v>High</v>
      </c>
      <c r="L401" s="4">
        <v>1641.61</v>
      </c>
      <c r="M401" s="4">
        <v>0.122</v>
      </c>
      <c r="N401" s="4">
        <v>9</v>
      </c>
      <c r="O401" s="4">
        <f t="shared" si="36"/>
        <v>18353.975399999999</v>
      </c>
      <c r="P401">
        <f t="shared" si="37"/>
        <v>10567.53</v>
      </c>
      <c r="Q401" s="4">
        <f t="shared" si="39"/>
        <v>7786.4453999999987</v>
      </c>
      <c r="R401" s="18">
        <f t="shared" si="40"/>
        <v>0.42423754147561943</v>
      </c>
    </row>
    <row r="402" spans="1:18" x14ac:dyDescent="0.3">
      <c r="A402" t="s">
        <v>901</v>
      </c>
      <c r="B402" s="7">
        <v>45759</v>
      </c>
      <c r="C402" s="2">
        <v>45777</v>
      </c>
      <c r="D402" s="4">
        <f t="shared" si="41"/>
        <v>18</v>
      </c>
      <c r="E402" s="4" t="str">
        <f>TEXT(Data!B402,"MMM-YYYY")</f>
        <v>Aug-2024</v>
      </c>
      <c r="F402" t="s">
        <v>19</v>
      </c>
      <c r="G402" t="s">
        <v>40</v>
      </c>
      <c r="H402" t="s">
        <v>84</v>
      </c>
      <c r="I402" t="s">
        <v>35</v>
      </c>
      <c r="J402" s="4">
        <v>1119.04</v>
      </c>
      <c r="K402" s="8" t="str">
        <f t="shared" si="38"/>
        <v>High</v>
      </c>
      <c r="L402" s="4">
        <v>1299.02</v>
      </c>
      <c r="M402" s="4">
        <v>2.5000000000000001E-2</v>
      </c>
      <c r="N402" s="4">
        <v>14</v>
      </c>
      <c r="O402" s="4">
        <f t="shared" si="36"/>
        <v>26377.532999999999</v>
      </c>
      <c r="P402">
        <f t="shared" si="37"/>
        <v>15666.56</v>
      </c>
      <c r="Q402" s="4">
        <f t="shared" si="39"/>
        <v>10710.973</v>
      </c>
      <c r="R402" s="18">
        <f t="shared" si="40"/>
        <v>0.40606424414292269</v>
      </c>
    </row>
    <row r="403" spans="1:18" x14ac:dyDescent="0.3">
      <c r="A403" t="s">
        <v>903</v>
      </c>
      <c r="B403" s="7">
        <v>45516</v>
      </c>
      <c r="C403" s="2">
        <v>45519</v>
      </c>
      <c r="D403" s="4">
        <f t="shared" si="41"/>
        <v>3</v>
      </c>
      <c r="E403" s="4" t="str">
        <f>TEXT(Data!B403,"MMM-YYYY")</f>
        <v>Nov-2024</v>
      </c>
      <c r="F403" t="s">
        <v>19</v>
      </c>
      <c r="G403" t="s">
        <v>40</v>
      </c>
      <c r="H403" t="s">
        <v>145</v>
      </c>
      <c r="I403" t="s">
        <v>30</v>
      </c>
      <c r="J403" s="4">
        <v>850.7</v>
      </c>
      <c r="K403" s="8" t="str">
        <f t="shared" si="38"/>
        <v>High</v>
      </c>
      <c r="L403" s="4">
        <v>1118.56</v>
      </c>
      <c r="M403" s="4">
        <v>0.18</v>
      </c>
      <c r="N403" s="4">
        <v>19</v>
      </c>
      <c r="O403" s="4">
        <f t="shared" si="36"/>
        <v>24777.808799999999</v>
      </c>
      <c r="P403">
        <f t="shared" si="37"/>
        <v>16163.300000000001</v>
      </c>
      <c r="Q403" s="4">
        <f t="shared" si="39"/>
        <v>8614.5087999999978</v>
      </c>
      <c r="R403" s="18">
        <f t="shared" si="40"/>
        <v>0.34767032345491333</v>
      </c>
    </row>
    <row r="404" spans="1:18" x14ac:dyDescent="0.3">
      <c r="A404" t="s">
        <v>905</v>
      </c>
      <c r="B404" s="7">
        <v>45601</v>
      </c>
      <c r="C404" s="2">
        <v>45604</v>
      </c>
      <c r="D404" s="4">
        <f t="shared" si="41"/>
        <v>3</v>
      </c>
      <c r="E404" s="4" t="str">
        <f>TEXT(Data!B404,"MMM-YYYY")</f>
        <v>Jul-2024</v>
      </c>
      <c r="F404" t="s">
        <v>27</v>
      </c>
      <c r="G404" t="s">
        <v>40</v>
      </c>
      <c r="H404" t="s">
        <v>68</v>
      </c>
      <c r="I404" t="s">
        <v>22</v>
      </c>
      <c r="J404" s="4">
        <v>1020.4</v>
      </c>
      <c r="K404" s="8" t="str">
        <f t="shared" si="38"/>
        <v>High</v>
      </c>
      <c r="L404" s="4">
        <v>1184.71</v>
      </c>
      <c r="M404" s="4">
        <v>0.106</v>
      </c>
      <c r="N404" s="4">
        <v>16</v>
      </c>
      <c r="O404" s="4">
        <f t="shared" si="36"/>
        <v>5658.8054400000001</v>
      </c>
      <c r="P404">
        <f t="shared" si="37"/>
        <v>16326.4</v>
      </c>
      <c r="Q404" s="4">
        <f t="shared" si="39"/>
        <v>-10667.59456</v>
      </c>
      <c r="R404" s="18">
        <f t="shared" si="40"/>
        <v>-1.8851318839475772</v>
      </c>
    </row>
    <row r="405" spans="1:18" x14ac:dyDescent="0.3">
      <c r="A405" t="s">
        <v>907</v>
      </c>
      <c r="B405" s="7">
        <v>45497</v>
      </c>
      <c r="C405" s="2">
        <v>45512</v>
      </c>
      <c r="D405" s="4">
        <f t="shared" si="41"/>
        <v>15</v>
      </c>
      <c r="E405" s="4" t="str">
        <f>TEXT(Data!B405,"MMM-YYYY")</f>
        <v>Jan-2025</v>
      </c>
      <c r="F405" t="s">
        <v>105</v>
      </c>
      <c r="G405" t="s">
        <v>40</v>
      </c>
      <c r="H405" t="s">
        <v>92</v>
      </c>
      <c r="I405" t="s">
        <v>57</v>
      </c>
      <c r="J405" s="4">
        <v>501.5</v>
      </c>
      <c r="K405" s="8" t="str">
        <f t="shared" si="38"/>
        <v>High</v>
      </c>
      <c r="L405" s="4">
        <v>1201.47</v>
      </c>
      <c r="M405" s="4">
        <v>0.126</v>
      </c>
      <c r="N405" s="4">
        <v>5</v>
      </c>
      <c r="O405" s="4">
        <f t="shared" si="36"/>
        <v>9079.5053000000007</v>
      </c>
      <c r="P405">
        <f t="shared" si="37"/>
        <v>2507.5</v>
      </c>
      <c r="Q405" s="4">
        <f t="shared" si="39"/>
        <v>6572.0053000000007</v>
      </c>
      <c r="R405" s="18">
        <f t="shared" si="40"/>
        <v>0.72382856585809807</v>
      </c>
    </row>
    <row r="406" spans="1:18" x14ac:dyDescent="0.3">
      <c r="A406" t="s">
        <v>909</v>
      </c>
      <c r="B406" s="7">
        <v>45677</v>
      </c>
      <c r="C406" s="2">
        <v>45691</v>
      </c>
      <c r="D406" s="4">
        <f t="shared" si="41"/>
        <v>14</v>
      </c>
      <c r="E406" s="4" t="str">
        <f>TEXT(Data!B406,"MMM-YYYY")</f>
        <v>Mar-2023</v>
      </c>
      <c r="F406" t="s">
        <v>105</v>
      </c>
      <c r="G406" t="s">
        <v>40</v>
      </c>
      <c r="H406" t="s">
        <v>84</v>
      </c>
      <c r="I406" t="s">
        <v>22</v>
      </c>
      <c r="J406" s="4">
        <v>974.11</v>
      </c>
      <c r="K406" s="8" t="str">
        <f t="shared" si="38"/>
        <v>High</v>
      </c>
      <c r="L406" s="4">
        <v>880.99</v>
      </c>
      <c r="M406" s="4">
        <v>0.111</v>
      </c>
      <c r="N406" s="4">
        <v>10</v>
      </c>
      <c r="O406" s="4">
        <f t="shared" si="36"/>
        <v>11831.2565</v>
      </c>
      <c r="P406">
        <f t="shared" si="37"/>
        <v>9741.1</v>
      </c>
      <c r="Q406" s="4">
        <f t="shared" si="39"/>
        <v>2090.1564999999991</v>
      </c>
      <c r="R406" s="18">
        <f t="shared" si="40"/>
        <v>0.17666394942920891</v>
      </c>
    </row>
    <row r="407" spans="1:18" x14ac:dyDescent="0.3">
      <c r="A407" t="s">
        <v>911</v>
      </c>
      <c r="B407" s="7">
        <v>44991</v>
      </c>
      <c r="C407" s="2">
        <v>45020</v>
      </c>
      <c r="D407" s="4">
        <f t="shared" si="41"/>
        <v>29</v>
      </c>
      <c r="E407" s="4" t="str">
        <f>TEXT(Data!B407,"MMM-YYYY")</f>
        <v>Dec-2024</v>
      </c>
      <c r="F407" t="s">
        <v>62</v>
      </c>
      <c r="G407" t="s">
        <v>98</v>
      </c>
      <c r="H407" t="s">
        <v>21</v>
      </c>
      <c r="I407" t="s">
        <v>64</v>
      </c>
      <c r="J407" s="4">
        <v>1126.29</v>
      </c>
      <c r="K407" s="8" t="str">
        <f t="shared" si="38"/>
        <v>High</v>
      </c>
      <c r="L407" s="4">
        <v>2050.87</v>
      </c>
      <c r="M407" s="4">
        <v>6.4000000000000001E-2</v>
      </c>
      <c r="N407" s="4">
        <v>7</v>
      </c>
      <c r="O407" s="4">
        <f t="shared" si="36"/>
        <v>18113.986799999999</v>
      </c>
      <c r="P407">
        <f t="shared" si="37"/>
        <v>7884.03</v>
      </c>
      <c r="Q407" s="4">
        <f t="shared" si="39"/>
        <v>10229.9568</v>
      </c>
      <c r="R407" s="18">
        <f t="shared" si="40"/>
        <v>0.56475456855251771</v>
      </c>
    </row>
    <row r="408" spans="1:18" x14ac:dyDescent="0.3">
      <c r="A408" t="s">
        <v>913</v>
      </c>
      <c r="B408" s="7">
        <v>45646</v>
      </c>
      <c r="C408" s="2">
        <v>45671</v>
      </c>
      <c r="D408" s="4">
        <f t="shared" si="41"/>
        <v>25</v>
      </c>
      <c r="E408" s="4" t="str">
        <f>TEXT(Data!B408,"MMM-YYYY")</f>
        <v>Feb-2025</v>
      </c>
      <c r="F408" t="s">
        <v>62</v>
      </c>
      <c r="G408" t="s">
        <v>20</v>
      </c>
      <c r="H408" t="s">
        <v>110</v>
      </c>
      <c r="I408" t="s">
        <v>30</v>
      </c>
      <c r="J408" s="4">
        <v>1361.34</v>
      </c>
      <c r="K408" s="8" t="str">
        <f t="shared" si="38"/>
        <v>High</v>
      </c>
      <c r="L408" s="4">
        <v>1737.9</v>
      </c>
      <c r="M408" s="4">
        <v>7.6999999999999999E-2</v>
      </c>
      <c r="N408" s="4">
        <v>14</v>
      </c>
      <c r="O408" s="4">
        <f t="shared" si="36"/>
        <v>3596.8387000000007</v>
      </c>
      <c r="P408">
        <f t="shared" si="37"/>
        <v>19058.759999999998</v>
      </c>
      <c r="Q408" s="4">
        <f t="shared" si="39"/>
        <v>-15461.921299999998</v>
      </c>
      <c r="R408" s="18">
        <f t="shared" si="40"/>
        <v>-4.2987530411080135</v>
      </c>
    </row>
    <row r="409" spans="1:18" x14ac:dyDescent="0.3">
      <c r="A409" t="s">
        <v>915</v>
      </c>
      <c r="B409" s="7">
        <v>45709</v>
      </c>
      <c r="C409" s="2">
        <v>45737</v>
      </c>
      <c r="D409" s="4">
        <f t="shared" si="41"/>
        <v>0</v>
      </c>
      <c r="E409" s="4" t="str">
        <f>TEXT(Data!B409,"MMM-YYYY")</f>
        <v>Mar-2025</v>
      </c>
      <c r="F409" t="s">
        <v>105</v>
      </c>
      <c r="G409" t="s">
        <v>40</v>
      </c>
      <c r="H409" t="s">
        <v>34</v>
      </c>
      <c r="I409" t="s">
        <v>42</v>
      </c>
      <c r="J409" s="4">
        <v>1437.39</v>
      </c>
      <c r="K409" s="8" t="str">
        <f t="shared" si="38"/>
        <v>High</v>
      </c>
      <c r="L409" s="4">
        <v>1388.31</v>
      </c>
      <c r="M409" s="4">
        <v>0.13800000000000001</v>
      </c>
      <c r="N409" s="4">
        <v>18</v>
      </c>
      <c r="O409" s="4">
        <f t="shared" si="36"/>
        <v>15273.329759999999</v>
      </c>
      <c r="P409">
        <f t="shared" si="37"/>
        <v>25873.02</v>
      </c>
      <c r="Q409" s="4">
        <f t="shared" si="39"/>
        <v>-10599.690240000002</v>
      </c>
      <c r="R409" s="18">
        <f t="shared" si="40"/>
        <v>-0.69399995983587026</v>
      </c>
    </row>
    <row r="410" spans="1:18" x14ac:dyDescent="0.3">
      <c r="A410" t="s">
        <v>917</v>
      </c>
      <c r="B410" s="7">
        <v>45724</v>
      </c>
      <c r="C410" s="2">
        <v>45731</v>
      </c>
      <c r="D410" s="4">
        <f t="shared" si="41"/>
        <v>7</v>
      </c>
      <c r="E410" s="4" t="str">
        <f>TEXT(Data!B410,"MMM-YYYY")</f>
        <v>Dec-2023</v>
      </c>
      <c r="F410" t="s">
        <v>19</v>
      </c>
      <c r="G410" t="s">
        <v>55</v>
      </c>
      <c r="H410" t="s">
        <v>95</v>
      </c>
      <c r="I410" t="s">
        <v>57</v>
      </c>
      <c r="J410" s="4">
        <v>475.66</v>
      </c>
      <c r="K410" s="8" t="str">
        <f t="shared" si="38"/>
        <v>High</v>
      </c>
      <c r="L410" s="4">
        <v>529.14</v>
      </c>
      <c r="M410" s="4">
        <v>0.19600000000000001</v>
      </c>
      <c r="N410" s="4">
        <v>11</v>
      </c>
      <c r="O410" s="4">
        <f t="shared" si="36"/>
        <v>1687.7889600000003</v>
      </c>
      <c r="P410">
        <f t="shared" si="37"/>
        <v>5232.26</v>
      </c>
      <c r="Q410" s="4">
        <f t="shared" si="39"/>
        <v>-3544.4710399999999</v>
      </c>
      <c r="R410" s="18">
        <f t="shared" si="40"/>
        <v>-2.1000676767076372</v>
      </c>
    </row>
    <row r="411" spans="1:18" x14ac:dyDescent="0.3">
      <c r="A411" t="s">
        <v>919</v>
      </c>
      <c r="B411" s="7">
        <v>45276</v>
      </c>
      <c r="C411" s="2">
        <v>45279</v>
      </c>
      <c r="D411" s="4">
        <f t="shared" si="41"/>
        <v>3</v>
      </c>
      <c r="E411" s="4" t="str">
        <f>TEXT(Data!B411,"MMM-YYYY")</f>
        <v>Aug-2024</v>
      </c>
      <c r="F411" t="s">
        <v>27</v>
      </c>
      <c r="G411" t="s">
        <v>20</v>
      </c>
      <c r="H411" t="s">
        <v>75</v>
      </c>
      <c r="I411" t="s">
        <v>81</v>
      </c>
      <c r="J411" s="4">
        <v>1415.05</v>
      </c>
      <c r="K411" s="8" t="str">
        <f t="shared" si="38"/>
        <v>High</v>
      </c>
      <c r="L411" s="4">
        <v>1972.38</v>
      </c>
      <c r="M411" s="4">
        <v>0</v>
      </c>
      <c r="N411" s="4">
        <v>12</v>
      </c>
      <c r="O411" s="4">
        <f t="shared" si="36"/>
        <v>10899.599999999999</v>
      </c>
      <c r="P411">
        <f t="shared" si="37"/>
        <v>16980.599999999999</v>
      </c>
      <c r="Q411" s="4">
        <f t="shared" si="39"/>
        <v>-6081</v>
      </c>
      <c r="R411" s="18">
        <f t="shared" si="40"/>
        <v>-0.5579103820323682</v>
      </c>
    </row>
    <row r="412" spans="1:18" x14ac:dyDescent="0.3">
      <c r="A412" t="s">
        <v>921</v>
      </c>
      <c r="B412" s="7">
        <v>45534</v>
      </c>
      <c r="C412" s="2">
        <v>45540</v>
      </c>
      <c r="D412" s="4">
        <f t="shared" si="41"/>
        <v>6</v>
      </c>
      <c r="E412" s="4" t="str">
        <f>TEXT(Data!B412,"MMM-YYYY")</f>
        <v>May-2024</v>
      </c>
      <c r="F412" t="s">
        <v>27</v>
      </c>
      <c r="G412" t="s">
        <v>28</v>
      </c>
      <c r="H412" t="s">
        <v>126</v>
      </c>
      <c r="I412" t="s">
        <v>57</v>
      </c>
      <c r="J412" s="4">
        <v>466.16</v>
      </c>
      <c r="K412" s="8" t="str">
        <f t="shared" si="38"/>
        <v>High</v>
      </c>
      <c r="L412" s="4">
        <v>876.81</v>
      </c>
      <c r="M412" s="4">
        <v>0.24099999999999999</v>
      </c>
      <c r="N412" s="4">
        <v>8</v>
      </c>
      <c r="O412" s="4">
        <f t="shared" si="36"/>
        <v>1725.8445600000002</v>
      </c>
      <c r="P412">
        <f t="shared" si="37"/>
        <v>3729.28</v>
      </c>
      <c r="Q412" s="4">
        <f t="shared" si="39"/>
        <v>-2003.43544</v>
      </c>
      <c r="R412" s="18">
        <f t="shared" si="40"/>
        <v>-1.1608435002976165</v>
      </c>
    </row>
    <row r="413" spans="1:18" x14ac:dyDescent="0.3">
      <c r="A413" t="s">
        <v>923</v>
      </c>
      <c r="B413" s="7">
        <v>45430</v>
      </c>
      <c r="C413" s="2">
        <v>45433</v>
      </c>
      <c r="D413" s="4">
        <f t="shared" si="41"/>
        <v>3</v>
      </c>
      <c r="E413" s="4" t="str">
        <f>TEXT(Data!B413,"MMM-YYYY")</f>
        <v>Mar-2023</v>
      </c>
      <c r="F413" t="s">
        <v>39</v>
      </c>
      <c r="G413" t="s">
        <v>40</v>
      </c>
      <c r="H413" t="s">
        <v>145</v>
      </c>
      <c r="I413" t="s">
        <v>30</v>
      </c>
      <c r="J413" s="4">
        <v>663.66</v>
      </c>
      <c r="K413" s="8" t="str">
        <f t="shared" si="38"/>
        <v>High</v>
      </c>
      <c r="L413" s="4">
        <v>824.26</v>
      </c>
      <c r="M413" s="4">
        <v>0.23899999999999999</v>
      </c>
      <c r="N413" s="4">
        <v>11</v>
      </c>
      <c r="O413" s="4">
        <f t="shared" si="36"/>
        <v>10290.80514</v>
      </c>
      <c r="P413">
        <f t="shared" si="37"/>
        <v>7300.2599999999993</v>
      </c>
      <c r="Q413" s="4">
        <f t="shared" si="39"/>
        <v>2990.5451400000011</v>
      </c>
      <c r="R413" s="18">
        <f t="shared" si="40"/>
        <v>0.29060361160429093</v>
      </c>
    </row>
    <row r="414" spans="1:18" x14ac:dyDescent="0.3">
      <c r="A414" t="s">
        <v>925</v>
      </c>
      <c r="B414" s="7">
        <v>45002</v>
      </c>
      <c r="C414" s="2">
        <v>45022</v>
      </c>
      <c r="D414" s="4">
        <f t="shared" si="41"/>
        <v>20</v>
      </c>
      <c r="E414" s="4" t="str">
        <f>TEXT(Data!B414,"MMM-YYYY")</f>
        <v>Aug-2023</v>
      </c>
      <c r="F414" t="s">
        <v>48</v>
      </c>
      <c r="G414" t="s">
        <v>20</v>
      </c>
      <c r="H414" t="s">
        <v>68</v>
      </c>
      <c r="I414" t="s">
        <v>42</v>
      </c>
      <c r="J414" s="4">
        <v>692.18</v>
      </c>
      <c r="K414" s="8" t="str">
        <f t="shared" si="38"/>
        <v>High</v>
      </c>
      <c r="L414" s="4">
        <v>1159.3499999999999</v>
      </c>
      <c r="M414" s="4">
        <v>0.112</v>
      </c>
      <c r="N414" s="4">
        <v>2</v>
      </c>
      <c r="O414" s="4">
        <f t="shared" si="36"/>
        <v>2175.1027199999999</v>
      </c>
      <c r="P414">
        <f t="shared" si="37"/>
        <v>1384.36</v>
      </c>
      <c r="Q414" s="4">
        <f t="shared" si="39"/>
        <v>790.74271999999996</v>
      </c>
      <c r="R414" s="18">
        <f t="shared" si="40"/>
        <v>0.36354270202006828</v>
      </c>
    </row>
    <row r="415" spans="1:18" x14ac:dyDescent="0.3">
      <c r="A415" t="s">
        <v>927</v>
      </c>
      <c r="B415" s="7">
        <v>45163</v>
      </c>
      <c r="C415" s="2">
        <v>45185</v>
      </c>
      <c r="D415" s="4">
        <f t="shared" si="41"/>
        <v>22</v>
      </c>
      <c r="E415" s="4" t="str">
        <f>TEXT(Data!B415,"MMM-YYYY")</f>
        <v>Jun-2024</v>
      </c>
      <c r="F415" t="s">
        <v>19</v>
      </c>
      <c r="G415" t="s">
        <v>40</v>
      </c>
      <c r="H415" t="s">
        <v>49</v>
      </c>
      <c r="I415" t="s">
        <v>42</v>
      </c>
      <c r="J415" s="4">
        <v>1196.83</v>
      </c>
      <c r="K415" s="8" t="str">
        <f t="shared" si="38"/>
        <v>High</v>
      </c>
      <c r="L415" s="4">
        <v>2513.5100000000002</v>
      </c>
      <c r="M415" s="4">
        <v>8.3000000000000004E-2</v>
      </c>
      <c r="N415" s="4">
        <v>7</v>
      </c>
      <c r="O415" s="4">
        <f t="shared" si="36"/>
        <v>3118.7353400000002</v>
      </c>
      <c r="P415">
        <f t="shared" si="37"/>
        <v>8377.81</v>
      </c>
      <c r="Q415" s="4">
        <f t="shared" si="39"/>
        <v>-5259.0746599999993</v>
      </c>
      <c r="R415" s="18">
        <f t="shared" si="40"/>
        <v>-1.6862843706385162</v>
      </c>
    </row>
    <row r="416" spans="1:18" x14ac:dyDescent="0.3">
      <c r="A416" t="s">
        <v>929</v>
      </c>
      <c r="B416" s="7">
        <v>45449</v>
      </c>
      <c r="C416" s="2">
        <v>45467</v>
      </c>
      <c r="D416" s="4">
        <f t="shared" si="41"/>
        <v>18</v>
      </c>
      <c r="E416" s="4" t="str">
        <f>TEXT(Data!B416,"MMM-YYYY")</f>
        <v>Aug-2023</v>
      </c>
      <c r="F416" t="s">
        <v>62</v>
      </c>
      <c r="G416" t="s">
        <v>98</v>
      </c>
      <c r="H416" t="s">
        <v>92</v>
      </c>
      <c r="I416" t="s">
        <v>35</v>
      </c>
      <c r="J416" s="4">
        <v>1253.25</v>
      </c>
      <c r="K416" s="8" t="str">
        <f t="shared" si="38"/>
        <v>High</v>
      </c>
      <c r="L416" s="4">
        <v>3087.13</v>
      </c>
      <c r="M416" s="4">
        <v>7.1999999999999995E-2</v>
      </c>
      <c r="N416" s="4">
        <v>11</v>
      </c>
      <c r="O416" s="4">
        <f t="shared" si="36"/>
        <v>22569.275520000003</v>
      </c>
      <c r="P416">
        <f t="shared" si="37"/>
        <v>13785.75</v>
      </c>
      <c r="Q416" s="4">
        <f t="shared" si="39"/>
        <v>8783.5255200000029</v>
      </c>
      <c r="R416" s="18">
        <f t="shared" si="40"/>
        <v>0.38918065899884063</v>
      </c>
    </row>
    <row r="417" spans="1:18" x14ac:dyDescent="0.3">
      <c r="A417" t="s">
        <v>931</v>
      </c>
      <c r="B417" s="7">
        <v>45167</v>
      </c>
      <c r="C417" s="2">
        <v>45182</v>
      </c>
      <c r="D417" s="4">
        <f t="shared" si="41"/>
        <v>15</v>
      </c>
      <c r="E417" s="4" t="str">
        <f>TEXT(Data!B417,"MMM-YYYY")</f>
        <v>Nov-2024</v>
      </c>
      <c r="F417" t="s">
        <v>62</v>
      </c>
      <c r="G417" t="s">
        <v>40</v>
      </c>
      <c r="H417" t="s">
        <v>68</v>
      </c>
      <c r="I417" t="s">
        <v>30</v>
      </c>
      <c r="J417" s="4">
        <v>1287.6400000000001</v>
      </c>
      <c r="K417" s="8" t="str">
        <f t="shared" si="38"/>
        <v>High</v>
      </c>
      <c r="L417" s="4">
        <v>2717.15</v>
      </c>
      <c r="M417" s="4">
        <v>3.2000000000000001E-2</v>
      </c>
      <c r="N417" s="4">
        <v>7</v>
      </c>
      <c r="O417" s="4">
        <f t="shared" si="36"/>
        <v>3875.12664</v>
      </c>
      <c r="P417">
        <f t="shared" si="37"/>
        <v>9013.4800000000014</v>
      </c>
      <c r="Q417" s="4">
        <f t="shared" si="39"/>
        <v>-5138.353360000001</v>
      </c>
      <c r="R417" s="18">
        <f t="shared" si="40"/>
        <v>-1.3259833387019324</v>
      </c>
    </row>
    <row r="418" spans="1:18" x14ac:dyDescent="0.3">
      <c r="A418" t="s">
        <v>933</v>
      </c>
      <c r="B418" s="7">
        <v>45626</v>
      </c>
      <c r="C418" s="2">
        <v>45636</v>
      </c>
      <c r="D418" s="4">
        <f t="shared" si="41"/>
        <v>10</v>
      </c>
      <c r="E418" s="4" t="str">
        <f>TEXT(Data!B418,"MMM-YYYY")</f>
        <v>Jun-2025</v>
      </c>
      <c r="F418" t="s">
        <v>62</v>
      </c>
      <c r="G418" t="s">
        <v>20</v>
      </c>
      <c r="H418" t="s">
        <v>84</v>
      </c>
      <c r="I418" t="s">
        <v>81</v>
      </c>
      <c r="J418" s="4">
        <v>851.49</v>
      </c>
      <c r="K418" s="8" t="str">
        <f t="shared" si="38"/>
        <v>High</v>
      </c>
      <c r="L418" s="4">
        <v>901.79</v>
      </c>
      <c r="M418" s="4">
        <v>0.245</v>
      </c>
      <c r="N418" s="4">
        <v>16</v>
      </c>
      <c r="O418" s="4">
        <f t="shared" si="36"/>
        <v>41052.309600000001</v>
      </c>
      <c r="P418">
        <f t="shared" si="37"/>
        <v>13623.84</v>
      </c>
      <c r="Q418" s="4">
        <f t="shared" si="39"/>
        <v>27428.4696</v>
      </c>
      <c r="R418" s="18">
        <f t="shared" si="40"/>
        <v>0.66813462792358946</v>
      </c>
    </row>
    <row r="419" spans="1:18" x14ac:dyDescent="0.3">
      <c r="A419" t="s">
        <v>935</v>
      </c>
      <c r="B419" s="7">
        <v>45813</v>
      </c>
      <c r="C419" s="2">
        <v>45822</v>
      </c>
      <c r="D419" s="4">
        <f t="shared" si="41"/>
        <v>9</v>
      </c>
      <c r="E419" s="4" t="str">
        <f>TEXT(Data!B419,"MMM-YYYY")</f>
        <v>Mar-2025</v>
      </c>
      <c r="F419" t="s">
        <v>39</v>
      </c>
      <c r="G419" t="s">
        <v>20</v>
      </c>
      <c r="H419" t="s">
        <v>75</v>
      </c>
      <c r="I419" t="s">
        <v>81</v>
      </c>
      <c r="J419" s="4">
        <v>618.69000000000005</v>
      </c>
      <c r="K419" s="8" t="str">
        <f t="shared" si="38"/>
        <v>High</v>
      </c>
      <c r="L419" s="4">
        <v>796.15</v>
      </c>
      <c r="M419" s="4">
        <v>0.09</v>
      </c>
      <c r="N419" s="4">
        <v>11</v>
      </c>
      <c r="O419" s="4">
        <f t="shared" si="36"/>
        <v>1948.1462000000001</v>
      </c>
      <c r="P419">
        <f t="shared" si="37"/>
        <v>6805.59</v>
      </c>
      <c r="Q419" s="4">
        <f t="shared" si="39"/>
        <v>-4857.4438</v>
      </c>
      <c r="R419" s="18">
        <f t="shared" si="40"/>
        <v>-2.4933671815801093</v>
      </c>
    </row>
    <row r="420" spans="1:18" x14ac:dyDescent="0.3">
      <c r="A420" t="s">
        <v>937</v>
      </c>
      <c r="B420" s="7">
        <v>45730</v>
      </c>
      <c r="C420" s="2">
        <v>45755</v>
      </c>
      <c r="D420" s="4">
        <f t="shared" si="41"/>
        <v>25</v>
      </c>
      <c r="E420" s="4" t="str">
        <f>TEXT(Data!B420,"MMM-YYYY")</f>
        <v>Jan-2024</v>
      </c>
      <c r="F420" t="s">
        <v>19</v>
      </c>
      <c r="G420" t="s">
        <v>55</v>
      </c>
      <c r="H420" t="s">
        <v>145</v>
      </c>
      <c r="I420" t="s">
        <v>30</v>
      </c>
      <c r="J420" s="4">
        <v>80.59</v>
      </c>
      <c r="K420" s="8" t="str">
        <f t="shared" si="38"/>
        <v>Medium</v>
      </c>
      <c r="L420" s="4">
        <v>157.82</v>
      </c>
      <c r="M420" s="4">
        <v>0.217</v>
      </c>
      <c r="N420" s="4">
        <v>6</v>
      </c>
      <c r="O420" s="4">
        <f t="shared" si="36"/>
        <v>4846.6447200000002</v>
      </c>
      <c r="P420">
        <f t="shared" si="37"/>
        <v>483.54</v>
      </c>
      <c r="Q420" s="4">
        <f t="shared" si="39"/>
        <v>4363.1047200000003</v>
      </c>
      <c r="R420" s="18">
        <f t="shared" si="40"/>
        <v>0.90023201040409662</v>
      </c>
    </row>
    <row r="421" spans="1:18" x14ac:dyDescent="0.3">
      <c r="A421" t="s">
        <v>939</v>
      </c>
      <c r="B421" s="7">
        <v>45307</v>
      </c>
      <c r="C421" s="2">
        <v>45333</v>
      </c>
      <c r="D421" s="4">
        <f t="shared" si="41"/>
        <v>26</v>
      </c>
      <c r="E421" s="4" t="str">
        <f>TEXT(Data!B421,"MMM-YYYY")</f>
        <v>Oct-2023</v>
      </c>
      <c r="F421" t="s">
        <v>39</v>
      </c>
      <c r="G421" t="s">
        <v>55</v>
      </c>
      <c r="H421" t="s">
        <v>63</v>
      </c>
      <c r="I421" t="s">
        <v>64</v>
      </c>
      <c r="J421" s="4">
        <v>504.93</v>
      </c>
      <c r="K421" s="8" t="str">
        <f t="shared" si="38"/>
        <v>High</v>
      </c>
      <c r="L421" s="4">
        <v>819.06</v>
      </c>
      <c r="M421" s="4">
        <v>0.22600000000000001</v>
      </c>
      <c r="N421" s="4">
        <v>15</v>
      </c>
      <c r="O421" s="4">
        <f t="shared" si="36"/>
        <v>5749.1559000000007</v>
      </c>
      <c r="P421">
        <f t="shared" si="37"/>
        <v>7573.95</v>
      </c>
      <c r="Q421" s="4">
        <f t="shared" si="39"/>
        <v>-1824.7940999999992</v>
      </c>
      <c r="R421" s="18">
        <f t="shared" si="40"/>
        <v>-0.31740209027902672</v>
      </c>
    </row>
    <row r="422" spans="1:18" x14ac:dyDescent="0.3">
      <c r="A422" t="s">
        <v>941</v>
      </c>
      <c r="B422" s="7">
        <v>45211</v>
      </c>
      <c r="C422" s="2">
        <v>45228</v>
      </c>
      <c r="D422" s="4">
        <f t="shared" si="41"/>
        <v>17</v>
      </c>
      <c r="E422" s="4" t="str">
        <f>TEXT(Data!B422,"MMM-YYYY")</f>
        <v>Feb-2025</v>
      </c>
      <c r="F422" t="s">
        <v>39</v>
      </c>
      <c r="G422" t="s">
        <v>98</v>
      </c>
      <c r="H422" t="s">
        <v>92</v>
      </c>
      <c r="I422" t="s">
        <v>42</v>
      </c>
      <c r="J422" s="4">
        <v>1102.19</v>
      </c>
      <c r="K422" s="8" t="str">
        <f t="shared" si="38"/>
        <v>High</v>
      </c>
      <c r="L422" s="4">
        <v>1711.16</v>
      </c>
      <c r="M422" s="4">
        <v>0.151</v>
      </c>
      <c r="N422" s="4">
        <v>10</v>
      </c>
      <c r="O422" s="4">
        <f t="shared" si="36"/>
        <v>11198.649599999999</v>
      </c>
      <c r="P422">
        <f t="shared" si="37"/>
        <v>11021.900000000001</v>
      </c>
      <c r="Q422" s="4">
        <f t="shared" si="39"/>
        <v>176.74959999999737</v>
      </c>
      <c r="R422" s="18">
        <f t="shared" si="40"/>
        <v>1.5783117278711657E-2</v>
      </c>
    </row>
    <row r="423" spans="1:18" x14ac:dyDescent="0.3">
      <c r="A423" t="s">
        <v>943</v>
      </c>
      <c r="B423" s="7">
        <v>45713</v>
      </c>
      <c r="C423" s="2">
        <v>45733</v>
      </c>
      <c r="D423" s="4">
        <f t="shared" si="41"/>
        <v>20</v>
      </c>
      <c r="E423" s="4" t="str">
        <f>TEXT(Data!B423,"MMM-YYYY")</f>
        <v>Jul-2025</v>
      </c>
      <c r="F423" t="s">
        <v>39</v>
      </c>
      <c r="G423" t="s">
        <v>40</v>
      </c>
      <c r="H423" t="s">
        <v>92</v>
      </c>
      <c r="I423" t="s">
        <v>42</v>
      </c>
      <c r="J423" s="4">
        <v>1205.26</v>
      </c>
      <c r="K423" s="8" t="str">
        <f t="shared" si="38"/>
        <v>High</v>
      </c>
      <c r="L423" s="4">
        <v>1696.35</v>
      </c>
      <c r="M423" s="4">
        <v>1.9E-2</v>
      </c>
      <c r="N423" s="4">
        <v>6</v>
      </c>
      <c r="O423" s="4">
        <f t="shared" si="36"/>
        <v>1853.32482</v>
      </c>
      <c r="P423">
        <f t="shared" si="37"/>
        <v>7231.5599999999995</v>
      </c>
      <c r="Q423" s="4">
        <f t="shared" si="39"/>
        <v>-5378.2351799999997</v>
      </c>
      <c r="R423" s="18">
        <f t="shared" si="40"/>
        <v>-2.9019387869634206</v>
      </c>
    </row>
    <row r="424" spans="1:18" x14ac:dyDescent="0.3">
      <c r="A424" t="s">
        <v>945</v>
      </c>
      <c r="B424" s="7">
        <v>45841</v>
      </c>
      <c r="C424" s="2">
        <v>45844</v>
      </c>
      <c r="D424" s="4">
        <f t="shared" si="41"/>
        <v>3</v>
      </c>
      <c r="E424" s="4" t="str">
        <f>TEXT(Data!B424,"MMM-YYYY")</f>
        <v>Sept-2025</v>
      </c>
      <c r="F424" t="s">
        <v>48</v>
      </c>
      <c r="G424" t="s">
        <v>28</v>
      </c>
      <c r="H424" t="s">
        <v>1364</v>
      </c>
      <c r="I424" t="s">
        <v>57</v>
      </c>
      <c r="J424" s="4">
        <v>1313.3</v>
      </c>
      <c r="K424" s="8" t="str">
        <f t="shared" si="38"/>
        <v>High</v>
      </c>
      <c r="L424" s="4">
        <v>2884.34</v>
      </c>
      <c r="M424" s="4">
        <v>0.157</v>
      </c>
      <c r="N424" s="4">
        <v>42</v>
      </c>
      <c r="O424" s="4">
        <f t="shared" si="36"/>
        <v>78253.279020000002</v>
      </c>
      <c r="P424">
        <f t="shared" si="37"/>
        <v>55158.6</v>
      </c>
      <c r="Q424" s="4">
        <f t="shared" si="39"/>
        <v>23094.679020000003</v>
      </c>
      <c r="R424" s="18">
        <f t="shared" si="40"/>
        <v>0.29512730085211453</v>
      </c>
    </row>
    <row r="425" spans="1:18" x14ac:dyDescent="0.3">
      <c r="A425" t="s">
        <v>947</v>
      </c>
      <c r="B425" s="7">
        <v>45915</v>
      </c>
      <c r="C425" s="2">
        <v>45925</v>
      </c>
      <c r="D425" s="4">
        <f t="shared" si="41"/>
        <v>10</v>
      </c>
      <c r="E425" s="4" t="str">
        <f>TEXT(Data!B425,"MMM-YYYY")</f>
        <v>Feb-2024</v>
      </c>
      <c r="F425" t="s">
        <v>48</v>
      </c>
      <c r="G425" t="s">
        <v>20</v>
      </c>
      <c r="H425" t="s">
        <v>75</v>
      </c>
      <c r="I425" t="s">
        <v>42</v>
      </c>
      <c r="J425" s="4">
        <v>1488.91</v>
      </c>
      <c r="K425" s="8" t="str">
        <f t="shared" si="38"/>
        <v>High</v>
      </c>
      <c r="L425" s="4">
        <v>1483.74</v>
      </c>
      <c r="M425" s="4">
        <v>0.16800000000000001</v>
      </c>
      <c r="N425" s="4">
        <v>24</v>
      </c>
      <c r="O425" s="4">
        <f t="shared" si="36"/>
        <v>20866.559999999998</v>
      </c>
      <c r="P425">
        <f t="shared" si="37"/>
        <v>35733.840000000004</v>
      </c>
      <c r="Q425" s="4">
        <f t="shared" si="39"/>
        <v>-14867.280000000006</v>
      </c>
      <c r="R425" s="18">
        <f t="shared" si="40"/>
        <v>-0.71249309900625724</v>
      </c>
    </row>
    <row r="426" spans="1:18" x14ac:dyDescent="0.3">
      <c r="A426" t="s">
        <v>949</v>
      </c>
      <c r="B426" s="7">
        <v>45341</v>
      </c>
      <c r="C426" s="2">
        <v>45357</v>
      </c>
      <c r="D426" s="4">
        <f t="shared" si="41"/>
        <v>16</v>
      </c>
      <c r="E426" s="4" t="str">
        <f>TEXT(Data!B426,"MMM-YYYY")</f>
        <v>Feb-2024</v>
      </c>
      <c r="F426" t="s">
        <v>27</v>
      </c>
      <c r="G426" t="s">
        <v>40</v>
      </c>
      <c r="H426" t="s">
        <v>68</v>
      </c>
      <c r="I426" t="s">
        <v>30</v>
      </c>
      <c r="J426" s="4">
        <v>1477.84</v>
      </c>
      <c r="K426" s="8" t="str">
        <f t="shared" si="38"/>
        <v>High</v>
      </c>
      <c r="L426" s="4">
        <v>3197.47</v>
      </c>
      <c r="M426" s="4">
        <v>0.24299999999999999</v>
      </c>
      <c r="N426" s="4">
        <v>24</v>
      </c>
      <c r="O426" s="4">
        <f t="shared" si="36"/>
        <v>38737.627919999999</v>
      </c>
      <c r="P426">
        <f t="shared" si="37"/>
        <v>35468.159999999996</v>
      </c>
      <c r="Q426" s="4">
        <f t="shared" si="39"/>
        <v>3269.4679200000028</v>
      </c>
      <c r="R426" s="18">
        <f t="shared" si="40"/>
        <v>8.4400312965781696E-2</v>
      </c>
    </row>
    <row r="427" spans="1:18" x14ac:dyDescent="0.3">
      <c r="A427" t="s">
        <v>951</v>
      </c>
      <c r="B427" s="7">
        <v>45349</v>
      </c>
      <c r="C427" s="2">
        <v>45377</v>
      </c>
      <c r="D427" s="4">
        <f t="shared" si="41"/>
        <v>28</v>
      </c>
      <c r="E427" s="4" t="str">
        <f>TEXT(Data!B427,"MMM-YYYY")</f>
        <v>Aug-2025</v>
      </c>
      <c r="F427" t="s">
        <v>27</v>
      </c>
      <c r="G427" t="s">
        <v>40</v>
      </c>
      <c r="H427" t="s">
        <v>41</v>
      </c>
      <c r="I427" t="s">
        <v>57</v>
      </c>
      <c r="J427" s="4">
        <v>1035.19</v>
      </c>
      <c r="K427" s="8" t="str">
        <f t="shared" si="38"/>
        <v>High</v>
      </c>
      <c r="L427" s="4">
        <v>2322.6999999999998</v>
      </c>
      <c r="M427" s="4">
        <v>0.17299999999999999</v>
      </c>
      <c r="N427" s="4">
        <v>8</v>
      </c>
      <c r="O427" s="4">
        <f t="shared" si="36"/>
        <v>13903.854800000001</v>
      </c>
      <c r="P427">
        <f t="shared" si="37"/>
        <v>8281.52</v>
      </c>
      <c r="Q427" s="4">
        <f t="shared" si="39"/>
        <v>5622.3348000000005</v>
      </c>
      <c r="R427" s="18">
        <f t="shared" si="40"/>
        <v>0.40437237592555986</v>
      </c>
    </row>
    <row r="428" spans="1:18" x14ac:dyDescent="0.3">
      <c r="A428" t="s">
        <v>953</v>
      </c>
      <c r="B428" s="7">
        <v>45897</v>
      </c>
      <c r="C428" s="2">
        <v>45905</v>
      </c>
      <c r="D428" s="4">
        <f t="shared" si="41"/>
        <v>8</v>
      </c>
      <c r="E428" s="4" t="str">
        <f>TEXT(Data!B428,"MMM-YYYY")</f>
        <v>Aug-2024</v>
      </c>
      <c r="F428" t="s">
        <v>62</v>
      </c>
      <c r="G428" t="s">
        <v>40</v>
      </c>
      <c r="H428" t="s">
        <v>63</v>
      </c>
      <c r="I428" t="s">
        <v>57</v>
      </c>
      <c r="J428" s="4">
        <v>1271.0999999999999</v>
      </c>
      <c r="K428" s="8" t="str">
        <f t="shared" si="38"/>
        <v>High</v>
      </c>
      <c r="L428" s="4">
        <v>1932.42</v>
      </c>
      <c r="M428" s="4">
        <v>0.25</v>
      </c>
      <c r="N428" s="4">
        <v>21</v>
      </c>
      <c r="O428" s="4">
        <f t="shared" si="36"/>
        <v>33475.68</v>
      </c>
      <c r="P428">
        <f t="shared" si="37"/>
        <v>26693.1</v>
      </c>
      <c r="Q428" s="4">
        <f t="shared" si="39"/>
        <v>6782.5800000000017</v>
      </c>
      <c r="R428" s="18">
        <f t="shared" si="40"/>
        <v>0.20261216501053905</v>
      </c>
    </row>
    <row r="429" spans="1:18" x14ac:dyDescent="0.3">
      <c r="A429" t="s">
        <v>955</v>
      </c>
      <c r="B429" s="7">
        <v>45522</v>
      </c>
      <c r="C429" s="2">
        <v>45547</v>
      </c>
      <c r="D429" s="4">
        <f t="shared" si="41"/>
        <v>25</v>
      </c>
      <c r="E429" s="4" t="str">
        <f>TEXT(Data!B429,"MMM-YYYY")</f>
        <v>Feb-2024</v>
      </c>
      <c r="F429" t="s">
        <v>48</v>
      </c>
      <c r="G429" t="s">
        <v>40</v>
      </c>
      <c r="H429" t="s">
        <v>21</v>
      </c>
      <c r="I429" t="s">
        <v>42</v>
      </c>
      <c r="J429" s="4">
        <v>1154.03</v>
      </c>
      <c r="K429" s="8" t="str">
        <f t="shared" si="38"/>
        <v>High</v>
      </c>
      <c r="L429" s="4">
        <v>1590.36</v>
      </c>
      <c r="M429" s="4">
        <v>0.314</v>
      </c>
      <c r="N429" s="4">
        <v>18</v>
      </c>
      <c r="O429" s="4">
        <f t="shared" si="36"/>
        <v>8801.0369999999984</v>
      </c>
      <c r="P429">
        <f t="shared" si="37"/>
        <v>20772.54</v>
      </c>
      <c r="Q429" s="4">
        <f t="shared" si="39"/>
        <v>-11971.503000000002</v>
      </c>
      <c r="R429" s="18">
        <f t="shared" si="40"/>
        <v>-1.360237776525653</v>
      </c>
    </row>
    <row r="430" spans="1:18" x14ac:dyDescent="0.3">
      <c r="A430" t="s">
        <v>957</v>
      </c>
      <c r="B430" s="7">
        <v>45347</v>
      </c>
      <c r="C430" s="2">
        <v>45360</v>
      </c>
      <c r="D430" s="4">
        <f t="shared" si="41"/>
        <v>13</v>
      </c>
      <c r="E430" s="4" t="str">
        <f>TEXT(Data!B430,"MMM-YYYY")</f>
        <v>May-2025</v>
      </c>
      <c r="F430" t="s">
        <v>62</v>
      </c>
      <c r="G430" t="s">
        <v>55</v>
      </c>
      <c r="H430" t="s">
        <v>63</v>
      </c>
      <c r="I430" t="s">
        <v>64</v>
      </c>
      <c r="J430" s="4">
        <v>322.44</v>
      </c>
      <c r="K430" s="8" t="str">
        <f t="shared" si="38"/>
        <v>High</v>
      </c>
      <c r="L430" s="4">
        <v>395.61</v>
      </c>
      <c r="M430" s="4">
        <v>0</v>
      </c>
      <c r="N430" s="4">
        <v>34</v>
      </c>
      <c r="O430" s="4">
        <f t="shared" si="36"/>
        <v>53340.22</v>
      </c>
      <c r="P430">
        <f t="shared" si="37"/>
        <v>10962.96</v>
      </c>
      <c r="Q430" s="4">
        <f t="shared" si="39"/>
        <v>42377.26</v>
      </c>
      <c r="R430" s="18">
        <f t="shared" si="40"/>
        <v>0.79447103892709858</v>
      </c>
    </row>
    <row r="431" spans="1:18" x14ac:dyDescent="0.3">
      <c r="A431" t="s">
        <v>959</v>
      </c>
      <c r="B431" s="7">
        <v>45784</v>
      </c>
      <c r="C431" s="2">
        <v>45790</v>
      </c>
      <c r="D431" s="4">
        <f t="shared" si="41"/>
        <v>6</v>
      </c>
      <c r="E431" s="4" t="str">
        <f>TEXT(Data!B431,"MMM-YYYY")</f>
        <v>Nov-2024</v>
      </c>
      <c r="F431" t="s">
        <v>105</v>
      </c>
      <c r="G431" t="s">
        <v>98</v>
      </c>
      <c r="H431" t="s">
        <v>29</v>
      </c>
      <c r="I431" t="s">
        <v>42</v>
      </c>
      <c r="J431" s="4">
        <v>935.98</v>
      </c>
      <c r="K431" s="8" t="str">
        <f t="shared" si="38"/>
        <v>High</v>
      </c>
      <c r="L431" s="4">
        <v>2077.69</v>
      </c>
      <c r="M431" s="4">
        <v>0.17499999999999999</v>
      </c>
      <c r="N431" s="4">
        <v>24</v>
      </c>
      <c r="O431" s="4">
        <f t="shared" si="36"/>
        <v>41071.932000000001</v>
      </c>
      <c r="P431">
        <f t="shared" si="37"/>
        <v>22463.52</v>
      </c>
      <c r="Q431" s="4">
        <f t="shared" si="39"/>
        <v>18608.412</v>
      </c>
      <c r="R431" s="18">
        <f t="shared" si="40"/>
        <v>0.4530688256885505</v>
      </c>
    </row>
    <row r="432" spans="1:18" x14ac:dyDescent="0.3">
      <c r="A432" t="s">
        <v>961</v>
      </c>
      <c r="B432" s="7">
        <v>45597</v>
      </c>
      <c r="C432" s="2">
        <v>45608</v>
      </c>
      <c r="D432" s="4">
        <f t="shared" si="41"/>
        <v>11</v>
      </c>
      <c r="E432" s="4" t="str">
        <f>TEXT(Data!B432,"MMM-YYYY")</f>
        <v>Dec-2024</v>
      </c>
      <c r="F432" t="s">
        <v>48</v>
      </c>
      <c r="G432" t="s">
        <v>28</v>
      </c>
      <c r="H432" t="s">
        <v>56</v>
      </c>
      <c r="I432" t="s">
        <v>30</v>
      </c>
      <c r="J432" s="4">
        <v>599.84</v>
      </c>
      <c r="K432" s="8" t="str">
        <f t="shared" si="38"/>
        <v>High</v>
      </c>
      <c r="L432" s="4">
        <v>1330.85</v>
      </c>
      <c r="M432" s="4">
        <v>0.115</v>
      </c>
      <c r="N432" s="4">
        <v>11</v>
      </c>
      <c r="O432" s="4">
        <f t="shared" si="36"/>
        <v>4820.6746499999999</v>
      </c>
      <c r="P432">
        <f t="shared" si="37"/>
        <v>6598.2400000000007</v>
      </c>
      <c r="Q432" s="4">
        <f t="shared" si="39"/>
        <v>-1777.5653500000008</v>
      </c>
      <c r="R432" s="18">
        <f t="shared" si="40"/>
        <v>-0.36873787987330792</v>
      </c>
    </row>
    <row r="433" spans="1:18" x14ac:dyDescent="0.3">
      <c r="A433" t="s">
        <v>963</v>
      </c>
      <c r="B433" s="7">
        <v>45654</v>
      </c>
      <c r="C433" s="2">
        <v>45665</v>
      </c>
      <c r="D433" s="4">
        <f t="shared" si="41"/>
        <v>11</v>
      </c>
      <c r="E433" s="4" t="str">
        <f>TEXT(Data!B433,"MMM-YYYY")</f>
        <v>Oct-2023</v>
      </c>
      <c r="F433" t="s">
        <v>105</v>
      </c>
      <c r="G433" t="s">
        <v>28</v>
      </c>
      <c r="H433" t="s">
        <v>95</v>
      </c>
      <c r="I433" t="s">
        <v>57</v>
      </c>
      <c r="J433" s="4">
        <v>1201.31</v>
      </c>
      <c r="K433" s="8" t="str">
        <f t="shared" si="38"/>
        <v>High</v>
      </c>
      <c r="L433" s="4">
        <v>2764.65</v>
      </c>
      <c r="M433" s="4">
        <v>0</v>
      </c>
      <c r="N433" s="4">
        <v>21</v>
      </c>
      <c r="O433" s="4">
        <f t="shared" si="36"/>
        <v>15909.390000000001</v>
      </c>
      <c r="P433">
        <f t="shared" si="37"/>
        <v>25227.51</v>
      </c>
      <c r="Q433" s="4">
        <f t="shared" si="39"/>
        <v>-9318.1199999999972</v>
      </c>
      <c r="R433" s="18">
        <f t="shared" si="40"/>
        <v>-0.58569938885148942</v>
      </c>
    </row>
    <row r="434" spans="1:18" x14ac:dyDescent="0.3">
      <c r="A434" t="s">
        <v>965</v>
      </c>
      <c r="B434" s="7">
        <v>45220</v>
      </c>
      <c r="C434" s="2">
        <v>45220</v>
      </c>
      <c r="D434" s="4">
        <f t="shared" si="41"/>
        <v>0</v>
      </c>
      <c r="E434" s="4" t="str">
        <f>TEXT(Data!B434,"MMM-YYYY")</f>
        <v>Dec-2024</v>
      </c>
      <c r="F434" t="s">
        <v>105</v>
      </c>
      <c r="G434" t="s">
        <v>55</v>
      </c>
      <c r="H434" t="s">
        <v>29</v>
      </c>
      <c r="I434" t="s">
        <v>64</v>
      </c>
      <c r="J434" s="4">
        <v>384.19</v>
      </c>
      <c r="K434" s="8" t="str">
        <f t="shared" si="38"/>
        <v>High</v>
      </c>
      <c r="L434" s="4">
        <v>278.35000000000002</v>
      </c>
      <c r="M434" s="4">
        <v>5.6000000000000001E-2</v>
      </c>
      <c r="N434" s="4">
        <v>10</v>
      </c>
      <c r="O434" s="4">
        <f t="shared" si="36"/>
        <v>3926.6623999999993</v>
      </c>
      <c r="P434">
        <f t="shared" si="37"/>
        <v>3841.9</v>
      </c>
      <c r="Q434" s="4">
        <f t="shared" si="39"/>
        <v>84.762399999999161</v>
      </c>
      <c r="R434" s="18">
        <f t="shared" si="40"/>
        <v>2.1586373200812775E-2</v>
      </c>
    </row>
    <row r="435" spans="1:18" x14ac:dyDescent="0.3">
      <c r="A435" t="s">
        <v>967</v>
      </c>
      <c r="B435" s="7">
        <v>45636</v>
      </c>
      <c r="C435" s="2">
        <v>45645</v>
      </c>
      <c r="D435" s="4">
        <f t="shared" si="41"/>
        <v>9</v>
      </c>
      <c r="E435" s="4" t="str">
        <f>TEXT(Data!B435,"MMM-YYYY")</f>
        <v>Sept-2024</v>
      </c>
      <c r="F435" t="s">
        <v>19</v>
      </c>
      <c r="G435" t="s">
        <v>20</v>
      </c>
      <c r="H435" t="s">
        <v>68</v>
      </c>
      <c r="I435" t="s">
        <v>64</v>
      </c>
      <c r="J435" s="4">
        <v>488.68</v>
      </c>
      <c r="K435" s="8" t="str">
        <f t="shared" si="38"/>
        <v>High</v>
      </c>
      <c r="L435" s="4">
        <v>984.36</v>
      </c>
      <c r="M435" s="4">
        <v>5.8999999999999997E-2</v>
      </c>
      <c r="N435" s="4">
        <v>14</v>
      </c>
      <c r="O435" s="4">
        <f t="shared" si="36"/>
        <v>24647.104860000003</v>
      </c>
      <c r="P435">
        <f t="shared" si="37"/>
        <v>6841.52</v>
      </c>
      <c r="Q435" s="4">
        <f t="shared" si="39"/>
        <v>17805.584860000003</v>
      </c>
      <c r="R435" s="18">
        <f t="shared" si="40"/>
        <v>0.72242094806424251</v>
      </c>
    </row>
    <row r="436" spans="1:18" x14ac:dyDescent="0.3">
      <c r="A436" t="s">
        <v>969</v>
      </c>
      <c r="B436" s="7">
        <v>45542</v>
      </c>
      <c r="C436" s="2">
        <v>45553</v>
      </c>
      <c r="D436" s="4">
        <f t="shared" si="41"/>
        <v>11</v>
      </c>
      <c r="E436" s="4" t="str">
        <f>TEXT(Data!B436,"MMM-YYYY")</f>
        <v>Oct-2023</v>
      </c>
      <c r="F436" t="s">
        <v>48</v>
      </c>
      <c r="G436" t="s">
        <v>55</v>
      </c>
      <c r="H436" t="s">
        <v>68</v>
      </c>
      <c r="I436" t="s">
        <v>35</v>
      </c>
      <c r="J436" s="4">
        <v>181.74</v>
      </c>
      <c r="K436" s="8" t="str">
        <f t="shared" si="38"/>
        <v>Medium</v>
      </c>
      <c r="L436" s="4">
        <v>190.84</v>
      </c>
      <c r="M436" s="4">
        <v>0.214</v>
      </c>
      <c r="N436" s="4">
        <v>13</v>
      </c>
      <c r="O436" s="4">
        <f t="shared" si="36"/>
        <v>2113.89984</v>
      </c>
      <c r="P436">
        <f t="shared" si="37"/>
        <v>2362.62</v>
      </c>
      <c r="Q436" s="4">
        <f t="shared" si="39"/>
        <v>-248.72015999999985</v>
      </c>
      <c r="R436" s="18">
        <f t="shared" si="40"/>
        <v>-0.11765938730569177</v>
      </c>
    </row>
    <row r="437" spans="1:18" x14ac:dyDescent="0.3">
      <c r="A437" t="s">
        <v>971</v>
      </c>
      <c r="B437" s="7">
        <v>45217</v>
      </c>
      <c r="C437" s="2">
        <v>45219</v>
      </c>
      <c r="D437" s="4">
        <f t="shared" si="41"/>
        <v>2</v>
      </c>
      <c r="E437" s="4" t="str">
        <f>TEXT(Data!B437,"MMM-YYYY")</f>
        <v>Dec-2024</v>
      </c>
      <c r="F437" t="s">
        <v>48</v>
      </c>
      <c r="G437" t="s">
        <v>20</v>
      </c>
      <c r="H437" t="s">
        <v>29</v>
      </c>
      <c r="I437" t="s">
        <v>42</v>
      </c>
      <c r="J437" s="4">
        <v>774.12</v>
      </c>
      <c r="K437" s="8" t="str">
        <f t="shared" si="38"/>
        <v>High</v>
      </c>
      <c r="L437" s="4">
        <v>908.3</v>
      </c>
      <c r="M437" s="4">
        <v>0</v>
      </c>
      <c r="N437" s="4">
        <v>30</v>
      </c>
      <c r="O437" s="4">
        <f t="shared" si="36"/>
        <v>1884.6</v>
      </c>
      <c r="P437">
        <f t="shared" si="37"/>
        <v>23223.599999999999</v>
      </c>
      <c r="Q437" s="4">
        <f t="shared" si="39"/>
        <v>-21339</v>
      </c>
      <c r="R437" s="18">
        <f t="shared" si="40"/>
        <v>-11.322827125119389</v>
      </c>
    </row>
    <row r="438" spans="1:18" x14ac:dyDescent="0.3">
      <c r="A438" t="s">
        <v>973</v>
      </c>
      <c r="B438" s="7">
        <v>45650</v>
      </c>
      <c r="C438" s="2">
        <v>45670</v>
      </c>
      <c r="D438" s="4">
        <f t="shared" si="41"/>
        <v>20</v>
      </c>
      <c r="E438" s="4" t="str">
        <f>TEXT(Data!B438,"MMM-YYYY")</f>
        <v>Apr-2023</v>
      </c>
      <c r="F438" t="s">
        <v>19</v>
      </c>
      <c r="G438" t="s">
        <v>40</v>
      </c>
      <c r="H438" t="s">
        <v>145</v>
      </c>
      <c r="I438" t="s">
        <v>35</v>
      </c>
      <c r="J438" s="4">
        <v>126.15</v>
      </c>
      <c r="K438" s="8" t="str">
        <f t="shared" si="38"/>
        <v>High</v>
      </c>
      <c r="L438" s="4">
        <v>284.23</v>
      </c>
      <c r="M438" s="4">
        <v>0.113</v>
      </c>
      <c r="N438" s="4">
        <v>22</v>
      </c>
      <c r="O438" s="4">
        <f t="shared" si="36"/>
        <v>18664.94586</v>
      </c>
      <c r="P438">
        <f t="shared" si="37"/>
        <v>2775.3</v>
      </c>
      <c r="Q438" s="4">
        <f t="shared" si="39"/>
        <v>15889.645860000001</v>
      </c>
      <c r="R438" s="18">
        <f t="shared" si="40"/>
        <v>0.85130950709331443</v>
      </c>
    </row>
    <row r="439" spans="1:18" x14ac:dyDescent="0.3">
      <c r="A439" t="s">
        <v>975</v>
      </c>
      <c r="B439" s="7">
        <v>45037</v>
      </c>
      <c r="C439" s="2">
        <v>45035</v>
      </c>
      <c r="D439" s="4">
        <f>DATEDIF(C439,B439, "MD")</f>
        <v>2</v>
      </c>
      <c r="E439" s="4" t="str">
        <f>TEXT(Data!B439,"MMM-YYYY")</f>
        <v>Dec-2023</v>
      </c>
      <c r="F439" t="s">
        <v>62</v>
      </c>
      <c r="G439" t="s">
        <v>98</v>
      </c>
      <c r="H439" t="s">
        <v>110</v>
      </c>
      <c r="I439" t="s">
        <v>22</v>
      </c>
      <c r="J439" s="4">
        <v>607.04</v>
      </c>
      <c r="K439" s="8" t="str">
        <f t="shared" si="38"/>
        <v>High</v>
      </c>
      <c r="L439" s="4">
        <v>1229.3399999999999</v>
      </c>
      <c r="M439" s="4">
        <v>0.14699999999999999</v>
      </c>
      <c r="N439" s="4">
        <v>7</v>
      </c>
      <c r="O439" s="4">
        <f t="shared" si="36"/>
        <v>989.39469999999983</v>
      </c>
      <c r="P439">
        <f t="shared" si="37"/>
        <v>4249.28</v>
      </c>
      <c r="Q439" s="4">
        <f t="shared" si="39"/>
        <v>-3259.8852999999999</v>
      </c>
      <c r="R439" s="18">
        <f t="shared" si="40"/>
        <v>-3.2948279387387061</v>
      </c>
    </row>
    <row r="440" spans="1:18" x14ac:dyDescent="0.3">
      <c r="A440" t="s">
        <v>977</v>
      </c>
      <c r="B440" s="7">
        <v>45290</v>
      </c>
      <c r="C440" s="2">
        <v>45299</v>
      </c>
      <c r="D440" s="4">
        <f t="shared" si="41"/>
        <v>9</v>
      </c>
      <c r="E440" s="4" t="str">
        <f>TEXT(Data!B440,"MMM-YYYY")</f>
        <v>Feb-2023</v>
      </c>
      <c r="F440" t="s">
        <v>48</v>
      </c>
      <c r="G440" t="s">
        <v>40</v>
      </c>
      <c r="H440" t="s">
        <v>49</v>
      </c>
      <c r="I440" t="s">
        <v>81</v>
      </c>
      <c r="J440" s="4">
        <v>861.1</v>
      </c>
      <c r="K440" s="8" t="str">
        <f t="shared" si="38"/>
        <v>High</v>
      </c>
      <c r="L440" s="4">
        <v>1224.72</v>
      </c>
      <c r="M440" s="4">
        <v>0.17399999999999999</v>
      </c>
      <c r="N440" s="4">
        <v>24</v>
      </c>
      <c r="O440" s="4">
        <f t="shared" si="36"/>
        <v>12060.128640000001</v>
      </c>
      <c r="P440">
        <f t="shared" si="37"/>
        <v>20666.400000000001</v>
      </c>
      <c r="Q440" s="4">
        <f t="shared" si="39"/>
        <v>-8606.2713600000006</v>
      </c>
      <c r="R440" s="18">
        <f t="shared" si="40"/>
        <v>-0.71361356225135586</v>
      </c>
    </row>
    <row r="441" spans="1:18" x14ac:dyDescent="0.3">
      <c r="A441" t="s">
        <v>979</v>
      </c>
      <c r="B441" s="7">
        <v>44978</v>
      </c>
      <c r="C441" s="2">
        <v>44997</v>
      </c>
      <c r="D441" s="4">
        <f t="shared" si="41"/>
        <v>19</v>
      </c>
      <c r="E441" s="4" t="str">
        <f>TEXT(Data!B441,"MMM-YYYY")</f>
        <v>May-2023</v>
      </c>
      <c r="F441" t="s">
        <v>19</v>
      </c>
      <c r="G441" t="s">
        <v>28</v>
      </c>
      <c r="H441" t="s">
        <v>84</v>
      </c>
      <c r="I441" t="s">
        <v>35</v>
      </c>
      <c r="J441" s="4">
        <v>352.65</v>
      </c>
      <c r="K441" s="8" t="str">
        <f t="shared" si="38"/>
        <v>High</v>
      </c>
      <c r="L441" s="4">
        <v>485.86</v>
      </c>
      <c r="M441" s="4">
        <v>4.1000000000000002E-2</v>
      </c>
      <c r="N441" s="4">
        <v>6</v>
      </c>
      <c r="O441" s="4">
        <f t="shared" si="36"/>
        <v>15339.646139999999</v>
      </c>
      <c r="P441">
        <f t="shared" si="37"/>
        <v>2115.8999999999996</v>
      </c>
      <c r="Q441" s="4">
        <f t="shared" si="39"/>
        <v>13223.746139999999</v>
      </c>
      <c r="R441" s="18">
        <f t="shared" si="40"/>
        <v>0.86206331093371624</v>
      </c>
    </row>
    <row r="442" spans="1:18" x14ac:dyDescent="0.3">
      <c r="A442" t="s">
        <v>981</v>
      </c>
      <c r="B442" s="7">
        <v>45063</v>
      </c>
      <c r="C442" s="2">
        <v>45080</v>
      </c>
      <c r="D442" s="4">
        <f t="shared" si="41"/>
        <v>17</v>
      </c>
      <c r="E442" s="4" t="str">
        <f>TEXT(Data!B442,"MMM-YYYY")</f>
        <v>Mar-2024</v>
      </c>
      <c r="F442" t="s">
        <v>39</v>
      </c>
      <c r="G442" t="s">
        <v>55</v>
      </c>
      <c r="H442" t="s">
        <v>110</v>
      </c>
      <c r="I442" t="s">
        <v>30</v>
      </c>
      <c r="J442" s="4">
        <v>979.59</v>
      </c>
      <c r="K442" s="8" t="str">
        <f t="shared" si="38"/>
        <v>High</v>
      </c>
      <c r="L442" s="4">
        <v>2210.94</v>
      </c>
      <c r="M442" s="4">
        <v>0.15</v>
      </c>
      <c r="N442" s="4">
        <v>11</v>
      </c>
      <c r="O442" s="4">
        <f t="shared" si="36"/>
        <v>5497.3325000000004</v>
      </c>
      <c r="P442">
        <f t="shared" si="37"/>
        <v>10775.49</v>
      </c>
      <c r="Q442" s="4">
        <f t="shared" si="39"/>
        <v>-5278.1574999999993</v>
      </c>
      <c r="R442" s="18">
        <f t="shared" si="40"/>
        <v>-0.96013066337173514</v>
      </c>
    </row>
    <row r="443" spans="1:18" x14ac:dyDescent="0.3">
      <c r="A443" t="s">
        <v>983</v>
      </c>
      <c r="B443" s="7">
        <v>45374</v>
      </c>
      <c r="C443" s="2">
        <v>45377</v>
      </c>
      <c r="D443" s="4">
        <f t="shared" si="41"/>
        <v>3</v>
      </c>
      <c r="E443" s="4" t="str">
        <f>TEXT(Data!B443,"MMM-YYYY")</f>
        <v>Sept-2023</v>
      </c>
      <c r="F443" t="s">
        <v>27</v>
      </c>
      <c r="G443" t="s">
        <v>98</v>
      </c>
      <c r="H443" t="s">
        <v>41</v>
      </c>
      <c r="I443" t="s">
        <v>42</v>
      </c>
      <c r="J443" s="4">
        <v>382.21</v>
      </c>
      <c r="K443" s="8" t="str">
        <f t="shared" si="38"/>
        <v>High</v>
      </c>
      <c r="L443" s="4">
        <v>571.89</v>
      </c>
      <c r="M443" s="4">
        <v>0.14799999999999999</v>
      </c>
      <c r="N443" s="4">
        <v>26</v>
      </c>
      <c r="O443" s="4">
        <f t="shared" si="36"/>
        <v>48582.215760000006</v>
      </c>
      <c r="P443">
        <f t="shared" si="37"/>
        <v>9937.4599999999991</v>
      </c>
      <c r="Q443" s="4">
        <f t="shared" si="39"/>
        <v>38644.755760000007</v>
      </c>
      <c r="R443" s="18">
        <f t="shared" si="40"/>
        <v>0.79545066348781124</v>
      </c>
    </row>
    <row r="444" spans="1:18" x14ac:dyDescent="0.3">
      <c r="A444" t="s">
        <v>985</v>
      </c>
      <c r="B444" s="7">
        <v>45189</v>
      </c>
      <c r="C444" s="2">
        <v>45197</v>
      </c>
      <c r="D444" s="4">
        <f t="shared" si="41"/>
        <v>8</v>
      </c>
      <c r="E444" s="4" t="str">
        <f>TEXT(Data!B444,"MMM-YYYY")</f>
        <v>Aug-2024</v>
      </c>
      <c r="F444" t="s">
        <v>19</v>
      </c>
      <c r="G444" t="s">
        <v>1364</v>
      </c>
      <c r="H444" t="s">
        <v>56</v>
      </c>
      <c r="I444" t="s">
        <v>81</v>
      </c>
      <c r="J444" s="4">
        <v>1362.06</v>
      </c>
      <c r="K444" s="8" t="str">
        <f t="shared" si="38"/>
        <v>High</v>
      </c>
      <c r="L444" s="4">
        <v>3398.37</v>
      </c>
      <c r="M444" s="4">
        <v>0.157</v>
      </c>
      <c r="N444" s="4">
        <v>11</v>
      </c>
      <c r="O444" s="4">
        <f t="shared" si="36"/>
        <v>20287.469400000002</v>
      </c>
      <c r="P444">
        <f t="shared" si="37"/>
        <v>14982.66</v>
      </c>
      <c r="Q444" s="4">
        <f t="shared" si="39"/>
        <v>5304.8094000000019</v>
      </c>
      <c r="R444" s="18">
        <f t="shared" si="40"/>
        <v>0.26148206537775487</v>
      </c>
    </row>
    <row r="445" spans="1:18" x14ac:dyDescent="0.3">
      <c r="A445" t="s">
        <v>987</v>
      </c>
      <c r="B445" s="7">
        <v>45526</v>
      </c>
      <c r="C445" s="2">
        <v>45539</v>
      </c>
      <c r="D445" s="4">
        <f t="shared" si="41"/>
        <v>13</v>
      </c>
      <c r="E445" s="4" t="str">
        <f>TEXT(Data!B445,"MMM-YYYY")</f>
        <v>Sept-2024</v>
      </c>
      <c r="F445" t="s">
        <v>39</v>
      </c>
      <c r="G445" t="s">
        <v>20</v>
      </c>
      <c r="H445" t="s">
        <v>49</v>
      </c>
      <c r="I445" t="s">
        <v>30</v>
      </c>
      <c r="J445" s="4">
        <v>90.04</v>
      </c>
      <c r="K445" s="8" t="str">
        <f t="shared" si="38"/>
        <v>Medium</v>
      </c>
      <c r="L445" s="4">
        <v>194.62</v>
      </c>
      <c r="M445" s="4">
        <v>4.2999999999999997E-2</v>
      </c>
      <c r="N445" s="4">
        <v>32</v>
      </c>
      <c r="O445" s="4">
        <f t="shared" si="36"/>
        <v>30688.61664</v>
      </c>
      <c r="P445">
        <f t="shared" si="37"/>
        <v>2881.28</v>
      </c>
      <c r="Q445" s="4">
        <f t="shared" si="39"/>
        <v>27807.336640000001</v>
      </c>
      <c r="R445" s="18">
        <f t="shared" si="40"/>
        <v>0.90611241836673417</v>
      </c>
    </row>
    <row r="446" spans="1:18" x14ac:dyDescent="0.3">
      <c r="A446" t="s">
        <v>989</v>
      </c>
      <c r="B446" s="7">
        <v>45560</v>
      </c>
      <c r="C446" s="2">
        <v>45568</v>
      </c>
      <c r="D446" s="4">
        <f t="shared" si="41"/>
        <v>8</v>
      </c>
      <c r="E446" s="4" t="str">
        <f>TEXT(Data!B446,"MMM-YYYY")</f>
        <v>Jun-2023</v>
      </c>
      <c r="F446" t="s">
        <v>48</v>
      </c>
      <c r="G446" t="s">
        <v>28</v>
      </c>
      <c r="H446" t="s">
        <v>63</v>
      </c>
      <c r="I446" t="s">
        <v>30</v>
      </c>
      <c r="J446" s="4">
        <v>558.19000000000005</v>
      </c>
      <c r="K446" s="8" t="str">
        <f t="shared" si="38"/>
        <v>High</v>
      </c>
      <c r="L446" s="4">
        <v>1031.6400000000001</v>
      </c>
      <c r="M446" s="4">
        <v>0</v>
      </c>
      <c r="N446" s="4">
        <v>21</v>
      </c>
      <c r="O446" s="4">
        <f t="shared" si="36"/>
        <v>19189.38</v>
      </c>
      <c r="P446">
        <f t="shared" si="37"/>
        <v>11721.990000000002</v>
      </c>
      <c r="Q446" s="4">
        <f t="shared" si="39"/>
        <v>7467.3899999999994</v>
      </c>
      <c r="R446" s="18">
        <f t="shared" si="40"/>
        <v>0.3891418065617544</v>
      </c>
    </row>
    <row r="447" spans="1:18" x14ac:dyDescent="0.3">
      <c r="A447" t="s">
        <v>991</v>
      </c>
      <c r="B447" s="7">
        <v>45090</v>
      </c>
      <c r="C447" s="2">
        <v>45101</v>
      </c>
      <c r="D447" s="4">
        <f t="shared" si="41"/>
        <v>11</v>
      </c>
      <c r="E447" s="4" t="str">
        <f>TEXT(Data!B447,"MMM-YYYY")</f>
        <v>Dec-2023</v>
      </c>
      <c r="F447" t="s">
        <v>19</v>
      </c>
      <c r="G447" t="s">
        <v>28</v>
      </c>
      <c r="H447" t="s">
        <v>21</v>
      </c>
      <c r="I447" t="s">
        <v>30</v>
      </c>
      <c r="J447" s="4">
        <v>247.07</v>
      </c>
      <c r="K447" s="8" t="str">
        <f t="shared" si="38"/>
        <v>High</v>
      </c>
      <c r="L447" s="4">
        <v>495.19</v>
      </c>
      <c r="M447" s="4">
        <v>2.8000000000000001E-2</v>
      </c>
      <c r="N447" s="4">
        <v>4</v>
      </c>
      <c r="O447" s="4">
        <f t="shared" si="36"/>
        <v>7167.5668799999994</v>
      </c>
      <c r="P447">
        <f t="shared" si="37"/>
        <v>988.28</v>
      </c>
      <c r="Q447" s="4">
        <f t="shared" si="39"/>
        <v>6179.2868799999997</v>
      </c>
      <c r="R447" s="18">
        <f t="shared" si="40"/>
        <v>0.86211778466167588</v>
      </c>
    </row>
    <row r="448" spans="1:18" x14ac:dyDescent="0.3">
      <c r="A448" t="s">
        <v>993</v>
      </c>
      <c r="B448" s="7">
        <v>45284</v>
      </c>
      <c r="C448" s="2">
        <v>45304</v>
      </c>
      <c r="D448" s="4">
        <f t="shared" si="41"/>
        <v>20</v>
      </c>
      <c r="E448" s="4" t="str">
        <f>TEXT(Data!B448,"MMM-YYYY")</f>
        <v>Mar-2025</v>
      </c>
      <c r="F448" t="s">
        <v>27</v>
      </c>
      <c r="G448" t="s">
        <v>98</v>
      </c>
      <c r="H448" t="s">
        <v>56</v>
      </c>
      <c r="I448" t="s">
        <v>57</v>
      </c>
      <c r="J448" s="4">
        <v>625.37</v>
      </c>
      <c r="K448" s="8" t="str">
        <f t="shared" si="38"/>
        <v>High</v>
      </c>
      <c r="L448" s="4">
        <v>1319.04</v>
      </c>
      <c r="M448" s="4">
        <v>7.3999999999999996E-2</v>
      </c>
      <c r="N448" s="4">
        <v>8</v>
      </c>
      <c r="O448" s="4">
        <f t="shared" si="36"/>
        <v>10249.7088</v>
      </c>
      <c r="P448">
        <f t="shared" si="37"/>
        <v>5002.96</v>
      </c>
      <c r="Q448" s="4">
        <f t="shared" si="39"/>
        <v>5246.7488000000003</v>
      </c>
      <c r="R448" s="18">
        <f t="shared" si="40"/>
        <v>0.51189247444766428</v>
      </c>
    </row>
    <row r="449" spans="1:18" x14ac:dyDescent="0.3">
      <c r="A449" t="s">
        <v>995</v>
      </c>
      <c r="B449" s="7">
        <v>45746</v>
      </c>
      <c r="C449" s="2">
        <v>45776</v>
      </c>
      <c r="D449" s="4">
        <f t="shared" si="41"/>
        <v>30</v>
      </c>
      <c r="E449" s="4" t="str">
        <f>TEXT(Data!B449,"MMM-YYYY")</f>
        <v>Jun-2024</v>
      </c>
      <c r="F449" t="s">
        <v>48</v>
      </c>
      <c r="G449" t="s">
        <v>40</v>
      </c>
      <c r="H449" t="s">
        <v>29</v>
      </c>
      <c r="I449" t="s">
        <v>64</v>
      </c>
      <c r="J449" s="4">
        <v>194.6</v>
      </c>
      <c r="K449" s="8" t="str">
        <f t="shared" si="38"/>
        <v>High</v>
      </c>
      <c r="L449" s="4">
        <v>314.87</v>
      </c>
      <c r="M449" s="4">
        <v>0.29299999999999998</v>
      </c>
      <c r="N449" s="4">
        <v>25</v>
      </c>
      <c r="O449" s="4">
        <f t="shared" si="36"/>
        <v>28077.267750000003</v>
      </c>
      <c r="P449">
        <f t="shared" si="37"/>
        <v>4865</v>
      </c>
      <c r="Q449" s="4">
        <f t="shared" si="39"/>
        <v>23212.267750000003</v>
      </c>
      <c r="R449" s="18">
        <f t="shared" si="40"/>
        <v>0.82672815448718295</v>
      </c>
    </row>
    <row r="450" spans="1:18" x14ac:dyDescent="0.3">
      <c r="A450" t="s">
        <v>997</v>
      </c>
      <c r="B450" s="7">
        <v>45446</v>
      </c>
      <c r="C450" s="2">
        <v>45467</v>
      </c>
      <c r="D450" s="4">
        <f t="shared" si="41"/>
        <v>21</v>
      </c>
      <c r="E450" s="4" t="str">
        <f>TEXT(Data!B450,"MMM-YYYY")</f>
        <v>Jun-2024</v>
      </c>
      <c r="F450" t="s">
        <v>62</v>
      </c>
      <c r="G450" t="s">
        <v>98</v>
      </c>
      <c r="H450" t="s">
        <v>41</v>
      </c>
      <c r="I450" t="s">
        <v>64</v>
      </c>
      <c r="J450" s="4">
        <v>1205.5</v>
      </c>
      <c r="K450" s="8" t="str">
        <f t="shared" si="38"/>
        <v>High</v>
      </c>
      <c r="L450" s="4">
        <v>2210.17</v>
      </c>
      <c r="M450" s="4">
        <v>0.104</v>
      </c>
      <c r="N450" s="4">
        <v>23</v>
      </c>
      <c r="O450" s="4">
        <f t="shared" ref="O450:O513" si="42">(L476*N450)*(1-M450)</f>
        <v>27698.182399999998</v>
      </c>
      <c r="P450">
        <f t="shared" ref="P450:P513" si="43">(J450*N450)</f>
        <v>27726.5</v>
      </c>
      <c r="Q450" s="4">
        <f t="shared" si="39"/>
        <v>-28.31760000000213</v>
      </c>
      <c r="R450" s="18">
        <f t="shared" si="40"/>
        <v>-1.0223631136172362E-3</v>
      </c>
    </row>
    <row r="451" spans="1:18" x14ac:dyDescent="0.3">
      <c r="A451" t="s">
        <v>999</v>
      </c>
      <c r="B451" s="7">
        <v>45454</v>
      </c>
      <c r="C451" s="2">
        <v>45482</v>
      </c>
      <c r="D451" s="4">
        <f t="shared" si="41"/>
        <v>28</v>
      </c>
      <c r="E451" s="4" t="str">
        <f>TEXT(Data!B451,"MMM-YYYY")</f>
        <v>Jul-2023</v>
      </c>
      <c r="F451" t="s">
        <v>19</v>
      </c>
      <c r="G451" t="s">
        <v>40</v>
      </c>
      <c r="H451" t="s">
        <v>34</v>
      </c>
      <c r="I451" t="s">
        <v>42</v>
      </c>
      <c r="J451" s="4">
        <v>895.54</v>
      </c>
      <c r="K451" s="8" t="str">
        <f t="shared" ref="K451:K514" si="44">IF(L451&lt;50, "Low", IF(L451&lt;200, "Medium", "High"))</f>
        <v>High</v>
      </c>
      <c r="L451" s="4">
        <v>1045</v>
      </c>
      <c r="M451" s="4">
        <v>0.216</v>
      </c>
      <c r="N451" s="4">
        <v>15</v>
      </c>
      <c r="O451" s="4">
        <f t="shared" si="42"/>
        <v>15173.8104</v>
      </c>
      <c r="P451">
        <f t="shared" si="43"/>
        <v>13433.099999999999</v>
      </c>
      <c r="Q451" s="4">
        <f t="shared" ref="Q451:Q514" si="45">(O451-P451)</f>
        <v>1740.7104000000018</v>
      </c>
      <c r="R451" s="18">
        <f t="shared" ref="R451:R514" si="46">(Q451/O451)</f>
        <v>0.11471808030499721</v>
      </c>
    </row>
    <row r="452" spans="1:18" x14ac:dyDescent="0.3">
      <c r="A452" t="s">
        <v>1001</v>
      </c>
      <c r="B452" s="7">
        <v>45129</v>
      </c>
      <c r="C452" s="2">
        <v>45128</v>
      </c>
      <c r="D452" s="4">
        <f>DATEDIF(C452,B452, "MD")</f>
        <v>1</v>
      </c>
      <c r="E452" s="4" t="str">
        <f>TEXT(Data!B452,"MMM-YYYY")</f>
        <v>Jan-2023</v>
      </c>
      <c r="F452" t="s">
        <v>62</v>
      </c>
      <c r="G452" t="s">
        <v>55</v>
      </c>
      <c r="H452" t="s">
        <v>63</v>
      </c>
      <c r="I452" t="s">
        <v>30</v>
      </c>
      <c r="J452" s="4">
        <v>946.99</v>
      </c>
      <c r="K452" s="8" t="str">
        <f t="shared" si="44"/>
        <v>High</v>
      </c>
      <c r="L452" s="4">
        <v>2132.19</v>
      </c>
      <c r="M452" s="4">
        <v>0.16500000000000001</v>
      </c>
      <c r="N452" s="4">
        <v>7</v>
      </c>
      <c r="O452" s="4">
        <f t="shared" si="42"/>
        <v>1295.1351000000002</v>
      </c>
      <c r="P452">
        <f t="shared" si="43"/>
        <v>6628.93</v>
      </c>
      <c r="Q452" s="4">
        <f t="shared" si="45"/>
        <v>-5333.7948999999999</v>
      </c>
      <c r="R452" s="18">
        <f t="shared" si="46"/>
        <v>-4.1183308984522151</v>
      </c>
    </row>
    <row r="453" spans="1:18" x14ac:dyDescent="0.3">
      <c r="A453" t="s">
        <v>1003</v>
      </c>
      <c r="B453" s="7">
        <v>44945</v>
      </c>
      <c r="C453" s="2">
        <v>44960</v>
      </c>
      <c r="D453" s="4">
        <f t="shared" ref="D453:D516" si="47">DATEDIF(B453,C453, "MD")</f>
        <v>15</v>
      </c>
      <c r="E453" s="4" t="str">
        <f>TEXT(Data!B453,"MMM-YYYY")</f>
        <v>May-2024</v>
      </c>
      <c r="F453" t="s">
        <v>105</v>
      </c>
      <c r="G453" t="s">
        <v>55</v>
      </c>
      <c r="H453" t="s">
        <v>41</v>
      </c>
      <c r="I453" t="s">
        <v>81</v>
      </c>
      <c r="J453" s="4">
        <v>873.06</v>
      </c>
      <c r="K453" s="8" t="str">
        <f t="shared" si="44"/>
        <v>High</v>
      </c>
      <c r="L453" s="4">
        <v>2101.5500000000002</v>
      </c>
      <c r="M453" s="4">
        <v>6.6000000000000003E-2</v>
      </c>
      <c r="N453" s="4">
        <v>10</v>
      </c>
      <c r="O453" s="4">
        <f t="shared" si="42"/>
        <v>3365.5755999999997</v>
      </c>
      <c r="P453">
        <f t="shared" si="43"/>
        <v>8730.5999999999985</v>
      </c>
      <c r="Q453" s="4">
        <f t="shared" si="45"/>
        <v>-5365.0243999999984</v>
      </c>
      <c r="R453" s="18">
        <f t="shared" si="46"/>
        <v>-1.5940882148064062</v>
      </c>
    </row>
    <row r="454" spans="1:18" x14ac:dyDescent="0.3">
      <c r="A454" t="s">
        <v>1005</v>
      </c>
      <c r="B454" s="7">
        <v>45413</v>
      </c>
      <c r="C454" s="2">
        <v>45428</v>
      </c>
      <c r="D454" s="4">
        <f t="shared" si="47"/>
        <v>15</v>
      </c>
      <c r="E454" s="4" t="str">
        <f>TEXT(Data!B454,"MMM-YYYY")</f>
        <v>Jun-2025</v>
      </c>
      <c r="F454" t="s">
        <v>62</v>
      </c>
      <c r="G454" t="s">
        <v>20</v>
      </c>
      <c r="H454" t="s">
        <v>49</v>
      </c>
      <c r="I454" t="s">
        <v>22</v>
      </c>
      <c r="J454" s="4">
        <v>901.19</v>
      </c>
      <c r="K454" s="8" t="str">
        <f t="shared" si="44"/>
        <v>High</v>
      </c>
      <c r="L454" s="4">
        <v>2125.44</v>
      </c>
      <c r="M454" s="4">
        <v>7.0999999999999994E-2</v>
      </c>
      <c r="N454" s="4">
        <v>12</v>
      </c>
      <c r="O454" s="4">
        <f t="shared" si="42"/>
        <v>28380.689880000002</v>
      </c>
      <c r="P454">
        <f t="shared" si="43"/>
        <v>10814.28</v>
      </c>
      <c r="Q454" s="4">
        <f t="shared" si="45"/>
        <v>17566.409879999999</v>
      </c>
      <c r="R454" s="18">
        <f t="shared" si="46"/>
        <v>0.61895640853956568</v>
      </c>
    </row>
    <row r="455" spans="1:18" x14ac:dyDescent="0.3">
      <c r="A455" t="s">
        <v>1007</v>
      </c>
      <c r="B455" s="7">
        <v>45817</v>
      </c>
      <c r="C455" s="2">
        <v>45832</v>
      </c>
      <c r="D455" s="4">
        <f t="shared" si="47"/>
        <v>15</v>
      </c>
      <c r="E455" s="4" t="str">
        <f>TEXT(Data!B455,"MMM-YYYY")</f>
        <v>May-2023</v>
      </c>
      <c r="F455" t="s">
        <v>19</v>
      </c>
      <c r="G455" t="s">
        <v>98</v>
      </c>
      <c r="H455" t="s">
        <v>56</v>
      </c>
      <c r="I455" t="s">
        <v>42</v>
      </c>
      <c r="J455" s="4">
        <v>400.39</v>
      </c>
      <c r="K455" s="8" t="str">
        <f t="shared" si="44"/>
        <v>High</v>
      </c>
      <c r="L455" s="4">
        <v>712.75</v>
      </c>
      <c r="M455" s="4">
        <v>0.115</v>
      </c>
      <c r="N455" s="4">
        <v>19</v>
      </c>
      <c r="O455" s="4">
        <f t="shared" si="42"/>
        <v>11761.58805</v>
      </c>
      <c r="P455">
        <f t="shared" si="43"/>
        <v>7607.41</v>
      </c>
      <c r="Q455" s="4">
        <f t="shared" si="45"/>
        <v>4154.1780500000004</v>
      </c>
      <c r="R455" s="18">
        <f t="shared" si="46"/>
        <v>0.35319873747831187</v>
      </c>
    </row>
    <row r="456" spans="1:18" x14ac:dyDescent="0.3">
      <c r="A456" t="s">
        <v>1009</v>
      </c>
      <c r="B456" s="7">
        <v>45070</v>
      </c>
      <c r="C456" s="2">
        <v>45098</v>
      </c>
      <c r="D456" s="4">
        <f t="shared" si="47"/>
        <v>28</v>
      </c>
      <c r="E456" s="4" t="str">
        <f>TEXT(Data!B456,"MMM-YYYY")</f>
        <v>Dec-2024</v>
      </c>
      <c r="F456" t="s">
        <v>62</v>
      </c>
      <c r="G456" t="s">
        <v>40</v>
      </c>
      <c r="H456" t="s">
        <v>41</v>
      </c>
      <c r="I456" t="s">
        <v>64</v>
      </c>
      <c r="J456" s="4">
        <v>813.97</v>
      </c>
      <c r="K456" s="8" t="str">
        <f t="shared" si="44"/>
        <v>High</v>
      </c>
      <c r="L456" s="4">
        <v>1568.83</v>
      </c>
      <c r="M456" s="4">
        <v>1.7000000000000001E-2</v>
      </c>
      <c r="N456" s="4">
        <v>15</v>
      </c>
      <c r="O456" s="4">
        <f t="shared" si="42"/>
        <v>40381.984049999999</v>
      </c>
      <c r="P456">
        <f t="shared" si="43"/>
        <v>12209.550000000001</v>
      </c>
      <c r="Q456" s="4">
        <f t="shared" si="45"/>
        <v>28172.434049999996</v>
      </c>
      <c r="R456" s="18">
        <f t="shared" si="46"/>
        <v>0.69764858544636066</v>
      </c>
    </row>
    <row r="457" spans="1:18" x14ac:dyDescent="0.3">
      <c r="A457" t="s">
        <v>1011</v>
      </c>
      <c r="B457" s="7">
        <v>45653</v>
      </c>
      <c r="C457" s="2">
        <v>45655</v>
      </c>
      <c r="D457" s="4">
        <f t="shared" si="47"/>
        <v>2</v>
      </c>
      <c r="E457" s="4" t="str">
        <f>TEXT(Data!B457,"MMM-YYYY")</f>
        <v>Dec-2023</v>
      </c>
      <c r="F457" t="s">
        <v>105</v>
      </c>
      <c r="G457" t="s">
        <v>40</v>
      </c>
      <c r="H457" t="s">
        <v>21</v>
      </c>
      <c r="I457" t="s">
        <v>81</v>
      </c>
      <c r="J457" s="4">
        <v>1146.72</v>
      </c>
      <c r="K457" s="8" t="str">
        <f t="shared" si="44"/>
        <v>High</v>
      </c>
      <c r="L457" s="4">
        <v>2074.34</v>
      </c>
      <c r="M457" s="4">
        <v>0.111</v>
      </c>
      <c r="N457" s="4">
        <v>8</v>
      </c>
      <c r="O457" s="4">
        <f t="shared" si="42"/>
        <v>674.07536000000005</v>
      </c>
      <c r="P457">
        <f t="shared" si="43"/>
        <v>9173.76</v>
      </c>
      <c r="Q457" s="4">
        <f t="shared" si="45"/>
        <v>-8499.6846399999995</v>
      </c>
      <c r="R457" s="18">
        <f t="shared" si="46"/>
        <v>-12.60939821327989</v>
      </c>
    </row>
    <row r="458" spans="1:18" x14ac:dyDescent="0.3">
      <c r="A458" t="s">
        <v>1013</v>
      </c>
      <c r="B458" s="7">
        <v>45265</v>
      </c>
      <c r="C458" s="2">
        <v>45272</v>
      </c>
      <c r="D458" s="4">
        <f t="shared" si="47"/>
        <v>7</v>
      </c>
      <c r="E458" s="4" t="str">
        <f>TEXT(Data!B458,"MMM-YYYY")</f>
        <v>May-2023</v>
      </c>
      <c r="F458" t="s">
        <v>19</v>
      </c>
      <c r="G458" t="s">
        <v>98</v>
      </c>
      <c r="H458" t="s">
        <v>84</v>
      </c>
      <c r="I458" t="s">
        <v>42</v>
      </c>
      <c r="J458" s="4">
        <v>307.43</v>
      </c>
      <c r="K458" s="8" t="str">
        <f t="shared" si="44"/>
        <v>High</v>
      </c>
      <c r="L458" s="4">
        <v>495.19</v>
      </c>
      <c r="M458" s="4">
        <v>0</v>
      </c>
      <c r="N458" s="4">
        <v>42</v>
      </c>
      <c r="O458" s="4">
        <f t="shared" si="42"/>
        <v>116648.7</v>
      </c>
      <c r="P458">
        <f t="shared" si="43"/>
        <v>12912.06</v>
      </c>
      <c r="Q458" s="4">
        <f t="shared" si="45"/>
        <v>103736.64</v>
      </c>
      <c r="R458" s="18">
        <f t="shared" si="46"/>
        <v>0.88930815345563219</v>
      </c>
    </row>
    <row r="459" spans="1:18" x14ac:dyDescent="0.3">
      <c r="A459" t="s">
        <v>1015</v>
      </c>
      <c r="B459" s="7">
        <v>45048</v>
      </c>
      <c r="C459" s="2">
        <v>45065</v>
      </c>
      <c r="D459" s="4">
        <f t="shared" si="47"/>
        <v>17</v>
      </c>
      <c r="E459" s="4" t="str">
        <f>TEXT(Data!B459,"MMM-YYYY")</f>
        <v>Nov-2023</v>
      </c>
      <c r="F459" t="s">
        <v>39</v>
      </c>
      <c r="G459" t="s">
        <v>98</v>
      </c>
      <c r="H459" t="s">
        <v>29</v>
      </c>
      <c r="I459" t="s">
        <v>64</v>
      </c>
      <c r="J459" s="4">
        <v>714.28</v>
      </c>
      <c r="K459" s="8" t="str">
        <f t="shared" si="44"/>
        <v>High</v>
      </c>
      <c r="L459" s="4">
        <v>757.59</v>
      </c>
      <c r="M459" s="4">
        <v>0.13600000000000001</v>
      </c>
      <c r="N459" s="4">
        <v>12</v>
      </c>
      <c r="O459" s="4">
        <f t="shared" si="42"/>
        <v>5102.9222399999999</v>
      </c>
      <c r="P459">
        <f t="shared" si="43"/>
        <v>8571.36</v>
      </c>
      <c r="Q459" s="4">
        <f t="shared" si="45"/>
        <v>-3468.4377600000007</v>
      </c>
      <c r="R459" s="18">
        <f t="shared" si="46"/>
        <v>-0.67969637726637211</v>
      </c>
    </row>
    <row r="460" spans="1:18" x14ac:dyDescent="0.3">
      <c r="A460" t="s">
        <v>1017</v>
      </c>
      <c r="B460" s="7">
        <v>45260</v>
      </c>
      <c r="C460" s="2">
        <v>45270</v>
      </c>
      <c r="D460" s="4">
        <f t="shared" si="47"/>
        <v>10</v>
      </c>
      <c r="E460" s="4" t="str">
        <f>TEXT(Data!B460,"MMM-YYYY")</f>
        <v>May-2024</v>
      </c>
      <c r="F460" t="s">
        <v>62</v>
      </c>
      <c r="G460" t="s">
        <v>98</v>
      </c>
      <c r="H460" t="s">
        <v>84</v>
      </c>
      <c r="I460" t="s">
        <v>57</v>
      </c>
      <c r="J460" s="4">
        <v>174.74</v>
      </c>
      <c r="K460" s="8" t="str">
        <f t="shared" si="44"/>
        <v>High</v>
      </c>
      <c r="L460" s="4">
        <v>415.96</v>
      </c>
      <c r="M460" s="4">
        <v>0.125</v>
      </c>
      <c r="N460" s="4">
        <v>21</v>
      </c>
      <c r="O460" s="4">
        <f t="shared" si="42"/>
        <v>35310.318749999999</v>
      </c>
      <c r="P460">
        <f t="shared" si="43"/>
        <v>3669.54</v>
      </c>
      <c r="Q460" s="4">
        <f t="shared" si="45"/>
        <v>31640.778749999998</v>
      </c>
      <c r="R460" s="18">
        <f t="shared" si="46"/>
        <v>0.89607740371927391</v>
      </c>
    </row>
    <row r="461" spans="1:18" x14ac:dyDescent="0.3">
      <c r="A461" t="s">
        <v>1019</v>
      </c>
      <c r="B461" s="7">
        <v>45417</v>
      </c>
      <c r="C461" s="2">
        <v>45430</v>
      </c>
      <c r="D461" s="4">
        <f t="shared" si="47"/>
        <v>13</v>
      </c>
      <c r="E461" s="4" t="str">
        <f>TEXT(Data!B461,"MMM-YYYY")</f>
        <v>Jul-2023</v>
      </c>
      <c r="F461" t="s">
        <v>19</v>
      </c>
      <c r="G461" t="s">
        <v>40</v>
      </c>
      <c r="H461" t="s">
        <v>75</v>
      </c>
      <c r="I461" t="s">
        <v>22</v>
      </c>
      <c r="J461" s="4">
        <v>1264.04</v>
      </c>
      <c r="K461" s="8" t="str">
        <f t="shared" si="44"/>
        <v>High</v>
      </c>
      <c r="L461" s="4">
        <v>1870.89</v>
      </c>
      <c r="M461" s="4">
        <v>0</v>
      </c>
      <c r="N461" s="4">
        <v>13</v>
      </c>
      <c r="O461" s="4">
        <f t="shared" si="42"/>
        <v>3774.29</v>
      </c>
      <c r="P461">
        <f t="shared" si="43"/>
        <v>16432.52</v>
      </c>
      <c r="Q461" s="4">
        <f t="shared" si="45"/>
        <v>-12658.23</v>
      </c>
      <c r="R461" s="18">
        <f t="shared" si="46"/>
        <v>-3.3538042916681019</v>
      </c>
    </row>
    <row r="462" spans="1:18" x14ac:dyDescent="0.3">
      <c r="A462" t="s">
        <v>1021</v>
      </c>
      <c r="B462" s="7">
        <v>45116</v>
      </c>
      <c r="C462" s="2">
        <v>45126</v>
      </c>
      <c r="D462" s="4">
        <f t="shared" si="47"/>
        <v>10</v>
      </c>
      <c r="E462" s="4" t="str">
        <f>TEXT(Data!B462,"MMM-YYYY")</f>
        <v>May-2023</v>
      </c>
      <c r="F462" t="s">
        <v>105</v>
      </c>
      <c r="G462" t="s">
        <v>55</v>
      </c>
      <c r="H462" t="s">
        <v>126</v>
      </c>
      <c r="I462" t="s">
        <v>22</v>
      </c>
      <c r="J462" s="4">
        <v>141.26</v>
      </c>
      <c r="K462" s="8" t="str">
        <f t="shared" si="44"/>
        <v>High</v>
      </c>
      <c r="L462" s="4">
        <v>206.88</v>
      </c>
      <c r="M462" s="4">
        <v>0.107</v>
      </c>
      <c r="N462" s="4">
        <v>9</v>
      </c>
      <c r="O462" s="4">
        <f t="shared" si="42"/>
        <v>4845.6680399999996</v>
      </c>
      <c r="P462">
        <f t="shared" si="43"/>
        <v>1271.3399999999999</v>
      </c>
      <c r="Q462" s="4">
        <f t="shared" si="45"/>
        <v>3574.3280399999994</v>
      </c>
      <c r="R462" s="18">
        <f t="shared" si="46"/>
        <v>0.737633698902742</v>
      </c>
    </row>
    <row r="463" spans="1:18" x14ac:dyDescent="0.3">
      <c r="A463" t="s">
        <v>1023</v>
      </c>
      <c r="B463" s="7">
        <v>45063</v>
      </c>
      <c r="C463" s="2">
        <v>45092</v>
      </c>
      <c r="D463" s="4">
        <f t="shared" si="47"/>
        <v>29</v>
      </c>
      <c r="E463" s="4" t="str">
        <f>TEXT(Data!B463,"MMM-YYYY")</f>
        <v>Mar-2024</v>
      </c>
      <c r="F463" t="s">
        <v>105</v>
      </c>
      <c r="G463" t="s">
        <v>20</v>
      </c>
      <c r="H463" t="s">
        <v>95</v>
      </c>
      <c r="I463" t="s">
        <v>81</v>
      </c>
      <c r="J463" s="4">
        <v>40.89</v>
      </c>
      <c r="K463" s="8" t="str">
        <f t="shared" si="44"/>
        <v>Medium</v>
      </c>
      <c r="L463" s="4">
        <v>62.82</v>
      </c>
      <c r="M463" s="4">
        <v>0.129</v>
      </c>
      <c r="N463" s="4">
        <v>17</v>
      </c>
      <c r="O463" s="4">
        <f t="shared" si="42"/>
        <v>30761.5425</v>
      </c>
      <c r="P463">
        <f t="shared" si="43"/>
        <v>695.13</v>
      </c>
      <c r="Q463" s="4">
        <f t="shared" si="45"/>
        <v>30066.412499999999</v>
      </c>
      <c r="R463" s="18">
        <f t="shared" si="46"/>
        <v>0.97740262862306071</v>
      </c>
    </row>
    <row r="464" spans="1:18" x14ac:dyDescent="0.3">
      <c r="A464" t="s">
        <v>1025</v>
      </c>
      <c r="B464" s="7">
        <v>45358</v>
      </c>
      <c r="C464" s="2">
        <v>45385</v>
      </c>
      <c r="D464" s="4">
        <f t="shared" si="47"/>
        <v>27</v>
      </c>
      <c r="E464" s="4" t="str">
        <f>TEXT(Data!B464,"MMM-YYYY")</f>
        <v>Apr-2025</v>
      </c>
      <c r="F464" t="s">
        <v>19</v>
      </c>
      <c r="G464" t="s">
        <v>98</v>
      </c>
      <c r="H464" t="s">
        <v>110</v>
      </c>
      <c r="I464" t="s">
        <v>30</v>
      </c>
      <c r="J464" s="4">
        <v>738.16</v>
      </c>
      <c r="K464" s="8" t="str">
        <f t="shared" si="44"/>
        <v>High</v>
      </c>
      <c r="L464" s="4">
        <v>956.49</v>
      </c>
      <c r="M464" s="4">
        <v>0.152</v>
      </c>
      <c r="N464" s="4">
        <v>5</v>
      </c>
      <c r="O464" s="4">
        <f t="shared" si="42"/>
        <v>733.01119999999992</v>
      </c>
      <c r="P464">
        <f t="shared" si="43"/>
        <v>3690.7999999999997</v>
      </c>
      <c r="Q464" s="4">
        <f t="shared" si="45"/>
        <v>-2957.7887999999998</v>
      </c>
      <c r="R464" s="18">
        <f t="shared" si="46"/>
        <v>-4.0351208821911593</v>
      </c>
    </row>
    <row r="465" spans="1:18" x14ac:dyDescent="0.3">
      <c r="A465" t="s">
        <v>1027</v>
      </c>
      <c r="B465" s="7">
        <v>45757</v>
      </c>
      <c r="C465" s="2">
        <v>45766</v>
      </c>
      <c r="D465" s="4">
        <f t="shared" si="47"/>
        <v>9</v>
      </c>
      <c r="E465" s="4" t="str">
        <f>TEXT(Data!B465,"MMM-YYYY")</f>
        <v>Jul-2025</v>
      </c>
      <c r="F465" t="s">
        <v>105</v>
      </c>
      <c r="G465" t="s">
        <v>1364</v>
      </c>
      <c r="H465" t="s">
        <v>41</v>
      </c>
      <c r="I465" t="s">
        <v>35</v>
      </c>
      <c r="J465" s="4">
        <v>113.74</v>
      </c>
      <c r="K465" s="8" t="str">
        <f t="shared" si="44"/>
        <v>Medium</v>
      </c>
      <c r="L465" s="4">
        <v>165.7</v>
      </c>
      <c r="M465" s="4">
        <v>0.124</v>
      </c>
      <c r="N465" s="4">
        <v>13</v>
      </c>
      <c r="O465" s="4">
        <f t="shared" si="42"/>
        <v>31644.291119999994</v>
      </c>
      <c r="P465">
        <f t="shared" si="43"/>
        <v>1478.62</v>
      </c>
      <c r="Q465" s="4">
        <f t="shared" si="45"/>
        <v>30165.671119999995</v>
      </c>
      <c r="R465" s="18">
        <f t="shared" si="46"/>
        <v>0.95327372022988777</v>
      </c>
    </row>
    <row r="466" spans="1:18" x14ac:dyDescent="0.3">
      <c r="A466" t="s">
        <v>1029</v>
      </c>
      <c r="B466" s="7">
        <v>45865</v>
      </c>
      <c r="C466" s="2">
        <v>45884</v>
      </c>
      <c r="D466" s="4">
        <f t="shared" si="47"/>
        <v>19</v>
      </c>
      <c r="E466" s="4" t="str">
        <f>TEXT(Data!B466,"MMM-YYYY")</f>
        <v>Nov-2024</v>
      </c>
      <c r="F466" t="s">
        <v>62</v>
      </c>
      <c r="G466" t="s">
        <v>40</v>
      </c>
      <c r="H466" t="s">
        <v>29</v>
      </c>
      <c r="I466" t="s">
        <v>22</v>
      </c>
      <c r="J466" s="4">
        <v>275.43</v>
      </c>
      <c r="K466" s="8" t="str">
        <f t="shared" si="44"/>
        <v>High</v>
      </c>
      <c r="L466" s="4">
        <v>608.36</v>
      </c>
      <c r="M466" s="4">
        <v>0.25700000000000001</v>
      </c>
      <c r="N466" s="4">
        <v>4</v>
      </c>
      <c r="O466" s="4">
        <f t="shared" si="42"/>
        <v>919.74484000000007</v>
      </c>
      <c r="P466">
        <f t="shared" si="43"/>
        <v>1101.72</v>
      </c>
      <c r="Q466" s="4">
        <f t="shared" si="45"/>
        <v>-181.97515999999996</v>
      </c>
      <c r="R466" s="18">
        <f t="shared" si="46"/>
        <v>-0.19785396132257718</v>
      </c>
    </row>
    <row r="467" spans="1:18" x14ac:dyDescent="0.3">
      <c r="A467" t="s">
        <v>1031</v>
      </c>
      <c r="B467" s="7">
        <v>45618</v>
      </c>
      <c r="C467" s="2">
        <v>45641</v>
      </c>
      <c r="D467" s="4">
        <f t="shared" si="47"/>
        <v>23</v>
      </c>
      <c r="E467" s="4" t="str">
        <f>TEXT(Data!B467,"MMM-YYYY")</f>
        <v>Jun-2024</v>
      </c>
      <c r="F467" t="s">
        <v>39</v>
      </c>
      <c r="G467" t="s">
        <v>55</v>
      </c>
      <c r="H467" t="s">
        <v>21</v>
      </c>
      <c r="I467" t="s">
        <v>22</v>
      </c>
      <c r="J467" s="4">
        <v>1335.76</v>
      </c>
      <c r="K467" s="8" t="str">
        <f t="shared" si="44"/>
        <v>High</v>
      </c>
      <c r="L467" s="4">
        <v>2665.91</v>
      </c>
      <c r="M467" s="4">
        <v>0.21099999999999999</v>
      </c>
      <c r="N467" s="4">
        <v>40</v>
      </c>
      <c r="O467" s="4">
        <f t="shared" si="42"/>
        <v>21031.899600000001</v>
      </c>
      <c r="P467">
        <f t="shared" si="43"/>
        <v>53430.400000000001</v>
      </c>
      <c r="Q467" s="4">
        <f t="shared" si="45"/>
        <v>-32398.500400000001</v>
      </c>
      <c r="R467" s="18">
        <f t="shared" si="46"/>
        <v>-1.5404457522229709</v>
      </c>
    </row>
    <row r="468" spans="1:18" x14ac:dyDescent="0.3">
      <c r="A468" t="s">
        <v>1033</v>
      </c>
      <c r="B468" s="7">
        <v>45466</v>
      </c>
      <c r="C468" s="2">
        <v>45471</v>
      </c>
      <c r="D468" s="4">
        <f t="shared" si="47"/>
        <v>5</v>
      </c>
      <c r="E468" s="4" t="str">
        <f>TEXT(Data!B468,"MMM-YYYY")</f>
        <v>Dec-2023</v>
      </c>
      <c r="F468" t="s">
        <v>39</v>
      </c>
      <c r="G468" t="s">
        <v>98</v>
      </c>
      <c r="H468" t="s">
        <v>110</v>
      </c>
      <c r="I468" t="s">
        <v>81</v>
      </c>
      <c r="J468" s="4">
        <v>242.31</v>
      </c>
      <c r="K468" s="8" t="str">
        <f t="shared" si="44"/>
        <v>High</v>
      </c>
      <c r="L468" s="4">
        <v>587.95000000000005</v>
      </c>
      <c r="M468" s="4">
        <v>0.22900000000000001</v>
      </c>
      <c r="N468" s="4">
        <v>6</v>
      </c>
      <c r="O468" s="4">
        <f t="shared" si="42"/>
        <v>3442.9930199999999</v>
      </c>
      <c r="P468">
        <f t="shared" si="43"/>
        <v>1453.8600000000001</v>
      </c>
      <c r="Q468" s="4">
        <f t="shared" si="45"/>
        <v>1989.1330199999998</v>
      </c>
      <c r="R468" s="18">
        <f t="shared" si="46"/>
        <v>0.57773367777550699</v>
      </c>
    </row>
    <row r="469" spans="1:18" x14ac:dyDescent="0.3">
      <c r="A469" t="s">
        <v>1035</v>
      </c>
      <c r="B469" s="7">
        <v>45278</v>
      </c>
      <c r="C469" s="2">
        <v>45305</v>
      </c>
      <c r="D469" s="4">
        <f t="shared" si="47"/>
        <v>27</v>
      </c>
      <c r="E469" s="4" t="str">
        <f>TEXT(Data!B469,"MMM-YYYY")</f>
        <v>Jun-2025</v>
      </c>
      <c r="F469" t="s">
        <v>48</v>
      </c>
      <c r="G469" t="s">
        <v>55</v>
      </c>
      <c r="H469" t="s">
        <v>145</v>
      </c>
      <c r="I469" t="s">
        <v>35</v>
      </c>
      <c r="J469" s="4">
        <v>1408.3</v>
      </c>
      <c r="K469" s="8" t="str">
        <f t="shared" si="44"/>
        <v>High</v>
      </c>
      <c r="L469" s="4">
        <v>2193.13</v>
      </c>
      <c r="M469" s="4">
        <v>7.0999999999999994E-2</v>
      </c>
      <c r="N469" s="4">
        <v>7</v>
      </c>
      <c r="O469" s="4">
        <f t="shared" si="42"/>
        <v>82.523070000000004</v>
      </c>
      <c r="P469">
        <f t="shared" si="43"/>
        <v>9858.1</v>
      </c>
      <c r="Q469" s="4">
        <f t="shared" si="45"/>
        <v>-9775.5769300000011</v>
      </c>
      <c r="R469" s="18">
        <f t="shared" si="46"/>
        <v>-118.45871621111527</v>
      </c>
    </row>
    <row r="470" spans="1:18" x14ac:dyDescent="0.3">
      <c r="A470" t="s">
        <v>1037</v>
      </c>
      <c r="B470" s="7">
        <v>45809</v>
      </c>
      <c r="C470" s="2">
        <v>45813</v>
      </c>
      <c r="D470" s="4">
        <f t="shared" si="47"/>
        <v>4</v>
      </c>
      <c r="E470" s="4" t="str">
        <f>TEXT(Data!B470,"MMM-YYYY")</f>
        <v>Mar-2025</v>
      </c>
      <c r="F470" t="s">
        <v>105</v>
      </c>
      <c r="G470" t="s">
        <v>98</v>
      </c>
      <c r="H470" t="s">
        <v>110</v>
      </c>
      <c r="I470" t="s">
        <v>22</v>
      </c>
      <c r="J470" s="4">
        <v>1171.42</v>
      </c>
      <c r="K470" s="8" t="str">
        <f t="shared" si="44"/>
        <v>High</v>
      </c>
      <c r="L470" s="4">
        <v>2187.8000000000002</v>
      </c>
      <c r="M470" s="4">
        <v>0.23</v>
      </c>
      <c r="N470" s="4">
        <v>15</v>
      </c>
      <c r="O470" s="4">
        <f t="shared" si="42"/>
        <v>7525.518</v>
      </c>
      <c r="P470">
        <f t="shared" si="43"/>
        <v>17571.300000000003</v>
      </c>
      <c r="Q470" s="4">
        <f t="shared" si="45"/>
        <v>-10045.782000000003</v>
      </c>
      <c r="R470" s="18">
        <f t="shared" si="46"/>
        <v>-1.3348957506978261</v>
      </c>
    </row>
    <row r="471" spans="1:18" x14ac:dyDescent="0.3">
      <c r="A471" t="s">
        <v>1039</v>
      </c>
      <c r="B471" s="7">
        <v>45739</v>
      </c>
      <c r="C471" s="2">
        <v>45749</v>
      </c>
      <c r="D471" s="4">
        <f t="shared" si="47"/>
        <v>10</v>
      </c>
      <c r="E471" s="4" t="str">
        <f>TEXT(Data!B471,"MMM-YYYY")</f>
        <v>May-2023</v>
      </c>
      <c r="F471" t="s">
        <v>105</v>
      </c>
      <c r="G471" t="s">
        <v>28</v>
      </c>
      <c r="H471" t="s">
        <v>63</v>
      </c>
      <c r="I471" t="s">
        <v>30</v>
      </c>
      <c r="J471" s="4">
        <v>663.61</v>
      </c>
      <c r="K471" s="8" t="str">
        <f t="shared" si="44"/>
        <v>High</v>
      </c>
      <c r="L471" s="4">
        <v>1002.11</v>
      </c>
      <c r="M471" s="4">
        <v>4.5999999999999999E-2</v>
      </c>
      <c r="N471" s="4">
        <v>17</v>
      </c>
      <c r="O471" s="4">
        <f t="shared" si="42"/>
        <v>12231.93996</v>
      </c>
      <c r="P471">
        <f t="shared" si="43"/>
        <v>11281.37</v>
      </c>
      <c r="Q471" s="4">
        <f t="shared" si="45"/>
        <v>950.5699599999989</v>
      </c>
      <c r="R471" s="18">
        <f t="shared" si="46"/>
        <v>7.7712117874064429E-2</v>
      </c>
    </row>
    <row r="472" spans="1:18" x14ac:dyDescent="0.3">
      <c r="A472" t="s">
        <v>1041</v>
      </c>
      <c r="B472" s="7">
        <v>45060</v>
      </c>
      <c r="C472" s="2">
        <v>45068</v>
      </c>
      <c r="D472" s="4">
        <f t="shared" si="47"/>
        <v>8</v>
      </c>
      <c r="E472" s="4" t="str">
        <f>TEXT(Data!B472,"MMM-YYYY")</f>
        <v>Aug-2023</v>
      </c>
      <c r="F472" t="s">
        <v>62</v>
      </c>
      <c r="G472" t="s">
        <v>55</v>
      </c>
      <c r="H472" t="s">
        <v>84</v>
      </c>
      <c r="I472" t="s">
        <v>30</v>
      </c>
      <c r="J472" s="4">
        <v>432.01</v>
      </c>
      <c r="K472" s="8" t="str">
        <f t="shared" si="44"/>
        <v>High</v>
      </c>
      <c r="L472" s="4">
        <v>913.78</v>
      </c>
      <c r="M472" s="4">
        <v>4.9000000000000002E-2</v>
      </c>
      <c r="N472" s="4">
        <v>12</v>
      </c>
      <c r="O472" s="4">
        <f t="shared" si="42"/>
        <v>34019.286120000004</v>
      </c>
      <c r="P472">
        <f t="shared" si="43"/>
        <v>5184.12</v>
      </c>
      <c r="Q472" s="4">
        <f t="shared" si="45"/>
        <v>28835.166120000005</v>
      </c>
      <c r="R472" s="18">
        <f t="shared" si="46"/>
        <v>0.84761232255981278</v>
      </c>
    </row>
    <row r="473" spans="1:18" x14ac:dyDescent="0.3">
      <c r="A473" t="s">
        <v>1043</v>
      </c>
      <c r="B473" s="7">
        <v>45167</v>
      </c>
      <c r="C473" s="2">
        <v>45188</v>
      </c>
      <c r="D473" s="4">
        <f t="shared" si="47"/>
        <v>21</v>
      </c>
      <c r="E473" s="4" t="str">
        <f>TEXT(Data!B473,"MMM-YYYY")</f>
        <v>Jul-2025</v>
      </c>
      <c r="F473" t="s">
        <v>62</v>
      </c>
      <c r="G473" t="s">
        <v>98</v>
      </c>
      <c r="H473" t="s">
        <v>56</v>
      </c>
      <c r="I473" t="s">
        <v>30</v>
      </c>
      <c r="J473" s="4">
        <v>784.46</v>
      </c>
      <c r="K473" s="8" t="str">
        <f t="shared" si="44"/>
        <v>High</v>
      </c>
      <c r="L473" s="4">
        <v>1843.51</v>
      </c>
      <c r="M473" s="4">
        <v>0.13800000000000001</v>
      </c>
      <c r="N473" s="4">
        <v>23</v>
      </c>
      <c r="O473" s="4">
        <f t="shared" si="42"/>
        <v>19353.546419999999</v>
      </c>
      <c r="P473">
        <f t="shared" si="43"/>
        <v>18042.580000000002</v>
      </c>
      <c r="Q473" s="4">
        <f t="shared" si="45"/>
        <v>1310.966419999997</v>
      </c>
      <c r="R473" s="18">
        <f t="shared" si="46"/>
        <v>6.7737787770268371E-2</v>
      </c>
    </row>
    <row r="474" spans="1:18" x14ac:dyDescent="0.3">
      <c r="A474" t="s">
        <v>1045</v>
      </c>
      <c r="B474" s="7">
        <v>45841</v>
      </c>
      <c r="C474" s="2">
        <v>45861</v>
      </c>
      <c r="D474" s="4">
        <f t="shared" si="47"/>
        <v>20</v>
      </c>
      <c r="E474" s="4" t="str">
        <f>TEXT(Data!B474,"MMM-YYYY")</f>
        <v>Feb-2024</v>
      </c>
      <c r="F474" t="s">
        <v>62</v>
      </c>
      <c r="G474" t="s">
        <v>28</v>
      </c>
      <c r="H474" t="s">
        <v>110</v>
      </c>
      <c r="I474" t="s">
        <v>22</v>
      </c>
      <c r="J474" s="4">
        <v>647.36</v>
      </c>
      <c r="K474" s="8" t="str">
        <f t="shared" si="44"/>
        <v>High</v>
      </c>
      <c r="L474" s="4">
        <v>1383.6</v>
      </c>
      <c r="M474" s="4">
        <v>7.3999999999999996E-2</v>
      </c>
      <c r="N474" s="4">
        <v>12</v>
      </c>
      <c r="O474" s="4">
        <f t="shared" si="42"/>
        <v>12733.240800000001</v>
      </c>
      <c r="P474">
        <f t="shared" si="43"/>
        <v>7768.32</v>
      </c>
      <c r="Q474" s="4">
        <f t="shared" si="45"/>
        <v>4964.9208000000017</v>
      </c>
      <c r="R474" s="18">
        <f t="shared" si="46"/>
        <v>0.38991807961410746</v>
      </c>
    </row>
    <row r="475" spans="1:18" x14ac:dyDescent="0.3">
      <c r="A475" t="s">
        <v>1047</v>
      </c>
      <c r="B475" s="7">
        <v>45328</v>
      </c>
      <c r="C475" s="2">
        <v>45350</v>
      </c>
      <c r="D475" s="4">
        <f t="shared" si="47"/>
        <v>22</v>
      </c>
      <c r="E475" s="4" t="str">
        <f>TEXT(Data!B475,"MMM-YYYY")</f>
        <v>Aug-2025</v>
      </c>
      <c r="F475" t="s">
        <v>39</v>
      </c>
      <c r="G475" t="s">
        <v>28</v>
      </c>
      <c r="H475" t="s">
        <v>95</v>
      </c>
      <c r="I475" t="s">
        <v>64</v>
      </c>
      <c r="J475" s="4">
        <v>834.93</v>
      </c>
      <c r="K475" s="8" t="str">
        <f t="shared" si="44"/>
        <v>High</v>
      </c>
      <c r="L475" s="4">
        <v>1588.53</v>
      </c>
      <c r="M475" s="4">
        <v>0.126</v>
      </c>
      <c r="N475" s="4">
        <v>6</v>
      </c>
      <c r="O475" s="4">
        <f t="shared" si="42"/>
        <v>8549.7651600000008</v>
      </c>
      <c r="P475">
        <f t="shared" si="43"/>
        <v>5009.58</v>
      </c>
      <c r="Q475" s="4">
        <f t="shared" si="45"/>
        <v>3540.1851600000009</v>
      </c>
      <c r="R475" s="18">
        <f t="shared" si="46"/>
        <v>0.4140681169305942</v>
      </c>
    </row>
    <row r="476" spans="1:18" x14ac:dyDescent="0.3">
      <c r="A476" t="s">
        <v>1049</v>
      </c>
      <c r="B476" s="7">
        <v>45882</v>
      </c>
      <c r="C476" s="2">
        <v>45903</v>
      </c>
      <c r="D476" s="4">
        <f t="shared" si="47"/>
        <v>21</v>
      </c>
      <c r="E476" s="4" t="str">
        <f>TEXT(Data!B476,"MMM-YYYY")</f>
        <v>May-2023</v>
      </c>
      <c r="F476" t="s">
        <v>27</v>
      </c>
      <c r="G476" t="s">
        <v>20</v>
      </c>
      <c r="H476" t="s">
        <v>34</v>
      </c>
      <c r="I476" t="s">
        <v>42</v>
      </c>
      <c r="J476" s="4">
        <v>603.47</v>
      </c>
      <c r="K476" s="8" t="str">
        <f t="shared" si="44"/>
        <v>High</v>
      </c>
      <c r="L476" s="4">
        <v>1344.05</v>
      </c>
      <c r="M476" s="4">
        <v>0.20499999999999999</v>
      </c>
      <c r="N476" s="4">
        <v>18</v>
      </c>
      <c r="O476" s="4">
        <f t="shared" si="42"/>
        <v>13790.9763</v>
      </c>
      <c r="P476">
        <f t="shared" si="43"/>
        <v>10862.460000000001</v>
      </c>
      <c r="Q476" s="4">
        <f t="shared" si="45"/>
        <v>2928.5162999999993</v>
      </c>
      <c r="R476" s="18">
        <f t="shared" si="46"/>
        <v>0.21235018002315031</v>
      </c>
    </row>
    <row r="477" spans="1:18" x14ac:dyDescent="0.3">
      <c r="A477" t="s">
        <v>1051</v>
      </c>
      <c r="B477" s="7">
        <v>45069</v>
      </c>
      <c r="C477" s="2">
        <v>45071</v>
      </c>
      <c r="D477" s="4">
        <f t="shared" si="47"/>
        <v>2</v>
      </c>
      <c r="E477" s="4" t="str">
        <f>TEXT(Data!B477,"MMM-YYYY")</f>
        <v>May-2024</v>
      </c>
      <c r="F477" t="s">
        <v>105</v>
      </c>
      <c r="G477" t="s">
        <v>20</v>
      </c>
      <c r="H477" t="s">
        <v>110</v>
      </c>
      <c r="I477" t="s">
        <v>30</v>
      </c>
      <c r="J477" s="4">
        <v>690.49</v>
      </c>
      <c r="K477" s="8" t="str">
        <f t="shared" si="44"/>
        <v>High</v>
      </c>
      <c r="L477" s="4">
        <v>1290.29</v>
      </c>
      <c r="M477" s="4">
        <v>4.2000000000000003E-2</v>
      </c>
      <c r="N477" s="4">
        <v>22</v>
      </c>
      <c r="O477" s="4">
        <f t="shared" si="42"/>
        <v>18794.101480000001</v>
      </c>
      <c r="P477">
        <f t="shared" si="43"/>
        <v>15190.78</v>
      </c>
      <c r="Q477" s="4">
        <f t="shared" si="45"/>
        <v>3603.3214800000005</v>
      </c>
      <c r="R477" s="18">
        <f t="shared" si="46"/>
        <v>0.19172619046643566</v>
      </c>
    </row>
    <row r="478" spans="1:18" x14ac:dyDescent="0.3">
      <c r="A478" t="s">
        <v>1053</v>
      </c>
      <c r="B478" s="7">
        <v>45422</v>
      </c>
      <c r="C478" s="2">
        <v>45428</v>
      </c>
      <c r="D478" s="4">
        <f t="shared" si="47"/>
        <v>6</v>
      </c>
      <c r="E478" s="4" t="str">
        <f>TEXT(Data!B478,"MMM-YYYY")</f>
        <v>Mar-2023</v>
      </c>
      <c r="F478" t="s">
        <v>39</v>
      </c>
      <c r="G478" t="s">
        <v>98</v>
      </c>
      <c r="H478" t="s">
        <v>41</v>
      </c>
      <c r="I478" t="s">
        <v>57</v>
      </c>
      <c r="J478" s="4">
        <v>210.76</v>
      </c>
      <c r="K478" s="8" t="str">
        <f t="shared" si="44"/>
        <v>High</v>
      </c>
      <c r="L478" s="4">
        <v>221.58</v>
      </c>
      <c r="M478" s="4">
        <v>8.8999999999999996E-2</v>
      </c>
      <c r="N478" s="4">
        <v>5</v>
      </c>
      <c r="O478" s="4">
        <f t="shared" si="42"/>
        <v>7596.9201000000003</v>
      </c>
      <c r="P478">
        <f t="shared" si="43"/>
        <v>1053.8</v>
      </c>
      <c r="Q478" s="4">
        <f t="shared" si="45"/>
        <v>6543.1201000000001</v>
      </c>
      <c r="R478" s="18">
        <f t="shared" si="46"/>
        <v>0.86128589137063583</v>
      </c>
    </row>
    <row r="479" spans="1:18" x14ac:dyDescent="0.3">
      <c r="A479" t="s">
        <v>1055</v>
      </c>
      <c r="B479" s="7">
        <v>44999</v>
      </c>
      <c r="C479" s="2">
        <v>45003</v>
      </c>
      <c r="D479" s="4">
        <f t="shared" si="47"/>
        <v>4</v>
      </c>
      <c r="E479" s="4" t="str">
        <f>TEXT(Data!B479,"MMM-YYYY")</f>
        <v>Jul-2023</v>
      </c>
      <c r="F479" t="s">
        <v>105</v>
      </c>
      <c r="G479" t="s">
        <v>98</v>
      </c>
      <c r="H479" t="s">
        <v>75</v>
      </c>
      <c r="I479" t="s">
        <v>22</v>
      </c>
      <c r="J479" s="4">
        <v>472.33</v>
      </c>
      <c r="K479" s="8" t="str">
        <f t="shared" si="44"/>
        <v>High</v>
      </c>
      <c r="L479" s="4">
        <v>360.34</v>
      </c>
      <c r="M479" s="4">
        <v>0.16500000000000001</v>
      </c>
      <c r="N479" s="4">
        <v>14</v>
      </c>
      <c r="O479" s="4">
        <f t="shared" si="42"/>
        <v>22462.4519</v>
      </c>
      <c r="P479">
        <f t="shared" si="43"/>
        <v>6612.62</v>
      </c>
      <c r="Q479" s="4">
        <f t="shared" si="45"/>
        <v>15849.831900000001</v>
      </c>
      <c r="R479" s="18">
        <f t="shared" si="46"/>
        <v>0.70561450595693875</v>
      </c>
    </row>
    <row r="480" spans="1:18" x14ac:dyDescent="0.3">
      <c r="A480" t="s">
        <v>1057</v>
      </c>
      <c r="B480" s="7">
        <v>45123</v>
      </c>
      <c r="C480" s="2">
        <v>45151</v>
      </c>
      <c r="D480" s="4">
        <f t="shared" si="47"/>
        <v>28</v>
      </c>
      <c r="E480" s="4" t="str">
        <f>TEXT(Data!B480,"MMM-YYYY")</f>
        <v>Apr-2023</v>
      </c>
      <c r="F480" t="s">
        <v>39</v>
      </c>
      <c r="G480" t="s">
        <v>28</v>
      </c>
      <c r="H480" t="s">
        <v>29</v>
      </c>
      <c r="I480" t="s">
        <v>57</v>
      </c>
      <c r="J480" s="4">
        <v>1039.03</v>
      </c>
      <c r="K480" s="8" t="str">
        <f t="shared" si="44"/>
        <v>High</v>
      </c>
      <c r="L480" s="4">
        <v>2545.81</v>
      </c>
      <c r="M480" s="4">
        <v>0.216</v>
      </c>
      <c r="N480" s="4">
        <v>21</v>
      </c>
      <c r="O480" s="4">
        <f t="shared" si="42"/>
        <v>20043.767520000001</v>
      </c>
      <c r="P480">
        <f t="shared" si="43"/>
        <v>21819.63</v>
      </c>
      <c r="Q480" s="4">
        <f t="shared" si="45"/>
        <v>-1775.8624799999998</v>
      </c>
      <c r="R480" s="18">
        <f t="shared" si="46"/>
        <v>-8.8599235559283701E-2</v>
      </c>
    </row>
    <row r="481" spans="1:18" x14ac:dyDescent="0.3">
      <c r="A481" t="s">
        <v>1059</v>
      </c>
      <c r="B481" s="7">
        <v>45032</v>
      </c>
      <c r="C481" s="2">
        <v>45035</v>
      </c>
      <c r="D481" s="4">
        <f t="shared" si="47"/>
        <v>3</v>
      </c>
      <c r="E481" s="4" t="str">
        <f>TEXT(Data!B481,"MMM-YYYY")</f>
        <v>Jan-2024</v>
      </c>
      <c r="F481" t="s">
        <v>19</v>
      </c>
      <c r="G481" t="s">
        <v>98</v>
      </c>
      <c r="H481" t="s">
        <v>56</v>
      </c>
      <c r="I481" t="s">
        <v>81</v>
      </c>
      <c r="J481" s="4">
        <v>553.61</v>
      </c>
      <c r="K481" s="8" t="str">
        <f t="shared" si="44"/>
        <v>High</v>
      </c>
      <c r="L481" s="4">
        <v>699.47</v>
      </c>
      <c r="M481" s="4">
        <v>0.02</v>
      </c>
      <c r="N481" s="4">
        <v>33</v>
      </c>
      <c r="O481" s="4">
        <f t="shared" si="42"/>
        <v>31378.531800000001</v>
      </c>
      <c r="P481">
        <f t="shared" si="43"/>
        <v>18269.13</v>
      </c>
      <c r="Q481" s="4">
        <f t="shared" si="45"/>
        <v>13109.4018</v>
      </c>
      <c r="R481" s="18">
        <f t="shared" si="46"/>
        <v>0.41778251078018885</v>
      </c>
    </row>
    <row r="482" spans="1:18" x14ac:dyDescent="0.3">
      <c r="A482" t="s">
        <v>1061</v>
      </c>
      <c r="B482" s="7">
        <v>45293</v>
      </c>
      <c r="C482" s="2">
        <v>45306</v>
      </c>
      <c r="D482" s="4">
        <f t="shared" si="47"/>
        <v>13</v>
      </c>
      <c r="E482" s="4" t="str">
        <f>TEXT(Data!B482,"MMM-YYYY")</f>
        <v>Sept-2024</v>
      </c>
      <c r="F482" t="s">
        <v>62</v>
      </c>
      <c r="G482" t="s">
        <v>40</v>
      </c>
      <c r="H482" t="s">
        <v>41</v>
      </c>
      <c r="I482" t="s">
        <v>35</v>
      </c>
      <c r="J482" s="4">
        <v>1219.06</v>
      </c>
      <c r="K482" s="8" t="str">
        <f t="shared" si="44"/>
        <v>High</v>
      </c>
      <c r="L482" s="4">
        <v>2738.69</v>
      </c>
      <c r="M482" s="4">
        <v>7.5999999999999998E-2</v>
      </c>
      <c r="N482" s="4">
        <v>16</v>
      </c>
      <c r="O482" s="4">
        <f t="shared" si="42"/>
        <v>24019.121280000003</v>
      </c>
      <c r="P482">
        <f t="shared" si="43"/>
        <v>19504.96</v>
      </c>
      <c r="Q482" s="4">
        <f t="shared" si="45"/>
        <v>4514.1612800000039</v>
      </c>
      <c r="R482" s="18">
        <f t="shared" si="46"/>
        <v>0.18794031752355611</v>
      </c>
    </row>
    <row r="483" spans="1:18" x14ac:dyDescent="0.3">
      <c r="A483" t="s">
        <v>1063</v>
      </c>
      <c r="B483" s="7">
        <v>45538</v>
      </c>
      <c r="C483" s="2">
        <v>45542</v>
      </c>
      <c r="D483" s="4">
        <f t="shared" si="47"/>
        <v>4</v>
      </c>
      <c r="E483" s="4" t="str">
        <f>TEXT(Data!B483,"MMM-YYYY")</f>
        <v>Aug-2025</v>
      </c>
      <c r="F483" t="s">
        <v>62</v>
      </c>
      <c r="G483" t="s">
        <v>55</v>
      </c>
      <c r="H483" t="s">
        <v>126</v>
      </c>
      <c r="I483" t="s">
        <v>30</v>
      </c>
      <c r="J483" s="4">
        <v>43.23</v>
      </c>
      <c r="K483" s="8" t="str">
        <f t="shared" si="44"/>
        <v>Medium</v>
      </c>
      <c r="L483" s="4">
        <v>94.78</v>
      </c>
      <c r="M483" s="4">
        <v>9.0999999999999998E-2</v>
      </c>
      <c r="N483" s="4">
        <v>55</v>
      </c>
      <c r="O483" s="4">
        <f t="shared" si="42"/>
        <v>130292.46945000002</v>
      </c>
      <c r="P483">
        <f t="shared" si="43"/>
        <v>2377.6499999999996</v>
      </c>
      <c r="Q483" s="4">
        <f t="shared" si="45"/>
        <v>127914.81945000002</v>
      </c>
      <c r="R483" s="18">
        <f t="shared" si="46"/>
        <v>0.98175143958790023</v>
      </c>
    </row>
    <row r="484" spans="1:18" x14ac:dyDescent="0.3">
      <c r="A484" t="s">
        <v>1065</v>
      </c>
      <c r="B484" s="7">
        <v>45899</v>
      </c>
      <c r="C484" s="2">
        <v>45903</v>
      </c>
      <c r="D484" s="4">
        <f t="shared" si="47"/>
        <v>4</v>
      </c>
      <c r="E484" s="4" t="str">
        <f>TEXT(Data!B484,"MMM-YYYY")</f>
        <v>Apr-2025</v>
      </c>
      <c r="F484" t="s">
        <v>62</v>
      </c>
      <c r="G484" t="s">
        <v>40</v>
      </c>
      <c r="H484" t="s">
        <v>29</v>
      </c>
      <c r="I484" t="s">
        <v>57</v>
      </c>
      <c r="J484" s="4">
        <v>1286.56</v>
      </c>
      <c r="K484" s="8" t="str">
        <f t="shared" si="44"/>
        <v>High</v>
      </c>
      <c r="L484" s="4">
        <v>2777.35</v>
      </c>
      <c r="M484" s="4">
        <v>0.13200000000000001</v>
      </c>
      <c r="N484" s="4">
        <v>15</v>
      </c>
      <c r="O484" s="4">
        <f t="shared" si="42"/>
        <v>5660.0544</v>
      </c>
      <c r="P484">
        <f t="shared" si="43"/>
        <v>19298.399999999998</v>
      </c>
      <c r="Q484" s="4">
        <f t="shared" si="45"/>
        <v>-13638.345599999997</v>
      </c>
      <c r="R484" s="18">
        <f t="shared" si="46"/>
        <v>-2.4095785369130014</v>
      </c>
    </row>
    <row r="485" spans="1:18" x14ac:dyDescent="0.3">
      <c r="A485" t="s">
        <v>1067</v>
      </c>
      <c r="B485" s="7">
        <v>45775</v>
      </c>
      <c r="C485" s="2">
        <v>45796</v>
      </c>
      <c r="D485" s="4">
        <f t="shared" si="47"/>
        <v>21</v>
      </c>
      <c r="E485" s="4" t="str">
        <f>TEXT(Data!B485,"MMM-YYYY")</f>
        <v>Aug-2023</v>
      </c>
      <c r="F485" t="s">
        <v>19</v>
      </c>
      <c r="G485" t="s">
        <v>55</v>
      </c>
      <c r="H485" t="s">
        <v>56</v>
      </c>
      <c r="I485" t="s">
        <v>42</v>
      </c>
      <c r="J485" s="4">
        <v>350.76</v>
      </c>
      <c r="K485" s="8" t="str">
        <f t="shared" si="44"/>
        <v>High</v>
      </c>
      <c r="L485" s="4">
        <v>492.18</v>
      </c>
      <c r="M485" s="4">
        <v>5.2999999999999999E-2</v>
      </c>
      <c r="N485" s="4">
        <v>11</v>
      </c>
      <c r="O485" s="4">
        <f t="shared" si="42"/>
        <v>19379.89097</v>
      </c>
      <c r="P485">
        <f t="shared" si="43"/>
        <v>3858.3599999999997</v>
      </c>
      <c r="Q485" s="4">
        <f t="shared" si="45"/>
        <v>15521.53097</v>
      </c>
      <c r="R485" s="18">
        <f t="shared" si="46"/>
        <v>0.80090909665215726</v>
      </c>
    </row>
    <row r="486" spans="1:18" x14ac:dyDescent="0.3">
      <c r="A486" t="s">
        <v>1069</v>
      </c>
      <c r="B486" s="7">
        <v>45148</v>
      </c>
      <c r="C486" s="2">
        <v>45153</v>
      </c>
      <c r="D486" s="4">
        <f t="shared" si="47"/>
        <v>5</v>
      </c>
      <c r="E486" s="4" t="str">
        <f>TEXT(Data!B486,"MMM-YYYY")</f>
        <v>Dec-2024</v>
      </c>
      <c r="F486" t="s">
        <v>27</v>
      </c>
      <c r="G486" t="s">
        <v>98</v>
      </c>
      <c r="H486" t="s">
        <v>41</v>
      </c>
      <c r="I486" t="s">
        <v>35</v>
      </c>
      <c r="J486" s="4">
        <v>1307.52</v>
      </c>
      <c r="K486" s="8" t="str">
        <f t="shared" si="44"/>
        <v>High</v>
      </c>
      <c r="L486" s="4">
        <v>1921.65</v>
      </c>
      <c r="M486" s="4">
        <v>0.123</v>
      </c>
      <c r="N486" s="4">
        <v>13</v>
      </c>
      <c r="O486" s="4">
        <f t="shared" si="42"/>
        <v>9504.8996900000002</v>
      </c>
      <c r="P486">
        <f t="shared" si="43"/>
        <v>16997.759999999998</v>
      </c>
      <c r="Q486" s="4">
        <f t="shared" si="45"/>
        <v>-7492.8603099999982</v>
      </c>
      <c r="R486" s="18">
        <f t="shared" si="46"/>
        <v>-0.78831555875157244</v>
      </c>
    </row>
    <row r="487" spans="1:18" x14ac:dyDescent="0.3">
      <c r="A487" t="s">
        <v>1071</v>
      </c>
      <c r="B487" s="7">
        <v>45634</v>
      </c>
      <c r="C487" s="2">
        <v>45634</v>
      </c>
      <c r="D487" s="4">
        <f t="shared" si="47"/>
        <v>0</v>
      </c>
      <c r="E487" s="4" t="str">
        <f>TEXT(Data!B487,"MMM-YYYY")</f>
        <v>Oct-2023</v>
      </c>
      <c r="F487" t="s">
        <v>105</v>
      </c>
      <c r="G487" t="s">
        <v>20</v>
      </c>
      <c r="H487" t="s">
        <v>92</v>
      </c>
      <c r="I487" t="s">
        <v>22</v>
      </c>
      <c r="J487" s="4">
        <v>257.44</v>
      </c>
      <c r="K487" s="8" t="str">
        <f t="shared" si="44"/>
        <v>High</v>
      </c>
      <c r="L487" s="4">
        <v>290.33</v>
      </c>
      <c r="M487" s="4">
        <v>9.1999999999999998E-2</v>
      </c>
      <c r="N487" s="4">
        <v>23</v>
      </c>
      <c r="O487" s="4">
        <f t="shared" si="42"/>
        <v>6964.3963200000007</v>
      </c>
      <c r="P487">
        <f t="shared" si="43"/>
        <v>5921.12</v>
      </c>
      <c r="Q487" s="4">
        <f t="shared" si="45"/>
        <v>1043.2763200000009</v>
      </c>
      <c r="R487" s="18">
        <f t="shared" si="46"/>
        <v>0.14980140015926044</v>
      </c>
    </row>
    <row r="488" spans="1:18" x14ac:dyDescent="0.3">
      <c r="A488" t="s">
        <v>1073</v>
      </c>
      <c r="B488" s="7">
        <v>45224</v>
      </c>
      <c r="C488" s="2">
        <v>45254</v>
      </c>
      <c r="D488" s="4">
        <f t="shared" si="47"/>
        <v>30</v>
      </c>
      <c r="E488" s="4" t="str">
        <f>TEXT(Data!B488,"MMM-YYYY")</f>
        <v>Nov-2024</v>
      </c>
      <c r="F488" t="s">
        <v>105</v>
      </c>
      <c r="G488" t="s">
        <v>55</v>
      </c>
      <c r="H488" t="s">
        <v>21</v>
      </c>
      <c r="I488" t="s">
        <v>42</v>
      </c>
      <c r="J488" s="4">
        <v>287.85000000000002</v>
      </c>
      <c r="K488" s="8" t="str">
        <f t="shared" si="44"/>
        <v>High</v>
      </c>
      <c r="L488" s="4">
        <v>602.91999999999996</v>
      </c>
      <c r="M488" s="4">
        <v>0.222</v>
      </c>
      <c r="N488" s="4">
        <v>11</v>
      </c>
      <c r="O488" s="4">
        <f t="shared" si="42"/>
        <v>15273.462600000001</v>
      </c>
      <c r="P488">
        <f t="shared" si="43"/>
        <v>3166.3500000000004</v>
      </c>
      <c r="Q488" s="4">
        <f t="shared" si="45"/>
        <v>12107.1126</v>
      </c>
      <c r="R488" s="18">
        <f t="shared" si="46"/>
        <v>0.79268944554851628</v>
      </c>
    </row>
    <row r="489" spans="1:18" x14ac:dyDescent="0.3">
      <c r="A489" t="s">
        <v>1075</v>
      </c>
      <c r="B489" s="7">
        <v>45613</v>
      </c>
      <c r="C489" s="2">
        <v>45624</v>
      </c>
      <c r="D489" s="4">
        <f t="shared" si="47"/>
        <v>11</v>
      </c>
      <c r="E489" s="4" t="str">
        <f>TEXT(Data!B489,"MMM-YYYY")</f>
        <v>May-2024</v>
      </c>
      <c r="F489" t="s">
        <v>48</v>
      </c>
      <c r="G489" t="s">
        <v>55</v>
      </c>
      <c r="H489" t="s">
        <v>75</v>
      </c>
      <c r="I489" t="s">
        <v>30</v>
      </c>
      <c r="J489" s="4">
        <v>1008.16</v>
      </c>
      <c r="K489" s="8" t="str">
        <f t="shared" si="44"/>
        <v>High</v>
      </c>
      <c r="L489" s="4">
        <v>2077.5</v>
      </c>
      <c r="M489" s="4">
        <v>7.3999999999999996E-2</v>
      </c>
      <c r="N489" s="4">
        <v>15</v>
      </c>
      <c r="O489" s="4">
        <f t="shared" si="42"/>
        <v>14894.108099999999</v>
      </c>
      <c r="P489">
        <f t="shared" si="43"/>
        <v>15122.4</v>
      </c>
      <c r="Q489" s="4">
        <f t="shared" si="45"/>
        <v>-228.29190000000017</v>
      </c>
      <c r="R489" s="18">
        <f t="shared" si="46"/>
        <v>-1.5327665038230801E-2</v>
      </c>
    </row>
    <row r="490" spans="1:18" x14ac:dyDescent="0.3">
      <c r="A490" t="s">
        <v>1077</v>
      </c>
      <c r="B490" s="7">
        <v>45424</v>
      </c>
      <c r="C490" s="2">
        <v>45436</v>
      </c>
      <c r="D490" s="4">
        <f t="shared" si="47"/>
        <v>12</v>
      </c>
      <c r="E490" s="4" t="str">
        <f>TEXT(Data!B490,"MMM-YYYY")</f>
        <v>May-2025</v>
      </c>
      <c r="F490" t="s">
        <v>27</v>
      </c>
      <c r="G490" t="s">
        <v>40</v>
      </c>
      <c r="H490" t="s">
        <v>95</v>
      </c>
      <c r="I490" t="s">
        <v>30</v>
      </c>
      <c r="J490" s="4">
        <v>111.02</v>
      </c>
      <c r="K490" s="8" t="str">
        <f t="shared" si="44"/>
        <v>Medium</v>
      </c>
      <c r="L490" s="4">
        <v>172.88</v>
      </c>
      <c r="M490" s="4">
        <v>0.19700000000000001</v>
      </c>
      <c r="N490" s="4">
        <v>29</v>
      </c>
      <c r="O490" s="4">
        <f t="shared" si="42"/>
        <v>70514.200349999999</v>
      </c>
      <c r="P490">
        <f t="shared" si="43"/>
        <v>3219.58</v>
      </c>
      <c r="Q490" s="4">
        <f t="shared" si="45"/>
        <v>67294.620349999997</v>
      </c>
      <c r="R490" s="18">
        <f t="shared" si="46"/>
        <v>0.95434139529315387</v>
      </c>
    </row>
    <row r="491" spans="1:18" x14ac:dyDescent="0.3">
      <c r="A491" t="s">
        <v>1079</v>
      </c>
      <c r="B491" s="7">
        <v>45792</v>
      </c>
      <c r="C491" s="2">
        <v>45813</v>
      </c>
      <c r="D491" s="4">
        <f t="shared" si="47"/>
        <v>21</v>
      </c>
      <c r="E491" s="4" t="str">
        <f>TEXT(Data!B491,"MMM-YYYY")</f>
        <v>Apr-2024</v>
      </c>
      <c r="F491" t="s">
        <v>105</v>
      </c>
      <c r="G491" t="s">
        <v>98</v>
      </c>
      <c r="H491" t="s">
        <v>92</v>
      </c>
      <c r="I491" t="s">
        <v>42</v>
      </c>
      <c r="J491" s="4">
        <v>1466.5</v>
      </c>
      <c r="K491" s="8" t="str">
        <f t="shared" si="44"/>
        <v>High</v>
      </c>
      <c r="L491" s="4">
        <v>2778.74</v>
      </c>
      <c r="M491" s="4">
        <v>0.13500000000000001</v>
      </c>
      <c r="N491" s="4">
        <v>4</v>
      </c>
      <c r="O491" s="4">
        <f t="shared" si="42"/>
        <v>3415.8503999999998</v>
      </c>
      <c r="P491">
        <f t="shared" si="43"/>
        <v>5866</v>
      </c>
      <c r="Q491" s="4">
        <f t="shared" si="45"/>
        <v>-2450.1496000000002</v>
      </c>
      <c r="R491" s="18">
        <f t="shared" si="46"/>
        <v>-0.71728832152602473</v>
      </c>
    </row>
    <row r="492" spans="1:18" x14ac:dyDescent="0.3">
      <c r="A492" t="s">
        <v>1081</v>
      </c>
      <c r="B492" s="7">
        <v>45403</v>
      </c>
      <c r="C492" s="2">
        <v>45431</v>
      </c>
      <c r="D492" s="4">
        <f t="shared" si="47"/>
        <v>28</v>
      </c>
      <c r="E492" s="4" t="str">
        <f>TEXT(Data!B492,"MMM-YYYY")</f>
        <v>Aug-2024</v>
      </c>
      <c r="F492" t="s">
        <v>19</v>
      </c>
      <c r="G492" t="s">
        <v>55</v>
      </c>
      <c r="H492" t="s">
        <v>75</v>
      </c>
      <c r="I492" t="s">
        <v>81</v>
      </c>
      <c r="J492" s="4">
        <v>187.22</v>
      </c>
      <c r="K492" s="8" t="str">
        <f t="shared" si="44"/>
        <v>High</v>
      </c>
      <c r="L492" s="4">
        <v>309.47000000000003</v>
      </c>
      <c r="M492" s="4">
        <v>0</v>
      </c>
      <c r="N492" s="4">
        <v>5</v>
      </c>
      <c r="O492" s="4">
        <f t="shared" si="42"/>
        <v>4877.1499999999996</v>
      </c>
      <c r="P492">
        <f t="shared" si="43"/>
        <v>936.1</v>
      </c>
      <c r="Q492" s="4">
        <f t="shared" si="45"/>
        <v>3941.0499999999997</v>
      </c>
      <c r="R492" s="18">
        <f t="shared" si="46"/>
        <v>0.8080641358170243</v>
      </c>
    </row>
    <row r="493" spans="1:18" x14ac:dyDescent="0.3">
      <c r="A493" t="s">
        <v>1083</v>
      </c>
      <c r="B493" s="7">
        <v>45523</v>
      </c>
      <c r="C493" s="2">
        <v>45542</v>
      </c>
      <c r="D493" s="4">
        <f t="shared" si="47"/>
        <v>19</v>
      </c>
      <c r="E493" s="4" t="str">
        <f>TEXT(Data!B493,"MMM-YYYY")</f>
        <v>Jul-2025</v>
      </c>
      <c r="F493" t="s">
        <v>19</v>
      </c>
      <c r="G493" t="s">
        <v>98</v>
      </c>
      <c r="H493" t="s">
        <v>29</v>
      </c>
      <c r="I493" t="s">
        <v>22</v>
      </c>
      <c r="J493" s="4">
        <v>297.58999999999997</v>
      </c>
      <c r="K493" s="8" t="str">
        <f t="shared" si="44"/>
        <v>High</v>
      </c>
      <c r="L493" s="4">
        <v>666.41</v>
      </c>
      <c r="M493" s="4">
        <v>0</v>
      </c>
      <c r="N493" s="4">
        <v>10</v>
      </c>
      <c r="O493" s="4">
        <f t="shared" si="42"/>
        <v>1414.3000000000002</v>
      </c>
      <c r="P493">
        <f t="shared" si="43"/>
        <v>2975.8999999999996</v>
      </c>
      <c r="Q493" s="4">
        <f t="shared" si="45"/>
        <v>-1561.5999999999995</v>
      </c>
      <c r="R493" s="18">
        <f t="shared" si="46"/>
        <v>-1.1041504631266346</v>
      </c>
    </row>
    <row r="494" spans="1:18" x14ac:dyDescent="0.3">
      <c r="A494" t="s">
        <v>1085</v>
      </c>
      <c r="B494" s="7">
        <v>45861</v>
      </c>
      <c r="C494" s="2">
        <v>45888</v>
      </c>
      <c r="D494" s="4">
        <f t="shared" si="47"/>
        <v>27</v>
      </c>
      <c r="E494" s="4" t="str">
        <f>TEXT(Data!B494,"MMM-YYYY")</f>
        <v>Mar-2024</v>
      </c>
      <c r="F494" t="s">
        <v>48</v>
      </c>
      <c r="G494" t="s">
        <v>40</v>
      </c>
      <c r="H494" t="s">
        <v>56</v>
      </c>
      <c r="I494" t="s">
        <v>81</v>
      </c>
      <c r="J494" s="4">
        <v>896.09</v>
      </c>
      <c r="K494" s="8" t="str">
        <f t="shared" si="44"/>
        <v>High</v>
      </c>
      <c r="L494" s="4">
        <v>744.27</v>
      </c>
      <c r="M494" s="4">
        <v>8.3000000000000004E-2</v>
      </c>
      <c r="N494" s="4">
        <v>11</v>
      </c>
      <c r="O494" s="4">
        <f t="shared" si="42"/>
        <v>16395.611540000002</v>
      </c>
      <c r="P494">
        <f t="shared" si="43"/>
        <v>9856.99</v>
      </c>
      <c r="Q494" s="4">
        <f t="shared" si="45"/>
        <v>6538.6215400000019</v>
      </c>
      <c r="R494" s="18">
        <f t="shared" si="46"/>
        <v>0.3988031507118765</v>
      </c>
    </row>
    <row r="495" spans="1:18" x14ac:dyDescent="0.3">
      <c r="A495" t="s">
        <v>1087</v>
      </c>
      <c r="B495" s="7">
        <v>45352</v>
      </c>
      <c r="C495" s="2">
        <v>45351</v>
      </c>
      <c r="D495" s="4">
        <f>DATEDIF(C495,B495, "MD")</f>
        <v>1</v>
      </c>
      <c r="E495" s="4" t="str">
        <f>TEXT(Data!B495,"MMM-YYYY")</f>
        <v>May-2024</v>
      </c>
      <c r="F495" t="s">
        <v>39</v>
      </c>
      <c r="G495" t="s">
        <v>98</v>
      </c>
      <c r="H495" t="s">
        <v>34</v>
      </c>
      <c r="I495" t="s">
        <v>42</v>
      </c>
      <c r="J495" s="4">
        <v>5.34</v>
      </c>
      <c r="K495" s="8" t="str">
        <f t="shared" si="44"/>
        <v>Low</v>
      </c>
      <c r="L495" s="4">
        <v>12.69</v>
      </c>
      <c r="M495" s="4">
        <v>0.13200000000000001</v>
      </c>
      <c r="N495" s="4">
        <v>10</v>
      </c>
      <c r="O495" s="4">
        <f t="shared" si="42"/>
        <v>2603.4792000000002</v>
      </c>
      <c r="P495">
        <f t="shared" si="43"/>
        <v>53.4</v>
      </c>
      <c r="Q495" s="4">
        <f t="shared" si="45"/>
        <v>2550.0792000000001</v>
      </c>
      <c r="R495" s="18">
        <f t="shared" si="46"/>
        <v>0.97948898535467455</v>
      </c>
    </row>
    <row r="496" spans="1:18" x14ac:dyDescent="0.3">
      <c r="A496" t="s">
        <v>1089</v>
      </c>
      <c r="B496" s="7">
        <v>45439</v>
      </c>
      <c r="C496" s="2">
        <v>45460</v>
      </c>
      <c r="D496" s="4">
        <f t="shared" si="47"/>
        <v>21</v>
      </c>
      <c r="E496" s="4" t="str">
        <f>TEXT(Data!B496,"MMM-YYYY")</f>
        <v>Aug-2024</v>
      </c>
      <c r="F496" t="s">
        <v>62</v>
      </c>
      <c r="G496" t="s">
        <v>28</v>
      </c>
      <c r="H496" t="s">
        <v>92</v>
      </c>
      <c r="I496" t="s">
        <v>81</v>
      </c>
      <c r="J496" s="4">
        <v>465.02</v>
      </c>
      <c r="K496" s="8" t="str">
        <f t="shared" si="44"/>
        <v>High</v>
      </c>
      <c r="L496" s="4">
        <v>651.55999999999995</v>
      </c>
      <c r="M496" s="4">
        <v>4.2000000000000003E-2</v>
      </c>
      <c r="N496" s="4">
        <v>19</v>
      </c>
      <c r="O496" s="4">
        <f t="shared" si="42"/>
        <v>27375.07992</v>
      </c>
      <c r="P496">
        <f t="shared" si="43"/>
        <v>8835.3799999999992</v>
      </c>
      <c r="Q496" s="4">
        <f t="shared" si="45"/>
        <v>18539.699919999999</v>
      </c>
      <c r="R496" s="18">
        <f t="shared" si="46"/>
        <v>0.67724733495499501</v>
      </c>
    </row>
    <row r="497" spans="1:18" x14ac:dyDescent="0.3">
      <c r="A497" t="s">
        <v>1091</v>
      </c>
      <c r="B497" s="7">
        <v>45508</v>
      </c>
      <c r="C497" s="2">
        <v>45521</v>
      </c>
      <c r="D497" s="4">
        <f t="shared" si="47"/>
        <v>13</v>
      </c>
      <c r="E497" s="4" t="str">
        <f>TEXT(Data!B497,"MMM-YYYY")</f>
        <v>Jun-2023</v>
      </c>
      <c r="F497" t="s">
        <v>48</v>
      </c>
      <c r="G497" t="s">
        <v>20</v>
      </c>
      <c r="H497" t="s">
        <v>145</v>
      </c>
      <c r="I497" t="s">
        <v>64</v>
      </c>
      <c r="J497" s="4">
        <v>352.79</v>
      </c>
      <c r="K497" s="8" t="str">
        <f t="shared" si="44"/>
        <v>High</v>
      </c>
      <c r="L497" s="4">
        <v>754.22</v>
      </c>
      <c r="M497" s="4">
        <v>0.113</v>
      </c>
      <c r="N497" s="4">
        <v>7</v>
      </c>
      <c r="O497" s="4">
        <f t="shared" si="42"/>
        <v>19254.791990000002</v>
      </c>
      <c r="P497">
        <f t="shared" si="43"/>
        <v>2469.5300000000002</v>
      </c>
      <c r="Q497" s="4">
        <f t="shared" si="45"/>
        <v>16785.261990000003</v>
      </c>
      <c r="R497" s="18">
        <f t="shared" si="46"/>
        <v>0.87174465445887173</v>
      </c>
    </row>
    <row r="498" spans="1:18" x14ac:dyDescent="0.3">
      <c r="A498" t="s">
        <v>1093</v>
      </c>
      <c r="B498" s="7">
        <v>45097</v>
      </c>
      <c r="C498" s="2">
        <v>45111</v>
      </c>
      <c r="D498" s="4">
        <f t="shared" si="47"/>
        <v>14</v>
      </c>
      <c r="E498" s="4" t="str">
        <f>TEXT(Data!B498,"MMM-YYYY")</f>
        <v>Sept-2024</v>
      </c>
      <c r="F498" t="s">
        <v>39</v>
      </c>
      <c r="G498" t="s">
        <v>98</v>
      </c>
      <c r="H498" t="s">
        <v>21</v>
      </c>
      <c r="I498" t="s">
        <v>35</v>
      </c>
      <c r="J498" s="4">
        <v>1292.8599999999999</v>
      </c>
      <c r="K498" s="8" t="str">
        <f t="shared" si="44"/>
        <v>High</v>
      </c>
      <c r="L498" s="4">
        <v>2981.01</v>
      </c>
      <c r="M498" s="4">
        <v>0.14199999999999999</v>
      </c>
      <c r="N498" s="4">
        <v>12</v>
      </c>
      <c r="O498" s="4">
        <f t="shared" si="42"/>
        <v>10084.108319999999</v>
      </c>
      <c r="P498">
        <f t="shared" si="43"/>
        <v>15514.32</v>
      </c>
      <c r="Q498" s="4">
        <f t="shared" si="45"/>
        <v>-5430.2116800000003</v>
      </c>
      <c r="R498" s="18">
        <f t="shared" si="46"/>
        <v>-0.5384920022358507</v>
      </c>
    </row>
    <row r="499" spans="1:18" x14ac:dyDescent="0.3">
      <c r="A499" t="s">
        <v>1095</v>
      </c>
      <c r="B499" s="7">
        <v>45544</v>
      </c>
      <c r="C499" s="2">
        <v>45548</v>
      </c>
      <c r="D499" s="4">
        <f t="shared" si="47"/>
        <v>4</v>
      </c>
      <c r="E499" s="4" t="str">
        <f>TEXT(Data!B499,"MMM-YYYY")</f>
        <v>Oct-2023</v>
      </c>
      <c r="F499" t="s">
        <v>48</v>
      </c>
      <c r="G499" t="s">
        <v>40</v>
      </c>
      <c r="H499" t="s">
        <v>84</v>
      </c>
      <c r="I499" t="s">
        <v>35</v>
      </c>
      <c r="J499" s="4">
        <v>1133.08</v>
      </c>
      <c r="K499" s="8" t="str">
        <f t="shared" si="44"/>
        <v>High</v>
      </c>
      <c r="L499" s="4">
        <v>976.17</v>
      </c>
      <c r="M499" s="4">
        <v>4.2000000000000003E-2</v>
      </c>
      <c r="N499" s="4">
        <v>27</v>
      </c>
      <c r="O499" s="4">
        <f t="shared" si="42"/>
        <v>30683.801159999999</v>
      </c>
      <c r="P499">
        <f t="shared" si="43"/>
        <v>30593.159999999996</v>
      </c>
      <c r="Q499" s="4">
        <f t="shared" si="45"/>
        <v>90.641160000002856</v>
      </c>
      <c r="R499" s="18">
        <f t="shared" si="46"/>
        <v>2.9540394792469337E-3</v>
      </c>
    </row>
    <row r="500" spans="1:18" x14ac:dyDescent="0.3">
      <c r="A500" t="s">
        <v>1097</v>
      </c>
      <c r="B500" s="7">
        <v>45224</v>
      </c>
      <c r="C500" s="2">
        <v>45227</v>
      </c>
      <c r="D500" s="4">
        <f t="shared" si="47"/>
        <v>3</v>
      </c>
      <c r="E500" s="4" t="str">
        <f>TEXT(Data!B500,"MMM-YYYY")</f>
        <v>Sept-2025</v>
      </c>
      <c r="F500" t="s">
        <v>19</v>
      </c>
      <c r="G500" t="s">
        <v>55</v>
      </c>
      <c r="H500" t="s">
        <v>49</v>
      </c>
      <c r="I500" t="s">
        <v>81</v>
      </c>
      <c r="J500" s="4">
        <v>509.31</v>
      </c>
      <c r="K500" s="8" t="str">
        <f t="shared" si="44"/>
        <v>High</v>
      </c>
      <c r="L500" s="4">
        <v>1145.9000000000001</v>
      </c>
      <c r="M500" s="4">
        <v>5.7000000000000002E-2</v>
      </c>
      <c r="N500" s="4">
        <v>8</v>
      </c>
      <c r="O500" s="4">
        <f t="shared" si="42"/>
        <v>14622.761519999998</v>
      </c>
      <c r="P500">
        <f t="shared" si="43"/>
        <v>4074.48</v>
      </c>
      <c r="Q500" s="4">
        <f t="shared" si="45"/>
        <v>10548.281519999999</v>
      </c>
      <c r="R500" s="18">
        <f t="shared" si="46"/>
        <v>0.7213604287789821</v>
      </c>
    </row>
    <row r="501" spans="1:18" x14ac:dyDescent="0.3">
      <c r="A501" t="s">
        <v>1099</v>
      </c>
      <c r="B501" s="7">
        <v>45908</v>
      </c>
      <c r="C501" s="2">
        <v>45935</v>
      </c>
      <c r="D501" s="4">
        <f t="shared" si="47"/>
        <v>27</v>
      </c>
      <c r="E501" s="4" t="str">
        <f>TEXT(Data!B501,"MMM-YYYY")</f>
        <v>May-2023</v>
      </c>
      <c r="F501" t="s">
        <v>27</v>
      </c>
      <c r="G501" t="s">
        <v>28</v>
      </c>
      <c r="H501" t="s">
        <v>21</v>
      </c>
      <c r="I501" t="s">
        <v>64</v>
      </c>
      <c r="J501" s="4">
        <v>660.78</v>
      </c>
      <c r="K501" s="8" t="str">
        <f t="shared" si="44"/>
        <v>High</v>
      </c>
      <c r="L501" s="4">
        <v>1630.39</v>
      </c>
      <c r="M501" s="4">
        <v>0.218</v>
      </c>
      <c r="N501" s="4">
        <v>13</v>
      </c>
      <c r="O501" s="4">
        <f t="shared" si="42"/>
        <v>8401.8940200000015</v>
      </c>
      <c r="P501">
        <f t="shared" si="43"/>
        <v>8590.14</v>
      </c>
      <c r="Q501" s="4">
        <f t="shared" si="45"/>
        <v>-188.24597999999787</v>
      </c>
      <c r="R501" s="18">
        <f t="shared" si="46"/>
        <v>-2.2405183825443903E-2</v>
      </c>
    </row>
    <row r="502" spans="1:18" x14ac:dyDescent="0.3">
      <c r="A502" t="s">
        <v>1101</v>
      </c>
      <c r="B502" s="7">
        <v>45048</v>
      </c>
      <c r="C502" s="2">
        <v>45062</v>
      </c>
      <c r="D502" s="4">
        <f t="shared" si="47"/>
        <v>14</v>
      </c>
      <c r="E502" s="4" t="str">
        <f>TEXT(Data!B502,"MMM-YYYY")</f>
        <v>Apr-2024</v>
      </c>
      <c r="F502" t="s">
        <v>39</v>
      </c>
      <c r="G502" t="s">
        <v>20</v>
      </c>
      <c r="H502" t="s">
        <v>49</v>
      </c>
      <c r="I502" t="s">
        <v>64</v>
      </c>
      <c r="J502" s="4">
        <v>475.37</v>
      </c>
      <c r="K502" s="8" t="str">
        <f t="shared" si="44"/>
        <v>High</v>
      </c>
      <c r="L502" s="4">
        <v>963.73</v>
      </c>
      <c r="M502" s="4">
        <v>4.1000000000000002E-2</v>
      </c>
      <c r="N502" s="4">
        <v>22</v>
      </c>
      <c r="O502" s="4">
        <f t="shared" si="42"/>
        <v>2493.1506600000002</v>
      </c>
      <c r="P502">
        <f t="shared" si="43"/>
        <v>10458.14</v>
      </c>
      <c r="Q502" s="4">
        <f t="shared" si="45"/>
        <v>-7964.9893399999992</v>
      </c>
      <c r="R502" s="18">
        <f t="shared" si="46"/>
        <v>-3.194748503485946</v>
      </c>
    </row>
    <row r="503" spans="1:18" x14ac:dyDescent="0.3">
      <c r="A503" t="s">
        <v>1103</v>
      </c>
      <c r="B503" s="7">
        <v>45408</v>
      </c>
      <c r="C503" s="2">
        <v>45406</v>
      </c>
      <c r="D503" s="4">
        <f>DATEDIF(C503,B503, "MD")</f>
        <v>2</v>
      </c>
      <c r="E503" s="4" t="str">
        <f>TEXT(Data!B503,"MMM-YYYY")</f>
        <v>Feb-2023</v>
      </c>
      <c r="F503" t="s">
        <v>39</v>
      </c>
      <c r="G503" t="s">
        <v>55</v>
      </c>
      <c r="H503" t="s">
        <v>126</v>
      </c>
      <c r="I503" t="s">
        <v>42</v>
      </c>
      <c r="J503" s="4">
        <v>1232.77</v>
      </c>
      <c r="K503" s="8" t="str">
        <f t="shared" si="44"/>
        <v>High</v>
      </c>
      <c r="L503" s="4">
        <v>891.73</v>
      </c>
      <c r="M503" s="4">
        <v>0.16700000000000001</v>
      </c>
      <c r="N503" s="4">
        <v>10</v>
      </c>
      <c r="O503" s="4">
        <f t="shared" si="42"/>
        <v>11877.497099999999</v>
      </c>
      <c r="P503">
        <f t="shared" si="43"/>
        <v>12327.7</v>
      </c>
      <c r="Q503" s="4">
        <f t="shared" si="45"/>
        <v>-450.20290000000205</v>
      </c>
      <c r="R503" s="18">
        <f t="shared" si="46"/>
        <v>-3.7903852655960836E-2</v>
      </c>
    </row>
    <row r="504" spans="1:18" x14ac:dyDescent="0.3">
      <c r="A504" t="s">
        <v>1105</v>
      </c>
      <c r="B504" s="7">
        <v>44980</v>
      </c>
      <c r="C504" s="2">
        <v>45003</v>
      </c>
      <c r="D504" s="4">
        <f t="shared" si="47"/>
        <v>23</v>
      </c>
      <c r="E504" s="4" t="str">
        <f>TEXT(Data!B504,"MMM-YYYY")</f>
        <v>Mar-2025</v>
      </c>
      <c r="F504" t="s">
        <v>27</v>
      </c>
      <c r="G504" t="s">
        <v>55</v>
      </c>
      <c r="H504" t="s">
        <v>95</v>
      </c>
      <c r="I504" t="s">
        <v>30</v>
      </c>
      <c r="J504" s="4">
        <v>770.11</v>
      </c>
      <c r="K504" s="8" t="str">
        <f t="shared" si="44"/>
        <v>High</v>
      </c>
      <c r="L504" s="4">
        <v>1667.82</v>
      </c>
      <c r="M504" s="4">
        <v>6.9000000000000006E-2</v>
      </c>
      <c r="N504" s="4">
        <v>7</v>
      </c>
      <c r="O504" s="4">
        <f t="shared" si="42"/>
        <v>10393.181259999999</v>
      </c>
      <c r="P504">
        <f t="shared" si="43"/>
        <v>5390.77</v>
      </c>
      <c r="Q504" s="4">
        <f t="shared" si="45"/>
        <v>5002.4112599999989</v>
      </c>
      <c r="R504" s="18">
        <f t="shared" si="46"/>
        <v>0.48131665703288229</v>
      </c>
    </row>
    <row r="505" spans="1:18" x14ac:dyDescent="0.3">
      <c r="A505" t="s">
        <v>1107</v>
      </c>
      <c r="B505" s="7">
        <v>45740</v>
      </c>
      <c r="C505" s="2">
        <v>45741</v>
      </c>
      <c r="D505" s="4">
        <f t="shared" si="47"/>
        <v>1</v>
      </c>
      <c r="E505" s="4" t="str">
        <f>TEXT(Data!B505,"MMM-YYYY")</f>
        <v>Mar-2025</v>
      </c>
      <c r="F505" t="s">
        <v>39</v>
      </c>
      <c r="G505" t="s">
        <v>28</v>
      </c>
      <c r="H505" t="s">
        <v>41</v>
      </c>
      <c r="I505" t="s">
        <v>35</v>
      </c>
      <c r="J505" s="4">
        <v>1133.03</v>
      </c>
      <c r="K505" s="8" t="str">
        <f t="shared" si="44"/>
        <v>High</v>
      </c>
      <c r="L505" s="4">
        <v>1921.51</v>
      </c>
      <c r="M505" s="4">
        <v>0.10100000000000001</v>
      </c>
      <c r="N505" s="4">
        <v>5</v>
      </c>
      <c r="O505" s="4">
        <f t="shared" si="42"/>
        <v>15022.784449999999</v>
      </c>
      <c r="P505">
        <f t="shared" si="43"/>
        <v>5665.15</v>
      </c>
      <c r="Q505" s="4">
        <f t="shared" si="45"/>
        <v>9357.6344499999996</v>
      </c>
      <c r="R505" s="18">
        <f t="shared" si="46"/>
        <v>0.62289614026912299</v>
      </c>
    </row>
    <row r="506" spans="1:18" x14ac:dyDescent="0.3">
      <c r="A506" t="s">
        <v>1109</v>
      </c>
      <c r="B506" s="7">
        <v>45726</v>
      </c>
      <c r="C506" s="2">
        <v>45743</v>
      </c>
      <c r="D506" s="4">
        <f t="shared" si="47"/>
        <v>17</v>
      </c>
      <c r="E506" s="4" t="str">
        <f>TEXT(Data!B506,"MMM-YYYY")</f>
        <v>Apr-2024</v>
      </c>
      <c r="F506" t="s">
        <v>105</v>
      </c>
      <c r="G506" t="s">
        <v>98</v>
      </c>
      <c r="H506" t="s">
        <v>84</v>
      </c>
      <c r="I506" t="s">
        <v>35</v>
      </c>
      <c r="J506" s="4">
        <v>996.73</v>
      </c>
      <c r="K506" s="8" t="str">
        <f t="shared" si="44"/>
        <v>High</v>
      </c>
      <c r="L506" s="4">
        <v>1217.43</v>
      </c>
      <c r="M506" s="4">
        <v>7.0000000000000007E-2</v>
      </c>
      <c r="N506" s="4">
        <v>9</v>
      </c>
      <c r="O506" s="4">
        <f t="shared" si="42"/>
        <v>8953.9748999999993</v>
      </c>
      <c r="P506">
        <f t="shared" si="43"/>
        <v>8970.57</v>
      </c>
      <c r="Q506" s="4">
        <f t="shared" si="45"/>
        <v>-16.595100000000457</v>
      </c>
      <c r="R506" s="18">
        <f t="shared" si="46"/>
        <v>-1.8533779897015859E-3</v>
      </c>
    </row>
    <row r="507" spans="1:18" x14ac:dyDescent="0.3">
      <c r="A507" t="s">
        <v>1111</v>
      </c>
      <c r="B507" s="7">
        <v>45387</v>
      </c>
      <c r="C507" s="2">
        <v>45391</v>
      </c>
      <c r="D507" s="4">
        <f t="shared" si="47"/>
        <v>4</v>
      </c>
      <c r="E507" s="4" t="str">
        <f>TEXT(Data!B507,"MMM-YYYY")</f>
        <v>Apr-2025</v>
      </c>
      <c r="F507" t="s">
        <v>39</v>
      </c>
      <c r="G507" t="s">
        <v>98</v>
      </c>
      <c r="H507" t="s">
        <v>95</v>
      </c>
      <c r="I507" t="s">
        <v>22</v>
      </c>
      <c r="J507" s="4">
        <v>395.07</v>
      </c>
      <c r="K507" s="8" t="str">
        <f t="shared" si="44"/>
        <v>High</v>
      </c>
      <c r="L507" s="4">
        <v>970.27</v>
      </c>
      <c r="M507" s="4">
        <v>0.123</v>
      </c>
      <c r="N507" s="4">
        <v>38</v>
      </c>
      <c r="O507" s="4">
        <f t="shared" si="42"/>
        <v>4692.9673199999997</v>
      </c>
      <c r="P507">
        <f t="shared" si="43"/>
        <v>15012.66</v>
      </c>
      <c r="Q507" s="4">
        <f t="shared" si="45"/>
        <v>-10319.69268</v>
      </c>
      <c r="R507" s="18">
        <f t="shared" si="46"/>
        <v>-2.1989696446469185</v>
      </c>
    </row>
    <row r="508" spans="1:18" x14ac:dyDescent="0.3">
      <c r="A508" t="s">
        <v>1113</v>
      </c>
      <c r="B508" s="7">
        <v>45774</v>
      </c>
      <c r="C508" s="2">
        <v>45794</v>
      </c>
      <c r="D508" s="4">
        <f t="shared" si="47"/>
        <v>20</v>
      </c>
      <c r="E508" s="4" t="str">
        <f>TEXT(Data!B508,"MMM-YYYY")</f>
        <v>Oct-2024</v>
      </c>
      <c r="F508" t="s">
        <v>19</v>
      </c>
      <c r="G508" t="s">
        <v>98</v>
      </c>
      <c r="H508" t="s">
        <v>126</v>
      </c>
      <c r="I508" t="s">
        <v>42</v>
      </c>
      <c r="J508" s="4">
        <v>932.26</v>
      </c>
      <c r="K508" s="8" t="str">
        <f t="shared" si="44"/>
        <v>High</v>
      </c>
      <c r="L508" s="4">
        <v>1624.67</v>
      </c>
      <c r="M508" s="4">
        <v>0.23499999999999999</v>
      </c>
      <c r="N508" s="4">
        <v>28</v>
      </c>
      <c r="O508" s="4">
        <f t="shared" si="42"/>
        <v>1435.9968000000001</v>
      </c>
      <c r="P508">
        <f t="shared" si="43"/>
        <v>26103.279999999999</v>
      </c>
      <c r="Q508" s="4">
        <f t="shared" si="45"/>
        <v>-24667.283199999998</v>
      </c>
      <c r="R508" s="18">
        <f t="shared" si="46"/>
        <v>-17.177812095402995</v>
      </c>
    </row>
    <row r="509" spans="1:18" x14ac:dyDescent="0.3">
      <c r="A509" t="s">
        <v>1115</v>
      </c>
      <c r="B509" s="7">
        <v>45589</v>
      </c>
      <c r="C509" s="2">
        <v>45593</v>
      </c>
      <c r="D509" s="4">
        <f t="shared" si="47"/>
        <v>4</v>
      </c>
      <c r="E509" s="4" t="str">
        <f>TEXT(Data!B509,"MMM-YYYY")</f>
        <v>Apr-2023</v>
      </c>
      <c r="F509" t="s">
        <v>62</v>
      </c>
      <c r="G509" t="s">
        <v>55</v>
      </c>
      <c r="H509" t="s">
        <v>34</v>
      </c>
      <c r="I509" t="s">
        <v>35</v>
      </c>
      <c r="J509" s="4">
        <v>1331.77</v>
      </c>
      <c r="K509" s="8" t="str">
        <f t="shared" si="44"/>
        <v>High</v>
      </c>
      <c r="L509" s="4">
        <v>2606.11</v>
      </c>
      <c r="M509" s="4">
        <v>0.02</v>
      </c>
      <c r="N509" s="4">
        <v>6</v>
      </c>
      <c r="O509" s="4">
        <f t="shared" si="42"/>
        <v>7506.8196000000007</v>
      </c>
      <c r="P509">
        <f t="shared" si="43"/>
        <v>7990.62</v>
      </c>
      <c r="Q509" s="4">
        <f t="shared" si="45"/>
        <v>-483.80039999999917</v>
      </c>
      <c r="R509" s="18">
        <f t="shared" si="46"/>
        <v>-6.444811861470591E-2</v>
      </c>
    </row>
    <row r="510" spans="1:18" x14ac:dyDescent="0.3">
      <c r="A510" t="s">
        <v>1117</v>
      </c>
      <c r="B510" s="7">
        <v>45029</v>
      </c>
      <c r="C510" s="2">
        <v>45036</v>
      </c>
      <c r="D510" s="4">
        <f t="shared" si="47"/>
        <v>7</v>
      </c>
      <c r="E510" s="4" t="str">
        <f>TEXT(Data!B510,"MMM-YYYY")</f>
        <v>Nov-2024</v>
      </c>
      <c r="F510" t="s">
        <v>62</v>
      </c>
      <c r="G510" t="s">
        <v>28</v>
      </c>
      <c r="H510" t="s">
        <v>75</v>
      </c>
      <c r="I510" t="s">
        <v>57</v>
      </c>
      <c r="J510" s="4">
        <v>227.02</v>
      </c>
      <c r="K510" s="8" t="str">
        <f t="shared" si="44"/>
        <v>High</v>
      </c>
      <c r="L510" s="4">
        <v>434.72</v>
      </c>
      <c r="M510" s="4">
        <v>9.8000000000000004E-2</v>
      </c>
      <c r="N510" s="4">
        <v>10</v>
      </c>
      <c r="O510" s="4">
        <f t="shared" si="42"/>
        <v>25448.667200000004</v>
      </c>
      <c r="P510">
        <f t="shared" si="43"/>
        <v>2270.2000000000003</v>
      </c>
      <c r="Q510" s="4">
        <f t="shared" si="45"/>
        <v>23178.467200000003</v>
      </c>
      <c r="R510" s="18">
        <f t="shared" si="46"/>
        <v>0.91079297072186161</v>
      </c>
    </row>
    <row r="511" spans="1:18" x14ac:dyDescent="0.3">
      <c r="A511" t="s">
        <v>1119</v>
      </c>
      <c r="B511" s="7">
        <v>45608</v>
      </c>
      <c r="C511" s="2">
        <v>45617</v>
      </c>
      <c r="D511" s="4">
        <f t="shared" si="47"/>
        <v>9</v>
      </c>
      <c r="E511" s="4" t="str">
        <f>TEXT(Data!B511,"MMM-YYYY")</f>
        <v>May-2023</v>
      </c>
      <c r="F511" t="s">
        <v>19</v>
      </c>
      <c r="G511" t="s">
        <v>98</v>
      </c>
      <c r="H511" t="s">
        <v>92</v>
      </c>
      <c r="I511" t="s">
        <v>57</v>
      </c>
      <c r="J511" s="4">
        <v>903.41</v>
      </c>
      <c r="K511" s="8" t="str">
        <f t="shared" si="44"/>
        <v>High</v>
      </c>
      <c r="L511" s="4">
        <v>1860.41</v>
      </c>
      <c r="M511" s="4">
        <v>0.108</v>
      </c>
      <c r="N511" s="4">
        <v>5</v>
      </c>
      <c r="O511" s="4">
        <f t="shared" si="42"/>
        <v>6953.9874000000009</v>
      </c>
      <c r="P511">
        <f t="shared" si="43"/>
        <v>4517.05</v>
      </c>
      <c r="Q511" s="4">
        <f t="shared" si="45"/>
        <v>2436.9374000000007</v>
      </c>
      <c r="R511" s="18">
        <f t="shared" si="46"/>
        <v>0.35043741954436103</v>
      </c>
    </row>
    <row r="512" spans="1:18" x14ac:dyDescent="0.3">
      <c r="A512" t="s">
        <v>1121</v>
      </c>
      <c r="B512" s="7">
        <v>45056</v>
      </c>
      <c r="C512" s="2">
        <v>45060</v>
      </c>
      <c r="D512" s="4">
        <f t="shared" si="47"/>
        <v>4</v>
      </c>
      <c r="E512" s="4" t="str">
        <f>TEXT(Data!B512,"MMM-YYYY")</f>
        <v>Mar-2024</v>
      </c>
      <c r="F512" t="s">
        <v>39</v>
      </c>
      <c r="G512" t="s">
        <v>55</v>
      </c>
      <c r="H512" t="s">
        <v>21</v>
      </c>
      <c r="I512" t="s">
        <v>64</v>
      </c>
      <c r="J512" s="4">
        <v>622.6</v>
      </c>
      <c r="K512" s="8" t="str">
        <f t="shared" si="44"/>
        <v>High</v>
      </c>
      <c r="L512" s="4">
        <v>833.69</v>
      </c>
      <c r="M512" s="4">
        <v>0.20899999999999999</v>
      </c>
      <c r="N512" s="4">
        <v>14</v>
      </c>
      <c r="O512" s="4">
        <f t="shared" si="42"/>
        <v>7271.8528400000005</v>
      </c>
      <c r="P512">
        <f t="shared" si="43"/>
        <v>8716.4</v>
      </c>
      <c r="Q512" s="4">
        <f t="shared" si="45"/>
        <v>-1444.5471599999992</v>
      </c>
      <c r="R512" s="18">
        <f t="shared" si="46"/>
        <v>-0.19864911897749557</v>
      </c>
    </row>
    <row r="513" spans="1:18" x14ac:dyDescent="0.3">
      <c r="A513" t="s">
        <v>1123</v>
      </c>
      <c r="B513" s="7">
        <v>45353</v>
      </c>
      <c r="C513" s="2">
        <v>45374</v>
      </c>
      <c r="D513" s="4">
        <f t="shared" si="47"/>
        <v>21</v>
      </c>
      <c r="E513" s="4" t="str">
        <f>TEXT(Data!B513,"MMM-YYYY")</f>
        <v>Oct-2024</v>
      </c>
      <c r="F513" t="s">
        <v>62</v>
      </c>
      <c r="G513" t="s">
        <v>28</v>
      </c>
      <c r="H513" t="s">
        <v>84</v>
      </c>
      <c r="I513" t="s">
        <v>22</v>
      </c>
      <c r="J513" s="4">
        <v>225.01</v>
      </c>
      <c r="K513" s="8" t="str">
        <f t="shared" si="44"/>
        <v>High</v>
      </c>
      <c r="L513" s="4">
        <v>333.48</v>
      </c>
      <c r="M513" s="4">
        <v>0.11899999999999999</v>
      </c>
      <c r="N513" s="4">
        <v>12</v>
      </c>
      <c r="O513" s="4">
        <f t="shared" si="42"/>
        <v>28098.68448</v>
      </c>
      <c r="P513">
        <f t="shared" si="43"/>
        <v>2700.12</v>
      </c>
      <c r="Q513" s="4">
        <f t="shared" si="45"/>
        <v>25398.564480000001</v>
      </c>
      <c r="R513" s="18">
        <f t="shared" si="46"/>
        <v>0.90390582157246957</v>
      </c>
    </row>
    <row r="514" spans="1:18" x14ac:dyDescent="0.3">
      <c r="A514" t="s">
        <v>1125</v>
      </c>
      <c r="B514" s="7">
        <v>45575</v>
      </c>
      <c r="C514" s="2">
        <v>45576</v>
      </c>
      <c r="D514" s="4">
        <f t="shared" si="47"/>
        <v>1</v>
      </c>
      <c r="E514" s="4" t="str">
        <f>TEXT(Data!B514,"MMM-YYYY")</f>
        <v>Jun-2023</v>
      </c>
      <c r="F514" t="s">
        <v>39</v>
      </c>
      <c r="G514" t="s">
        <v>55</v>
      </c>
      <c r="H514" t="s">
        <v>49</v>
      </c>
      <c r="I514" t="s">
        <v>22</v>
      </c>
      <c r="J514" s="4">
        <v>1389.46</v>
      </c>
      <c r="K514" s="8" t="str">
        <f t="shared" si="44"/>
        <v>High</v>
      </c>
      <c r="L514" s="4">
        <v>1784.7</v>
      </c>
      <c r="M514" s="4">
        <v>0.14599999999999999</v>
      </c>
      <c r="N514" s="4">
        <v>33</v>
      </c>
      <c r="O514" s="4">
        <f t="shared" ref="O514:O577" si="48">(L540*N514)*(1-M514)</f>
        <v>40152.022679999995</v>
      </c>
      <c r="P514">
        <f t="shared" ref="P514:P577" si="49">(J514*N514)</f>
        <v>45852.18</v>
      </c>
      <c r="Q514" s="4">
        <f t="shared" si="45"/>
        <v>-5700.1573200000057</v>
      </c>
      <c r="R514" s="18">
        <f t="shared" si="46"/>
        <v>-0.14196438783242904</v>
      </c>
    </row>
    <row r="515" spans="1:18" x14ac:dyDescent="0.3">
      <c r="A515" t="s">
        <v>1127</v>
      </c>
      <c r="B515" s="7">
        <v>45078</v>
      </c>
      <c r="C515" s="2">
        <v>45085</v>
      </c>
      <c r="D515" s="4">
        <f t="shared" si="47"/>
        <v>7</v>
      </c>
      <c r="E515" s="4" t="str">
        <f>TEXT(Data!B515,"MMM-YYYY")</f>
        <v>Jan-2025</v>
      </c>
      <c r="F515" t="s">
        <v>48</v>
      </c>
      <c r="G515" t="s">
        <v>28</v>
      </c>
      <c r="H515" t="s">
        <v>75</v>
      </c>
      <c r="I515" t="s">
        <v>42</v>
      </c>
      <c r="J515" s="4">
        <v>804.17</v>
      </c>
      <c r="K515" s="8" t="str">
        <f t="shared" ref="K515:K578" si="50">IF(L515&lt;50, "Low", IF(L515&lt;200, "Medium", "High"))</f>
        <v>High</v>
      </c>
      <c r="L515" s="4">
        <v>1072.29</v>
      </c>
      <c r="M515" s="4">
        <v>3.2000000000000001E-2</v>
      </c>
      <c r="N515" s="4">
        <v>5</v>
      </c>
      <c r="O515" s="4">
        <f t="shared" si="48"/>
        <v>11222.701599999999</v>
      </c>
      <c r="P515">
        <f t="shared" si="49"/>
        <v>4020.85</v>
      </c>
      <c r="Q515" s="4">
        <f t="shared" ref="Q515:Q578" si="51">(O515-P515)</f>
        <v>7201.8515999999981</v>
      </c>
      <c r="R515" s="18">
        <f t="shared" ref="R515:R578" si="52">(Q515/O515)</f>
        <v>0.64172174015568584</v>
      </c>
    </row>
    <row r="516" spans="1:18" x14ac:dyDescent="0.3">
      <c r="A516" t="s">
        <v>1129</v>
      </c>
      <c r="B516" s="7">
        <v>45661</v>
      </c>
      <c r="C516" s="2">
        <v>45662</v>
      </c>
      <c r="D516" s="4">
        <f t="shared" si="47"/>
        <v>1</v>
      </c>
      <c r="E516" s="4" t="str">
        <f>TEXT(Data!B516,"MMM-YYYY")</f>
        <v>Aug-2025</v>
      </c>
      <c r="F516" t="s">
        <v>27</v>
      </c>
      <c r="G516" t="s">
        <v>20</v>
      </c>
      <c r="H516" t="s">
        <v>34</v>
      </c>
      <c r="I516" t="s">
        <v>22</v>
      </c>
      <c r="J516" s="4">
        <v>1428.33</v>
      </c>
      <c r="K516" s="8" t="str">
        <f t="shared" si="50"/>
        <v>High</v>
      </c>
      <c r="L516" s="4">
        <v>3028.05</v>
      </c>
      <c r="M516" s="4">
        <v>0</v>
      </c>
      <c r="N516" s="4">
        <v>11</v>
      </c>
      <c r="O516" s="4">
        <f t="shared" si="48"/>
        <v>4033.7</v>
      </c>
      <c r="P516">
        <f t="shared" si="49"/>
        <v>15711.63</v>
      </c>
      <c r="Q516" s="4">
        <f t="shared" si="51"/>
        <v>-11677.93</v>
      </c>
      <c r="R516" s="18">
        <f t="shared" si="52"/>
        <v>-2.8950913553313335</v>
      </c>
    </row>
    <row r="517" spans="1:18" x14ac:dyDescent="0.3">
      <c r="A517" t="s">
        <v>1131</v>
      </c>
      <c r="B517" s="7">
        <v>45874</v>
      </c>
      <c r="C517" s="2">
        <v>45897</v>
      </c>
      <c r="D517" s="4">
        <f t="shared" ref="D517:D580" si="53">DATEDIF(B517,C517, "MD")</f>
        <v>23</v>
      </c>
      <c r="E517" s="4" t="str">
        <f>TEXT(Data!B517,"MMM-YYYY")</f>
        <v>Sept-2023</v>
      </c>
      <c r="F517" t="s">
        <v>39</v>
      </c>
      <c r="G517" t="s">
        <v>55</v>
      </c>
      <c r="H517" t="s">
        <v>126</v>
      </c>
      <c r="I517" t="s">
        <v>57</v>
      </c>
      <c r="J517" s="4">
        <v>638.54</v>
      </c>
      <c r="K517" s="8" t="str">
        <f t="shared" si="50"/>
        <v>High</v>
      </c>
      <c r="L517" s="4">
        <v>987.24</v>
      </c>
      <c r="M517" s="4">
        <v>0</v>
      </c>
      <c r="N517" s="4">
        <v>11</v>
      </c>
      <c r="O517" s="4">
        <f t="shared" si="48"/>
        <v>30771.51</v>
      </c>
      <c r="P517">
        <f t="shared" si="49"/>
        <v>7023.94</v>
      </c>
      <c r="Q517" s="4">
        <f t="shared" si="51"/>
        <v>23747.57</v>
      </c>
      <c r="R517" s="18">
        <f t="shared" si="52"/>
        <v>0.77173885844406076</v>
      </c>
    </row>
    <row r="518" spans="1:18" x14ac:dyDescent="0.3">
      <c r="A518" t="s">
        <v>1133</v>
      </c>
      <c r="B518" s="7">
        <v>45199</v>
      </c>
      <c r="C518" s="2">
        <v>45229</v>
      </c>
      <c r="D518" s="4">
        <f t="shared" si="53"/>
        <v>0</v>
      </c>
      <c r="E518" s="4" t="str">
        <f>TEXT(Data!B518,"MMM-YYYY")</f>
        <v>May-2025</v>
      </c>
      <c r="F518" t="s">
        <v>105</v>
      </c>
      <c r="G518" t="s">
        <v>28</v>
      </c>
      <c r="H518" t="s">
        <v>145</v>
      </c>
      <c r="I518" t="s">
        <v>30</v>
      </c>
      <c r="J518" s="4">
        <v>649.13</v>
      </c>
      <c r="K518" s="8" t="str">
        <f t="shared" si="50"/>
        <v>High</v>
      </c>
      <c r="L518" s="4">
        <v>975.43</v>
      </c>
      <c r="M518" s="4">
        <v>0.157</v>
      </c>
      <c r="N518" s="4">
        <v>27</v>
      </c>
      <c r="O518" s="4">
        <f t="shared" si="48"/>
        <v>50294.07125999999</v>
      </c>
      <c r="P518">
        <f t="shared" si="49"/>
        <v>17526.509999999998</v>
      </c>
      <c r="Q518" s="4">
        <f t="shared" si="51"/>
        <v>32767.561259999991</v>
      </c>
      <c r="R518" s="18">
        <f t="shared" si="52"/>
        <v>0.65151936280133227</v>
      </c>
    </row>
    <row r="519" spans="1:18" x14ac:dyDescent="0.3">
      <c r="A519" t="s">
        <v>1135</v>
      </c>
      <c r="B519" s="7">
        <v>45794</v>
      </c>
      <c r="C519" s="2">
        <v>45807</v>
      </c>
      <c r="D519" s="4">
        <f t="shared" si="53"/>
        <v>13</v>
      </c>
      <c r="E519" s="4" t="str">
        <f>TEXT(Data!B519,"MMM-YYYY")</f>
        <v>May-2024</v>
      </c>
      <c r="F519" t="s">
        <v>48</v>
      </c>
      <c r="G519" t="s">
        <v>55</v>
      </c>
      <c r="H519" t="s">
        <v>84</v>
      </c>
      <c r="I519" t="s">
        <v>81</v>
      </c>
      <c r="J519" s="4">
        <v>66.400000000000006</v>
      </c>
      <c r="K519" s="8" t="str">
        <f t="shared" si="50"/>
        <v>Medium</v>
      </c>
      <c r="L519" s="4">
        <v>141.43</v>
      </c>
      <c r="M519" s="4">
        <v>0.107</v>
      </c>
      <c r="N519" s="4">
        <v>8</v>
      </c>
      <c r="O519" s="4">
        <f t="shared" si="48"/>
        <v>5994.1017599999996</v>
      </c>
      <c r="P519">
        <f t="shared" si="49"/>
        <v>531.20000000000005</v>
      </c>
      <c r="Q519" s="4">
        <f t="shared" si="51"/>
        <v>5462.9017599999997</v>
      </c>
      <c r="R519" s="18">
        <f t="shared" si="52"/>
        <v>0.91137954921873066</v>
      </c>
    </row>
    <row r="520" spans="1:18" x14ac:dyDescent="0.3">
      <c r="A520" t="s">
        <v>1137</v>
      </c>
      <c r="B520" s="7">
        <v>45413</v>
      </c>
      <c r="C520" s="2">
        <v>45438</v>
      </c>
      <c r="D520" s="4">
        <f t="shared" si="53"/>
        <v>25</v>
      </c>
      <c r="E520" s="4" t="str">
        <f>TEXT(Data!B520,"MMM-YYYY")</f>
        <v>May-2023</v>
      </c>
      <c r="F520" t="s">
        <v>39</v>
      </c>
      <c r="G520" t="s">
        <v>20</v>
      </c>
      <c r="H520" t="s">
        <v>56</v>
      </c>
      <c r="I520" t="s">
        <v>35</v>
      </c>
      <c r="J520" s="4">
        <v>930.71</v>
      </c>
      <c r="K520" s="8" t="str">
        <f t="shared" si="50"/>
        <v>High</v>
      </c>
      <c r="L520" s="4">
        <v>1625.42</v>
      </c>
      <c r="M520" s="4">
        <v>0.13800000000000001</v>
      </c>
      <c r="N520" s="4">
        <v>7</v>
      </c>
      <c r="O520" s="4">
        <f t="shared" si="48"/>
        <v>6873.6311000000005</v>
      </c>
      <c r="P520">
        <f t="shared" si="49"/>
        <v>6514.97</v>
      </c>
      <c r="Q520" s="4">
        <f t="shared" si="51"/>
        <v>358.66110000000026</v>
      </c>
      <c r="R520" s="18">
        <f t="shared" si="52"/>
        <v>5.2179276830844216E-2</v>
      </c>
    </row>
    <row r="521" spans="1:18" x14ac:dyDescent="0.3">
      <c r="A521" t="s">
        <v>1139</v>
      </c>
      <c r="B521" s="7">
        <v>45047</v>
      </c>
      <c r="C521" s="2">
        <v>45064</v>
      </c>
      <c r="D521" s="4">
        <f t="shared" si="53"/>
        <v>17</v>
      </c>
      <c r="E521" s="4" t="str">
        <f>TEXT(Data!B521,"MMM-YYYY")</f>
        <v>Jul-2024</v>
      </c>
      <c r="F521" t="s">
        <v>19</v>
      </c>
      <c r="G521" t="s">
        <v>98</v>
      </c>
      <c r="H521" t="s">
        <v>84</v>
      </c>
      <c r="I521" t="s">
        <v>22</v>
      </c>
      <c r="J521" s="4">
        <v>327.97</v>
      </c>
      <c r="K521" s="8" t="str">
        <f t="shared" si="50"/>
        <v>High</v>
      </c>
      <c r="L521" s="4">
        <v>299.94</v>
      </c>
      <c r="M521" s="4">
        <v>4.9000000000000002E-2</v>
      </c>
      <c r="N521" s="4">
        <v>3</v>
      </c>
      <c r="O521" s="4">
        <f t="shared" si="48"/>
        <v>4884.4215899999999</v>
      </c>
      <c r="P521">
        <f t="shared" si="49"/>
        <v>983.91000000000008</v>
      </c>
      <c r="Q521" s="4">
        <f t="shared" si="51"/>
        <v>3900.5115900000001</v>
      </c>
      <c r="R521" s="18">
        <f t="shared" si="52"/>
        <v>0.79856161433435968</v>
      </c>
    </row>
    <row r="522" spans="1:18" x14ac:dyDescent="0.3">
      <c r="A522" t="s">
        <v>1141</v>
      </c>
      <c r="B522" s="7">
        <v>45482</v>
      </c>
      <c r="C522" s="2">
        <v>45512</v>
      </c>
      <c r="D522" s="4">
        <f t="shared" si="53"/>
        <v>30</v>
      </c>
      <c r="E522" s="4" t="str">
        <f>TEXT(Data!B522,"MMM-YYYY")</f>
        <v>May-2023</v>
      </c>
      <c r="F522" t="s">
        <v>19</v>
      </c>
      <c r="G522" t="s">
        <v>98</v>
      </c>
      <c r="H522" t="s">
        <v>29</v>
      </c>
      <c r="I522" t="s">
        <v>22</v>
      </c>
      <c r="J522" s="4">
        <v>1062.3800000000001</v>
      </c>
      <c r="K522" s="8" t="str">
        <f t="shared" si="50"/>
        <v>High</v>
      </c>
      <c r="L522" s="4">
        <v>1503.96</v>
      </c>
      <c r="M522" s="4">
        <v>0.18</v>
      </c>
      <c r="N522" s="4">
        <v>6</v>
      </c>
      <c r="O522" s="4">
        <f t="shared" si="48"/>
        <v>5187.1068000000005</v>
      </c>
      <c r="P522">
        <f t="shared" si="49"/>
        <v>6374.2800000000007</v>
      </c>
      <c r="Q522" s="4">
        <f t="shared" si="51"/>
        <v>-1187.1732000000002</v>
      </c>
      <c r="R522" s="18">
        <f t="shared" si="52"/>
        <v>-0.22887001285572142</v>
      </c>
    </row>
    <row r="523" spans="1:18" x14ac:dyDescent="0.3">
      <c r="A523" t="s">
        <v>1143</v>
      </c>
      <c r="B523" s="7">
        <v>45056</v>
      </c>
      <c r="C523" s="2">
        <v>45073</v>
      </c>
      <c r="D523" s="4">
        <f t="shared" si="53"/>
        <v>17</v>
      </c>
      <c r="E523" s="4" t="str">
        <f>TEXT(Data!B523,"MMM-YYYY")</f>
        <v>Jul-2024</v>
      </c>
      <c r="F523" t="s">
        <v>48</v>
      </c>
      <c r="G523" t="s">
        <v>20</v>
      </c>
      <c r="H523" t="s">
        <v>110</v>
      </c>
      <c r="I523" t="s">
        <v>57</v>
      </c>
      <c r="J523" s="4">
        <v>1286.1600000000001</v>
      </c>
      <c r="K523" s="8" t="str">
        <f t="shared" si="50"/>
        <v>High</v>
      </c>
      <c r="L523" s="4">
        <v>3101.11</v>
      </c>
      <c r="M523" s="4">
        <v>0.1</v>
      </c>
      <c r="N523" s="4">
        <v>23</v>
      </c>
      <c r="O523" s="4">
        <f t="shared" si="48"/>
        <v>50740.254000000001</v>
      </c>
      <c r="P523">
        <f t="shared" si="49"/>
        <v>29581.68</v>
      </c>
      <c r="Q523" s="4">
        <f t="shared" si="51"/>
        <v>21158.574000000001</v>
      </c>
      <c r="R523" s="18">
        <f t="shared" si="52"/>
        <v>0.41699779429562966</v>
      </c>
    </row>
    <row r="524" spans="1:18" x14ac:dyDescent="0.3">
      <c r="A524" t="s">
        <v>1145</v>
      </c>
      <c r="B524" s="7">
        <v>45482</v>
      </c>
      <c r="C524" s="2">
        <v>45485</v>
      </c>
      <c r="D524" s="4">
        <f t="shared" si="53"/>
        <v>3</v>
      </c>
      <c r="E524" s="4" t="str">
        <f>TEXT(Data!B524,"MMM-YYYY")</f>
        <v>Apr-2024</v>
      </c>
      <c r="F524" t="s">
        <v>62</v>
      </c>
      <c r="G524" t="s">
        <v>20</v>
      </c>
      <c r="H524" t="s">
        <v>145</v>
      </c>
      <c r="I524" t="s">
        <v>81</v>
      </c>
      <c r="J524" s="4">
        <v>748.39</v>
      </c>
      <c r="K524" s="8" t="str">
        <f t="shared" si="50"/>
        <v>High</v>
      </c>
      <c r="L524" s="4">
        <v>979.42</v>
      </c>
      <c r="M524" s="4">
        <v>0</v>
      </c>
      <c r="N524" s="4">
        <v>23</v>
      </c>
      <c r="O524" s="4">
        <f t="shared" si="48"/>
        <v>28777.83</v>
      </c>
      <c r="P524">
        <f t="shared" si="49"/>
        <v>17212.97</v>
      </c>
      <c r="Q524" s="4">
        <f t="shared" si="51"/>
        <v>11564.86</v>
      </c>
      <c r="R524" s="18">
        <f t="shared" si="52"/>
        <v>0.401866992751017</v>
      </c>
    </row>
    <row r="525" spans="1:18" x14ac:dyDescent="0.3">
      <c r="A525" t="s">
        <v>1147</v>
      </c>
      <c r="B525" s="7">
        <v>45406</v>
      </c>
      <c r="C525" s="2">
        <v>45422</v>
      </c>
      <c r="D525" s="4">
        <f t="shared" si="53"/>
        <v>16</v>
      </c>
      <c r="E525" s="4" t="str">
        <f>TEXT(Data!B525,"MMM-YYYY")</f>
        <v>Jan-2024</v>
      </c>
      <c r="F525" t="s">
        <v>39</v>
      </c>
      <c r="G525" t="s">
        <v>28</v>
      </c>
      <c r="H525" t="s">
        <v>126</v>
      </c>
      <c r="I525" t="s">
        <v>64</v>
      </c>
      <c r="J525" s="4">
        <v>513.30999999999995</v>
      </c>
      <c r="K525" s="8" t="str">
        <f t="shared" si="50"/>
        <v>High</v>
      </c>
      <c r="L525" s="4">
        <v>1186.26</v>
      </c>
      <c r="M525" s="4">
        <v>9.4E-2</v>
      </c>
      <c r="N525" s="4">
        <v>15</v>
      </c>
      <c r="O525" s="4">
        <f t="shared" si="48"/>
        <v>15014.232</v>
      </c>
      <c r="P525">
        <f t="shared" si="49"/>
        <v>7699.65</v>
      </c>
      <c r="Q525" s="4">
        <f t="shared" si="51"/>
        <v>7314.5820000000003</v>
      </c>
      <c r="R525" s="18">
        <f t="shared" si="52"/>
        <v>0.48717656687335059</v>
      </c>
    </row>
    <row r="526" spans="1:18" x14ac:dyDescent="0.3">
      <c r="A526" t="s">
        <v>1149</v>
      </c>
      <c r="B526" s="7">
        <v>45304</v>
      </c>
      <c r="C526" s="2">
        <v>45306</v>
      </c>
      <c r="D526" s="4">
        <f t="shared" si="53"/>
        <v>2</v>
      </c>
      <c r="E526" s="4" t="str">
        <f>TEXT(Data!B526,"MMM-YYYY")</f>
        <v>Apr-2024</v>
      </c>
      <c r="F526" t="s">
        <v>39</v>
      </c>
      <c r="G526" t="s">
        <v>98</v>
      </c>
      <c r="H526" t="s">
        <v>63</v>
      </c>
      <c r="I526" t="s">
        <v>22</v>
      </c>
      <c r="J526" s="4">
        <v>1061.3699999999999</v>
      </c>
      <c r="K526" s="8" t="str">
        <f t="shared" si="50"/>
        <v>High</v>
      </c>
      <c r="L526" s="4">
        <v>1938.33</v>
      </c>
      <c r="M526" s="4">
        <v>0.17</v>
      </c>
      <c r="N526" s="4">
        <v>4</v>
      </c>
      <c r="O526" s="4">
        <f t="shared" si="48"/>
        <v>7912.9211999999989</v>
      </c>
      <c r="P526">
        <f t="shared" si="49"/>
        <v>4245.4799999999996</v>
      </c>
      <c r="Q526" s="4">
        <f t="shared" si="51"/>
        <v>3667.4411999999993</v>
      </c>
      <c r="R526" s="18">
        <f t="shared" si="52"/>
        <v>0.46347500591816837</v>
      </c>
    </row>
    <row r="527" spans="1:18" x14ac:dyDescent="0.3">
      <c r="A527" t="s">
        <v>1151</v>
      </c>
      <c r="B527" s="7">
        <v>45398</v>
      </c>
      <c r="C527" s="2">
        <v>45409</v>
      </c>
      <c r="D527" s="4">
        <f t="shared" si="53"/>
        <v>11</v>
      </c>
      <c r="E527" s="4" t="str">
        <f>TEXT(Data!B527,"MMM-YYYY")</f>
        <v>Feb-2025</v>
      </c>
      <c r="F527" t="s">
        <v>105</v>
      </c>
      <c r="G527" t="s">
        <v>28</v>
      </c>
      <c r="H527" t="s">
        <v>145</v>
      </c>
      <c r="I527" t="s">
        <v>30</v>
      </c>
      <c r="J527" s="4">
        <v>401.3</v>
      </c>
      <c r="K527" s="8" t="str">
        <f t="shared" si="50"/>
        <v>High</v>
      </c>
      <c r="L527" s="4">
        <v>826.47</v>
      </c>
      <c r="M527" s="4">
        <v>0.22500000000000001</v>
      </c>
      <c r="N527" s="4">
        <v>13</v>
      </c>
      <c r="O527" s="4">
        <f t="shared" si="48"/>
        <v>2146.5795000000003</v>
      </c>
      <c r="P527">
        <f t="shared" si="49"/>
        <v>5216.9000000000005</v>
      </c>
      <c r="Q527" s="4">
        <f t="shared" si="51"/>
        <v>-3070.3205000000003</v>
      </c>
      <c r="R527" s="18">
        <f t="shared" si="52"/>
        <v>-1.4303316043034977</v>
      </c>
    </row>
    <row r="528" spans="1:18" x14ac:dyDescent="0.3">
      <c r="A528" t="s">
        <v>1153</v>
      </c>
      <c r="B528" s="7">
        <v>45695</v>
      </c>
      <c r="C528" s="2">
        <v>45704</v>
      </c>
      <c r="D528" s="4">
        <f t="shared" si="53"/>
        <v>9</v>
      </c>
      <c r="E528" s="4" t="str">
        <f>TEXT(Data!B528,"MMM-YYYY")</f>
        <v>Jan-2023</v>
      </c>
      <c r="F528" t="s">
        <v>62</v>
      </c>
      <c r="G528" t="s">
        <v>55</v>
      </c>
      <c r="H528" t="s">
        <v>21</v>
      </c>
      <c r="I528" t="s">
        <v>30</v>
      </c>
      <c r="J528" s="4">
        <v>90.68</v>
      </c>
      <c r="K528" s="8" t="str">
        <f t="shared" si="50"/>
        <v>Medium</v>
      </c>
      <c r="L528" s="4">
        <v>118.17</v>
      </c>
      <c r="M528" s="4">
        <v>0.13500000000000001</v>
      </c>
      <c r="N528" s="4">
        <v>21</v>
      </c>
      <c r="O528" s="4">
        <f t="shared" si="48"/>
        <v>36886.575600000004</v>
      </c>
      <c r="P528">
        <f t="shared" si="49"/>
        <v>1904.2800000000002</v>
      </c>
      <c r="Q528" s="4">
        <f t="shared" si="51"/>
        <v>34982.295600000005</v>
      </c>
      <c r="R528" s="18">
        <f t="shared" si="52"/>
        <v>0.94837471440422894</v>
      </c>
    </row>
    <row r="529" spans="1:18" x14ac:dyDescent="0.3">
      <c r="A529" t="s">
        <v>1155</v>
      </c>
      <c r="B529" s="7">
        <v>44938</v>
      </c>
      <c r="C529" s="2">
        <v>44952</v>
      </c>
      <c r="D529" s="4">
        <f t="shared" si="53"/>
        <v>14</v>
      </c>
      <c r="E529" s="4" t="str">
        <f>TEXT(Data!B529,"MMM-YYYY")</f>
        <v>Jun-2024</v>
      </c>
      <c r="F529" t="s">
        <v>39</v>
      </c>
      <c r="G529" t="s">
        <v>20</v>
      </c>
      <c r="H529" t="s">
        <v>110</v>
      </c>
      <c r="I529" t="s">
        <v>30</v>
      </c>
      <c r="J529" s="4">
        <v>1083.0899999999999</v>
      </c>
      <c r="K529" s="8" t="str">
        <f t="shared" si="50"/>
        <v>High</v>
      </c>
      <c r="L529" s="4">
        <v>1425.87</v>
      </c>
      <c r="M529" s="4">
        <v>0</v>
      </c>
      <c r="N529" s="4">
        <v>8</v>
      </c>
      <c r="O529" s="4">
        <f t="shared" si="48"/>
        <v>7653.6</v>
      </c>
      <c r="P529">
        <f t="shared" si="49"/>
        <v>8664.7199999999993</v>
      </c>
      <c r="Q529" s="4">
        <f t="shared" si="51"/>
        <v>-1011.119999999999</v>
      </c>
      <c r="R529" s="18">
        <f t="shared" si="52"/>
        <v>-0.13211037942928805</v>
      </c>
    </row>
    <row r="530" spans="1:18" x14ac:dyDescent="0.3">
      <c r="A530" t="s">
        <v>1157</v>
      </c>
      <c r="B530" s="7">
        <v>45448</v>
      </c>
      <c r="C530" s="2">
        <v>45466</v>
      </c>
      <c r="D530" s="4">
        <f t="shared" si="53"/>
        <v>18</v>
      </c>
      <c r="E530" s="4" t="str">
        <f>TEXT(Data!B530,"MMM-YYYY")</f>
        <v>Aug-2023</v>
      </c>
      <c r="F530" t="s">
        <v>48</v>
      </c>
      <c r="G530" t="s">
        <v>55</v>
      </c>
      <c r="H530" t="s">
        <v>145</v>
      </c>
      <c r="I530" t="s">
        <v>57</v>
      </c>
      <c r="J530" s="4">
        <v>1208.74</v>
      </c>
      <c r="K530" s="8" t="str">
        <f t="shared" si="50"/>
        <v>High</v>
      </c>
      <c r="L530" s="4">
        <v>1594.78</v>
      </c>
      <c r="M530" s="4">
        <v>5.8999999999999997E-2</v>
      </c>
      <c r="N530" s="4">
        <v>39</v>
      </c>
      <c r="O530" s="4">
        <f t="shared" si="48"/>
        <v>53128.40832000001</v>
      </c>
      <c r="P530">
        <f t="shared" si="49"/>
        <v>47140.86</v>
      </c>
      <c r="Q530" s="4">
        <f t="shared" si="51"/>
        <v>5987.548320000009</v>
      </c>
      <c r="R530" s="18">
        <f t="shared" si="52"/>
        <v>0.11269956148387032</v>
      </c>
    </row>
    <row r="531" spans="1:18" x14ac:dyDescent="0.3">
      <c r="A531" t="s">
        <v>1159</v>
      </c>
      <c r="B531" s="7">
        <v>45162</v>
      </c>
      <c r="C531" s="2">
        <v>45189</v>
      </c>
      <c r="D531" s="4">
        <f t="shared" si="53"/>
        <v>27</v>
      </c>
      <c r="E531" s="4" t="str">
        <f>TEXT(Data!B531,"MMM-YYYY")</f>
        <v>Jan-2024</v>
      </c>
      <c r="F531" t="s">
        <v>62</v>
      </c>
      <c r="G531" t="s">
        <v>40</v>
      </c>
      <c r="H531" t="s">
        <v>110</v>
      </c>
      <c r="I531" t="s">
        <v>30</v>
      </c>
      <c r="J531" s="4">
        <v>1399.64</v>
      </c>
      <c r="K531" s="8" t="str">
        <f t="shared" si="50"/>
        <v>High</v>
      </c>
      <c r="L531" s="4">
        <v>3342.11</v>
      </c>
      <c r="M531" s="4">
        <v>0</v>
      </c>
      <c r="N531" s="4">
        <v>10</v>
      </c>
      <c r="O531" s="4">
        <f t="shared" si="48"/>
        <v>29496.199999999997</v>
      </c>
      <c r="P531">
        <f t="shared" si="49"/>
        <v>13996.400000000001</v>
      </c>
      <c r="Q531" s="4">
        <f t="shared" si="51"/>
        <v>15499.799999999996</v>
      </c>
      <c r="R531" s="18">
        <f t="shared" si="52"/>
        <v>0.52548463869922213</v>
      </c>
    </row>
    <row r="532" spans="1:18" x14ac:dyDescent="0.3">
      <c r="A532" t="s">
        <v>1161</v>
      </c>
      <c r="B532" s="7">
        <v>45316</v>
      </c>
      <c r="C532" s="2">
        <v>45330</v>
      </c>
      <c r="D532" s="4">
        <f t="shared" si="53"/>
        <v>14</v>
      </c>
      <c r="E532" s="4" t="str">
        <f>TEXT(Data!B532,"MMM-YYYY")</f>
        <v>Mar-2025</v>
      </c>
      <c r="F532" t="s">
        <v>48</v>
      </c>
      <c r="G532" t="s">
        <v>40</v>
      </c>
      <c r="H532" t="s">
        <v>34</v>
      </c>
      <c r="I532" t="s">
        <v>35</v>
      </c>
      <c r="J532" s="4">
        <v>937.16</v>
      </c>
      <c r="K532" s="8" t="str">
        <f t="shared" si="50"/>
        <v>High</v>
      </c>
      <c r="L532" s="4">
        <v>1069.77</v>
      </c>
      <c r="M532" s="4">
        <v>3.7999999999999999E-2</v>
      </c>
      <c r="N532" s="4">
        <v>9</v>
      </c>
      <c r="O532" s="4">
        <f t="shared" si="48"/>
        <v>22342.575059999999</v>
      </c>
      <c r="P532">
        <f t="shared" si="49"/>
        <v>8434.44</v>
      </c>
      <c r="Q532" s="4">
        <f t="shared" si="51"/>
        <v>13908.135059999999</v>
      </c>
      <c r="R532" s="18">
        <f t="shared" si="52"/>
        <v>0.62249472241450754</v>
      </c>
    </row>
    <row r="533" spans="1:18" x14ac:dyDescent="0.3">
      <c r="A533" t="s">
        <v>1163</v>
      </c>
      <c r="B533" s="7">
        <v>45727</v>
      </c>
      <c r="C533" s="2">
        <v>45742</v>
      </c>
      <c r="D533" s="4">
        <f t="shared" si="53"/>
        <v>15</v>
      </c>
      <c r="E533" s="4" t="str">
        <f>TEXT(Data!B533,"MMM-YYYY")</f>
        <v>Apr-2025</v>
      </c>
      <c r="F533" t="s">
        <v>62</v>
      </c>
      <c r="G533" t="s">
        <v>28</v>
      </c>
      <c r="H533" t="s">
        <v>34</v>
      </c>
      <c r="I533" t="s">
        <v>42</v>
      </c>
      <c r="J533" s="4">
        <v>116.97</v>
      </c>
      <c r="K533" s="8" t="str">
        <f t="shared" si="50"/>
        <v>Medium</v>
      </c>
      <c r="L533" s="4">
        <v>140.82</v>
      </c>
      <c r="M533" s="4">
        <v>0.122</v>
      </c>
      <c r="N533" s="4">
        <v>5</v>
      </c>
      <c r="O533" s="4">
        <f t="shared" si="48"/>
        <v>8687.4149000000016</v>
      </c>
      <c r="P533">
        <f t="shared" si="49"/>
        <v>584.85</v>
      </c>
      <c r="Q533" s="4">
        <f t="shared" si="51"/>
        <v>8102.5649000000012</v>
      </c>
      <c r="R533" s="18">
        <f t="shared" si="52"/>
        <v>0.93267847723032082</v>
      </c>
    </row>
    <row r="534" spans="1:18" x14ac:dyDescent="0.3">
      <c r="A534" t="s">
        <v>1165</v>
      </c>
      <c r="B534" s="7">
        <v>45769</v>
      </c>
      <c r="C534" s="2">
        <v>45789</v>
      </c>
      <c r="D534" s="4">
        <f t="shared" si="53"/>
        <v>20</v>
      </c>
      <c r="E534" s="4" t="str">
        <f>TEXT(Data!B534,"MMM-YYYY")</f>
        <v>Aug-2023</v>
      </c>
      <c r="F534" t="s">
        <v>105</v>
      </c>
      <c r="G534" t="s">
        <v>40</v>
      </c>
      <c r="H534" t="s">
        <v>95</v>
      </c>
      <c r="I534" t="s">
        <v>64</v>
      </c>
      <c r="J534" s="4">
        <v>59.51</v>
      </c>
      <c r="K534" s="8" t="str">
        <f t="shared" si="50"/>
        <v>Medium</v>
      </c>
      <c r="L534" s="4">
        <v>67.040000000000006</v>
      </c>
      <c r="M534" s="4">
        <v>0.114</v>
      </c>
      <c r="N534" s="4">
        <v>9</v>
      </c>
      <c r="O534" s="4">
        <f t="shared" si="48"/>
        <v>11813.082300000002</v>
      </c>
      <c r="P534">
        <f t="shared" si="49"/>
        <v>535.59</v>
      </c>
      <c r="Q534" s="4">
        <f t="shared" si="51"/>
        <v>11277.492300000002</v>
      </c>
      <c r="R534" s="18">
        <f t="shared" si="52"/>
        <v>0.95466128260191674</v>
      </c>
    </row>
    <row r="535" spans="1:18" x14ac:dyDescent="0.3">
      <c r="A535" t="s">
        <v>1167</v>
      </c>
      <c r="B535" s="7">
        <v>45155</v>
      </c>
      <c r="C535" s="2">
        <v>45172</v>
      </c>
      <c r="D535" s="4">
        <f t="shared" si="53"/>
        <v>17</v>
      </c>
      <c r="E535" s="4" t="str">
        <f>TEXT(Data!B535,"MMM-YYYY")</f>
        <v>Jun-2025</v>
      </c>
      <c r="F535" t="s">
        <v>105</v>
      </c>
      <c r="G535" t="s">
        <v>20</v>
      </c>
      <c r="H535" t="s">
        <v>75</v>
      </c>
      <c r="I535" t="s">
        <v>42</v>
      </c>
      <c r="J535" s="4">
        <v>676.37</v>
      </c>
      <c r="K535" s="8" t="str">
        <f t="shared" si="50"/>
        <v>High</v>
      </c>
      <c r="L535" s="4">
        <v>1276.67</v>
      </c>
      <c r="M535" s="4">
        <v>6.6000000000000003E-2</v>
      </c>
      <c r="N535" s="4">
        <v>10</v>
      </c>
      <c r="O535" s="4">
        <f t="shared" si="48"/>
        <v>15494.3128</v>
      </c>
      <c r="P535">
        <f t="shared" si="49"/>
        <v>6763.7</v>
      </c>
      <c r="Q535" s="4">
        <f t="shared" si="51"/>
        <v>8730.612799999999</v>
      </c>
      <c r="R535" s="18">
        <f t="shared" si="52"/>
        <v>0.56347208893317291</v>
      </c>
    </row>
    <row r="536" spans="1:18" x14ac:dyDescent="0.3">
      <c r="A536" t="s">
        <v>1169</v>
      </c>
      <c r="B536" s="7">
        <v>45832</v>
      </c>
      <c r="C536" s="2">
        <v>45852</v>
      </c>
      <c r="D536" s="4">
        <f t="shared" si="53"/>
        <v>20</v>
      </c>
      <c r="E536" s="4" t="str">
        <f>TEXT(Data!B536,"MMM-YYYY")</f>
        <v>Jan-2025</v>
      </c>
      <c r="F536" t="s">
        <v>105</v>
      </c>
      <c r="G536" t="s">
        <v>40</v>
      </c>
      <c r="H536" t="s">
        <v>29</v>
      </c>
      <c r="I536" t="s">
        <v>57</v>
      </c>
      <c r="J536" s="4">
        <v>1151.06</v>
      </c>
      <c r="K536" s="8" t="str">
        <f t="shared" si="50"/>
        <v>High</v>
      </c>
      <c r="L536" s="4">
        <v>2821.36</v>
      </c>
      <c r="M536" s="4">
        <v>0.248</v>
      </c>
      <c r="N536" s="4">
        <v>20</v>
      </c>
      <c r="O536" s="4">
        <f t="shared" si="48"/>
        <v>9059.1936000000005</v>
      </c>
      <c r="P536">
        <f t="shared" si="49"/>
        <v>23021.199999999997</v>
      </c>
      <c r="Q536" s="4">
        <f t="shared" si="51"/>
        <v>-13962.006399999997</v>
      </c>
      <c r="R536" s="18">
        <f t="shared" si="52"/>
        <v>-1.5411974858336173</v>
      </c>
    </row>
    <row r="537" spans="1:18" x14ac:dyDescent="0.3">
      <c r="A537" t="s">
        <v>1171</v>
      </c>
      <c r="B537" s="7">
        <v>45667</v>
      </c>
      <c r="C537" s="2">
        <v>45694</v>
      </c>
      <c r="D537" s="4">
        <f t="shared" si="53"/>
        <v>27</v>
      </c>
      <c r="E537" s="4" t="str">
        <f>TEXT(Data!B537,"MMM-YYYY")</f>
        <v>Jul-2023</v>
      </c>
      <c r="F537" t="s">
        <v>39</v>
      </c>
      <c r="G537" t="s">
        <v>20</v>
      </c>
      <c r="H537" t="s">
        <v>56</v>
      </c>
      <c r="I537" t="s">
        <v>57</v>
      </c>
      <c r="J537" s="4">
        <v>725.62</v>
      </c>
      <c r="K537" s="8" t="str">
        <f t="shared" si="50"/>
        <v>High</v>
      </c>
      <c r="L537" s="4">
        <v>1559.19</v>
      </c>
      <c r="M537" s="4">
        <v>0.19</v>
      </c>
      <c r="N537" s="4">
        <v>12</v>
      </c>
      <c r="O537" s="4">
        <f t="shared" si="48"/>
        <v>5128.6608000000006</v>
      </c>
      <c r="P537">
        <f t="shared" si="49"/>
        <v>8707.44</v>
      </c>
      <c r="Q537" s="4">
        <f t="shared" si="51"/>
        <v>-3578.7791999999999</v>
      </c>
      <c r="R537" s="18">
        <f t="shared" si="52"/>
        <v>-0.69779994028850567</v>
      </c>
    </row>
    <row r="538" spans="1:18" x14ac:dyDescent="0.3">
      <c r="A538" t="s">
        <v>1173</v>
      </c>
      <c r="B538" s="7">
        <v>45108</v>
      </c>
      <c r="C538" s="2">
        <v>45118</v>
      </c>
      <c r="D538" s="4">
        <f t="shared" si="53"/>
        <v>10</v>
      </c>
      <c r="E538" s="4" t="str">
        <f>TEXT(Data!B538,"MMM-YYYY")</f>
        <v>Aug-2024</v>
      </c>
      <c r="F538" t="s">
        <v>19</v>
      </c>
      <c r="G538" t="s">
        <v>98</v>
      </c>
      <c r="H538" t="s">
        <v>84</v>
      </c>
      <c r="I538" t="s">
        <v>35</v>
      </c>
      <c r="J538" s="4">
        <v>479.5</v>
      </c>
      <c r="K538" s="8" t="str">
        <f t="shared" si="50"/>
        <v>High</v>
      </c>
      <c r="L538" s="4">
        <v>656.66</v>
      </c>
      <c r="M538" s="4">
        <v>0.14899999999999999</v>
      </c>
      <c r="N538" s="4">
        <v>14</v>
      </c>
      <c r="O538" s="4">
        <f t="shared" si="48"/>
        <v>21944.3966</v>
      </c>
      <c r="P538">
        <f t="shared" si="49"/>
        <v>6713</v>
      </c>
      <c r="Q538" s="4">
        <f t="shared" si="51"/>
        <v>15231.3966</v>
      </c>
      <c r="R538" s="18">
        <f t="shared" si="52"/>
        <v>0.69409047228029042</v>
      </c>
    </row>
    <row r="539" spans="1:18" x14ac:dyDescent="0.3">
      <c r="A539" t="s">
        <v>1175</v>
      </c>
      <c r="B539" s="7">
        <v>45520</v>
      </c>
      <c r="C539" s="2">
        <v>45530</v>
      </c>
      <c r="D539" s="4">
        <f t="shared" si="53"/>
        <v>10</v>
      </c>
      <c r="E539" s="4" t="str">
        <f>TEXT(Data!B539,"MMM-YYYY")</f>
        <v>Jul-2023</v>
      </c>
      <c r="F539" t="s">
        <v>19</v>
      </c>
      <c r="G539" t="s">
        <v>55</v>
      </c>
      <c r="H539" t="s">
        <v>49</v>
      </c>
      <c r="I539" t="s">
        <v>57</v>
      </c>
      <c r="J539" s="4">
        <v>1291.7</v>
      </c>
      <c r="K539" s="8" t="str">
        <f t="shared" si="50"/>
        <v>High</v>
      </c>
      <c r="L539" s="4">
        <v>2657.84</v>
      </c>
      <c r="M539" s="4">
        <v>8.6999999999999994E-2</v>
      </c>
      <c r="N539" s="4">
        <v>21</v>
      </c>
      <c r="O539" s="4">
        <f t="shared" si="48"/>
        <v>31548.788040000003</v>
      </c>
      <c r="P539">
        <f t="shared" si="49"/>
        <v>27125.7</v>
      </c>
      <c r="Q539" s="4">
        <f t="shared" si="51"/>
        <v>4423.0880400000024</v>
      </c>
      <c r="R539" s="18">
        <f t="shared" si="52"/>
        <v>0.14019835038962727</v>
      </c>
    </row>
    <row r="540" spans="1:18" x14ac:dyDescent="0.3">
      <c r="A540" t="s">
        <v>1176</v>
      </c>
      <c r="B540" s="7">
        <v>45114</v>
      </c>
      <c r="C540" s="2">
        <v>45120</v>
      </c>
      <c r="D540" s="4">
        <f t="shared" si="53"/>
        <v>6</v>
      </c>
      <c r="E540" s="4" t="str">
        <f>TEXT(Data!B540,"MMM-YYYY")</f>
        <v>Dec-2023</v>
      </c>
      <c r="F540" t="s">
        <v>62</v>
      </c>
      <c r="G540" t="s">
        <v>40</v>
      </c>
      <c r="H540" t="s">
        <v>56</v>
      </c>
      <c r="I540" t="s">
        <v>81</v>
      </c>
      <c r="J540" s="4">
        <v>612.59</v>
      </c>
      <c r="K540" s="8" t="str">
        <f t="shared" si="50"/>
        <v>High</v>
      </c>
      <c r="L540" s="4">
        <v>1424.74</v>
      </c>
      <c r="M540" s="4">
        <v>4.3999999999999997E-2</v>
      </c>
      <c r="N540" s="4">
        <v>15</v>
      </c>
      <c r="O540" s="4">
        <f t="shared" si="48"/>
        <v>10428.334800000001</v>
      </c>
      <c r="P540">
        <f t="shared" si="49"/>
        <v>9188.85</v>
      </c>
      <c r="Q540" s="4">
        <f t="shared" si="51"/>
        <v>1239.4848000000002</v>
      </c>
      <c r="R540" s="18">
        <f t="shared" si="52"/>
        <v>0.11885740377265219</v>
      </c>
    </row>
    <row r="541" spans="1:18" x14ac:dyDescent="0.3">
      <c r="A541" t="s">
        <v>1178</v>
      </c>
      <c r="B541" s="7">
        <v>45288</v>
      </c>
      <c r="C541" s="2">
        <v>45292</v>
      </c>
      <c r="D541" s="4">
        <f t="shared" si="53"/>
        <v>4</v>
      </c>
      <c r="E541" s="4" t="str">
        <f>TEXT(Data!B541,"MMM-YYYY")</f>
        <v>Jan-2023</v>
      </c>
      <c r="F541" t="s">
        <v>27</v>
      </c>
      <c r="G541" t="s">
        <v>55</v>
      </c>
      <c r="H541" t="s">
        <v>75</v>
      </c>
      <c r="I541" t="s">
        <v>30</v>
      </c>
      <c r="J541" s="4">
        <v>1141.8</v>
      </c>
      <c r="K541" s="8" t="str">
        <f t="shared" si="50"/>
        <v>High</v>
      </c>
      <c r="L541" s="4">
        <v>2318.7399999999998</v>
      </c>
      <c r="M541" s="4">
        <v>0.107</v>
      </c>
      <c r="N541" s="4">
        <v>32</v>
      </c>
      <c r="O541" s="4">
        <f t="shared" si="48"/>
        <v>35256.783040000002</v>
      </c>
      <c r="P541">
        <f t="shared" si="49"/>
        <v>36537.599999999999</v>
      </c>
      <c r="Q541" s="4">
        <f t="shared" si="51"/>
        <v>-1280.8169599999965</v>
      </c>
      <c r="R541" s="18">
        <f t="shared" si="52"/>
        <v>-3.6328242385213268E-2</v>
      </c>
    </row>
    <row r="542" spans="1:18" x14ac:dyDescent="0.3">
      <c r="A542" t="s">
        <v>1180</v>
      </c>
      <c r="B542" s="7">
        <v>44952</v>
      </c>
      <c r="C542" s="2">
        <v>44972</v>
      </c>
      <c r="D542" s="4">
        <f t="shared" si="53"/>
        <v>20</v>
      </c>
      <c r="E542" s="4" t="str">
        <f>TEXT(Data!B542,"MMM-YYYY")</f>
        <v>Jul-2023</v>
      </c>
      <c r="F542" t="s">
        <v>62</v>
      </c>
      <c r="G542" t="s">
        <v>28</v>
      </c>
      <c r="H542" t="s">
        <v>68</v>
      </c>
      <c r="I542" t="s">
        <v>35</v>
      </c>
      <c r="J542" s="4">
        <v>492.62</v>
      </c>
      <c r="K542" s="8" t="str">
        <f t="shared" si="50"/>
        <v>High</v>
      </c>
      <c r="L542" s="4">
        <v>366.7</v>
      </c>
      <c r="M542" s="4">
        <v>8.8999999999999996E-2</v>
      </c>
      <c r="N542" s="4">
        <v>10</v>
      </c>
      <c r="O542" s="4">
        <f t="shared" si="48"/>
        <v>14063.653600000001</v>
      </c>
      <c r="P542">
        <f t="shared" si="49"/>
        <v>4926.2</v>
      </c>
      <c r="Q542" s="4">
        <f t="shared" si="51"/>
        <v>9137.4536000000007</v>
      </c>
      <c r="R542" s="18">
        <f t="shared" si="52"/>
        <v>0.6497211791393952</v>
      </c>
    </row>
    <row r="543" spans="1:18" x14ac:dyDescent="0.3">
      <c r="A543" t="s">
        <v>1182</v>
      </c>
      <c r="B543" s="7">
        <v>45115</v>
      </c>
      <c r="C543" s="2">
        <v>45116</v>
      </c>
      <c r="D543" s="4">
        <f t="shared" si="53"/>
        <v>1</v>
      </c>
      <c r="E543" s="4" t="str">
        <f>TEXT(Data!B543,"MMM-YYYY")</f>
        <v>Jun-2024</v>
      </c>
      <c r="F543" t="s">
        <v>48</v>
      </c>
      <c r="G543" t="s">
        <v>28</v>
      </c>
      <c r="H543" t="s">
        <v>145</v>
      </c>
      <c r="I543" t="s">
        <v>57</v>
      </c>
      <c r="J543" s="4">
        <v>1258.72</v>
      </c>
      <c r="K543" s="8" t="str">
        <f t="shared" si="50"/>
        <v>High</v>
      </c>
      <c r="L543" s="4">
        <v>2797.41</v>
      </c>
      <c r="M543" s="4">
        <v>0</v>
      </c>
      <c r="N543" s="4">
        <v>7</v>
      </c>
      <c r="O543" s="4">
        <f t="shared" si="48"/>
        <v>14806.33</v>
      </c>
      <c r="P543">
        <f t="shared" si="49"/>
        <v>8811.0400000000009</v>
      </c>
      <c r="Q543" s="4">
        <f t="shared" si="51"/>
        <v>5995.2899999999991</v>
      </c>
      <c r="R543" s="18">
        <f t="shared" si="52"/>
        <v>0.40491397935882822</v>
      </c>
    </row>
    <row r="544" spans="1:18" x14ac:dyDescent="0.3">
      <c r="A544" t="s">
        <v>1184</v>
      </c>
      <c r="B544" s="7">
        <v>45450</v>
      </c>
      <c r="C544" s="2">
        <v>45452</v>
      </c>
      <c r="D544" s="4">
        <f t="shared" si="53"/>
        <v>2</v>
      </c>
      <c r="E544" s="4" t="str">
        <f>TEXT(Data!B544,"MMM-YYYY")</f>
        <v>Feb-2023</v>
      </c>
      <c r="F544" t="s">
        <v>19</v>
      </c>
      <c r="G544" t="s">
        <v>20</v>
      </c>
      <c r="H544" t="s">
        <v>68</v>
      </c>
      <c r="I544" t="s">
        <v>64</v>
      </c>
      <c r="J544" s="4">
        <v>1370.28</v>
      </c>
      <c r="K544" s="8" t="str">
        <f t="shared" si="50"/>
        <v>High</v>
      </c>
      <c r="L544" s="4">
        <v>2209.66</v>
      </c>
      <c r="M544" s="4">
        <v>0.13300000000000001</v>
      </c>
      <c r="N544" s="4">
        <v>16</v>
      </c>
      <c r="O544" s="4">
        <f t="shared" si="48"/>
        <v>25485.499680000001</v>
      </c>
      <c r="P544">
        <f t="shared" si="49"/>
        <v>21924.48</v>
      </c>
      <c r="Q544" s="4">
        <f t="shared" si="51"/>
        <v>3561.0196800000012</v>
      </c>
      <c r="R544" s="18">
        <f t="shared" si="52"/>
        <v>0.13972728511164123</v>
      </c>
    </row>
    <row r="545" spans="1:18" x14ac:dyDescent="0.3">
      <c r="A545" t="s">
        <v>1186</v>
      </c>
      <c r="B545" s="7">
        <v>44968</v>
      </c>
      <c r="C545" s="2">
        <v>44969</v>
      </c>
      <c r="D545" s="4">
        <f t="shared" si="53"/>
        <v>1</v>
      </c>
      <c r="E545" s="4" t="str">
        <f>TEXT(Data!B545,"MMM-YYYY")</f>
        <v>Jul-2023</v>
      </c>
      <c r="F545" t="s">
        <v>39</v>
      </c>
      <c r="G545" t="s">
        <v>98</v>
      </c>
      <c r="H545" t="s">
        <v>145</v>
      </c>
      <c r="I545" t="s">
        <v>81</v>
      </c>
      <c r="J545" s="4">
        <v>944.61</v>
      </c>
      <c r="K545" s="8" t="str">
        <f t="shared" si="50"/>
        <v>High</v>
      </c>
      <c r="L545" s="4">
        <v>839.04</v>
      </c>
      <c r="M545" s="4">
        <v>5.8999999999999997E-2</v>
      </c>
      <c r="N545" s="4">
        <v>6</v>
      </c>
      <c r="O545" s="4">
        <f t="shared" si="48"/>
        <v>16141.518779999999</v>
      </c>
      <c r="P545">
        <f t="shared" si="49"/>
        <v>5667.66</v>
      </c>
      <c r="Q545" s="4">
        <f t="shared" si="51"/>
        <v>10473.858779999999</v>
      </c>
      <c r="R545" s="18">
        <f t="shared" si="52"/>
        <v>0.64887690698458544</v>
      </c>
    </row>
    <row r="546" spans="1:18" x14ac:dyDescent="0.3">
      <c r="A546" t="s">
        <v>1188</v>
      </c>
      <c r="B546" s="7">
        <v>45108</v>
      </c>
      <c r="C546" s="2">
        <v>45115</v>
      </c>
      <c r="D546" s="4">
        <f t="shared" si="53"/>
        <v>7</v>
      </c>
      <c r="E546" s="4" t="str">
        <f>TEXT(Data!B546,"MMM-YYYY")</f>
        <v>Aug-2025</v>
      </c>
      <c r="F546" t="s">
        <v>62</v>
      </c>
      <c r="G546" t="s">
        <v>55</v>
      </c>
      <c r="H546" t="s">
        <v>126</v>
      </c>
      <c r="I546" t="s">
        <v>57</v>
      </c>
      <c r="J546" s="4">
        <v>460.21</v>
      </c>
      <c r="K546" s="8" t="str">
        <f t="shared" si="50"/>
        <v>High</v>
      </c>
      <c r="L546" s="4">
        <v>1139.1500000000001</v>
      </c>
      <c r="M546" s="4">
        <v>0.115</v>
      </c>
      <c r="N546" s="4">
        <v>14</v>
      </c>
      <c r="O546" s="4">
        <f t="shared" si="48"/>
        <v>3592.1088</v>
      </c>
      <c r="P546">
        <f t="shared" si="49"/>
        <v>6442.94</v>
      </c>
      <c r="Q546" s="4">
        <f t="shared" si="51"/>
        <v>-2850.8311999999996</v>
      </c>
      <c r="R546" s="18">
        <f t="shared" si="52"/>
        <v>-0.79363720831618456</v>
      </c>
    </row>
    <row r="547" spans="1:18" x14ac:dyDescent="0.3">
      <c r="A547" t="s">
        <v>1190</v>
      </c>
      <c r="B547" s="7">
        <v>45889</v>
      </c>
      <c r="C547" s="2">
        <v>45895</v>
      </c>
      <c r="D547" s="4">
        <f t="shared" si="53"/>
        <v>6</v>
      </c>
      <c r="E547" s="4" t="str">
        <f>TEXT(Data!B547,"MMM-YYYY")</f>
        <v>Mar-2024</v>
      </c>
      <c r="F547" t="s">
        <v>19</v>
      </c>
      <c r="G547" t="s">
        <v>20</v>
      </c>
      <c r="H547" t="s">
        <v>110</v>
      </c>
      <c r="I547" t="s">
        <v>35</v>
      </c>
      <c r="J547" s="4">
        <v>1304.95</v>
      </c>
      <c r="K547" s="8" t="str">
        <f t="shared" si="50"/>
        <v>High</v>
      </c>
      <c r="L547" s="4">
        <v>1712.03</v>
      </c>
      <c r="M547" s="4">
        <v>0.21199999999999999</v>
      </c>
      <c r="N547" s="4">
        <v>8</v>
      </c>
      <c r="O547" s="4">
        <f t="shared" si="48"/>
        <v>6286.3488000000007</v>
      </c>
      <c r="P547">
        <f t="shared" si="49"/>
        <v>10439.6</v>
      </c>
      <c r="Q547" s="4">
        <f t="shared" si="51"/>
        <v>-4153.2511999999997</v>
      </c>
      <c r="R547" s="18">
        <f t="shared" si="52"/>
        <v>-0.66067781666839731</v>
      </c>
    </row>
    <row r="548" spans="1:18" x14ac:dyDescent="0.3">
      <c r="A548" t="s">
        <v>1192</v>
      </c>
      <c r="B548" s="7">
        <v>45355</v>
      </c>
      <c r="C548" s="2">
        <v>45367</v>
      </c>
      <c r="D548" s="4">
        <f t="shared" si="53"/>
        <v>12</v>
      </c>
      <c r="E548" s="4" t="str">
        <f>TEXT(Data!B548,"MMM-YYYY")</f>
        <v>Sept-2023</v>
      </c>
      <c r="F548" t="s">
        <v>105</v>
      </c>
      <c r="G548" t="s">
        <v>55</v>
      </c>
      <c r="H548" t="s">
        <v>110</v>
      </c>
      <c r="I548" t="s">
        <v>64</v>
      </c>
      <c r="J548" s="4">
        <v>441.08</v>
      </c>
      <c r="K548" s="8" t="str">
        <f t="shared" si="50"/>
        <v>High</v>
      </c>
      <c r="L548" s="4">
        <v>1054.29</v>
      </c>
      <c r="M548" s="4">
        <v>0.23699999999999999</v>
      </c>
      <c r="N548" s="4">
        <v>6</v>
      </c>
      <c r="O548" s="4">
        <f t="shared" si="48"/>
        <v>216.49362000000002</v>
      </c>
      <c r="P548">
        <f t="shared" si="49"/>
        <v>2646.48</v>
      </c>
      <c r="Q548" s="4">
        <f t="shared" si="51"/>
        <v>-2429.9863799999998</v>
      </c>
      <c r="R548" s="18">
        <f t="shared" si="52"/>
        <v>-11.224286332317782</v>
      </c>
    </row>
    <row r="549" spans="1:18" x14ac:dyDescent="0.3">
      <c r="A549" t="s">
        <v>1194</v>
      </c>
      <c r="B549" s="7">
        <v>45177</v>
      </c>
      <c r="C549" s="2">
        <v>45201</v>
      </c>
      <c r="D549" s="4">
        <f t="shared" si="53"/>
        <v>24</v>
      </c>
      <c r="E549" s="4" t="str">
        <f>TEXT(Data!B549,"MMM-YYYY")</f>
        <v>Feb-2023</v>
      </c>
      <c r="F549" t="s">
        <v>27</v>
      </c>
      <c r="G549" t="s">
        <v>98</v>
      </c>
      <c r="H549" t="s">
        <v>75</v>
      </c>
      <c r="I549" t="s">
        <v>81</v>
      </c>
      <c r="J549" s="4">
        <v>1299.03</v>
      </c>
      <c r="K549" s="8" t="str">
        <f t="shared" si="50"/>
        <v>High</v>
      </c>
      <c r="L549" s="4">
        <v>2451.2199999999998</v>
      </c>
      <c r="M549" s="4">
        <v>0.20799999999999999</v>
      </c>
      <c r="N549" s="4">
        <v>8</v>
      </c>
      <c r="O549" s="4">
        <f t="shared" si="48"/>
        <v>4778.8646400000007</v>
      </c>
      <c r="P549">
        <f t="shared" si="49"/>
        <v>10392.24</v>
      </c>
      <c r="Q549" s="4">
        <f t="shared" si="51"/>
        <v>-5613.3753599999991</v>
      </c>
      <c r="R549" s="18">
        <f t="shared" si="52"/>
        <v>-1.1746253101657214</v>
      </c>
    </row>
    <row r="550" spans="1:18" x14ac:dyDescent="0.3">
      <c r="A550" t="s">
        <v>1196</v>
      </c>
      <c r="B550" s="7">
        <v>44985</v>
      </c>
      <c r="C550" s="2">
        <v>44991</v>
      </c>
      <c r="D550" s="4">
        <f t="shared" si="53"/>
        <v>6</v>
      </c>
      <c r="E550" s="4" t="str">
        <f>TEXT(Data!B550,"MMM-YYYY")</f>
        <v>Jul-2024</v>
      </c>
      <c r="F550" t="s">
        <v>62</v>
      </c>
      <c r="G550" t="s">
        <v>40</v>
      </c>
      <c r="H550" t="s">
        <v>145</v>
      </c>
      <c r="I550" t="s">
        <v>30</v>
      </c>
      <c r="J550" s="4">
        <v>880.02</v>
      </c>
      <c r="K550" s="8" t="str">
        <f t="shared" si="50"/>
        <v>High</v>
      </c>
      <c r="L550" s="4">
        <v>1251.21</v>
      </c>
      <c r="M550" s="4">
        <v>0.123</v>
      </c>
      <c r="N550" s="4">
        <v>29</v>
      </c>
      <c r="O550" s="4">
        <f t="shared" si="48"/>
        <v>22927.340840000001</v>
      </c>
      <c r="P550">
        <f t="shared" si="49"/>
        <v>25520.579999999998</v>
      </c>
      <c r="Q550" s="4">
        <f t="shared" si="51"/>
        <v>-2593.2391599999974</v>
      </c>
      <c r="R550" s="18">
        <f t="shared" si="52"/>
        <v>-0.1131068438375428</v>
      </c>
    </row>
    <row r="551" spans="1:18" x14ac:dyDescent="0.3">
      <c r="A551" t="s">
        <v>1198</v>
      </c>
      <c r="B551" s="7">
        <v>45486</v>
      </c>
      <c r="C551" s="2">
        <v>45507</v>
      </c>
      <c r="D551" s="4">
        <f t="shared" si="53"/>
        <v>21</v>
      </c>
      <c r="E551" s="4" t="str">
        <f>TEXT(Data!B551,"MMM-YYYY")</f>
        <v>Dec-2024</v>
      </c>
      <c r="F551" t="s">
        <v>19</v>
      </c>
      <c r="G551" t="s">
        <v>40</v>
      </c>
      <c r="H551" t="s">
        <v>110</v>
      </c>
      <c r="I551" t="s">
        <v>64</v>
      </c>
      <c r="J551" s="4">
        <v>702.98</v>
      </c>
      <c r="K551" s="8" t="str">
        <f t="shared" si="50"/>
        <v>High</v>
      </c>
      <c r="L551" s="4">
        <v>1104.8</v>
      </c>
      <c r="M551" s="4">
        <v>0.17499999999999999</v>
      </c>
      <c r="N551" s="4">
        <v>12</v>
      </c>
      <c r="O551" s="4">
        <f t="shared" si="48"/>
        <v>1119.492</v>
      </c>
      <c r="P551">
        <f t="shared" si="49"/>
        <v>8435.76</v>
      </c>
      <c r="Q551" s="4">
        <f t="shared" si="51"/>
        <v>-7316.268</v>
      </c>
      <c r="R551" s="18">
        <f t="shared" si="52"/>
        <v>-6.5353463892551265</v>
      </c>
    </row>
    <row r="552" spans="1:18" x14ac:dyDescent="0.3">
      <c r="A552" t="s">
        <v>1200</v>
      </c>
      <c r="B552" s="7">
        <v>45633</v>
      </c>
      <c r="C552" s="2">
        <v>45652</v>
      </c>
      <c r="D552" s="4">
        <f t="shared" si="53"/>
        <v>19</v>
      </c>
      <c r="E552" s="4" t="str">
        <f>TEXT(Data!B552,"MMM-YYYY")</f>
        <v>Aug-2025</v>
      </c>
      <c r="F552" t="s">
        <v>105</v>
      </c>
      <c r="G552" t="s">
        <v>28</v>
      </c>
      <c r="H552" t="s">
        <v>145</v>
      </c>
      <c r="I552" t="s">
        <v>35</v>
      </c>
      <c r="J552" s="4">
        <v>1035.24</v>
      </c>
      <c r="K552" s="8" t="str">
        <f t="shared" si="50"/>
        <v>High</v>
      </c>
      <c r="L552" s="4">
        <v>2383.41</v>
      </c>
      <c r="M552" s="4">
        <v>0.17</v>
      </c>
      <c r="N552" s="4">
        <v>15</v>
      </c>
      <c r="O552" s="4">
        <f t="shared" si="48"/>
        <v>10814.319</v>
      </c>
      <c r="P552">
        <f t="shared" si="49"/>
        <v>15528.6</v>
      </c>
      <c r="Q552" s="4">
        <f t="shared" si="51"/>
        <v>-4714.2810000000009</v>
      </c>
      <c r="R552" s="18">
        <f t="shared" si="52"/>
        <v>-0.43592953009801183</v>
      </c>
    </row>
    <row r="553" spans="1:18" x14ac:dyDescent="0.3">
      <c r="A553" t="s">
        <v>1202</v>
      </c>
      <c r="B553" s="7">
        <v>45875</v>
      </c>
      <c r="C553" s="2">
        <v>45892</v>
      </c>
      <c r="D553" s="4">
        <f t="shared" si="53"/>
        <v>17</v>
      </c>
      <c r="E553" s="4" t="str">
        <f>TEXT(Data!B553,"MMM-YYYY")</f>
        <v>Mar-2023</v>
      </c>
      <c r="F553" t="s">
        <v>48</v>
      </c>
      <c r="G553" t="s">
        <v>55</v>
      </c>
      <c r="H553" t="s">
        <v>75</v>
      </c>
      <c r="I553" t="s">
        <v>64</v>
      </c>
      <c r="J553" s="4">
        <v>86.64</v>
      </c>
      <c r="K553" s="8" t="str">
        <f t="shared" si="50"/>
        <v>High</v>
      </c>
      <c r="L553" s="4">
        <v>213.06</v>
      </c>
      <c r="M553" s="4">
        <v>0.21199999999999999</v>
      </c>
      <c r="N553" s="4">
        <v>11</v>
      </c>
      <c r="O553" s="4">
        <f t="shared" si="48"/>
        <v>3015.5971999999997</v>
      </c>
      <c r="P553">
        <f t="shared" si="49"/>
        <v>953.04</v>
      </c>
      <c r="Q553" s="4">
        <f t="shared" si="51"/>
        <v>2062.5571999999997</v>
      </c>
      <c r="R553" s="18">
        <f t="shared" si="52"/>
        <v>0.68396309692819712</v>
      </c>
    </row>
    <row r="554" spans="1:18" x14ac:dyDescent="0.3">
      <c r="A554" t="s">
        <v>1204</v>
      </c>
      <c r="B554" s="7">
        <v>44988</v>
      </c>
      <c r="C554" s="2">
        <v>45005</v>
      </c>
      <c r="D554" s="4">
        <f t="shared" si="53"/>
        <v>17</v>
      </c>
      <c r="E554" s="4" t="str">
        <f>TEXT(Data!B554,"MMM-YYYY")</f>
        <v>Feb-2025</v>
      </c>
      <c r="F554" t="s">
        <v>62</v>
      </c>
      <c r="G554" t="s">
        <v>28</v>
      </c>
      <c r="H554" t="s">
        <v>145</v>
      </c>
      <c r="I554" t="s">
        <v>35</v>
      </c>
      <c r="J554" s="4">
        <v>1171.17</v>
      </c>
      <c r="K554" s="8" t="str">
        <f t="shared" si="50"/>
        <v>High</v>
      </c>
      <c r="L554" s="4">
        <v>2030.64</v>
      </c>
      <c r="M554" s="4">
        <v>0.157</v>
      </c>
      <c r="N554" s="4">
        <v>11</v>
      </c>
      <c r="O554" s="4">
        <f t="shared" si="48"/>
        <v>10310.463239999999</v>
      </c>
      <c r="P554">
        <f t="shared" si="49"/>
        <v>12882.87</v>
      </c>
      <c r="Q554" s="4">
        <f t="shared" si="51"/>
        <v>-2572.4067600000017</v>
      </c>
      <c r="R554" s="18">
        <f t="shared" si="52"/>
        <v>-0.24949478021707217</v>
      </c>
    </row>
    <row r="555" spans="1:18" x14ac:dyDescent="0.3">
      <c r="A555" t="s">
        <v>1206</v>
      </c>
      <c r="B555" s="7">
        <v>45704</v>
      </c>
      <c r="C555" s="2">
        <v>45733</v>
      </c>
      <c r="D555" s="4">
        <f t="shared" si="53"/>
        <v>1</v>
      </c>
      <c r="E555" s="4" t="str">
        <f>TEXT(Data!B555,"MMM-YYYY")</f>
        <v>Feb-2025</v>
      </c>
      <c r="F555" t="s">
        <v>48</v>
      </c>
      <c r="G555" t="s">
        <v>20</v>
      </c>
      <c r="H555" t="s">
        <v>49</v>
      </c>
      <c r="I555" t="s">
        <v>81</v>
      </c>
      <c r="J555" s="4">
        <v>730.42</v>
      </c>
      <c r="K555" s="8" t="str">
        <f t="shared" si="50"/>
        <v>High</v>
      </c>
      <c r="L555" s="4">
        <v>956.7</v>
      </c>
      <c r="M555" s="4">
        <v>4.2000000000000003E-2</v>
      </c>
      <c r="N555" s="4">
        <v>22</v>
      </c>
      <c r="O555" s="4">
        <f t="shared" si="48"/>
        <v>6907.0267199999998</v>
      </c>
      <c r="P555">
        <f t="shared" si="49"/>
        <v>16069.24</v>
      </c>
      <c r="Q555" s="4">
        <f t="shared" si="51"/>
        <v>-9162.2132799999999</v>
      </c>
      <c r="R555" s="18">
        <f t="shared" si="52"/>
        <v>-1.3265061293986133</v>
      </c>
    </row>
    <row r="556" spans="1:18" x14ac:dyDescent="0.3">
      <c r="A556" t="s">
        <v>1208</v>
      </c>
      <c r="B556" s="7">
        <v>45703</v>
      </c>
      <c r="C556" s="2">
        <v>45717</v>
      </c>
      <c r="D556" s="4">
        <f t="shared" si="53"/>
        <v>14</v>
      </c>
      <c r="E556" s="4" t="str">
        <f>TEXT(Data!B556,"MMM-YYYY")</f>
        <v>Aug-2024</v>
      </c>
      <c r="F556" t="s">
        <v>27</v>
      </c>
      <c r="G556" t="s">
        <v>98</v>
      </c>
      <c r="H556" t="s">
        <v>49</v>
      </c>
      <c r="I556" t="s">
        <v>81</v>
      </c>
      <c r="J556" s="4">
        <v>1162.8599999999999</v>
      </c>
      <c r="K556" s="8" t="str">
        <f t="shared" si="50"/>
        <v>High</v>
      </c>
      <c r="L556" s="4">
        <v>1447.68</v>
      </c>
      <c r="M556" s="4">
        <v>8.6999999999999994E-2</v>
      </c>
      <c r="N556" s="4">
        <v>12</v>
      </c>
      <c r="O556" s="4">
        <f t="shared" si="48"/>
        <v>5326.0402800000002</v>
      </c>
      <c r="P556">
        <f t="shared" si="49"/>
        <v>13954.32</v>
      </c>
      <c r="Q556" s="4">
        <f t="shared" si="51"/>
        <v>-8628.2797199999986</v>
      </c>
      <c r="R556" s="18">
        <f t="shared" si="52"/>
        <v>-1.6200177367040112</v>
      </c>
    </row>
    <row r="557" spans="1:18" x14ac:dyDescent="0.3">
      <c r="A557" t="s">
        <v>1210</v>
      </c>
      <c r="B557" s="7">
        <v>45535</v>
      </c>
      <c r="C557" s="2">
        <v>45561</v>
      </c>
      <c r="D557" s="4">
        <f t="shared" si="53"/>
        <v>26</v>
      </c>
      <c r="E557" s="4" t="str">
        <f>TEXT(Data!B557,"MMM-YYYY")</f>
        <v>May-2023</v>
      </c>
      <c r="F557" t="s">
        <v>27</v>
      </c>
      <c r="G557" t="s">
        <v>28</v>
      </c>
      <c r="H557" t="s">
        <v>34</v>
      </c>
      <c r="I557" t="s">
        <v>42</v>
      </c>
      <c r="J557" s="4">
        <v>1189.03</v>
      </c>
      <c r="K557" s="8" t="str">
        <f t="shared" si="50"/>
        <v>High</v>
      </c>
      <c r="L557" s="4">
        <v>2949.62</v>
      </c>
      <c r="M557" s="4">
        <v>0.125</v>
      </c>
      <c r="N557" s="4">
        <v>13</v>
      </c>
      <c r="O557" s="4">
        <f t="shared" si="48"/>
        <v>23507.575000000001</v>
      </c>
      <c r="P557">
        <f t="shared" si="49"/>
        <v>15457.39</v>
      </c>
      <c r="Q557" s="4">
        <f t="shared" si="51"/>
        <v>8050.1850000000013</v>
      </c>
      <c r="R557" s="18">
        <f t="shared" si="52"/>
        <v>0.34245067813247437</v>
      </c>
    </row>
    <row r="558" spans="1:18" x14ac:dyDescent="0.3">
      <c r="A558" t="s">
        <v>1212</v>
      </c>
      <c r="B558" s="7">
        <v>45053</v>
      </c>
      <c r="C558" s="2">
        <v>45066</v>
      </c>
      <c r="D558" s="4">
        <f t="shared" si="53"/>
        <v>13</v>
      </c>
      <c r="E558" s="4" t="str">
        <f>TEXT(Data!B558,"MMM-YYYY")</f>
        <v>May-2025</v>
      </c>
      <c r="F558" t="s">
        <v>105</v>
      </c>
      <c r="G558" t="s">
        <v>20</v>
      </c>
      <c r="H558" t="s">
        <v>145</v>
      </c>
      <c r="I558" t="s">
        <v>81</v>
      </c>
      <c r="J558" s="4">
        <v>1443.28</v>
      </c>
      <c r="K558" s="8" t="str">
        <f t="shared" si="50"/>
        <v>High</v>
      </c>
      <c r="L558" s="4">
        <v>2580.5700000000002</v>
      </c>
      <c r="M558" s="4">
        <v>0</v>
      </c>
      <c r="N558" s="4">
        <v>18</v>
      </c>
      <c r="O558" s="4">
        <f t="shared" si="48"/>
        <v>1551.6000000000001</v>
      </c>
      <c r="P558">
        <f t="shared" si="49"/>
        <v>25979.040000000001</v>
      </c>
      <c r="Q558" s="4">
        <f t="shared" si="51"/>
        <v>-24427.440000000002</v>
      </c>
      <c r="R558" s="18">
        <f t="shared" si="52"/>
        <v>-15.74338747099768</v>
      </c>
    </row>
    <row r="559" spans="1:18" x14ac:dyDescent="0.3">
      <c r="A559" t="s">
        <v>1214</v>
      </c>
      <c r="B559" s="7">
        <v>45791</v>
      </c>
      <c r="C559" s="2">
        <v>45789</v>
      </c>
      <c r="D559" s="4">
        <f>DATEDIF(C559,B559, "MD")</f>
        <v>2</v>
      </c>
      <c r="E559" s="4" t="str">
        <f>TEXT(Data!B559,"MMM-YYYY")</f>
        <v>Mar-2024</v>
      </c>
      <c r="F559" t="s">
        <v>39</v>
      </c>
      <c r="G559" t="s">
        <v>55</v>
      </c>
      <c r="H559" t="s">
        <v>84</v>
      </c>
      <c r="I559" t="s">
        <v>30</v>
      </c>
      <c r="J559" s="4">
        <v>883.5</v>
      </c>
      <c r="K559" s="8" t="str">
        <f t="shared" si="50"/>
        <v>High</v>
      </c>
      <c r="L559" s="4">
        <v>1978.91</v>
      </c>
      <c r="M559" s="4">
        <v>5.3999999999999999E-2</v>
      </c>
      <c r="N559" s="4">
        <v>27</v>
      </c>
      <c r="O559" s="4">
        <f t="shared" si="48"/>
        <v>58944.550499999998</v>
      </c>
      <c r="P559">
        <f t="shared" si="49"/>
        <v>23854.5</v>
      </c>
      <c r="Q559" s="4">
        <f t="shared" si="51"/>
        <v>35090.050499999998</v>
      </c>
      <c r="R559" s="18">
        <f t="shared" si="52"/>
        <v>0.59530610043416987</v>
      </c>
    </row>
    <row r="560" spans="1:18" x14ac:dyDescent="0.3">
      <c r="A560" t="s">
        <v>1216</v>
      </c>
      <c r="B560" s="7">
        <v>45362</v>
      </c>
      <c r="C560" s="2">
        <v>45380</v>
      </c>
      <c r="D560" s="4">
        <f t="shared" si="53"/>
        <v>18</v>
      </c>
      <c r="E560" s="4" t="str">
        <f>TEXT(Data!B560,"MMM-YYYY")</f>
        <v>May-2024</v>
      </c>
      <c r="F560" t="s">
        <v>19</v>
      </c>
      <c r="G560" t="s">
        <v>20</v>
      </c>
      <c r="H560" t="s">
        <v>110</v>
      </c>
      <c r="I560" t="s">
        <v>64</v>
      </c>
      <c r="J560" s="4">
        <v>710.98</v>
      </c>
      <c r="K560" s="8" t="str">
        <f t="shared" si="50"/>
        <v>High</v>
      </c>
      <c r="L560" s="4">
        <v>1481.45</v>
      </c>
      <c r="M560" s="4">
        <v>0.21099999999999999</v>
      </c>
      <c r="N560" s="4">
        <v>9</v>
      </c>
      <c r="O560" s="4">
        <f t="shared" si="48"/>
        <v>7902.0638099999996</v>
      </c>
      <c r="P560">
        <f t="shared" si="49"/>
        <v>6398.82</v>
      </c>
      <c r="Q560" s="4">
        <f t="shared" si="51"/>
        <v>1503.2438099999999</v>
      </c>
      <c r="R560" s="18">
        <f t="shared" si="52"/>
        <v>0.19023432942893434</v>
      </c>
    </row>
    <row r="561" spans="1:18" x14ac:dyDescent="0.3">
      <c r="A561" t="s">
        <v>1218</v>
      </c>
      <c r="B561" s="7">
        <v>45430</v>
      </c>
      <c r="C561" s="2">
        <v>45434</v>
      </c>
      <c r="D561" s="4">
        <f t="shared" si="53"/>
        <v>4</v>
      </c>
      <c r="E561" s="4" t="str">
        <f>TEXT(Data!B561,"MMM-YYYY")</f>
        <v>Jan-2024</v>
      </c>
      <c r="F561" t="s">
        <v>19</v>
      </c>
      <c r="G561" t="s">
        <v>98</v>
      </c>
      <c r="H561" t="s">
        <v>92</v>
      </c>
      <c r="I561" t="s">
        <v>81</v>
      </c>
      <c r="J561" s="4">
        <v>857.42</v>
      </c>
      <c r="K561" s="8" t="str">
        <f t="shared" si="50"/>
        <v>High</v>
      </c>
      <c r="L561" s="4">
        <v>1658.92</v>
      </c>
      <c r="M561" s="4">
        <v>0.122</v>
      </c>
      <c r="N561" s="4">
        <v>9</v>
      </c>
      <c r="O561" s="4">
        <f t="shared" si="48"/>
        <v>8897.572979999999</v>
      </c>
      <c r="P561">
        <f t="shared" si="49"/>
        <v>7716.78</v>
      </c>
      <c r="Q561" s="4">
        <f t="shared" si="51"/>
        <v>1180.7929799999993</v>
      </c>
      <c r="R561" s="18">
        <f t="shared" si="52"/>
        <v>0.13270955828675871</v>
      </c>
    </row>
    <row r="562" spans="1:18" x14ac:dyDescent="0.3">
      <c r="A562" t="s">
        <v>1220</v>
      </c>
      <c r="B562" s="7">
        <v>45299</v>
      </c>
      <c r="C562" s="2">
        <v>45303</v>
      </c>
      <c r="D562" s="4">
        <f t="shared" si="53"/>
        <v>4</v>
      </c>
      <c r="E562" s="4" t="str">
        <f>TEXT(Data!B562,"MMM-YYYY")</f>
        <v>Oct-2024</v>
      </c>
      <c r="F562" t="s">
        <v>19</v>
      </c>
      <c r="G562" t="s">
        <v>98</v>
      </c>
      <c r="H562" t="s">
        <v>63</v>
      </c>
      <c r="I562" t="s">
        <v>30</v>
      </c>
      <c r="J562" s="4">
        <v>802.32</v>
      </c>
      <c r="K562" s="8" t="str">
        <f t="shared" si="50"/>
        <v>High</v>
      </c>
      <c r="L562" s="4">
        <v>602.34</v>
      </c>
      <c r="M562" s="4">
        <v>0.12</v>
      </c>
      <c r="N562" s="4">
        <v>25</v>
      </c>
      <c r="O562" s="4">
        <f t="shared" si="48"/>
        <v>2719.64</v>
      </c>
      <c r="P562">
        <f t="shared" si="49"/>
        <v>20058</v>
      </c>
      <c r="Q562" s="4">
        <f t="shared" si="51"/>
        <v>-17338.36</v>
      </c>
      <c r="R562" s="18">
        <f t="shared" si="52"/>
        <v>-6.3752408406995045</v>
      </c>
    </row>
    <row r="563" spans="1:18" x14ac:dyDescent="0.3">
      <c r="A563" t="s">
        <v>1222</v>
      </c>
      <c r="B563" s="7">
        <v>45590</v>
      </c>
      <c r="C563" s="2">
        <v>45601</v>
      </c>
      <c r="D563" s="4">
        <f t="shared" si="53"/>
        <v>11</v>
      </c>
      <c r="E563" s="4" t="str">
        <f>TEXT(Data!B563,"MMM-YYYY")</f>
        <v>Nov-2024</v>
      </c>
      <c r="F563" t="s">
        <v>19</v>
      </c>
      <c r="G563" t="s">
        <v>55</v>
      </c>
      <c r="H563" t="s">
        <v>126</v>
      </c>
      <c r="I563" t="s">
        <v>22</v>
      </c>
      <c r="J563" s="4">
        <v>446.66</v>
      </c>
      <c r="K563" s="8" t="str">
        <f t="shared" si="50"/>
        <v>High</v>
      </c>
      <c r="L563" s="4">
        <v>527.64</v>
      </c>
      <c r="M563" s="4">
        <v>0.14499999999999999</v>
      </c>
      <c r="N563" s="4">
        <v>15</v>
      </c>
      <c r="O563" s="4">
        <f t="shared" si="48"/>
        <v>22209.693749999999</v>
      </c>
      <c r="P563">
        <f t="shared" si="49"/>
        <v>6699.9000000000005</v>
      </c>
      <c r="Q563" s="4">
        <f t="shared" si="51"/>
        <v>15509.793749999997</v>
      </c>
      <c r="R563" s="18">
        <f t="shared" si="52"/>
        <v>0.6983344266059498</v>
      </c>
    </row>
    <row r="564" spans="1:18" x14ac:dyDescent="0.3">
      <c r="A564" t="s">
        <v>1224</v>
      </c>
      <c r="B564" s="7">
        <v>45626</v>
      </c>
      <c r="C564" s="2">
        <v>45645</v>
      </c>
      <c r="D564" s="4">
        <f t="shared" si="53"/>
        <v>19</v>
      </c>
      <c r="E564" s="4" t="str">
        <f>TEXT(Data!B564,"MMM-YYYY")</f>
        <v>Apr-2023</v>
      </c>
      <c r="F564" t="s">
        <v>19</v>
      </c>
      <c r="G564" t="s">
        <v>28</v>
      </c>
      <c r="H564" t="s">
        <v>49</v>
      </c>
      <c r="I564" t="s">
        <v>42</v>
      </c>
      <c r="J564" s="4">
        <v>1195.98</v>
      </c>
      <c r="K564" s="8" t="str">
        <f t="shared" si="50"/>
        <v>High</v>
      </c>
      <c r="L564" s="4">
        <v>1841.9</v>
      </c>
      <c r="M564" s="4">
        <v>5.5E-2</v>
      </c>
      <c r="N564" s="4">
        <v>19</v>
      </c>
      <c r="O564" s="4">
        <f t="shared" si="48"/>
        <v>54978.38955</v>
      </c>
      <c r="P564">
        <f t="shared" si="49"/>
        <v>22723.62</v>
      </c>
      <c r="Q564" s="4">
        <f t="shared" si="51"/>
        <v>32254.769550000001</v>
      </c>
      <c r="R564" s="18">
        <f t="shared" si="52"/>
        <v>0.58668087250293055</v>
      </c>
    </row>
    <row r="565" spans="1:18" x14ac:dyDescent="0.3">
      <c r="A565" t="s">
        <v>1226</v>
      </c>
      <c r="B565" s="7">
        <v>45029</v>
      </c>
      <c r="C565" s="2">
        <v>45048</v>
      </c>
      <c r="D565" s="4">
        <f t="shared" si="53"/>
        <v>19</v>
      </c>
      <c r="E565" s="4" t="str">
        <f>TEXT(Data!B565,"MMM-YYYY")</f>
        <v>Feb-2025</v>
      </c>
      <c r="F565" t="s">
        <v>48</v>
      </c>
      <c r="G565" t="s">
        <v>55</v>
      </c>
      <c r="H565" t="s">
        <v>63</v>
      </c>
      <c r="I565" t="s">
        <v>64</v>
      </c>
      <c r="J565" s="4">
        <v>671.05</v>
      </c>
      <c r="K565" s="8" t="str">
        <f t="shared" si="50"/>
        <v>High</v>
      </c>
      <c r="L565" s="4">
        <v>1645.48</v>
      </c>
      <c r="M565" s="4">
        <v>0.13700000000000001</v>
      </c>
      <c r="N565" s="4">
        <v>6</v>
      </c>
      <c r="O565" s="4">
        <f t="shared" si="48"/>
        <v>11393.722979999999</v>
      </c>
      <c r="P565">
        <f t="shared" si="49"/>
        <v>4026.2999999999997</v>
      </c>
      <c r="Q565" s="4">
        <f t="shared" si="51"/>
        <v>7367.4229799999994</v>
      </c>
      <c r="R565" s="18">
        <f t="shared" si="52"/>
        <v>0.64662121353419111</v>
      </c>
    </row>
    <row r="566" spans="1:18" x14ac:dyDescent="0.3">
      <c r="A566" t="s">
        <v>1228</v>
      </c>
      <c r="B566" s="7">
        <v>45692</v>
      </c>
      <c r="C566" s="2">
        <v>45696</v>
      </c>
      <c r="D566" s="4">
        <f t="shared" si="53"/>
        <v>4</v>
      </c>
      <c r="E566" s="4" t="str">
        <f>TEXT(Data!B566,"MMM-YYYY")</f>
        <v>Jan-2024</v>
      </c>
      <c r="F566" t="s">
        <v>105</v>
      </c>
      <c r="G566" t="s">
        <v>40</v>
      </c>
      <c r="H566" t="s">
        <v>49</v>
      </c>
      <c r="I566" t="s">
        <v>35</v>
      </c>
      <c r="J566" s="4">
        <v>586.21</v>
      </c>
      <c r="K566" s="8" t="str">
        <f t="shared" si="50"/>
        <v>High</v>
      </c>
      <c r="L566" s="4">
        <v>727.22</v>
      </c>
      <c r="M566" s="4">
        <v>6.8000000000000005E-2</v>
      </c>
      <c r="N566" s="4">
        <v>15</v>
      </c>
      <c r="O566" s="4">
        <f t="shared" si="48"/>
        <v>8408.8302000000003</v>
      </c>
      <c r="P566">
        <f t="shared" si="49"/>
        <v>8793.1500000000015</v>
      </c>
      <c r="Q566" s="4">
        <f t="shared" si="51"/>
        <v>-384.31980000000112</v>
      </c>
      <c r="R566" s="18">
        <f t="shared" si="52"/>
        <v>-4.5704312117041096E-2</v>
      </c>
    </row>
    <row r="567" spans="1:18" x14ac:dyDescent="0.3">
      <c r="A567" t="s">
        <v>1230</v>
      </c>
      <c r="B567" s="7">
        <v>45315</v>
      </c>
      <c r="C567" s="2">
        <v>45326</v>
      </c>
      <c r="D567" s="4">
        <f t="shared" si="53"/>
        <v>11</v>
      </c>
      <c r="E567" s="4" t="str">
        <f>TEXT(Data!B567,"MMM-YYYY")</f>
        <v>Feb-2024</v>
      </c>
      <c r="F567" t="s">
        <v>48</v>
      </c>
      <c r="G567" t="s">
        <v>20</v>
      </c>
      <c r="H567" t="s">
        <v>56</v>
      </c>
      <c r="I567" t="s">
        <v>57</v>
      </c>
      <c r="J567" s="4">
        <v>525.34</v>
      </c>
      <c r="K567" s="8" t="str">
        <f t="shared" si="50"/>
        <v>High</v>
      </c>
      <c r="L567" s="4">
        <v>1233.79</v>
      </c>
      <c r="M567" s="4">
        <v>0.14299999999999999</v>
      </c>
      <c r="N567" s="4">
        <v>4</v>
      </c>
      <c r="O567" s="4">
        <f t="shared" si="48"/>
        <v>3248.9555599999999</v>
      </c>
      <c r="P567">
        <f t="shared" si="49"/>
        <v>2101.36</v>
      </c>
      <c r="Q567" s="4">
        <f t="shared" si="51"/>
        <v>1147.5955599999998</v>
      </c>
      <c r="R567" s="18">
        <f t="shared" si="52"/>
        <v>0.35321983905498533</v>
      </c>
    </row>
    <row r="568" spans="1:18" x14ac:dyDescent="0.3">
      <c r="A568" t="s">
        <v>1232</v>
      </c>
      <c r="B568" s="7">
        <v>45330</v>
      </c>
      <c r="C568" s="2">
        <v>45331</v>
      </c>
      <c r="D568" s="4">
        <f t="shared" si="53"/>
        <v>1</v>
      </c>
      <c r="E568" s="4" t="str">
        <f>TEXT(Data!B568,"MMM-YYYY")</f>
        <v>Jun-2025</v>
      </c>
      <c r="F568" t="s">
        <v>19</v>
      </c>
      <c r="G568" t="s">
        <v>98</v>
      </c>
      <c r="H568" t="s">
        <v>84</v>
      </c>
      <c r="I568" t="s">
        <v>22</v>
      </c>
      <c r="J568" s="4">
        <v>1233.52</v>
      </c>
      <c r="K568" s="8" t="str">
        <f t="shared" si="50"/>
        <v>High</v>
      </c>
      <c r="L568" s="4">
        <v>1543.76</v>
      </c>
      <c r="M568" s="4">
        <v>0.126</v>
      </c>
      <c r="N568" s="4">
        <v>13</v>
      </c>
      <c r="O568" s="4">
        <f t="shared" si="48"/>
        <v>26490.27576</v>
      </c>
      <c r="P568">
        <f t="shared" si="49"/>
        <v>16035.76</v>
      </c>
      <c r="Q568" s="4">
        <f t="shared" si="51"/>
        <v>10454.51576</v>
      </c>
      <c r="R568" s="18">
        <f t="shared" si="52"/>
        <v>0.39465484824382968</v>
      </c>
    </row>
    <row r="569" spans="1:18" x14ac:dyDescent="0.3">
      <c r="A569" t="s">
        <v>1234</v>
      </c>
      <c r="B569" s="7">
        <v>45834</v>
      </c>
      <c r="C569" s="2">
        <v>45849</v>
      </c>
      <c r="D569" s="4">
        <f t="shared" si="53"/>
        <v>15</v>
      </c>
      <c r="E569" s="4" t="str">
        <f>TEXT(Data!B569,"MMM-YYYY")</f>
        <v>Nov-2024</v>
      </c>
      <c r="F569" t="s">
        <v>62</v>
      </c>
      <c r="G569" t="s">
        <v>28</v>
      </c>
      <c r="H569" t="s">
        <v>75</v>
      </c>
      <c r="I569" t="s">
        <v>57</v>
      </c>
      <c r="J569" s="4">
        <v>1170.1500000000001</v>
      </c>
      <c r="K569" s="8" t="str">
        <f t="shared" si="50"/>
        <v>High</v>
      </c>
      <c r="L569" s="4">
        <v>2115.19</v>
      </c>
      <c r="M569" s="4">
        <v>9.1999999999999998E-2</v>
      </c>
      <c r="N569" s="4">
        <v>23</v>
      </c>
      <c r="O569" s="4">
        <f t="shared" si="48"/>
        <v>29597.640160000003</v>
      </c>
      <c r="P569">
        <f t="shared" si="49"/>
        <v>26913.45</v>
      </c>
      <c r="Q569" s="4">
        <f t="shared" si="51"/>
        <v>2684.1901600000019</v>
      </c>
      <c r="R569" s="18">
        <f t="shared" si="52"/>
        <v>9.0689330145569333E-2</v>
      </c>
    </row>
    <row r="570" spans="1:18" x14ac:dyDescent="0.3">
      <c r="A570" t="s">
        <v>1236</v>
      </c>
      <c r="B570" s="7">
        <v>45600</v>
      </c>
      <c r="C570" s="2">
        <v>45603</v>
      </c>
      <c r="D570" s="4">
        <f t="shared" si="53"/>
        <v>3</v>
      </c>
      <c r="E570" s="4" t="str">
        <f>TEXT(Data!B570,"MMM-YYYY")</f>
        <v>Feb-2024</v>
      </c>
      <c r="F570" t="s">
        <v>19</v>
      </c>
      <c r="G570" t="s">
        <v>28</v>
      </c>
      <c r="H570" t="s">
        <v>68</v>
      </c>
      <c r="I570" t="s">
        <v>64</v>
      </c>
      <c r="J570" s="4">
        <v>740.68</v>
      </c>
      <c r="K570" s="8" t="str">
        <f t="shared" si="50"/>
        <v>High</v>
      </c>
      <c r="L570" s="4">
        <v>1837.19</v>
      </c>
      <c r="M570" s="4">
        <v>0.19700000000000001</v>
      </c>
      <c r="N570" s="4">
        <v>17</v>
      </c>
      <c r="O570" s="4">
        <f t="shared" si="48"/>
        <v>9548.8744999999999</v>
      </c>
      <c r="P570">
        <f t="shared" si="49"/>
        <v>12591.56</v>
      </c>
      <c r="Q570" s="4">
        <f t="shared" si="51"/>
        <v>-3042.6854999999996</v>
      </c>
      <c r="R570" s="18">
        <f t="shared" si="52"/>
        <v>-0.31864336472324561</v>
      </c>
    </row>
    <row r="571" spans="1:18" x14ac:dyDescent="0.3">
      <c r="A571" t="s">
        <v>1238</v>
      </c>
      <c r="B571" s="7">
        <v>45342</v>
      </c>
      <c r="C571" s="2">
        <v>45342</v>
      </c>
      <c r="D571" s="4">
        <f t="shared" si="53"/>
        <v>0</v>
      </c>
      <c r="E571" s="4" t="str">
        <f>TEXT(Data!B571,"MMM-YYYY")</f>
        <v>Apr-2025</v>
      </c>
      <c r="F571" t="s">
        <v>105</v>
      </c>
      <c r="G571" t="s">
        <v>28</v>
      </c>
      <c r="H571" t="s">
        <v>21</v>
      </c>
      <c r="I571" t="s">
        <v>35</v>
      </c>
      <c r="J571" s="4">
        <v>1407.05</v>
      </c>
      <c r="K571" s="8" t="str">
        <f t="shared" si="50"/>
        <v>High</v>
      </c>
      <c r="L571" s="4">
        <v>2858.93</v>
      </c>
      <c r="M571" s="4">
        <v>0</v>
      </c>
      <c r="N571" s="4">
        <v>12</v>
      </c>
      <c r="O571" s="4">
        <f t="shared" si="48"/>
        <v>21446.400000000001</v>
      </c>
      <c r="P571">
        <f t="shared" si="49"/>
        <v>16884.599999999999</v>
      </c>
      <c r="Q571" s="4">
        <f t="shared" si="51"/>
        <v>4561.8000000000029</v>
      </c>
      <c r="R571" s="18">
        <f t="shared" si="52"/>
        <v>0.2127070277529097</v>
      </c>
    </row>
    <row r="572" spans="1:18" x14ac:dyDescent="0.3">
      <c r="A572" t="s">
        <v>1240</v>
      </c>
      <c r="B572" s="7">
        <v>45760</v>
      </c>
      <c r="C572" s="2">
        <v>45761</v>
      </c>
      <c r="D572" s="4">
        <f t="shared" si="53"/>
        <v>1</v>
      </c>
      <c r="E572" s="4" t="str">
        <f>TEXT(Data!B572,"MMM-YYYY")</f>
        <v>Jun-2023</v>
      </c>
      <c r="F572" t="s">
        <v>105</v>
      </c>
      <c r="G572" t="s">
        <v>28</v>
      </c>
      <c r="H572" t="s">
        <v>41</v>
      </c>
      <c r="I572" t="s">
        <v>22</v>
      </c>
      <c r="J572" s="4">
        <v>138.9</v>
      </c>
      <c r="K572" s="8" t="str">
        <f t="shared" si="50"/>
        <v>High</v>
      </c>
      <c r="L572" s="4">
        <v>289.92</v>
      </c>
      <c r="M572" s="4">
        <v>2.9000000000000001E-2</v>
      </c>
      <c r="N572" s="4">
        <v>12</v>
      </c>
      <c r="O572" s="4">
        <f t="shared" si="48"/>
        <v>19793.834999999999</v>
      </c>
      <c r="P572">
        <f t="shared" si="49"/>
        <v>1666.8000000000002</v>
      </c>
      <c r="Q572" s="4">
        <f t="shared" si="51"/>
        <v>18127.035</v>
      </c>
      <c r="R572" s="18">
        <f t="shared" si="52"/>
        <v>0.91579196249741401</v>
      </c>
    </row>
    <row r="573" spans="1:18" x14ac:dyDescent="0.3">
      <c r="A573" t="s">
        <v>1242</v>
      </c>
      <c r="B573" s="7">
        <v>45078</v>
      </c>
      <c r="C573" s="2">
        <v>45078</v>
      </c>
      <c r="D573" s="4">
        <f t="shared" si="53"/>
        <v>0</v>
      </c>
      <c r="E573" s="4" t="str">
        <f>TEXT(Data!B573,"MMM-YYYY")</f>
        <v>Mar-2025</v>
      </c>
      <c r="F573" t="s">
        <v>19</v>
      </c>
      <c r="G573" t="s">
        <v>20</v>
      </c>
      <c r="H573" t="s">
        <v>63</v>
      </c>
      <c r="I573" t="s">
        <v>81</v>
      </c>
      <c r="J573" s="4">
        <v>669.37</v>
      </c>
      <c r="K573" s="8" t="str">
        <f t="shared" si="50"/>
        <v>High</v>
      </c>
      <c r="L573" s="4">
        <v>997.2</v>
      </c>
      <c r="M573" s="4">
        <v>8.2000000000000003E-2</v>
      </c>
      <c r="N573" s="4">
        <v>5</v>
      </c>
      <c r="O573" s="4">
        <f t="shared" si="48"/>
        <v>3326.373</v>
      </c>
      <c r="P573">
        <f t="shared" si="49"/>
        <v>3346.85</v>
      </c>
      <c r="Q573" s="4">
        <f t="shared" si="51"/>
        <v>-20.476999999999862</v>
      </c>
      <c r="R573" s="18">
        <f t="shared" si="52"/>
        <v>-6.1559542480653434E-3</v>
      </c>
    </row>
    <row r="574" spans="1:18" x14ac:dyDescent="0.3">
      <c r="A574" t="s">
        <v>1244</v>
      </c>
      <c r="B574" s="7">
        <v>45740</v>
      </c>
      <c r="C574" s="2">
        <v>45751</v>
      </c>
      <c r="D574" s="4">
        <f t="shared" si="53"/>
        <v>11</v>
      </c>
      <c r="E574" s="4" t="str">
        <f>TEXT(Data!B574,"MMM-YYYY")</f>
        <v>Jan-2024</v>
      </c>
      <c r="F574" t="s">
        <v>27</v>
      </c>
      <c r="G574" t="s">
        <v>40</v>
      </c>
      <c r="H574" t="s">
        <v>29</v>
      </c>
      <c r="I574" t="s">
        <v>42</v>
      </c>
      <c r="J574" s="4">
        <v>23.83</v>
      </c>
      <c r="K574" s="8" t="str">
        <f t="shared" si="50"/>
        <v>Low</v>
      </c>
      <c r="L574" s="4">
        <v>47.29</v>
      </c>
      <c r="M574" s="4">
        <v>6.4000000000000001E-2</v>
      </c>
      <c r="N574" s="4">
        <v>19</v>
      </c>
      <c r="O574" s="4">
        <f t="shared" si="48"/>
        <v>24114.036959999998</v>
      </c>
      <c r="P574">
        <f t="shared" si="49"/>
        <v>452.77</v>
      </c>
      <c r="Q574" s="4">
        <f t="shared" si="51"/>
        <v>23661.266959999997</v>
      </c>
      <c r="R574" s="18">
        <f t="shared" si="52"/>
        <v>0.98122379920247083</v>
      </c>
    </row>
    <row r="575" spans="1:18" x14ac:dyDescent="0.3">
      <c r="A575" t="s">
        <v>1246</v>
      </c>
      <c r="B575" s="7">
        <v>45293</v>
      </c>
      <c r="C575" s="2">
        <v>45293</v>
      </c>
      <c r="D575" s="4">
        <f t="shared" si="53"/>
        <v>0</v>
      </c>
      <c r="E575" s="4" t="str">
        <f>TEXT(Data!B575,"MMM-YYYY")</f>
        <v>Dec-2023</v>
      </c>
      <c r="F575" t="s">
        <v>27</v>
      </c>
      <c r="G575" t="s">
        <v>98</v>
      </c>
      <c r="H575" t="s">
        <v>75</v>
      </c>
      <c r="I575" t="s">
        <v>57</v>
      </c>
      <c r="J575" s="4">
        <v>444.41</v>
      </c>
      <c r="K575" s="8" t="str">
        <f t="shared" si="50"/>
        <v>High</v>
      </c>
      <c r="L575" s="4">
        <v>754.24</v>
      </c>
      <c r="M575" s="4">
        <v>0.20699999999999999</v>
      </c>
      <c r="N575" s="4">
        <v>32</v>
      </c>
      <c r="O575" s="4">
        <f t="shared" si="48"/>
        <v>6980.1763200000005</v>
      </c>
      <c r="P575">
        <f t="shared" si="49"/>
        <v>14221.12</v>
      </c>
      <c r="Q575" s="4">
        <f t="shared" si="51"/>
        <v>-7240.9436800000003</v>
      </c>
      <c r="R575" s="18">
        <f t="shared" si="52"/>
        <v>-1.0373582769324659</v>
      </c>
    </row>
    <row r="576" spans="1:18" x14ac:dyDescent="0.3">
      <c r="A576" t="s">
        <v>1248</v>
      </c>
      <c r="B576" s="7">
        <v>45279</v>
      </c>
      <c r="C576" s="2">
        <v>45292</v>
      </c>
      <c r="D576" s="4">
        <f t="shared" si="53"/>
        <v>13</v>
      </c>
      <c r="E576" s="4" t="str">
        <f>TEXT(Data!B576,"MMM-YYYY")</f>
        <v>Apr-2023</v>
      </c>
      <c r="F576" t="s">
        <v>105</v>
      </c>
      <c r="G576" t="s">
        <v>20</v>
      </c>
      <c r="H576" t="s">
        <v>95</v>
      </c>
      <c r="I576" t="s">
        <v>64</v>
      </c>
      <c r="J576" s="4">
        <v>856.1</v>
      </c>
      <c r="K576" s="8" t="str">
        <f t="shared" si="50"/>
        <v>High</v>
      </c>
      <c r="L576" s="4">
        <v>901.48</v>
      </c>
      <c r="M576" s="4">
        <v>5.6000000000000001E-2</v>
      </c>
      <c r="N576" s="4">
        <v>17</v>
      </c>
      <c r="O576" s="4">
        <f t="shared" si="48"/>
        <v>28925.557119999998</v>
      </c>
      <c r="P576">
        <f t="shared" si="49"/>
        <v>14553.7</v>
      </c>
      <c r="Q576" s="4">
        <f t="shared" si="51"/>
        <v>14371.857119999997</v>
      </c>
      <c r="R576" s="18">
        <f t="shared" si="52"/>
        <v>0.49685670911634278</v>
      </c>
    </row>
    <row r="577" spans="1:18" x14ac:dyDescent="0.3">
      <c r="A577" t="s">
        <v>1250</v>
      </c>
      <c r="B577" s="7">
        <v>45042</v>
      </c>
      <c r="C577" s="2">
        <v>45042</v>
      </c>
      <c r="D577" s="4">
        <f t="shared" si="53"/>
        <v>0</v>
      </c>
      <c r="E577" s="4" t="str">
        <f>TEXT(Data!B577,"MMM-YYYY")</f>
        <v>Aug-2025</v>
      </c>
      <c r="F577" t="s">
        <v>48</v>
      </c>
      <c r="G577" t="s">
        <v>98</v>
      </c>
      <c r="H577" t="s">
        <v>110</v>
      </c>
      <c r="I577" t="s">
        <v>22</v>
      </c>
      <c r="J577" s="4">
        <v>81.489999999999995</v>
      </c>
      <c r="K577" s="8" t="str">
        <f t="shared" si="50"/>
        <v>Medium</v>
      </c>
      <c r="L577" s="4">
        <v>113.08</v>
      </c>
      <c r="M577" s="4">
        <v>0.121</v>
      </c>
      <c r="N577" s="4">
        <v>5</v>
      </c>
      <c r="O577" s="4">
        <f t="shared" si="48"/>
        <v>5580.6830999999993</v>
      </c>
      <c r="P577">
        <f t="shared" si="49"/>
        <v>407.45</v>
      </c>
      <c r="Q577" s="4">
        <f t="shared" si="51"/>
        <v>5173.2330999999995</v>
      </c>
      <c r="R577" s="18">
        <f t="shared" si="52"/>
        <v>0.92698922467036338</v>
      </c>
    </row>
    <row r="578" spans="1:18" x14ac:dyDescent="0.3">
      <c r="A578" t="s">
        <v>1252</v>
      </c>
      <c r="B578" s="7">
        <v>45872</v>
      </c>
      <c r="C578" s="2">
        <v>45885</v>
      </c>
      <c r="D578" s="4">
        <f t="shared" si="53"/>
        <v>13</v>
      </c>
      <c r="E578" s="4" t="str">
        <f>TEXT(Data!B578,"MMM-YYYY")</f>
        <v>Aug-2023</v>
      </c>
      <c r="F578" t="s">
        <v>105</v>
      </c>
      <c r="G578" t="s">
        <v>55</v>
      </c>
      <c r="H578" t="s">
        <v>68</v>
      </c>
      <c r="I578" t="s">
        <v>35</v>
      </c>
      <c r="J578" s="4">
        <v>698.66</v>
      </c>
      <c r="K578" s="8" t="str">
        <f t="shared" si="50"/>
        <v>High</v>
      </c>
      <c r="L578" s="4">
        <v>868.62</v>
      </c>
      <c r="M578" s="4">
        <v>7.1999999999999995E-2</v>
      </c>
      <c r="N578" s="4">
        <v>15</v>
      </c>
      <c r="O578" s="4">
        <f t="shared" ref="O578:O633" si="54">(L604*N578)*(1-M578)</f>
        <v>7960.848</v>
      </c>
      <c r="P578">
        <f t="shared" ref="P578:P633" si="55">(J578*N578)</f>
        <v>10479.9</v>
      </c>
      <c r="Q578" s="4">
        <f t="shared" si="51"/>
        <v>-2519.0519999999997</v>
      </c>
      <c r="R578" s="18">
        <f t="shared" si="52"/>
        <v>-0.31643010895321699</v>
      </c>
    </row>
    <row r="579" spans="1:18" x14ac:dyDescent="0.3">
      <c r="A579" t="s">
        <v>1254</v>
      </c>
      <c r="B579" s="7">
        <v>45140</v>
      </c>
      <c r="C579" s="2">
        <v>45157</v>
      </c>
      <c r="D579" s="4">
        <f t="shared" si="53"/>
        <v>17</v>
      </c>
      <c r="E579" s="4" t="str">
        <f>TEXT(Data!B579,"MMM-YYYY")</f>
        <v>Jun-2023</v>
      </c>
      <c r="F579" t="s">
        <v>19</v>
      </c>
      <c r="G579" t="s">
        <v>28</v>
      </c>
      <c r="H579" t="s">
        <v>84</v>
      </c>
      <c r="I579" t="s">
        <v>35</v>
      </c>
      <c r="J579" s="4">
        <v>175.38</v>
      </c>
      <c r="K579" s="8" t="str">
        <f t="shared" ref="K579:K633" si="56">IF(L579&lt;50, "Low", IF(L579&lt;200, "Medium", "High"))</f>
        <v>High</v>
      </c>
      <c r="L579" s="4">
        <v>347.9</v>
      </c>
      <c r="M579" s="4">
        <v>7.1999999999999995E-2</v>
      </c>
      <c r="N579" s="4">
        <v>43</v>
      </c>
      <c r="O579" s="4">
        <f t="shared" si="54"/>
        <v>109937.11616000001</v>
      </c>
      <c r="P579">
        <f t="shared" si="55"/>
        <v>7541.34</v>
      </c>
      <c r="Q579" s="4">
        <f t="shared" ref="Q579:Q633" si="57">(O579-P579)</f>
        <v>102395.77616000001</v>
      </c>
      <c r="R579" s="18">
        <f t="shared" ref="R579:R633" si="58">(Q579/O579)</f>
        <v>0.93140314878712571</v>
      </c>
    </row>
    <row r="580" spans="1:18" x14ac:dyDescent="0.3">
      <c r="A580" t="s">
        <v>1256</v>
      </c>
      <c r="B580" s="7">
        <v>45092</v>
      </c>
      <c r="C580" s="2">
        <v>45119</v>
      </c>
      <c r="D580" s="4">
        <f t="shared" si="53"/>
        <v>27</v>
      </c>
      <c r="E580" s="4" t="str">
        <f>TEXT(Data!B580,"MMM-YYYY")</f>
        <v>Nov-2024</v>
      </c>
      <c r="F580" t="s">
        <v>48</v>
      </c>
      <c r="G580" t="s">
        <v>98</v>
      </c>
      <c r="H580" t="s">
        <v>34</v>
      </c>
      <c r="I580" t="s">
        <v>81</v>
      </c>
      <c r="J580" s="4">
        <v>751.28</v>
      </c>
      <c r="K580" s="8" t="str">
        <f t="shared" si="56"/>
        <v>High</v>
      </c>
      <c r="L580" s="4">
        <v>1111.8800000000001</v>
      </c>
      <c r="M580" s="4">
        <v>0.13500000000000001</v>
      </c>
      <c r="N580" s="4">
        <v>7</v>
      </c>
      <c r="O580" s="4">
        <f t="shared" si="54"/>
        <v>5827.9980499999992</v>
      </c>
      <c r="P580">
        <f t="shared" si="55"/>
        <v>5258.96</v>
      </c>
      <c r="Q580" s="4">
        <f t="shared" si="57"/>
        <v>569.0380499999992</v>
      </c>
      <c r="R580" s="18">
        <f t="shared" si="58"/>
        <v>9.7638682291597417E-2</v>
      </c>
    </row>
    <row r="581" spans="1:18" x14ac:dyDescent="0.3">
      <c r="A581" t="s">
        <v>1258</v>
      </c>
      <c r="B581" s="7">
        <v>45607</v>
      </c>
      <c r="C581" s="2">
        <v>45620</v>
      </c>
      <c r="D581" s="4">
        <f t="shared" ref="D581:D633" si="59">DATEDIF(B581,C581, "MD")</f>
        <v>13</v>
      </c>
      <c r="E581" s="4" t="str">
        <f>TEXT(Data!B581,"MMM-YYYY")</f>
        <v>Jul-2025</v>
      </c>
      <c r="F581" t="s">
        <v>19</v>
      </c>
      <c r="G581" t="s">
        <v>20</v>
      </c>
      <c r="H581" t="s">
        <v>63</v>
      </c>
      <c r="I581" t="s">
        <v>35</v>
      </c>
      <c r="J581" s="4">
        <v>164.53</v>
      </c>
      <c r="K581" s="8" t="str">
        <f t="shared" si="56"/>
        <v>High</v>
      </c>
      <c r="L581" s="4">
        <v>327.72</v>
      </c>
      <c r="M581" s="4">
        <v>6.7000000000000004E-2</v>
      </c>
      <c r="N581" s="4">
        <v>14</v>
      </c>
      <c r="O581" s="4">
        <f t="shared" si="54"/>
        <v>8728.9427399999986</v>
      </c>
      <c r="P581">
        <f t="shared" si="55"/>
        <v>2303.42</v>
      </c>
      <c r="Q581" s="4">
        <f t="shared" si="57"/>
        <v>6425.5227399999985</v>
      </c>
      <c r="R581" s="18">
        <f t="shared" si="58"/>
        <v>0.73611695383855846</v>
      </c>
    </row>
    <row r="582" spans="1:18" x14ac:dyDescent="0.3">
      <c r="A582" t="s">
        <v>1260</v>
      </c>
      <c r="B582" s="7">
        <v>45849</v>
      </c>
      <c r="C582" s="2">
        <v>45872</v>
      </c>
      <c r="D582" s="4">
        <f t="shared" si="59"/>
        <v>23</v>
      </c>
      <c r="E582" s="4" t="str">
        <f>TEXT(Data!B582,"MMM-YYYY")</f>
        <v>Jun-2023</v>
      </c>
      <c r="F582" t="s">
        <v>62</v>
      </c>
      <c r="G582" t="s">
        <v>20</v>
      </c>
      <c r="H582" t="s">
        <v>21</v>
      </c>
      <c r="I582" t="s">
        <v>42</v>
      </c>
      <c r="J582" s="4">
        <v>389.93</v>
      </c>
      <c r="K582" s="8" t="str">
        <f t="shared" si="56"/>
        <v>High</v>
      </c>
      <c r="L582" s="4">
        <v>486.13</v>
      </c>
      <c r="M582" s="4">
        <v>0.13200000000000001</v>
      </c>
      <c r="N582" s="4">
        <v>17</v>
      </c>
      <c r="O582" s="4">
        <f t="shared" si="54"/>
        <v>20722.29348</v>
      </c>
      <c r="P582">
        <f t="shared" si="55"/>
        <v>6628.81</v>
      </c>
      <c r="Q582" s="4">
        <f t="shared" si="57"/>
        <v>14093.483479999999</v>
      </c>
      <c r="R582" s="18">
        <f t="shared" si="58"/>
        <v>0.6801121455789747</v>
      </c>
    </row>
    <row r="583" spans="1:18" x14ac:dyDescent="0.3">
      <c r="A583" t="s">
        <v>1262</v>
      </c>
      <c r="B583" s="7">
        <v>45080</v>
      </c>
      <c r="C583" s="2">
        <v>45108</v>
      </c>
      <c r="D583" s="4">
        <f t="shared" si="59"/>
        <v>28</v>
      </c>
      <c r="E583" s="4" t="str">
        <f>TEXT(Data!B583,"MMM-YYYY")</f>
        <v>Jan-2023</v>
      </c>
      <c r="F583" t="s">
        <v>62</v>
      </c>
      <c r="G583" t="s">
        <v>40</v>
      </c>
      <c r="H583" t="s">
        <v>75</v>
      </c>
      <c r="I583" t="s">
        <v>22</v>
      </c>
      <c r="J583" s="4">
        <v>860.4</v>
      </c>
      <c r="K583" s="8" t="str">
        <f t="shared" si="56"/>
        <v>High</v>
      </c>
      <c r="L583" s="4">
        <v>2066.6</v>
      </c>
      <c r="M583" s="4">
        <v>0.01</v>
      </c>
      <c r="N583" s="4">
        <v>3</v>
      </c>
      <c r="O583" s="4">
        <f t="shared" si="54"/>
        <v>10661.9733</v>
      </c>
      <c r="P583">
        <f t="shared" si="55"/>
        <v>2581.1999999999998</v>
      </c>
      <c r="Q583" s="4">
        <f t="shared" si="57"/>
        <v>8080.7732999999998</v>
      </c>
      <c r="R583" s="18">
        <f t="shared" si="58"/>
        <v>0.7579059778737206</v>
      </c>
    </row>
    <row r="584" spans="1:18" x14ac:dyDescent="0.3">
      <c r="A584" t="s">
        <v>1264</v>
      </c>
      <c r="B584" s="7">
        <v>44955</v>
      </c>
      <c r="C584" s="2">
        <v>44963</v>
      </c>
      <c r="D584" s="4">
        <f t="shared" si="59"/>
        <v>8</v>
      </c>
      <c r="E584" s="4" t="str">
        <f>TEXT(Data!B584,"MMM-YYYY")</f>
        <v>Sept-2024</v>
      </c>
      <c r="F584" t="s">
        <v>19</v>
      </c>
      <c r="G584" t="s">
        <v>40</v>
      </c>
      <c r="H584" t="s">
        <v>145</v>
      </c>
      <c r="I584" t="s">
        <v>64</v>
      </c>
      <c r="J584" s="4">
        <v>41.84</v>
      </c>
      <c r="K584" s="8" t="str">
        <f t="shared" si="56"/>
        <v>Medium</v>
      </c>
      <c r="L584" s="4">
        <v>86.2</v>
      </c>
      <c r="M584" s="4">
        <v>0.22600000000000001</v>
      </c>
      <c r="N584" s="4">
        <v>27</v>
      </c>
      <c r="O584" s="4">
        <f t="shared" si="54"/>
        <v>4879.8919799999994</v>
      </c>
      <c r="P584">
        <f t="shared" si="55"/>
        <v>1129.68</v>
      </c>
      <c r="Q584" s="4">
        <f t="shared" si="57"/>
        <v>3750.2119799999991</v>
      </c>
      <c r="R584" s="18">
        <f t="shared" si="58"/>
        <v>0.76850307247989524</v>
      </c>
    </row>
    <row r="585" spans="1:18" x14ac:dyDescent="0.3">
      <c r="A585" t="s">
        <v>1266</v>
      </c>
      <c r="B585" s="7">
        <v>45541</v>
      </c>
      <c r="C585" s="2">
        <v>45539</v>
      </c>
      <c r="D585" s="4">
        <f>DATEDIF(C585,B585, "MD")</f>
        <v>2</v>
      </c>
      <c r="E585" s="4" t="str">
        <f>TEXT(Data!B585,"MMM-YYYY")</f>
        <v>Aug-2024</v>
      </c>
      <c r="F585" t="s">
        <v>19</v>
      </c>
      <c r="G585" t="s">
        <v>98</v>
      </c>
      <c r="H585" t="s">
        <v>75</v>
      </c>
      <c r="I585" t="s">
        <v>57</v>
      </c>
      <c r="J585" s="4">
        <v>1368.17</v>
      </c>
      <c r="K585" s="8" t="str">
        <f t="shared" si="56"/>
        <v>High</v>
      </c>
      <c r="L585" s="4">
        <v>2307.75</v>
      </c>
      <c r="M585" s="4">
        <v>0.16300000000000001</v>
      </c>
      <c r="N585" s="4">
        <v>21</v>
      </c>
      <c r="O585" s="4">
        <f t="shared" si="54"/>
        <v>2183.9422500000001</v>
      </c>
      <c r="P585">
        <f t="shared" si="55"/>
        <v>28731.57</v>
      </c>
      <c r="Q585" s="4">
        <f t="shared" si="57"/>
        <v>-26547.62775</v>
      </c>
      <c r="R585" s="18">
        <f t="shared" si="58"/>
        <v>-12.155828639699607</v>
      </c>
    </row>
    <row r="586" spans="1:18" x14ac:dyDescent="0.3">
      <c r="A586" t="s">
        <v>1268</v>
      </c>
      <c r="B586" s="7">
        <v>45507</v>
      </c>
      <c r="C586" s="2">
        <v>45513</v>
      </c>
      <c r="D586" s="4">
        <f t="shared" si="59"/>
        <v>6</v>
      </c>
      <c r="E586" s="4" t="str">
        <f>TEXT(Data!B586,"MMM-YYYY")</f>
        <v>Apr-2025</v>
      </c>
      <c r="F586" t="s">
        <v>48</v>
      </c>
      <c r="G586" t="s">
        <v>40</v>
      </c>
      <c r="H586" t="s">
        <v>92</v>
      </c>
      <c r="I586" t="s">
        <v>57</v>
      </c>
      <c r="J586" s="4">
        <v>643.21</v>
      </c>
      <c r="K586" s="8" t="str">
        <f t="shared" si="56"/>
        <v>High</v>
      </c>
      <c r="L586" s="4">
        <v>1112.81</v>
      </c>
      <c r="M586" s="4">
        <v>0.14099999999999999</v>
      </c>
      <c r="N586" s="4">
        <v>4</v>
      </c>
      <c r="O586" s="4">
        <f t="shared" si="54"/>
        <v>4918.1873199999991</v>
      </c>
      <c r="P586">
        <f t="shared" si="55"/>
        <v>2572.84</v>
      </c>
      <c r="Q586" s="4">
        <f t="shared" si="57"/>
        <v>2345.3473199999989</v>
      </c>
      <c r="R586" s="18">
        <f t="shared" si="58"/>
        <v>0.47687230424562183</v>
      </c>
    </row>
    <row r="587" spans="1:18" x14ac:dyDescent="0.3">
      <c r="A587" t="s">
        <v>1270</v>
      </c>
      <c r="B587" s="7">
        <v>45764</v>
      </c>
      <c r="C587" s="2">
        <v>45764</v>
      </c>
      <c r="D587" s="4">
        <f t="shared" si="59"/>
        <v>0</v>
      </c>
      <c r="E587" s="4" t="str">
        <f>TEXT(Data!B587,"MMM-YYYY")</f>
        <v>May-2023</v>
      </c>
      <c r="F587" t="s">
        <v>19</v>
      </c>
      <c r="G587" t="s">
        <v>55</v>
      </c>
      <c r="H587" t="s">
        <v>49</v>
      </c>
      <c r="I587" t="s">
        <v>42</v>
      </c>
      <c r="J587" s="4">
        <v>719.41</v>
      </c>
      <c r="K587" s="8" t="str">
        <f t="shared" si="56"/>
        <v>High</v>
      </c>
      <c r="L587" s="4">
        <v>1125.99</v>
      </c>
      <c r="M587" s="4">
        <v>4.1000000000000002E-2</v>
      </c>
      <c r="N587" s="4">
        <v>21</v>
      </c>
      <c r="O587" s="4">
        <f t="shared" si="54"/>
        <v>32132.177279999996</v>
      </c>
      <c r="P587">
        <f t="shared" si="55"/>
        <v>15107.609999999999</v>
      </c>
      <c r="Q587" s="4">
        <f t="shared" si="57"/>
        <v>17024.567279999996</v>
      </c>
      <c r="R587" s="18">
        <f t="shared" si="58"/>
        <v>0.52982924660373332</v>
      </c>
    </row>
    <row r="588" spans="1:18" x14ac:dyDescent="0.3">
      <c r="A588" t="s">
        <v>1272</v>
      </c>
      <c r="B588" s="7">
        <v>45049</v>
      </c>
      <c r="C588" s="2">
        <v>45062</v>
      </c>
      <c r="D588" s="4">
        <f t="shared" si="59"/>
        <v>13</v>
      </c>
      <c r="E588" s="4" t="str">
        <f>TEXT(Data!B588,"MMM-YYYY")</f>
        <v>Mar-2024</v>
      </c>
      <c r="F588" t="s">
        <v>19</v>
      </c>
      <c r="G588" t="s">
        <v>40</v>
      </c>
      <c r="H588" t="s">
        <v>49</v>
      </c>
      <c r="I588" t="s">
        <v>42</v>
      </c>
      <c r="J588" s="4">
        <v>64.5</v>
      </c>
      <c r="K588" s="8" t="str">
        <f t="shared" si="56"/>
        <v>Medium</v>
      </c>
      <c r="L588" s="4">
        <v>123.62</v>
      </c>
      <c r="M588" s="4">
        <v>0</v>
      </c>
      <c r="N588" s="4">
        <v>3</v>
      </c>
      <c r="O588" s="4">
        <f t="shared" si="54"/>
        <v>3085.38</v>
      </c>
      <c r="P588">
        <f t="shared" si="55"/>
        <v>193.5</v>
      </c>
      <c r="Q588" s="4">
        <f t="shared" si="57"/>
        <v>2891.88</v>
      </c>
      <c r="R588" s="18">
        <f t="shared" si="58"/>
        <v>0.93728487252785719</v>
      </c>
    </row>
    <row r="589" spans="1:18" x14ac:dyDescent="0.3">
      <c r="A589" t="s">
        <v>1274</v>
      </c>
      <c r="B589" s="7">
        <v>45364</v>
      </c>
      <c r="C589" s="2">
        <v>45388</v>
      </c>
      <c r="D589" s="4">
        <f t="shared" si="59"/>
        <v>24</v>
      </c>
      <c r="E589" s="4" t="str">
        <f>TEXT(Data!B589,"MMM-YYYY")</f>
        <v>Jun-2024</v>
      </c>
      <c r="F589" t="s">
        <v>48</v>
      </c>
      <c r="G589" t="s">
        <v>55</v>
      </c>
      <c r="H589" t="s">
        <v>49</v>
      </c>
      <c r="I589" t="s">
        <v>22</v>
      </c>
      <c r="J589" s="4">
        <v>1232.78</v>
      </c>
      <c r="K589" s="8" t="str">
        <f t="shared" si="56"/>
        <v>High</v>
      </c>
      <c r="L589" s="4">
        <v>1731.75</v>
      </c>
      <c r="M589" s="4">
        <v>9.2999999999999999E-2</v>
      </c>
      <c r="N589" s="4">
        <v>16</v>
      </c>
      <c r="O589" s="4">
        <f t="shared" si="54"/>
        <v>46878.839200000002</v>
      </c>
      <c r="P589">
        <f t="shared" si="55"/>
        <v>19724.48</v>
      </c>
      <c r="Q589" s="4">
        <f t="shared" si="57"/>
        <v>27154.359200000003</v>
      </c>
      <c r="R589" s="18">
        <f t="shared" si="58"/>
        <v>0.5792455543566446</v>
      </c>
    </row>
    <row r="590" spans="1:18" x14ac:dyDescent="0.3">
      <c r="A590" t="s">
        <v>1276</v>
      </c>
      <c r="B590" s="7">
        <v>45459</v>
      </c>
      <c r="C590" s="2">
        <v>45464</v>
      </c>
      <c r="D590" s="4">
        <f t="shared" si="59"/>
        <v>5</v>
      </c>
      <c r="E590" s="4" t="str">
        <f>TEXT(Data!B590,"MMM-YYYY")</f>
        <v>Feb-2025</v>
      </c>
      <c r="F590" t="s">
        <v>62</v>
      </c>
      <c r="G590" t="s">
        <v>55</v>
      </c>
      <c r="H590" t="s">
        <v>84</v>
      </c>
      <c r="I590" t="s">
        <v>42</v>
      </c>
      <c r="J590" s="4">
        <v>1367.13</v>
      </c>
      <c r="K590" s="8" t="str">
        <f t="shared" si="56"/>
        <v>High</v>
      </c>
      <c r="L590" s="4">
        <v>3062.01</v>
      </c>
      <c r="M590" s="4">
        <v>0.10299999999999999</v>
      </c>
      <c r="N590" s="4">
        <v>25</v>
      </c>
      <c r="O590" s="4">
        <f t="shared" si="54"/>
        <v>62557.004249999998</v>
      </c>
      <c r="P590">
        <f t="shared" si="55"/>
        <v>34178.25</v>
      </c>
      <c r="Q590" s="4">
        <f t="shared" si="57"/>
        <v>28378.754249999998</v>
      </c>
      <c r="R590" s="18">
        <f t="shared" si="58"/>
        <v>0.45364631171576603</v>
      </c>
    </row>
    <row r="591" spans="1:18" x14ac:dyDescent="0.3">
      <c r="A591" t="s">
        <v>1278</v>
      </c>
      <c r="B591" s="7">
        <v>45703</v>
      </c>
      <c r="C591" s="2">
        <v>45715</v>
      </c>
      <c r="D591" s="4">
        <f t="shared" si="59"/>
        <v>12</v>
      </c>
      <c r="E591" s="4" t="str">
        <f>TEXT(Data!B591,"MMM-YYYY")</f>
        <v>Apr-2023</v>
      </c>
      <c r="F591" t="s">
        <v>39</v>
      </c>
      <c r="G591" t="s">
        <v>98</v>
      </c>
      <c r="H591" t="s">
        <v>95</v>
      </c>
      <c r="I591" t="s">
        <v>81</v>
      </c>
      <c r="J591" s="4">
        <v>1027.26</v>
      </c>
      <c r="K591" s="8" t="str">
        <f t="shared" si="56"/>
        <v>High</v>
      </c>
      <c r="L591" s="4">
        <v>2200.41</v>
      </c>
      <c r="M591" s="4">
        <v>8.7999999999999995E-2</v>
      </c>
      <c r="N591" s="4">
        <v>6</v>
      </c>
      <c r="O591" s="4">
        <f t="shared" si="54"/>
        <v>10384.433280000001</v>
      </c>
      <c r="P591">
        <f t="shared" si="55"/>
        <v>6163.5599999999995</v>
      </c>
      <c r="Q591" s="4">
        <f t="shared" si="57"/>
        <v>4220.8732800000016</v>
      </c>
      <c r="R591" s="18">
        <f t="shared" si="58"/>
        <v>0.40646159171047236</v>
      </c>
    </row>
    <row r="592" spans="1:18" x14ac:dyDescent="0.3">
      <c r="A592" t="s">
        <v>1280</v>
      </c>
      <c r="B592" s="7">
        <v>45019</v>
      </c>
      <c r="C592" s="2">
        <v>45032</v>
      </c>
      <c r="D592" s="4">
        <f t="shared" si="59"/>
        <v>13</v>
      </c>
      <c r="E592" s="4" t="str">
        <f>TEXT(Data!B592,"MMM-YYYY")</f>
        <v>Aug-2025</v>
      </c>
      <c r="F592" t="s">
        <v>39</v>
      </c>
      <c r="G592" t="s">
        <v>40</v>
      </c>
      <c r="H592" t="s">
        <v>110</v>
      </c>
      <c r="I592" t="s">
        <v>81</v>
      </c>
      <c r="J592" s="4">
        <v>790.54</v>
      </c>
      <c r="K592" s="8" t="str">
        <f t="shared" si="56"/>
        <v>High</v>
      </c>
      <c r="L592" s="4">
        <v>601.49</v>
      </c>
      <c r="M592" s="4">
        <v>0</v>
      </c>
      <c r="N592" s="4">
        <v>15</v>
      </c>
      <c r="O592" s="4">
        <f t="shared" si="54"/>
        <v>13537.050000000001</v>
      </c>
      <c r="P592">
        <f t="shared" si="55"/>
        <v>11858.099999999999</v>
      </c>
      <c r="Q592" s="4">
        <f t="shared" si="57"/>
        <v>1678.9500000000025</v>
      </c>
      <c r="R592" s="18">
        <f t="shared" si="58"/>
        <v>0.12402628342216379</v>
      </c>
    </row>
    <row r="593" spans="1:18" x14ac:dyDescent="0.3">
      <c r="A593" t="s">
        <v>1282</v>
      </c>
      <c r="B593" s="7">
        <v>45899</v>
      </c>
      <c r="C593" s="2">
        <v>45922</v>
      </c>
      <c r="D593" s="4">
        <f t="shared" si="59"/>
        <v>23</v>
      </c>
      <c r="E593" s="4" t="str">
        <f>TEXT(Data!B593,"MMM-YYYY")</f>
        <v>Feb-2023</v>
      </c>
      <c r="F593" t="s">
        <v>19</v>
      </c>
      <c r="G593" t="s">
        <v>98</v>
      </c>
      <c r="H593" t="s">
        <v>63</v>
      </c>
      <c r="I593" t="s">
        <v>22</v>
      </c>
      <c r="J593" s="4">
        <v>663.9</v>
      </c>
      <c r="K593" s="8" t="str">
        <f t="shared" si="56"/>
        <v>High</v>
      </c>
      <c r="L593" s="4">
        <v>947.77</v>
      </c>
      <c r="M593" s="4">
        <v>0.17399999999999999</v>
      </c>
      <c r="N593" s="4">
        <v>15</v>
      </c>
      <c r="O593" s="4">
        <f t="shared" si="54"/>
        <v>-417.04740000000004</v>
      </c>
      <c r="P593">
        <f t="shared" si="55"/>
        <v>9958.5</v>
      </c>
      <c r="Q593" s="4">
        <f t="shared" si="57"/>
        <v>-10375.547399999999</v>
      </c>
      <c r="R593" s="18">
        <f t="shared" si="58"/>
        <v>24.878580708092169</v>
      </c>
    </row>
    <row r="594" spans="1:18" x14ac:dyDescent="0.3">
      <c r="A594" t="s">
        <v>1284</v>
      </c>
      <c r="B594" s="7">
        <v>44984</v>
      </c>
      <c r="C594" s="2">
        <v>44983</v>
      </c>
      <c r="D594" s="4">
        <f>DATEDIF(C594,B594, "MD")</f>
        <v>1</v>
      </c>
      <c r="E594" s="4" t="str">
        <f>TEXT(Data!B594,"MMM-YYYY")</f>
        <v>Jul-2024</v>
      </c>
      <c r="F594" t="s">
        <v>39</v>
      </c>
      <c r="G594" t="s">
        <v>28</v>
      </c>
      <c r="H594" t="s">
        <v>49</v>
      </c>
      <c r="I594" t="s">
        <v>35</v>
      </c>
      <c r="J594" s="4">
        <v>1015.91</v>
      </c>
      <c r="K594" s="8" t="str">
        <f t="shared" si="56"/>
        <v>High</v>
      </c>
      <c r="L594" s="4">
        <v>2331.48</v>
      </c>
      <c r="M594" s="4">
        <v>0.14599999999999999</v>
      </c>
      <c r="N594" s="4">
        <v>26</v>
      </c>
      <c r="O594" s="4">
        <f t="shared" si="54"/>
        <v>24128.64272</v>
      </c>
      <c r="P594">
        <f t="shared" si="55"/>
        <v>26413.66</v>
      </c>
      <c r="Q594" s="4">
        <f t="shared" si="57"/>
        <v>-2285.01728</v>
      </c>
      <c r="R594" s="18">
        <f t="shared" si="58"/>
        <v>-9.4701442866737429E-2</v>
      </c>
    </row>
    <row r="595" spans="1:18" x14ac:dyDescent="0.3">
      <c r="A595" t="s">
        <v>1286</v>
      </c>
      <c r="B595" s="7">
        <v>45504</v>
      </c>
      <c r="C595" s="2">
        <v>45519</v>
      </c>
      <c r="D595" s="4">
        <f t="shared" si="59"/>
        <v>15</v>
      </c>
      <c r="E595" s="4" t="str">
        <f>TEXT(Data!B595,"MMM-YYYY")</f>
        <v>Jun-2025</v>
      </c>
      <c r="F595" t="s">
        <v>19</v>
      </c>
      <c r="G595" t="s">
        <v>40</v>
      </c>
      <c r="H595" t="s">
        <v>84</v>
      </c>
      <c r="I595" t="s">
        <v>64</v>
      </c>
      <c r="J595" s="4">
        <v>1252.52</v>
      </c>
      <c r="K595" s="8" t="str">
        <f t="shared" si="56"/>
        <v>High</v>
      </c>
      <c r="L595" s="4">
        <v>1417.24</v>
      </c>
      <c r="M595" s="4">
        <v>0.192</v>
      </c>
      <c r="N595" s="4">
        <v>5</v>
      </c>
      <c r="O595" s="4">
        <f t="shared" si="54"/>
        <v>4083.4300000000003</v>
      </c>
      <c r="P595">
        <f t="shared" si="55"/>
        <v>6262.6</v>
      </c>
      <c r="Q595" s="4">
        <f t="shared" si="57"/>
        <v>-2179.17</v>
      </c>
      <c r="R595" s="18">
        <f t="shared" si="58"/>
        <v>-0.53366165209150151</v>
      </c>
    </row>
    <row r="596" spans="1:18" x14ac:dyDescent="0.3">
      <c r="A596" t="s">
        <v>1288</v>
      </c>
      <c r="B596" s="7">
        <v>45823</v>
      </c>
      <c r="C596" s="2">
        <v>45850</v>
      </c>
      <c r="D596" s="4">
        <f t="shared" si="59"/>
        <v>27</v>
      </c>
      <c r="E596" s="4" t="str">
        <f>TEXT(Data!B596,"MMM-YYYY")</f>
        <v>Jun-2024</v>
      </c>
      <c r="F596" t="s">
        <v>48</v>
      </c>
      <c r="G596" t="s">
        <v>98</v>
      </c>
      <c r="H596" t="s">
        <v>21</v>
      </c>
      <c r="I596" t="s">
        <v>81</v>
      </c>
      <c r="J596" s="4">
        <v>318.83</v>
      </c>
      <c r="K596" s="8" t="str">
        <f t="shared" si="56"/>
        <v>High</v>
      </c>
      <c r="L596" s="4">
        <v>699.5</v>
      </c>
      <c r="M596" s="4">
        <v>0.08</v>
      </c>
      <c r="N596" s="4">
        <v>13</v>
      </c>
      <c r="O596" s="4">
        <f t="shared" si="54"/>
        <v>4921.3008</v>
      </c>
      <c r="P596">
        <f t="shared" si="55"/>
        <v>4144.79</v>
      </c>
      <c r="Q596" s="4">
        <f t="shared" si="57"/>
        <v>776.51080000000002</v>
      </c>
      <c r="R596" s="18">
        <f t="shared" si="58"/>
        <v>0.15778568137919957</v>
      </c>
    </row>
    <row r="597" spans="1:18" x14ac:dyDescent="0.3">
      <c r="A597" t="s">
        <v>1290</v>
      </c>
      <c r="B597" s="7">
        <v>45473</v>
      </c>
      <c r="C597" s="2">
        <v>45494</v>
      </c>
      <c r="D597" s="4">
        <f t="shared" si="59"/>
        <v>21</v>
      </c>
      <c r="E597" s="4" t="str">
        <f>TEXT(Data!B597,"MMM-YYYY")</f>
        <v>Feb-2025</v>
      </c>
      <c r="F597" t="s">
        <v>62</v>
      </c>
      <c r="G597" t="s">
        <v>20</v>
      </c>
      <c r="H597" t="s">
        <v>95</v>
      </c>
      <c r="I597" t="s">
        <v>57</v>
      </c>
      <c r="J597" s="4">
        <v>753.43</v>
      </c>
      <c r="K597" s="8" t="str">
        <f t="shared" si="56"/>
        <v>High</v>
      </c>
      <c r="L597" s="4">
        <v>1787.2</v>
      </c>
      <c r="M597" s="4">
        <v>7.2999999999999995E-2</v>
      </c>
      <c r="N597" s="4">
        <v>9</v>
      </c>
      <c r="O597" s="4">
        <f t="shared" si="54"/>
        <v>3448.4956200000001</v>
      </c>
      <c r="P597">
        <f t="shared" si="55"/>
        <v>6780.87</v>
      </c>
      <c r="Q597" s="4">
        <f t="shared" si="57"/>
        <v>-3332.3743799999997</v>
      </c>
      <c r="R597" s="18">
        <f t="shared" si="58"/>
        <v>-0.9663269863744236</v>
      </c>
    </row>
    <row r="598" spans="1:18" x14ac:dyDescent="0.3">
      <c r="A598" t="s">
        <v>1292</v>
      </c>
      <c r="B598" s="7">
        <v>45705</v>
      </c>
      <c r="C598" s="2">
        <v>45703</v>
      </c>
      <c r="D598" s="4">
        <f>DATEDIF(C598,B598, "MD")</f>
        <v>2</v>
      </c>
      <c r="E598" s="4" t="str">
        <f>TEXT(Data!B598,"MMM-YYYY")</f>
        <v>Jan-2023</v>
      </c>
      <c r="F598" t="s">
        <v>62</v>
      </c>
      <c r="G598" t="s">
        <v>20</v>
      </c>
      <c r="H598" t="s">
        <v>145</v>
      </c>
      <c r="I598" t="s">
        <v>22</v>
      </c>
      <c r="J598" s="4">
        <v>1133.47</v>
      </c>
      <c r="K598" s="8" t="str">
        <f t="shared" si="56"/>
        <v>High</v>
      </c>
      <c r="L598" s="4">
        <v>1698.75</v>
      </c>
      <c r="M598" s="4">
        <v>4.2999999999999997E-2</v>
      </c>
      <c r="N598" s="4">
        <v>5</v>
      </c>
      <c r="O598" s="4">
        <f t="shared" si="54"/>
        <v>7459.2886500000004</v>
      </c>
      <c r="P598">
        <f t="shared" si="55"/>
        <v>5667.35</v>
      </c>
      <c r="Q598" s="4">
        <f t="shared" si="57"/>
        <v>1791.9386500000001</v>
      </c>
      <c r="R598" s="18">
        <f t="shared" si="58"/>
        <v>0.24022916045754578</v>
      </c>
    </row>
    <row r="599" spans="1:18" x14ac:dyDescent="0.3">
      <c r="A599" t="s">
        <v>1294</v>
      </c>
      <c r="B599" s="7">
        <v>44933</v>
      </c>
      <c r="C599" s="2">
        <v>44956</v>
      </c>
      <c r="D599" s="4">
        <f t="shared" si="59"/>
        <v>23</v>
      </c>
      <c r="E599" s="4" t="str">
        <f>TEXT(Data!B599,"MMM-YYYY")</f>
        <v>Mar-2025</v>
      </c>
      <c r="F599" t="s">
        <v>48</v>
      </c>
      <c r="G599" t="s">
        <v>28</v>
      </c>
      <c r="H599" t="s">
        <v>75</v>
      </c>
      <c r="I599" t="s">
        <v>30</v>
      </c>
      <c r="J599" s="4">
        <v>299.02</v>
      </c>
      <c r="K599" s="8" t="str">
        <f t="shared" si="56"/>
        <v>High</v>
      </c>
      <c r="L599" s="4">
        <v>724.7</v>
      </c>
      <c r="M599" s="4">
        <v>0.14000000000000001</v>
      </c>
      <c r="N599" s="4">
        <v>5</v>
      </c>
      <c r="O599" s="4">
        <f t="shared" si="54"/>
        <v>3702.9880000000003</v>
      </c>
      <c r="P599">
        <f t="shared" si="55"/>
        <v>1495.1</v>
      </c>
      <c r="Q599" s="4">
        <f t="shared" si="57"/>
        <v>2207.8880000000004</v>
      </c>
      <c r="R599" s="18">
        <f t="shared" si="58"/>
        <v>0.59624497837962209</v>
      </c>
    </row>
    <row r="600" spans="1:18" x14ac:dyDescent="0.3">
      <c r="A600" t="s">
        <v>1296</v>
      </c>
      <c r="B600" s="7">
        <v>45726</v>
      </c>
      <c r="C600" s="2">
        <v>45751</v>
      </c>
      <c r="D600" s="4">
        <f t="shared" si="59"/>
        <v>25</v>
      </c>
      <c r="E600" s="4" t="str">
        <f>TEXT(Data!B600,"MMM-YYYY")</f>
        <v>Aug-2024</v>
      </c>
      <c r="F600" t="s">
        <v>19</v>
      </c>
      <c r="G600" t="s">
        <v>98</v>
      </c>
      <c r="H600" t="s">
        <v>92</v>
      </c>
      <c r="I600" t="s">
        <v>30</v>
      </c>
      <c r="J600" s="4">
        <v>783.72</v>
      </c>
      <c r="K600" s="8" t="str">
        <f t="shared" si="56"/>
        <v>High</v>
      </c>
      <c r="L600" s="4">
        <v>1355.94</v>
      </c>
      <c r="M600" s="4">
        <v>0.187</v>
      </c>
      <c r="N600" s="4">
        <v>4</v>
      </c>
      <c r="O600" s="4">
        <f t="shared" si="54"/>
        <v>7467.4049999999997</v>
      </c>
      <c r="P600">
        <f t="shared" si="55"/>
        <v>3134.88</v>
      </c>
      <c r="Q600" s="4">
        <f t="shared" si="57"/>
        <v>4332.5249999999996</v>
      </c>
      <c r="R600" s="18">
        <f t="shared" si="58"/>
        <v>0.58019151231251009</v>
      </c>
    </row>
    <row r="601" spans="1:18" x14ac:dyDescent="0.3">
      <c r="A601" t="s">
        <v>1298</v>
      </c>
      <c r="B601" s="7">
        <v>45521</v>
      </c>
      <c r="C601" s="2">
        <v>45519</v>
      </c>
      <c r="D601" s="4">
        <f>DATEDIF(C601,B601, "MD")</f>
        <v>2</v>
      </c>
      <c r="E601" s="4" t="str">
        <f>TEXT(Data!B601,"MMM-YYYY")</f>
        <v>Mar-2024</v>
      </c>
      <c r="F601" t="s">
        <v>48</v>
      </c>
      <c r="G601" t="s">
        <v>98</v>
      </c>
      <c r="H601" t="s">
        <v>110</v>
      </c>
      <c r="I601" t="s">
        <v>64</v>
      </c>
      <c r="J601" s="4">
        <v>165.3</v>
      </c>
      <c r="K601" s="8" t="str">
        <f t="shared" si="56"/>
        <v>High</v>
      </c>
      <c r="L601" s="4">
        <v>275.07</v>
      </c>
      <c r="M601" s="4">
        <v>0.13300000000000001</v>
      </c>
      <c r="N601" s="4">
        <v>25</v>
      </c>
      <c r="O601" s="4">
        <f t="shared" si="54"/>
        <v>57148.305</v>
      </c>
      <c r="P601">
        <f t="shared" si="55"/>
        <v>4132.5</v>
      </c>
      <c r="Q601" s="4">
        <f t="shared" si="57"/>
        <v>53015.805</v>
      </c>
      <c r="R601" s="18">
        <f t="shared" si="58"/>
        <v>0.92768814403156841</v>
      </c>
    </row>
    <row r="602" spans="1:18" x14ac:dyDescent="0.3">
      <c r="A602" t="s">
        <v>1300</v>
      </c>
      <c r="B602" s="7">
        <v>45360</v>
      </c>
      <c r="C602" s="2">
        <v>45373</v>
      </c>
      <c r="D602" s="4">
        <f t="shared" si="59"/>
        <v>13</v>
      </c>
      <c r="E602" s="4" t="str">
        <f>TEXT(Data!B602,"MMM-YYYY")</f>
        <v>Aug-2024</v>
      </c>
      <c r="F602" t="s">
        <v>48</v>
      </c>
      <c r="G602" t="s">
        <v>28</v>
      </c>
      <c r="H602" t="s">
        <v>63</v>
      </c>
      <c r="I602" t="s">
        <v>57</v>
      </c>
      <c r="J602" s="4">
        <v>985.45</v>
      </c>
      <c r="K602" s="8" t="str">
        <f t="shared" si="56"/>
        <v>High</v>
      </c>
      <c r="L602" s="4">
        <v>1802.44</v>
      </c>
      <c r="M602" s="4">
        <v>8.9999999999999993E-3</v>
      </c>
      <c r="N602" s="4">
        <v>19</v>
      </c>
      <c r="O602" s="4">
        <f t="shared" si="54"/>
        <v>18416.456609999997</v>
      </c>
      <c r="P602">
        <f t="shared" si="55"/>
        <v>18723.55</v>
      </c>
      <c r="Q602" s="4">
        <f t="shared" si="57"/>
        <v>-307.09339000000182</v>
      </c>
      <c r="R602" s="18">
        <f t="shared" si="58"/>
        <v>-1.6674944399089911E-2</v>
      </c>
    </row>
    <row r="603" spans="1:18" x14ac:dyDescent="0.3">
      <c r="A603" t="s">
        <v>1302</v>
      </c>
      <c r="B603" s="7">
        <v>45523</v>
      </c>
      <c r="C603" s="2">
        <v>45537</v>
      </c>
      <c r="D603" s="4">
        <f t="shared" si="59"/>
        <v>14</v>
      </c>
      <c r="E603" s="4" t="str">
        <f>TEXT(Data!B603,"MMM-YYYY")</f>
        <v>Aug-2025</v>
      </c>
      <c r="F603" t="s">
        <v>48</v>
      </c>
      <c r="G603" t="s">
        <v>55</v>
      </c>
      <c r="H603" t="s">
        <v>21</v>
      </c>
      <c r="I603" t="s">
        <v>30</v>
      </c>
      <c r="J603" s="4">
        <v>1337.01</v>
      </c>
      <c r="K603" s="8" t="str">
        <f t="shared" si="56"/>
        <v>High</v>
      </c>
      <c r="L603" s="4">
        <v>1269.78</v>
      </c>
      <c r="M603" s="4">
        <v>0.16</v>
      </c>
      <c r="N603" s="4">
        <v>7</v>
      </c>
      <c r="O603" s="4">
        <f t="shared" si="54"/>
        <v>3208.8335999999999</v>
      </c>
      <c r="P603">
        <f t="shared" si="55"/>
        <v>9359.07</v>
      </c>
      <c r="Q603" s="4">
        <f t="shared" si="57"/>
        <v>-6150.2363999999998</v>
      </c>
      <c r="R603" s="18">
        <f t="shared" si="58"/>
        <v>-1.916657940754547</v>
      </c>
    </row>
    <row r="604" spans="1:18" x14ac:dyDescent="0.3">
      <c r="A604" t="s">
        <v>1304</v>
      </c>
      <c r="B604" s="7">
        <v>45880</v>
      </c>
      <c r="C604" s="2">
        <v>45897</v>
      </c>
      <c r="D604" s="4">
        <f t="shared" si="59"/>
        <v>17</v>
      </c>
      <c r="E604" s="4" t="str">
        <f>TEXT(Data!B604,"MMM-YYYY")</f>
        <v>May-2025</v>
      </c>
      <c r="F604" t="s">
        <v>27</v>
      </c>
      <c r="G604" t="s">
        <v>28</v>
      </c>
      <c r="H604" t="s">
        <v>84</v>
      </c>
      <c r="I604" t="s">
        <v>35</v>
      </c>
      <c r="J604" s="4">
        <v>416.16</v>
      </c>
      <c r="K604" s="8" t="str">
        <f t="shared" si="56"/>
        <v>High</v>
      </c>
      <c r="L604" s="4">
        <v>571.9</v>
      </c>
      <c r="M604" s="4">
        <v>7.0999999999999994E-2</v>
      </c>
      <c r="N604" s="4">
        <v>2</v>
      </c>
      <c r="O604" s="4">
        <f t="shared" si="54"/>
        <v>2667.2333200000003</v>
      </c>
      <c r="P604">
        <f t="shared" si="55"/>
        <v>832.32</v>
      </c>
      <c r="Q604" s="4">
        <f t="shared" si="57"/>
        <v>1834.9133200000001</v>
      </c>
      <c r="R604" s="18">
        <f t="shared" si="58"/>
        <v>0.6879463098488886</v>
      </c>
    </row>
    <row r="605" spans="1:18" x14ac:dyDescent="0.3">
      <c r="A605" t="s">
        <v>1306</v>
      </c>
      <c r="B605" s="7">
        <v>45793</v>
      </c>
      <c r="C605" s="2">
        <v>45795</v>
      </c>
      <c r="D605" s="4">
        <f t="shared" si="59"/>
        <v>2</v>
      </c>
      <c r="E605" s="4" t="str">
        <f>TEXT(Data!B605,"MMM-YYYY")</f>
        <v>Apr-2023</v>
      </c>
      <c r="F605" t="s">
        <v>105</v>
      </c>
      <c r="G605" t="s">
        <v>20</v>
      </c>
      <c r="H605" t="s">
        <v>29</v>
      </c>
      <c r="I605" t="s">
        <v>30</v>
      </c>
      <c r="J605" s="4">
        <v>1144.3800000000001</v>
      </c>
      <c r="K605" s="8" t="str">
        <f t="shared" si="56"/>
        <v>High</v>
      </c>
      <c r="L605" s="4">
        <v>2755.04</v>
      </c>
      <c r="M605" s="4">
        <v>0.15</v>
      </c>
      <c r="N605" s="4">
        <v>17</v>
      </c>
      <c r="O605" s="4">
        <f t="shared" si="54"/>
        <v>34640.985000000001</v>
      </c>
      <c r="P605">
        <f t="shared" si="55"/>
        <v>19454.460000000003</v>
      </c>
      <c r="Q605" s="4">
        <f t="shared" si="57"/>
        <v>15186.524999999998</v>
      </c>
      <c r="R605" s="18">
        <f t="shared" si="58"/>
        <v>0.4383976090749151</v>
      </c>
    </row>
    <row r="606" spans="1:18" x14ac:dyDescent="0.3">
      <c r="A606" t="s">
        <v>1308</v>
      </c>
      <c r="B606" s="7">
        <v>45026</v>
      </c>
      <c r="C606" s="2">
        <v>45041</v>
      </c>
      <c r="D606" s="4">
        <f t="shared" si="59"/>
        <v>15</v>
      </c>
      <c r="E606" s="4" t="str">
        <f>TEXT(Data!B606,"MMM-YYYY")</f>
        <v>Sept-2023</v>
      </c>
      <c r="F606" t="s">
        <v>62</v>
      </c>
      <c r="G606" t="s">
        <v>20</v>
      </c>
      <c r="H606" t="s">
        <v>145</v>
      </c>
      <c r="I606" t="s">
        <v>30</v>
      </c>
      <c r="J606" s="4">
        <v>405.66</v>
      </c>
      <c r="K606" s="8" t="str">
        <f t="shared" si="56"/>
        <v>High</v>
      </c>
      <c r="L606" s="4">
        <v>962.51</v>
      </c>
      <c r="M606" s="4">
        <v>0.19</v>
      </c>
      <c r="N606" s="4">
        <v>7</v>
      </c>
      <c r="O606" s="4">
        <f t="shared" si="54"/>
        <v>10511.386199999999</v>
      </c>
      <c r="P606">
        <f t="shared" si="55"/>
        <v>2839.6200000000003</v>
      </c>
      <c r="Q606" s="4">
        <f t="shared" si="57"/>
        <v>7671.7661999999982</v>
      </c>
      <c r="R606" s="18">
        <f t="shared" si="58"/>
        <v>0.72985294746377016</v>
      </c>
    </row>
    <row r="607" spans="1:18" x14ac:dyDescent="0.3">
      <c r="A607" t="s">
        <v>1310</v>
      </c>
      <c r="B607" s="7">
        <v>45186</v>
      </c>
      <c r="C607" s="2">
        <v>45201</v>
      </c>
      <c r="D607" s="4">
        <f t="shared" si="59"/>
        <v>15</v>
      </c>
      <c r="E607" s="4" t="str">
        <f>TEXT(Data!B607,"MMM-YYYY")</f>
        <v>Apr-2023</v>
      </c>
      <c r="F607" t="s">
        <v>62</v>
      </c>
      <c r="G607" t="s">
        <v>20</v>
      </c>
      <c r="H607" t="s">
        <v>56</v>
      </c>
      <c r="I607" t="s">
        <v>57</v>
      </c>
      <c r="J607" s="4">
        <v>689.33</v>
      </c>
      <c r="K607" s="8" t="str">
        <f t="shared" si="56"/>
        <v>High</v>
      </c>
      <c r="L607" s="4">
        <v>668.27</v>
      </c>
      <c r="M607" s="4">
        <v>0.186</v>
      </c>
      <c r="N607" s="4">
        <v>13</v>
      </c>
      <c r="O607" s="4">
        <f t="shared" si="54"/>
        <v>486.56036000000006</v>
      </c>
      <c r="P607">
        <f t="shared" si="55"/>
        <v>8961.2900000000009</v>
      </c>
      <c r="Q607" s="4">
        <f t="shared" si="57"/>
        <v>-8474.7296400000014</v>
      </c>
      <c r="R607" s="18">
        <f t="shared" si="58"/>
        <v>-17.417632706453933</v>
      </c>
    </row>
    <row r="608" spans="1:18" x14ac:dyDescent="0.3">
      <c r="A608" t="s">
        <v>1312</v>
      </c>
      <c r="B608" s="7">
        <v>45038</v>
      </c>
      <c r="C608" s="2">
        <v>45060</v>
      </c>
      <c r="D608" s="4">
        <f t="shared" si="59"/>
        <v>22</v>
      </c>
      <c r="E608" s="4" t="str">
        <f>TEXT(Data!B608,"MMM-YYYY")</f>
        <v>Jun-2025</v>
      </c>
      <c r="F608" t="s">
        <v>105</v>
      </c>
      <c r="G608" t="s">
        <v>20</v>
      </c>
      <c r="H608" t="s">
        <v>75</v>
      </c>
      <c r="I608" t="s">
        <v>81</v>
      </c>
      <c r="J608" s="4">
        <v>1209.22</v>
      </c>
      <c r="K608" s="8" t="str">
        <f t="shared" si="56"/>
        <v>High</v>
      </c>
      <c r="L608" s="4">
        <v>1404.33</v>
      </c>
      <c r="M608" s="4">
        <v>0.10299999999999999</v>
      </c>
      <c r="N608" s="4">
        <v>11</v>
      </c>
      <c r="O608" s="4">
        <f t="shared" si="54"/>
        <v>0</v>
      </c>
      <c r="P608">
        <f t="shared" si="55"/>
        <v>13301.42</v>
      </c>
      <c r="Q608" s="4">
        <f t="shared" si="57"/>
        <v>-13301.42</v>
      </c>
      <c r="R608" s="18" t="e">
        <f t="shared" si="58"/>
        <v>#DIV/0!</v>
      </c>
    </row>
    <row r="609" spans="1:18" x14ac:dyDescent="0.3">
      <c r="A609" t="s">
        <v>1314</v>
      </c>
      <c r="B609" s="7">
        <v>45827</v>
      </c>
      <c r="C609" s="2">
        <v>45829</v>
      </c>
      <c r="D609" s="4">
        <f t="shared" si="59"/>
        <v>2</v>
      </c>
      <c r="E609" s="4" t="str">
        <f>TEXT(Data!B609,"MMM-YYYY")</f>
        <v>Nov-2024</v>
      </c>
      <c r="F609" t="s">
        <v>62</v>
      </c>
      <c r="G609" t="s">
        <v>1364</v>
      </c>
      <c r="H609" t="s">
        <v>92</v>
      </c>
      <c r="I609" t="s">
        <v>42</v>
      </c>
      <c r="J609" s="4">
        <v>1466.27</v>
      </c>
      <c r="K609" s="8" t="str">
        <f t="shared" si="56"/>
        <v>High</v>
      </c>
      <c r="L609" s="4">
        <v>3589.89</v>
      </c>
      <c r="M609" s="4">
        <v>9.7000000000000003E-2</v>
      </c>
      <c r="N609" s="4">
        <v>9</v>
      </c>
      <c r="O609" s="4">
        <f t="shared" si="54"/>
        <v>0</v>
      </c>
      <c r="P609">
        <f t="shared" si="55"/>
        <v>13196.43</v>
      </c>
      <c r="Q609" s="4">
        <f t="shared" si="57"/>
        <v>-13196.43</v>
      </c>
      <c r="R609" s="18" t="e">
        <f t="shared" si="58"/>
        <v>#DIV/0!</v>
      </c>
    </row>
    <row r="610" spans="1:18" x14ac:dyDescent="0.3">
      <c r="A610" t="s">
        <v>1316</v>
      </c>
      <c r="B610" s="7">
        <v>45623</v>
      </c>
      <c r="C610" s="2">
        <v>45650</v>
      </c>
      <c r="D610" s="4">
        <f t="shared" si="59"/>
        <v>27</v>
      </c>
      <c r="E610" s="4" t="str">
        <f>TEXT(Data!B610,"MMM-YYYY")</f>
        <v>Jan-2024</v>
      </c>
      <c r="F610" t="s">
        <v>19</v>
      </c>
      <c r="G610" t="s">
        <v>55</v>
      </c>
      <c r="H610" t="s">
        <v>56</v>
      </c>
      <c r="I610" t="s">
        <v>30</v>
      </c>
      <c r="J610" s="4">
        <v>143.33000000000001</v>
      </c>
      <c r="K610" s="8" t="str">
        <f t="shared" si="56"/>
        <v>High</v>
      </c>
      <c r="L610" s="4">
        <v>233.51</v>
      </c>
      <c r="M610" s="4">
        <v>0.16300000000000001</v>
      </c>
      <c r="N610" s="4">
        <v>14</v>
      </c>
      <c r="O610" s="4">
        <f t="shared" si="54"/>
        <v>0</v>
      </c>
      <c r="P610">
        <f t="shared" si="55"/>
        <v>2006.6200000000001</v>
      </c>
      <c r="Q610" s="4">
        <f t="shared" si="57"/>
        <v>-2006.6200000000001</v>
      </c>
      <c r="R610" s="18" t="e">
        <f t="shared" si="58"/>
        <v>#DIV/0!</v>
      </c>
    </row>
    <row r="611" spans="1:18" x14ac:dyDescent="0.3">
      <c r="A611" t="s">
        <v>1318</v>
      </c>
      <c r="B611" s="7">
        <v>45319</v>
      </c>
      <c r="C611" s="2">
        <v>45318</v>
      </c>
      <c r="D611" s="4">
        <f>DATEDIF(C611,B611, "MD")</f>
        <v>1</v>
      </c>
      <c r="E611" s="4" t="str">
        <f>TEXT(Data!B611,"MMM-YYYY")</f>
        <v>Apr-2023</v>
      </c>
      <c r="F611" t="s">
        <v>105</v>
      </c>
      <c r="G611" t="s">
        <v>98</v>
      </c>
      <c r="H611" t="s">
        <v>68</v>
      </c>
      <c r="I611" t="s">
        <v>22</v>
      </c>
      <c r="J611" s="4">
        <v>109.75</v>
      </c>
      <c r="K611" s="8" t="str">
        <f t="shared" si="56"/>
        <v>Medium</v>
      </c>
      <c r="L611" s="4">
        <v>124.25</v>
      </c>
      <c r="M611" s="4">
        <v>0.12</v>
      </c>
      <c r="N611" s="4">
        <v>19</v>
      </c>
      <c r="O611" s="4">
        <f t="shared" si="54"/>
        <v>0</v>
      </c>
      <c r="P611">
        <f t="shared" si="55"/>
        <v>2085.25</v>
      </c>
      <c r="Q611" s="4">
        <f t="shared" si="57"/>
        <v>-2085.25</v>
      </c>
      <c r="R611" s="18" t="e">
        <f t="shared" si="58"/>
        <v>#DIV/0!</v>
      </c>
    </row>
    <row r="612" spans="1:18" x14ac:dyDescent="0.3">
      <c r="A612" t="s">
        <v>1320</v>
      </c>
      <c r="B612" s="7">
        <v>45032</v>
      </c>
      <c r="C612" s="2">
        <v>45039</v>
      </c>
      <c r="D612" s="4">
        <f t="shared" si="59"/>
        <v>7</v>
      </c>
      <c r="E612" s="4" t="str">
        <f>TEXT(Data!B612,"MMM-YYYY")</f>
        <v>Feb-2024</v>
      </c>
      <c r="F612" t="s">
        <v>19</v>
      </c>
      <c r="G612" t="s">
        <v>55</v>
      </c>
      <c r="H612" t="s">
        <v>68</v>
      </c>
      <c r="I612" t="s">
        <v>30</v>
      </c>
      <c r="J612" s="4">
        <v>1099.1500000000001</v>
      </c>
      <c r="K612" s="8" t="str">
        <f t="shared" si="56"/>
        <v>High</v>
      </c>
      <c r="L612" s="4">
        <v>1431.37</v>
      </c>
      <c r="M612" s="4">
        <v>0.104</v>
      </c>
      <c r="N612" s="4">
        <v>8</v>
      </c>
      <c r="O612" s="4">
        <f t="shared" si="54"/>
        <v>0</v>
      </c>
      <c r="P612">
        <f t="shared" si="55"/>
        <v>8793.2000000000007</v>
      </c>
      <c r="Q612" s="4">
        <f t="shared" si="57"/>
        <v>-8793.2000000000007</v>
      </c>
      <c r="R612" s="18" t="e">
        <f t="shared" si="58"/>
        <v>#DIV/0!</v>
      </c>
    </row>
    <row r="613" spans="1:18" x14ac:dyDescent="0.3">
      <c r="A613" t="s">
        <v>1322</v>
      </c>
      <c r="B613" s="7">
        <v>45323</v>
      </c>
      <c r="C613" s="2">
        <v>45323</v>
      </c>
      <c r="D613" s="4">
        <f t="shared" si="59"/>
        <v>0</v>
      </c>
      <c r="E613" s="4" t="str">
        <f>TEXT(Data!B613,"MMM-YYYY")</f>
        <v>Oct-2024</v>
      </c>
      <c r="F613" t="s">
        <v>48</v>
      </c>
      <c r="G613" t="s">
        <v>55</v>
      </c>
      <c r="H613" t="s">
        <v>92</v>
      </c>
      <c r="I613" t="s">
        <v>30</v>
      </c>
      <c r="J613" s="4">
        <v>714.43</v>
      </c>
      <c r="K613" s="8" t="str">
        <f t="shared" si="56"/>
        <v>High</v>
      </c>
      <c r="L613" s="4">
        <v>1595.52</v>
      </c>
      <c r="M613" s="4">
        <v>0.19400000000000001</v>
      </c>
      <c r="N613" s="4">
        <v>14</v>
      </c>
      <c r="O613" s="4">
        <f t="shared" si="54"/>
        <v>0</v>
      </c>
      <c r="P613">
        <f t="shared" si="55"/>
        <v>10002.019999999999</v>
      </c>
      <c r="Q613" s="4">
        <f t="shared" si="57"/>
        <v>-10002.019999999999</v>
      </c>
      <c r="R613" s="18" t="e">
        <f t="shared" si="58"/>
        <v>#DIV/0!</v>
      </c>
    </row>
    <row r="614" spans="1:18" x14ac:dyDescent="0.3">
      <c r="A614" t="s">
        <v>1324</v>
      </c>
      <c r="B614" s="7">
        <v>45584</v>
      </c>
      <c r="C614" s="2">
        <v>45602</v>
      </c>
      <c r="D614" s="4">
        <f t="shared" si="59"/>
        <v>18</v>
      </c>
      <c r="E614" s="4" t="str">
        <f>TEXT(Data!B614,"MMM-YYYY")</f>
        <v>Jun-2024</v>
      </c>
      <c r="F614" t="s">
        <v>27</v>
      </c>
      <c r="G614" t="s">
        <v>1364</v>
      </c>
      <c r="H614" t="s">
        <v>21</v>
      </c>
      <c r="I614" t="s">
        <v>64</v>
      </c>
      <c r="J614" s="4">
        <v>942.02</v>
      </c>
      <c r="K614" s="8" t="str">
        <f t="shared" si="56"/>
        <v>High</v>
      </c>
      <c r="L614" s="4">
        <v>1028.46</v>
      </c>
      <c r="M614" s="4">
        <v>0</v>
      </c>
      <c r="N614" s="4">
        <v>9</v>
      </c>
      <c r="O614" s="4">
        <f t="shared" si="54"/>
        <v>0</v>
      </c>
      <c r="P614">
        <f t="shared" si="55"/>
        <v>8478.18</v>
      </c>
      <c r="Q614" s="4">
        <f t="shared" si="57"/>
        <v>-8478.18</v>
      </c>
      <c r="R614" s="18" t="e">
        <f t="shared" si="58"/>
        <v>#DIV/0!</v>
      </c>
    </row>
    <row r="615" spans="1:18" x14ac:dyDescent="0.3">
      <c r="A615" t="s">
        <v>1326</v>
      </c>
      <c r="B615" s="7">
        <v>45468</v>
      </c>
      <c r="C615" s="2">
        <v>45473</v>
      </c>
      <c r="D615" s="4">
        <f t="shared" si="59"/>
        <v>5</v>
      </c>
      <c r="E615" s="4" t="str">
        <f>TEXT(Data!B615,"MMM-YYYY")</f>
        <v>Jul-2023</v>
      </c>
      <c r="F615" t="s">
        <v>27</v>
      </c>
      <c r="G615" t="s">
        <v>98</v>
      </c>
      <c r="H615" t="s">
        <v>110</v>
      </c>
      <c r="I615" t="s">
        <v>35</v>
      </c>
      <c r="J615" s="4">
        <v>1323.55</v>
      </c>
      <c r="K615" s="8" t="str">
        <f t="shared" si="56"/>
        <v>High</v>
      </c>
      <c r="L615" s="4">
        <v>3230.35</v>
      </c>
      <c r="M615" s="4">
        <v>2.1999999999999999E-2</v>
      </c>
      <c r="N615" s="4">
        <v>26</v>
      </c>
      <c r="O615" s="4">
        <f t="shared" si="54"/>
        <v>0</v>
      </c>
      <c r="P615">
        <f t="shared" si="55"/>
        <v>34412.299999999996</v>
      </c>
      <c r="Q615" s="4">
        <f t="shared" si="57"/>
        <v>-34412.299999999996</v>
      </c>
      <c r="R615" s="18" t="e">
        <f t="shared" si="58"/>
        <v>#DIV/0!</v>
      </c>
    </row>
    <row r="616" spans="1:18" x14ac:dyDescent="0.3">
      <c r="A616" t="s">
        <v>1328</v>
      </c>
      <c r="B616" s="7">
        <v>45137</v>
      </c>
      <c r="C616" s="2">
        <v>45157</v>
      </c>
      <c r="D616" s="4">
        <f t="shared" si="59"/>
        <v>20</v>
      </c>
      <c r="E616" s="4" t="str">
        <f>TEXT(Data!B616,"MMM-YYYY")</f>
        <v>Mar-2025</v>
      </c>
      <c r="F616" t="s">
        <v>105</v>
      </c>
      <c r="G616" t="s">
        <v>40</v>
      </c>
      <c r="H616" t="s">
        <v>41</v>
      </c>
      <c r="I616" t="s">
        <v>35</v>
      </c>
      <c r="J616" s="4">
        <v>1418.51</v>
      </c>
      <c r="K616" s="8" t="str">
        <f t="shared" si="56"/>
        <v>High</v>
      </c>
      <c r="L616" s="4">
        <v>2789.61</v>
      </c>
      <c r="M616" s="4">
        <v>0.17100000000000001</v>
      </c>
      <c r="N616" s="4">
        <v>8</v>
      </c>
      <c r="O616" s="4">
        <f t="shared" si="54"/>
        <v>0</v>
      </c>
      <c r="P616">
        <f t="shared" si="55"/>
        <v>11348.08</v>
      </c>
      <c r="Q616" s="4">
        <f t="shared" si="57"/>
        <v>-11348.08</v>
      </c>
      <c r="R616" s="18" t="e">
        <f t="shared" si="58"/>
        <v>#DIV/0!</v>
      </c>
    </row>
    <row r="617" spans="1:18" x14ac:dyDescent="0.3">
      <c r="A617" t="s">
        <v>1330</v>
      </c>
      <c r="B617" s="7">
        <v>45727</v>
      </c>
      <c r="C617" s="2">
        <v>45743</v>
      </c>
      <c r="D617" s="4">
        <f t="shared" si="59"/>
        <v>16</v>
      </c>
      <c r="E617" s="4" t="str">
        <f>TEXT(Data!B617,"MMM-YYYY")</f>
        <v>Oct-2023</v>
      </c>
      <c r="F617" t="s">
        <v>105</v>
      </c>
      <c r="G617" t="s">
        <v>55</v>
      </c>
      <c r="H617" t="s">
        <v>56</v>
      </c>
      <c r="I617" t="s">
        <v>30</v>
      </c>
      <c r="J617" s="4">
        <v>1317.58</v>
      </c>
      <c r="K617" s="8" t="str">
        <f t="shared" si="56"/>
        <v>High</v>
      </c>
      <c r="L617" s="4">
        <v>1897.74</v>
      </c>
      <c r="M617" s="4">
        <v>8.1000000000000003E-2</v>
      </c>
      <c r="N617" s="4">
        <v>6</v>
      </c>
      <c r="O617" s="4">
        <f t="shared" si="54"/>
        <v>0</v>
      </c>
      <c r="P617">
        <f t="shared" si="55"/>
        <v>7905.48</v>
      </c>
      <c r="Q617" s="4">
        <f t="shared" si="57"/>
        <v>-7905.48</v>
      </c>
      <c r="R617" s="18" t="e">
        <f t="shared" si="58"/>
        <v>#DIV/0!</v>
      </c>
    </row>
    <row r="618" spans="1:18" x14ac:dyDescent="0.3">
      <c r="A618" t="s">
        <v>1332</v>
      </c>
      <c r="B618" s="7">
        <v>45208</v>
      </c>
      <c r="C618" s="2">
        <v>45210</v>
      </c>
      <c r="D618" s="4">
        <f t="shared" si="59"/>
        <v>2</v>
      </c>
      <c r="E618" s="4" t="str">
        <f>TEXT(Data!B618,"MMM-YYYY")</f>
        <v>Dec-2024</v>
      </c>
      <c r="F618" t="s">
        <v>27</v>
      </c>
      <c r="G618" t="s">
        <v>40</v>
      </c>
      <c r="H618" t="s">
        <v>95</v>
      </c>
      <c r="I618" t="s">
        <v>35</v>
      </c>
      <c r="J618" s="4">
        <v>391.16</v>
      </c>
      <c r="K618" s="8" t="str">
        <f t="shared" si="56"/>
        <v>High</v>
      </c>
      <c r="L618" s="4">
        <v>902.47</v>
      </c>
      <c r="M618" s="4">
        <v>4.0000000000000001E-3</v>
      </c>
      <c r="N618" s="4">
        <v>12</v>
      </c>
      <c r="O618" s="4">
        <f t="shared" si="54"/>
        <v>0</v>
      </c>
      <c r="P618">
        <f t="shared" si="55"/>
        <v>4693.92</v>
      </c>
      <c r="Q618" s="4">
        <f t="shared" si="57"/>
        <v>-4693.92</v>
      </c>
      <c r="R618" s="18" t="e">
        <f t="shared" si="58"/>
        <v>#DIV/0!</v>
      </c>
    </row>
    <row r="619" spans="1:18" x14ac:dyDescent="0.3">
      <c r="A619" t="s">
        <v>1334</v>
      </c>
      <c r="B619" s="7">
        <v>45643</v>
      </c>
      <c r="C619" s="2">
        <v>45673</v>
      </c>
      <c r="D619" s="4">
        <f t="shared" si="59"/>
        <v>30</v>
      </c>
      <c r="E619" s="4" t="str">
        <f>TEXT(Data!B619,"MMM-YYYY")</f>
        <v>Jul-2025</v>
      </c>
      <c r="F619" t="s">
        <v>19</v>
      </c>
      <c r="G619" t="s">
        <v>20</v>
      </c>
      <c r="H619" t="s">
        <v>145</v>
      </c>
      <c r="I619" t="s">
        <v>64</v>
      </c>
      <c r="J619" s="4">
        <v>722.87</v>
      </c>
      <c r="K619" s="8" t="str">
        <f t="shared" si="56"/>
        <v>Low</v>
      </c>
      <c r="L619" s="4">
        <v>-33.659999999999997</v>
      </c>
      <c r="M619" s="4">
        <v>0.10199999999999999</v>
      </c>
      <c r="N619" s="4">
        <v>28</v>
      </c>
      <c r="O619" s="4">
        <f t="shared" si="54"/>
        <v>0</v>
      </c>
      <c r="P619">
        <f t="shared" si="55"/>
        <v>20240.36</v>
      </c>
      <c r="Q619" s="4">
        <f t="shared" si="57"/>
        <v>-20240.36</v>
      </c>
      <c r="R619" s="18" t="e">
        <f t="shared" si="58"/>
        <v>#DIV/0!</v>
      </c>
    </row>
    <row r="620" spans="1:18" x14ac:dyDescent="0.3">
      <c r="A620" t="s">
        <v>1336</v>
      </c>
      <c r="B620" s="7">
        <v>45849</v>
      </c>
      <c r="C620" s="2">
        <v>45854</v>
      </c>
      <c r="D620" s="4">
        <f t="shared" si="59"/>
        <v>5</v>
      </c>
      <c r="E620" s="4" t="str">
        <f>TEXT(Data!B620,"MMM-YYYY")</f>
        <v>Oct-2024</v>
      </c>
      <c r="F620" t="s">
        <v>105</v>
      </c>
      <c r="G620" t="s">
        <v>28</v>
      </c>
      <c r="H620" t="s">
        <v>95</v>
      </c>
      <c r="I620" t="s">
        <v>30</v>
      </c>
      <c r="J620" s="4">
        <v>930.03</v>
      </c>
      <c r="K620" s="8" t="str">
        <f t="shared" si="56"/>
        <v>High</v>
      </c>
      <c r="L620" s="4">
        <v>1086.68</v>
      </c>
      <c r="M620" s="4">
        <v>0.109</v>
      </c>
      <c r="N620" s="4">
        <v>26</v>
      </c>
      <c r="O620" s="4">
        <f t="shared" si="54"/>
        <v>0</v>
      </c>
      <c r="P620">
        <f t="shared" si="55"/>
        <v>24180.78</v>
      </c>
      <c r="Q620" s="4">
        <f t="shared" si="57"/>
        <v>-24180.78</v>
      </c>
      <c r="R620" s="18" t="e">
        <f t="shared" si="58"/>
        <v>#DIV/0!</v>
      </c>
    </row>
    <row r="621" spans="1:18" x14ac:dyDescent="0.3">
      <c r="A621" t="s">
        <v>1338</v>
      </c>
      <c r="B621" s="7">
        <v>45578</v>
      </c>
      <c r="C621" s="2">
        <v>45589</v>
      </c>
      <c r="D621" s="4">
        <f t="shared" si="59"/>
        <v>11</v>
      </c>
      <c r="E621" s="4" t="str">
        <f>TEXT(Data!B621,"MMM-YYYY")</f>
        <v>Sept-2023</v>
      </c>
      <c r="F621" t="s">
        <v>27</v>
      </c>
      <c r="G621" t="s">
        <v>55</v>
      </c>
      <c r="H621" t="s">
        <v>84</v>
      </c>
      <c r="I621" t="s">
        <v>22</v>
      </c>
      <c r="J621" s="4">
        <v>816.7</v>
      </c>
      <c r="K621" s="8" t="str">
        <f t="shared" si="56"/>
        <v>High</v>
      </c>
      <c r="L621" s="4">
        <v>1010.75</v>
      </c>
      <c r="M621" s="4">
        <v>4.7E-2</v>
      </c>
      <c r="N621" s="4">
        <v>43</v>
      </c>
      <c r="O621" s="4">
        <f t="shared" si="54"/>
        <v>0</v>
      </c>
      <c r="P621">
        <f t="shared" si="55"/>
        <v>35118.1</v>
      </c>
      <c r="Q621" s="4">
        <f t="shared" si="57"/>
        <v>-35118.1</v>
      </c>
      <c r="R621" s="18" t="e">
        <f t="shared" si="58"/>
        <v>#DIV/0!</v>
      </c>
    </row>
    <row r="622" spans="1:18" x14ac:dyDescent="0.3">
      <c r="A622" t="s">
        <v>1340</v>
      </c>
      <c r="B622" s="7">
        <v>45177</v>
      </c>
      <c r="C622" s="2">
        <v>45183</v>
      </c>
      <c r="D622" s="4">
        <f t="shared" si="59"/>
        <v>6</v>
      </c>
      <c r="E622" s="4" t="str">
        <f>TEXT(Data!B622,"MMM-YYYY")</f>
        <v>Apr-2025</v>
      </c>
      <c r="F622" t="s">
        <v>27</v>
      </c>
      <c r="G622" t="s">
        <v>98</v>
      </c>
      <c r="H622" t="s">
        <v>34</v>
      </c>
      <c r="I622" t="s">
        <v>81</v>
      </c>
      <c r="J622" s="4">
        <v>251.03</v>
      </c>
      <c r="K622" s="8" t="str">
        <f t="shared" si="56"/>
        <v>High</v>
      </c>
      <c r="L622" s="4">
        <v>411.48</v>
      </c>
      <c r="M622" s="4">
        <v>0.16500000000000001</v>
      </c>
      <c r="N622" s="4">
        <v>3</v>
      </c>
      <c r="O622" s="4">
        <f t="shared" si="54"/>
        <v>0</v>
      </c>
      <c r="P622">
        <f t="shared" si="55"/>
        <v>753.09</v>
      </c>
      <c r="Q622" s="4">
        <f t="shared" si="57"/>
        <v>-753.09</v>
      </c>
      <c r="R622" s="18" t="e">
        <f t="shared" si="58"/>
        <v>#DIV/0!</v>
      </c>
    </row>
    <row r="623" spans="1:18" x14ac:dyDescent="0.3">
      <c r="A623" t="s">
        <v>1342</v>
      </c>
      <c r="B623" s="7">
        <v>45764</v>
      </c>
      <c r="C623" s="2">
        <v>45780</v>
      </c>
      <c r="D623" s="4">
        <f t="shared" si="59"/>
        <v>16</v>
      </c>
      <c r="E623" s="4" t="str">
        <f>TEXT(Data!B623,"MMM-YYYY")</f>
        <v>Jul-2024</v>
      </c>
      <c r="F623" t="s">
        <v>48</v>
      </c>
      <c r="G623" t="s">
        <v>40</v>
      </c>
      <c r="H623" t="s">
        <v>29</v>
      </c>
      <c r="I623" t="s">
        <v>35</v>
      </c>
      <c r="J623" s="4">
        <v>168.68</v>
      </c>
      <c r="K623" s="8" t="str">
        <f t="shared" si="56"/>
        <v>High</v>
      </c>
      <c r="L623" s="4">
        <v>413.34</v>
      </c>
      <c r="M623" s="4">
        <v>0.186</v>
      </c>
      <c r="N623" s="4">
        <v>7</v>
      </c>
      <c r="O623" s="4">
        <f t="shared" si="54"/>
        <v>0</v>
      </c>
      <c r="P623">
        <f t="shared" si="55"/>
        <v>1180.76</v>
      </c>
      <c r="Q623" s="4">
        <f t="shared" si="57"/>
        <v>-1180.76</v>
      </c>
      <c r="R623" s="18" t="e">
        <f t="shared" si="58"/>
        <v>#DIV/0!</v>
      </c>
    </row>
    <row r="624" spans="1:18" x14ac:dyDescent="0.3">
      <c r="A624" t="s">
        <v>1344</v>
      </c>
      <c r="B624" s="7">
        <v>45501</v>
      </c>
      <c r="C624" s="2">
        <v>45527</v>
      </c>
      <c r="D624" s="4">
        <f t="shared" si="59"/>
        <v>26</v>
      </c>
      <c r="E624" s="4" t="str">
        <f>TEXT(Data!B624,"MMM-YYYY")</f>
        <v>Jul-2025</v>
      </c>
      <c r="F624" t="s">
        <v>19</v>
      </c>
      <c r="G624" t="s">
        <v>20</v>
      </c>
      <c r="H624" t="s">
        <v>29</v>
      </c>
      <c r="I624" t="s">
        <v>35</v>
      </c>
      <c r="J624" s="4">
        <v>1339.24</v>
      </c>
      <c r="K624" s="8" t="str">
        <f t="shared" si="56"/>
        <v>High</v>
      </c>
      <c r="L624" s="4">
        <v>1558.89</v>
      </c>
      <c r="M624" s="4">
        <v>0.192</v>
      </c>
      <c r="N624" s="4">
        <v>24</v>
      </c>
      <c r="O624" s="4">
        <f t="shared" si="54"/>
        <v>0</v>
      </c>
      <c r="P624">
        <f t="shared" si="55"/>
        <v>32141.760000000002</v>
      </c>
      <c r="Q624" s="4">
        <f t="shared" si="57"/>
        <v>-32141.760000000002</v>
      </c>
      <c r="R624" s="18" t="e">
        <f t="shared" si="58"/>
        <v>#DIV/0!</v>
      </c>
    </row>
    <row r="625" spans="1:18" x14ac:dyDescent="0.3">
      <c r="A625" t="s">
        <v>1346</v>
      </c>
      <c r="B625" s="7">
        <v>45857</v>
      </c>
      <c r="C625" s="2">
        <v>45869</v>
      </c>
      <c r="D625" s="4">
        <f t="shared" si="59"/>
        <v>12</v>
      </c>
      <c r="E625" s="4" t="str">
        <f>TEXT(Data!B625,"MMM-YYYY")</f>
        <v>Aug-2023</v>
      </c>
      <c r="F625" t="s">
        <v>62</v>
      </c>
      <c r="G625" t="s">
        <v>40</v>
      </c>
      <c r="H625" t="s">
        <v>68</v>
      </c>
      <c r="I625" t="s">
        <v>81</v>
      </c>
      <c r="J625" s="4">
        <v>619.64</v>
      </c>
      <c r="K625" s="8" t="str">
        <f t="shared" si="56"/>
        <v>High</v>
      </c>
      <c r="L625" s="4">
        <v>861.16</v>
      </c>
      <c r="M625" s="4">
        <v>0.113</v>
      </c>
      <c r="N625" s="4">
        <v>14</v>
      </c>
      <c r="O625" s="4">
        <f t="shared" si="54"/>
        <v>0</v>
      </c>
      <c r="P625">
        <f t="shared" si="55"/>
        <v>8674.9599999999991</v>
      </c>
      <c r="Q625" s="4">
        <f t="shared" si="57"/>
        <v>-8674.9599999999991</v>
      </c>
      <c r="R625" s="18" t="e">
        <f t="shared" si="58"/>
        <v>#DIV/0!</v>
      </c>
    </row>
    <row r="626" spans="1:18" x14ac:dyDescent="0.3">
      <c r="A626" t="s">
        <v>1348</v>
      </c>
      <c r="B626" s="7">
        <v>45141</v>
      </c>
      <c r="C626" s="2">
        <v>45140</v>
      </c>
      <c r="D626" s="4">
        <f>DATEDIF(C626,B626, "MD")</f>
        <v>1</v>
      </c>
      <c r="E626" s="4" t="str">
        <f>TEXT(Data!B626,"MMM-YYYY")</f>
        <v>Nov-2023</v>
      </c>
      <c r="F626" t="s">
        <v>39</v>
      </c>
      <c r="G626" t="s">
        <v>98</v>
      </c>
      <c r="H626" t="s">
        <v>29</v>
      </c>
      <c r="I626" t="s">
        <v>35</v>
      </c>
      <c r="J626" s="4">
        <v>1021.97</v>
      </c>
      <c r="K626" s="8" t="str">
        <f t="shared" si="56"/>
        <v>High</v>
      </c>
      <c r="L626" s="4">
        <v>2296.25</v>
      </c>
      <c r="M626" s="4">
        <v>0.161</v>
      </c>
      <c r="N626" s="4">
        <v>26</v>
      </c>
      <c r="O626" s="4">
        <f t="shared" si="54"/>
        <v>0</v>
      </c>
      <c r="P626">
        <f t="shared" si="55"/>
        <v>26571.22</v>
      </c>
      <c r="Q626" s="4">
        <f t="shared" si="57"/>
        <v>-26571.22</v>
      </c>
      <c r="R626" s="18" t="e">
        <f t="shared" si="58"/>
        <v>#DIV/0!</v>
      </c>
    </row>
    <row r="627" spans="1:18" x14ac:dyDescent="0.3">
      <c r="A627" t="s">
        <v>1350</v>
      </c>
      <c r="B627" s="7">
        <v>45249</v>
      </c>
      <c r="C627" s="2">
        <v>45272</v>
      </c>
      <c r="D627" s="4">
        <f t="shared" si="59"/>
        <v>23</v>
      </c>
      <c r="E627" s="4" t="str">
        <f>TEXT(Data!B627,"MMM-YYYY")</f>
        <v>Dec-2023</v>
      </c>
      <c r="F627" t="s">
        <v>62</v>
      </c>
      <c r="G627" t="s">
        <v>98</v>
      </c>
      <c r="H627" t="s">
        <v>21</v>
      </c>
      <c r="I627" t="s">
        <v>35</v>
      </c>
      <c r="J627" s="4">
        <v>1349.04</v>
      </c>
      <c r="K627" s="8" t="str">
        <f t="shared" si="56"/>
        <v>High</v>
      </c>
      <c r="L627" s="4">
        <v>2636.6</v>
      </c>
      <c r="M627" s="4">
        <v>0.114</v>
      </c>
      <c r="N627" s="4">
        <v>14</v>
      </c>
      <c r="O627" s="4">
        <f t="shared" si="54"/>
        <v>0</v>
      </c>
      <c r="P627">
        <f t="shared" si="55"/>
        <v>18886.559999999998</v>
      </c>
      <c r="Q627" s="4">
        <f t="shared" si="57"/>
        <v>-18886.559999999998</v>
      </c>
      <c r="R627" s="18" t="e">
        <f t="shared" si="58"/>
        <v>#DIV/0!</v>
      </c>
    </row>
    <row r="628" spans="1:18" x14ac:dyDescent="0.3">
      <c r="A628" t="s">
        <v>1352</v>
      </c>
      <c r="B628" s="7">
        <v>45282</v>
      </c>
      <c r="C628" s="2">
        <v>45307</v>
      </c>
      <c r="D628" s="4">
        <f t="shared" si="59"/>
        <v>25</v>
      </c>
      <c r="E628" s="4" t="str">
        <f>TEXT(Data!B628,"MMM-YYYY")</f>
        <v>Aug-2023</v>
      </c>
      <c r="F628" t="s">
        <v>62</v>
      </c>
      <c r="G628" t="s">
        <v>20</v>
      </c>
      <c r="H628" t="s">
        <v>75</v>
      </c>
      <c r="I628" t="s">
        <v>22</v>
      </c>
      <c r="J628" s="4">
        <v>1346.81</v>
      </c>
      <c r="K628" s="8" t="str">
        <f t="shared" si="56"/>
        <v>High</v>
      </c>
      <c r="L628" s="4">
        <v>978.09</v>
      </c>
      <c r="M628" s="4">
        <v>0.159</v>
      </c>
      <c r="N628" s="4">
        <v>17</v>
      </c>
      <c r="O628" s="4">
        <f t="shared" si="54"/>
        <v>0</v>
      </c>
      <c r="P628">
        <f t="shared" si="55"/>
        <v>22895.77</v>
      </c>
      <c r="Q628" s="4">
        <f t="shared" si="57"/>
        <v>-22895.77</v>
      </c>
      <c r="R628" s="18" t="e">
        <f t="shared" si="58"/>
        <v>#DIV/0!</v>
      </c>
    </row>
    <row r="629" spans="1:18" x14ac:dyDescent="0.3">
      <c r="A629" t="s">
        <v>1354</v>
      </c>
      <c r="B629" s="7">
        <v>45141</v>
      </c>
      <c r="C629" s="2">
        <v>45168</v>
      </c>
      <c r="D629" s="4">
        <f t="shared" si="59"/>
        <v>27</v>
      </c>
      <c r="E629" s="4" t="str">
        <f>TEXT(Data!B629,"MMM-YYYY")</f>
        <v>Jun-2023</v>
      </c>
      <c r="F629" t="s">
        <v>48</v>
      </c>
      <c r="G629" t="s">
        <v>55</v>
      </c>
      <c r="H629" t="s">
        <v>126</v>
      </c>
      <c r="I629" t="s">
        <v>64</v>
      </c>
      <c r="J629" s="4">
        <v>226.04</v>
      </c>
      <c r="K629" s="8" t="str">
        <f t="shared" si="56"/>
        <v>High</v>
      </c>
      <c r="L629" s="4">
        <v>545.72</v>
      </c>
      <c r="M629" s="4">
        <v>0.151</v>
      </c>
      <c r="N629" s="4">
        <v>11</v>
      </c>
      <c r="O629" s="4">
        <f t="shared" si="54"/>
        <v>0</v>
      </c>
      <c r="P629">
        <f t="shared" si="55"/>
        <v>2486.44</v>
      </c>
      <c r="Q629" s="4">
        <f t="shared" si="57"/>
        <v>-2486.44</v>
      </c>
      <c r="R629" s="18" t="e">
        <f t="shared" si="58"/>
        <v>#DIV/0!</v>
      </c>
    </row>
    <row r="630" spans="1:18" x14ac:dyDescent="0.3">
      <c r="A630" t="s">
        <v>1356</v>
      </c>
      <c r="B630" s="7">
        <v>45100</v>
      </c>
      <c r="C630" s="2">
        <v>45125</v>
      </c>
      <c r="D630" s="4">
        <f t="shared" si="59"/>
        <v>25</v>
      </c>
      <c r="E630" s="4" t="str">
        <f>TEXT(Data!B630,"MMM-YYYY")</f>
        <v>Dec-2023</v>
      </c>
      <c r="F630" t="s">
        <v>105</v>
      </c>
      <c r="G630" t="s">
        <v>28</v>
      </c>
      <c r="H630" t="s">
        <v>126</v>
      </c>
      <c r="I630" t="s">
        <v>42</v>
      </c>
      <c r="J630" s="4">
        <v>807.02</v>
      </c>
      <c r="K630" s="8" t="str">
        <f t="shared" si="56"/>
        <v>High</v>
      </c>
      <c r="L630" s="4">
        <v>1435.54</v>
      </c>
      <c r="M630" s="4">
        <v>0</v>
      </c>
      <c r="N630" s="4">
        <v>23</v>
      </c>
      <c r="O630" s="4">
        <f t="shared" si="54"/>
        <v>0</v>
      </c>
      <c r="P630">
        <f t="shared" si="55"/>
        <v>18561.46</v>
      </c>
      <c r="Q630" s="4">
        <f t="shared" si="57"/>
        <v>-18561.46</v>
      </c>
      <c r="R630" s="18" t="e">
        <f t="shared" si="58"/>
        <v>#DIV/0!</v>
      </c>
    </row>
    <row r="631" spans="1:18" x14ac:dyDescent="0.3">
      <c r="A631" t="s">
        <v>1358</v>
      </c>
      <c r="B631" s="7">
        <v>45267</v>
      </c>
      <c r="C631" s="2">
        <v>45293</v>
      </c>
      <c r="D631" s="4">
        <f t="shared" si="59"/>
        <v>26</v>
      </c>
      <c r="E631" s="4" t="str">
        <f>TEXT(Data!B631,"MMM-YYYY")</f>
        <v>Nov-2023</v>
      </c>
      <c r="F631" t="s">
        <v>105</v>
      </c>
      <c r="G631" t="s">
        <v>55</v>
      </c>
      <c r="H631" t="s">
        <v>63</v>
      </c>
      <c r="I631" t="s">
        <v>22</v>
      </c>
      <c r="J631" s="4">
        <v>1071.99</v>
      </c>
      <c r="K631" s="8" t="str">
        <f t="shared" si="56"/>
        <v>High</v>
      </c>
      <c r="L631" s="4">
        <v>2397.3000000000002</v>
      </c>
      <c r="M631" s="4">
        <v>6.2E-2</v>
      </c>
      <c r="N631" s="4">
        <v>18</v>
      </c>
      <c r="O631" s="4">
        <f t="shared" si="54"/>
        <v>0</v>
      </c>
      <c r="P631">
        <f t="shared" si="55"/>
        <v>19295.82</v>
      </c>
      <c r="Q631" s="4">
        <f t="shared" si="57"/>
        <v>-19295.82</v>
      </c>
      <c r="R631" s="18" t="e">
        <f t="shared" si="58"/>
        <v>#DIV/0!</v>
      </c>
    </row>
    <row r="632" spans="1:18" x14ac:dyDescent="0.3">
      <c r="A632" t="s">
        <v>1360</v>
      </c>
      <c r="B632" s="7">
        <v>45249</v>
      </c>
      <c r="C632" s="2">
        <v>45279</v>
      </c>
      <c r="D632" s="4">
        <f t="shared" si="59"/>
        <v>0</v>
      </c>
      <c r="E632" s="4" t="str">
        <f>TEXT(Data!B632,"MMM-YYYY")</f>
        <v>Feb-2025</v>
      </c>
      <c r="F632" t="s">
        <v>48</v>
      </c>
      <c r="G632" t="s">
        <v>20</v>
      </c>
      <c r="H632" t="s">
        <v>1364</v>
      </c>
      <c r="I632" t="s">
        <v>42</v>
      </c>
      <c r="J632" s="4">
        <v>807.11</v>
      </c>
      <c r="K632" s="8" t="str">
        <f t="shared" si="56"/>
        <v>High</v>
      </c>
      <c r="L632" s="4">
        <v>1853.86</v>
      </c>
      <c r="M632" s="4">
        <v>0.13900000000000001</v>
      </c>
      <c r="N632" s="4">
        <v>8</v>
      </c>
      <c r="O632" s="4">
        <f t="shared" si="54"/>
        <v>0</v>
      </c>
      <c r="P632">
        <f t="shared" si="55"/>
        <v>6456.88</v>
      </c>
      <c r="Q632" s="4">
        <f t="shared" si="57"/>
        <v>-6456.88</v>
      </c>
      <c r="R632" s="18" t="e">
        <f t="shared" si="58"/>
        <v>#DIV/0!</v>
      </c>
    </row>
    <row r="633" spans="1:18" x14ac:dyDescent="0.3">
      <c r="A633" t="s">
        <v>1362</v>
      </c>
      <c r="B633" s="7">
        <v>45716</v>
      </c>
      <c r="C633" s="2">
        <v>45726</v>
      </c>
      <c r="D633" s="4">
        <f t="shared" si="59"/>
        <v>10</v>
      </c>
      <c r="E633" s="4" t="str">
        <f>TEXT(Data!B633,"MMM-YYYY")</f>
        <v>Feb-2025</v>
      </c>
      <c r="F633" t="s">
        <v>27</v>
      </c>
      <c r="G633" t="s">
        <v>55</v>
      </c>
      <c r="H633" t="s">
        <v>126</v>
      </c>
      <c r="I633" t="s">
        <v>57</v>
      </c>
      <c r="J633" s="4">
        <v>51.86</v>
      </c>
      <c r="K633" s="8" t="str">
        <f t="shared" si="56"/>
        <v>Low</v>
      </c>
      <c r="L633" s="4">
        <v>45.98</v>
      </c>
      <c r="M633" s="4">
        <v>0.17299999999999999</v>
      </c>
      <c r="N633" s="4">
        <v>7</v>
      </c>
      <c r="O633" s="4">
        <f t="shared" si="54"/>
        <v>0</v>
      </c>
      <c r="P633">
        <f t="shared" si="55"/>
        <v>363.02</v>
      </c>
      <c r="Q633" s="4">
        <f t="shared" si="57"/>
        <v>-363.02</v>
      </c>
      <c r="R633" s="18" t="e">
        <f t="shared" si="58"/>
        <v>#DIV/0!</v>
      </c>
    </row>
  </sheetData>
  <conditionalFormatting sqref="L1:L633">
    <cfRule type="cellIs" dxfId="9" priority="1" operator="lessThan">
      <formula>0</formula>
    </cfRule>
  </conditionalFormatting>
  <dataValidations count="1">
    <dataValidation type="date" operator="greaterThanOrEqual" allowBlank="1" showInputMessage="1" showErrorMessage="1" error="Invalid Date ;Required date cannot be before the order date" sqref="C2:C633" xr:uid="{E9C34EB9-C892-4010-BF65-B4E66A0D6423}">
      <formula1>B2</formula1>
    </dataValidation>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AACB6-C8FD-47A4-A729-DF532A993C55}">
  <dimension ref="A1:K20"/>
  <sheetViews>
    <sheetView workbookViewId="0">
      <selection activeCell="B20" sqref="B20"/>
    </sheetView>
  </sheetViews>
  <sheetFormatPr defaultRowHeight="14.4" x14ac:dyDescent="0.3"/>
  <cols>
    <col min="1" max="1" width="12.5546875" bestFit="1" customWidth="1"/>
    <col min="2" max="2" width="20" bestFit="1" customWidth="1"/>
    <col min="3" max="3" width="15.44140625" bestFit="1" customWidth="1"/>
    <col min="4" max="4" width="17.33203125" bestFit="1" customWidth="1"/>
    <col min="5" max="5" width="17.33203125" customWidth="1"/>
    <col min="6" max="6" width="24.88671875" bestFit="1" customWidth="1"/>
    <col min="7" max="7" width="22.88671875" customWidth="1"/>
    <col min="8" max="8" width="9.44140625" customWidth="1"/>
    <col min="9" max="9" width="15.88671875" customWidth="1"/>
    <col min="10" max="10" width="12.5546875" customWidth="1"/>
  </cols>
  <sheetData>
    <row r="1" spans="1:11" x14ac:dyDescent="0.3">
      <c r="A1" s="9" t="s">
        <v>1371</v>
      </c>
      <c r="B1" t="s">
        <v>1412</v>
      </c>
    </row>
    <row r="3" spans="1:11" x14ac:dyDescent="0.3">
      <c r="A3" s="9" t="s">
        <v>1376</v>
      </c>
      <c r="B3" t="s">
        <v>1419</v>
      </c>
      <c r="C3" t="s">
        <v>1421</v>
      </c>
      <c r="D3" t="s">
        <v>1423</v>
      </c>
      <c r="E3" s="16" t="s">
        <v>1427</v>
      </c>
      <c r="F3" s="16" t="s">
        <v>1420</v>
      </c>
      <c r="G3" s="16" t="s">
        <v>1422</v>
      </c>
      <c r="H3" s="16" t="s">
        <v>1424</v>
      </c>
      <c r="I3" s="16" t="s">
        <v>1425</v>
      </c>
      <c r="J3" s="16" t="s">
        <v>1426</v>
      </c>
    </row>
    <row r="4" spans="1:11" x14ac:dyDescent="0.3">
      <c r="A4" s="10" t="s">
        <v>75</v>
      </c>
      <c r="B4" s="12">
        <v>599376.01998999983</v>
      </c>
      <c r="C4" s="12">
        <v>46</v>
      </c>
      <c r="D4" s="12">
        <v>4160.9699900000087</v>
      </c>
      <c r="E4" s="10" t="s">
        <v>68</v>
      </c>
      <c r="F4" s="4">
        <f>GETPIVOTDATA("Sum of Gross Revenue",$A$3,"Salesperson","O. Wang")/GETPIVOTDATA("Count of OrderID",$A$3,"Salesperson","O. Wang")</f>
        <v>17388.643956216212</v>
      </c>
      <c r="G4" s="17">
        <f>GETPIVOTDATA("Count of OrderID",$A$3,"Salesperson","A. Patel")/12</f>
        <v>3.8333333333333335</v>
      </c>
      <c r="H4">
        <f>GETPIVOTDATA("Sum of Gross Profit",$A$3,"Salesperson","A. Patel")/G4</f>
        <v>1085.4704321739152</v>
      </c>
      <c r="I4">
        <f>_xlfn.RANK.EQ(GETPIVOTDATA("Sum of Gross Revenue",$A$3,"Salesperson","A. Patel"),B4:B19,0)</f>
        <v>10</v>
      </c>
      <c r="J4">
        <f>_xlfn.RANK.EQ(GETPIVOTDATA("Sum of Gross Revenue",$A$3,"Salesperson","A. Patel"),B4:B19,1)</f>
        <v>7</v>
      </c>
      <c r="K4" t="str">
        <f>IF(_xlfn.RANK.EQ(G4,G4:G19,0)&gt;=3,"Top 3 ","")</f>
        <v xml:space="preserve">Top 3 </v>
      </c>
    </row>
    <row r="5" spans="1:11" x14ac:dyDescent="0.3">
      <c r="A5" s="10" t="s">
        <v>56</v>
      </c>
      <c r="B5" s="12">
        <v>779292.78272999986</v>
      </c>
      <c r="C5" s="12">
        <v>48</v>
      </c>
      <c r="D5" s="12">
        <v>201527.09272999997</v>
      </c>
      <c r="E5" s="10" t="s">
        <v>1364</v>
      </c>
      <c r="F5" s="4">
        <f>GETPIVOTDATA("Sum of Gross Revenue",$A$3,"Salesperson","Not Provided")/GETPIVOTDATA("Count of OrderID",$A$3,"Salesperson","Not Provided")</f>
        <v>24051.574898749997</v>
      </c>
      <c r="G5">
        <f>GETPIVOTDATA("Count of OrderID",$A$3,"Salesperson","B. Chen")/12</f>
        <v>4</v>
      </c>
      <c r="H5">
        <f>GETPIVOTDATA("Sum of Gross Profit",$A$3,"Salesperson","B. Chen")/G5</f>
        <v>50381.773182499994</v>
      </c>
    </row>
    <row r="6" spans="1:11" x14ac:dyDescent="0.3">
      <c r="A6" s="10" t="s">
        <v>21</v>
      </c>
      <c r="B6" s="12">
        <v>536935.05088</v>
      </c>
      <c r="C6" s="12">
        <v>37</v>
      </c>
      <c r="D6" s="12">
        <v>77518.21087999997</v>
      </c>
      <c r="E6" s="10" t="s">
        <v>126</v>
      </c>
      <c r="F6" s="4">
        <f>GETPIVOTDATA("Sum of Gross Revenue",$A$3,"Salesperson","N. Brown")/GETPIVOTDATA("Count of OrderID",$A$3,"Salesperson","N. Brown")</f>
        <v>16290.509833750004</v>
      </c>
      <c r="G6" s="17">
        <f>GETPIVOTDATA("Count of OrderID",$A$3,"Salesperson","C. Otieno")/12</f>
        <v>3.0833333333333335</v>
      </c>
      <c r="H6">
        <f>GETPIVOTDATA("Sum of Gross Profit",$A$3,"Salesperson","C. Otieno")/G6</f>
        <v>25141.041366486475</v>
      </c>
    </row>
    <row r="7" spans="1:11" x14ac:dyDescent="0.3">
      <c r="A7" s="10" t="s">
        <v>145</v>
      </c>
      <c r="B7" s="12">
        <v>562621.59604999982</v>
      </c>
      <c r="C7" s="12">
        <v>38</v>
      </c>
      <c r="D7" s="12">
        <v>136878.33605000004</v>
      </c>
      <c r="E7" s="10" t="s">
        <v>110</v>
      </c>
      <c r="F7" s="4">
        <f>GETPIVOTDATA("Sum of Gross Revenue",$A$3,"Salesperson","M. Rossi")/GETPIVOTDATA("Count of OrderID",$A$3,"Salesperson","M. Rossi")</f>
        <v>15999.650141874998</v>
      </c>
      <c r="G7" s="17">
        <f>GETPIVOTDATA("Count of OrderID",$A$3,"Salesperson","D. Smith")/12</f>
        <v>3.1666666666666665</v>
      </c>
      <c r="H7">
        <f>GETPIVOTDATA("Sum of Gross Profit",$A$3,"Salesperson","D. Smith")/G7</f>
        <v>43224.737700000012</v>
      </c>
    </row>
    <row r="8" spans="1:11" x14ac:dyDescent="0.3">
      <c r="A8" s="10" t="s">
        <v>63</v>
      </c>
      <c r="B8" s="12">
        <v>482522.34341000003</v>
      </c>
      <c r="C8" s="12">
        <v>34</v>
      </c>
      <c r="D8" s="12">
        <v>143657.24340999994</v>
      </c>
      <c r="E8" s="10" t="s">
        <v>49</v>
      </c>
      <c r="F8" s="4">
        <f>GETPIVOTDATA("Sum of Gross Revenue",$A$3,"Salesperson","L. Okafor")/GETPIVOTDATA("Count of OrderID",$A$3,"Salesperson","L. Okafor")</f>
        <v>15871.240650434778</v>
      </c>
      <c r="G8" s="17">
        <f>GETPIVOTDATA("Count of OrderID",$A$3,"Salesperson","E. Garcia")/12</f>
        <v>2.8333333333333335</v>
      </c>
      <c r="H8">
        <f>GETPIVOTDATA("Sum of Gross Profit",$A$3,"Salesperson","E. Garcia")/G8</f>
        <v>50702.556497647034</v>
      </c>
    </row>
    <row r="9" spans="1:11" x14ac:dyDescent="0.3">
      <c r="A9" s="10" t="s">
        <v>84</v>
      </c>
      <c r="B9" s="12">
        <v>1090799.73303</v>
      </c>
      <c r="C9" s="12">
        <v>51</v>
      </c>
      <c r="D9" s="12">
        <v>529895.57303000009</v>
      </c>
      <c r="E9" s="10" t="s">
        <v>95</v>
      </c>
      <c r="F9" s="4">
        <f>GETPIVOTDATA("Sum of Gross Revenue",$A$3,"Salesperson","K. Singh")/GETPIVOTDATA("Count of OrderID",$A$3,"Salesperson","K. Singh")</f>
        <v>20529.390231136364</v>
      </c>
      <c r="G9" s="17">
        <f>GETPIVOTDATA("Count of OrderID",$A$3,"Salesperson","F. Müller")/12</f>
        <v>4.25</v>
      </c>
      <c r="H9">
        <f>GETPIVOTDATA("Sum of Gross Profit",$A$3,"Salesperson","F. Müller")/G9</f>
        <v>124681.31130117649</v>
      </c>
    </row>
    <row r="10" spans="1:11" x14ac:dyDescent="0.3">
      <c r="A10" s="10" t="s">
        <v>41</v>
      </c>
      <c r="B10" s="12">
        <v>623151.51997999987</v>
      </c>
      <c r="C10" s="12">
        <v>30</v>
      </c>
      <c r="D10" s="12">
        <v>284939.67998000002</v>
      </c>
      <c r="E10" s="10" t="s">
        <v>29</v>
      </c>
      <c r="F10" s="4">
        <f>GETPIVOTDATA("Sum of Gross Revenue",$A$3,"Salesperson","J. Njeri")/GETPIVOTDATA("Count of OrderID",$A$3,"Salesperson","J. Njeri")</f>
        <v>15450.870679999998</v>
      </c>
      <c r="G10" s="17">
        <f>GETPIVOTDATA("Count of OrderID",$A$3,"Salesperson","G. Dubois")/12</f>
        <v>2.5</v>
      </c>
      <c r="H10">
        <f>GETPIVOTDATA("Sum of Gross Profit",$A$3,"Salesperson","G. Dubois")/G10</f>
        <v>113975.871992</v>
      </c>
    </row>
    <row r="11" spans="1:11" x14ac:dyDescent="0.3">
      <c r="A11" s="10" t="s">
        <v>92</v>
      </c>
      <c r="B11" s="12">
        <v>679594.41445000016</v>
      </c>
      <c r="C11" s="12">
        <v>45</v>
      </c>
      <c r="D11" s="12">
        <v>119046.92444999995</v>
      </c>
      <c r="E11" s="10" t="s">
        <v>34</v>
      </c>
      <c r="F11" s="4">
        <f>GETPIVOTDATA("Sum of Gross Revenue",$A$3,"Salesperson","I. Johnson")/GETPIVOTDATA("Count of OrderID",$A$3,"Salesperson","I. Johnson")</f>
        <v>15426.493877894738</v>
      </c>
      <c r="G11" s="17">
        <f>GETPIVOTDATA("Count of OrderID",$A$3,"Salesperson","H. Kim")/12</f>
        <v>3.75</v>
      </c>
      <c r="H11">
        <f>GETPIVOTDATA("Sum of Gross Profit",$A$3,"Salesperson","H. Kim")/G11</f>
        <v>31745.846519999985</v>
      </c>
    </row>
    <row r="12" spans="1:11" x14ac:dyDescent="0.3">
      <c r="A12" s="10" t="s">
        <v>34</v>
      </c>
      <c r="B12" s="12">
        <v>586206.76736000006</v>
      </c>
      <c r="C12" s="12">
        <v>38</v>
      </c>
      <c r="D12" s="12">
        <v>185062.78736000002</v>
      </c>
      <c r="E12" s="10" t="s">
        <v>92</v>
      </c>
      <c r="F12" s="4">
        <f>GETPIVOTDATA("Sum of Gross Revenue",$A$3,"Salesperson","H. Kim")/GETPIVOTDATA("Count of OrderID",$A$3,"Salesperson","H. Kim")</f>
        <v>15102.098098888893</v>
      </c>
      <c r="G12" s="17">
        <f>GETPIVOTDATA("Count of OrderID",$A$3,"Salesperson","I. Johnson")/12</f>
        <v>3.1666666666666665</v>
      </c>
      <c r="H12">
        <f>GETPIVOTDATA("Sum of Gross Profit",$A$3,"Salesperson","I. Johnson")/G12</f>
        <v>58440.880218947379</v>
      </c>
    </row>
    <row r="13" spans="1:11" x14ac:dyDescent="0.3">
      <c r="A13" s="10" t="s">
        <v>29</v>
      </c>
      <c r="B13" s="12">
        <v>772543.53399999987</v>
      </c>
      <c r="C13" s="12">
        <v>50</v>
      </c>
      <c r="D13" s="12">
        <v>243271.98399999997</v>
      </c>
      <c r="E13" s="10" t="s">
        <v>41</v>
      </c>
      <c r="F13" s="4">
        <f>GETPIVOTDATA("Sum of Gross Revenue",$A$3,"Salesperson","G. Dubois")/GETPIVOTDATA("Count of OrderID",$A$3,"Salesperson","G. Dubois")</f>
        <v>20771.717332666663</v>
      </c>
      <c r="G13" s="17">
        <f>GETPIVOTDATA("Count of OrderID",$A$3,"Salesperson","J. Njeri")/12</f>
        <v>4.166666666666667</v>
      </c>
      <c r="H13">
        <f>GETPIVOTDATA("Sum of Gross Profit",$A$3,"Salesperson","J. Njeri")/G13</f>
        <v>58385.276159999987</v>
      </c>
    </row>
    <row r="14" spans="1:11" x14ac:dyDescent="0.3">
      <c r="A14" s="10" t="s">
        <v>95</v>
      </c>
      <c r="B14" s="12">
        <v>903293.17016999994</v>
      </c>
      <c r="C14" s="12">
        <v>44</v>
      </c>
      <c r="D14" s="12">
        <v>298707.31016999995</v>
      </c>
      <c r="E14" s="10" t="s">
        <v>84</v>
      </c>
      <c r="F14" s="4">
        <f>GETPIVOTDATA("Sum of Gross Revenue",$A$3,"Salesperson","F. Müller")/GETPIVOTDATA("Count of OrderID",$A$3,"Salesperson","F. Müller")</f>
        <v>21388.230059411766</v>
      </c>
      <c r="G14" s="17">
        <f>GETPIVOTDATA("Count of OrderID",$A$3,"Salesperson","K. Singh")/12</f>
        <v>3.6666666666666665</v>
      </c>
      <c r="H14">
        <f>GETPIVOTDATA("Sum of Gross Profit",$A$3,"Salesperson","K. Singh")/G14</f>
        <v>81465.630046363629</v>
      </c>
    </row>
    <row r="15" spans="1:11" x14ac:dyDescent="0.3">
      <c r="A15" s="10" t="s">
        <v>49</v>
      </c>
      <c r="B15" s="12">
        <v>730077.06991999981</v>
      </c>
      <c r="C15" s="12">
        <v>46</v>
      </c>
      <c r="D15" s="12">
        <v>146755.09991999998</v>
      </c>
      <c r="E15" s="10" t="s">
        <v>63</v>
      </c>
      <c r="F15" s="4">
        <f>GETPIVOTDATA("Sum of Gross Revenue",$A$3,"Salesperson","E. Garcia")/GETPIVOTDATA("Count of OrderID",$A$3,"Salesperson","E. Garcia")</f>
        <v>14191.833629705883</v>
      </c>
      <c r="G15" s="17">
        <f>GETPIVOTDATA("Count of OrderID",$A$3,"Salesperson","L. Okafor")/12</f>
        <v>3.8333333333333335</v>
      </c>
      <c r="H15">
        <f>GETPIVOTDATA("Sum of Gross Profit",$A$3,"Salesperson","L. Okafor")/G15</f>
        <v>38283.93910956521</v>
      </c>
    </row>
    <row r="16" spans="1:11" x14ac:dyDescent="0.3">
      <c r="A16" s="10" t="s">
        <v>110</v>
      </c>
      <c r="B16" s="12">
        <v>767983.20680999989</v>
      </c>
      <c r="C16" s="12">
        <v>48</v>
      </c>
      <c r="D16" s="12">
        <v>104341.27681000004</v>
      </c>
      <c r="E16" s="10" t="s">
        <v>145</v>
      </c>
      <c r="F16" s="4">
        <f>GETPIVOTDATA("Sum of Gross Revenue",$A$3,"Salesperson","D. Smith")/GETPIVOTDATA("Count of OrderID",$A$3,"Salesperson","D. Smith")</f>
        <v>14805.831474999995</v>
      </c>
      <c r="G16" s="17">
        <f>GETPIVOTDATA("Count of OrderID",$A$3,"Salesperson","M. Rossi")/12</f>
        <v>4</v>
      </c>
      <c r="H16">
        <f>GETPIVOTDATA("Sum of Gross Profit",$A$3,"Salesperson","M. Rossi")/G16</f>
        <v>26085.31920250001</v>
      </c>
    </row>
    <row r="17" spans="1:11" x14ac:dyDescent="0.3">
      <c r="A17" s="10" t="s">
        <v>126</v>
      </c>
      <c r="B17" s="12">
        <v>521296.31468000013</v>
      </c>
      <c r="C17" s="12">
        <v>32</v>
      </c>
      <c r="D17" s="12">
        <v>243617.63468000002</v>
      </c>
      <c r="E17" s="10" t="s">
        <v>21</v>
      </c>
      <c r="F17" s="4">
        <f>GETPIVOTDATA("Sum of Gross Revenue",$A$3,"Salesperson","C. Otieno")/GETPIVOTDATA("Count of OrderID",$A$3,"Salesperson","C. Otieno")</f>
        <v>14511.758131891891</v>
      </c>
      <c r="G17" s="17">
        <f>GETPIVOTDATA("Count of OrderID",$A$3,"Salesperson","N. Brown")/12</f>
        <v>2.6666666666666665</v>
      </c>
      <c r="H17">
        <f>GETPIVOTDATA("Sum of Gross Profit",$A$3,"Salesperson","N. Brown")/G17</f>
        <v>91356.613005000007</v>
      </c>
    </row>
    <row r="18" spans="1:11" x14ac:dyDescent="0.3">
      <c r="A18" s="10" t="s">
        <v>1364</v>
      </c>
      <c r="B18" s="12">
        <v>192412.59918999998</v>
      </c>
      <c r="C18" s="12">
        <v>8</v>
      </c>
      <c r="D18" s="12">
        <v>43483.749190000002</v>
      </c>
      <c r="E18" s="10" t="s">
        <v>56</v>
      </c>
      <c r="F18" s="4">
        <f>GETPIVOTDATA("Sum of Gross Revenue",$A$3,"Salesperson","B. Chen")/GETPIVOTDATA("Count of OrderID",$A$3,"Salesperson","B. Chen")</f>
        <v>16235.266306874997</v>
      </c>
      <c r="G18" s="17">
        <f>GETPIVOTDATA("Count of OrderID",$A$3,"Salesperson","Not Provided")/12</f>
        <v>0.66666666666666663</v>
      </c>
      <c r="H18">
        <f>GETPIVOTDATA("Sum of Gross Profit",$A$3,"Salesperson","Not Provided")/G18</f>
        <v>65225.623785000003</v>
      </c>
    </row>
    <row r="19" spans="1:11" x14ac:dyDescent="0.3">
      <c r="A19" s="10" t="s">
        <v>68</v>
      </c>
      <c r="B19" s="12">
        <v>643379.82637999987</v>
      </c>
      <c r="C19" s="12">
        <v>37</v>
      </c>
      <c r="D19" s="12">
        <v>180874.36638000002</v>
      </c>
      <c r="E19" s="10" t="s">
        <v>75</v>
      </c>
      <c r="F19" s="4">
        <f>GETPIVOTDATA("Sum of Gross Revenue",$A$3,"Salesperson","A. Patel")/GETPIVOTDATA("Count of OrderID",$A$3,"Salesperson","A. Patel")</f>
        <v>13029.913478043474</v>
      </c>
      <c r="G19" s="17">
        <f>GETPIVOTDATA("Count of OrderID",$A$3,"Salesperson","O. Wang")/12</f>
        <v>3.0833333333333335</v>
      </c>
      <c r="H19">
        <f>GETPIVOTDATA("Sum of Gross Profit",$A$3,"Salesperson","O. Wang")/G19</f>
        <v>58661.956663783785</v>
      </c>
      <c r="K19" t="str">
        <f>IF(_xlfn.RANK.EQ(G4,G4:G19,0)&gt;=1, "Bottom 3", "" )</f>
        <v>Bottom 3</v>
      </c>
    </row>
    <row r="20" spans="1:11" x14ac:dyDescent="0.3">
      <c r="A20" s="10" t="s">
        <v>1377</v>
      </c>
      <c r="B20" s="12">
        <v>10471485.949030001</v>
      </c>
      <c r="C20" s="12">
        <v>632</v>
      </c>
      <c r="D20" s="12">
        <v>2943738.239029998</v>
      </c>
      <c r="E20" s="12"/>
      <c r="F20" s="4">
        <f>GETPIVOTDATA("Sum of Gross Revenue",$A$3)/GETPIVOTDATA("Count of OrderID",$A$3)</f>
        <v>16568.806881376582</v>
      </c>
      <c r="G20" s="17">
        <f>GETPIVOTDATA("Count of OrderID",$A$3)/12</f>
        <v>52.666666666666664</v>
      </c>
      <c r="H20">
        <f>GETPIVOTDATA("Sum of Gross Profit",$A$3)/G20</f>
        <v>55893.764032215156</v>
      </c>
    </row>
  </sheetData>
  <sortState xmlns:xlrd2="http://schemas.microsoft.com/office/spreadsheetml/2017/richdata2" ref="E4:F19">
    <sortCondition descending="1" ref="E3:E19"/>
  </sortState>
  <conditionalFormatting sqref="E4:E19">
    <cfRule type="colorScale" priority="6">
      <colorScale>
        <cfvo type="min"/>
        <cfvo type="percentile" val="50"/>
        <cfvo type="max"/>
        <color rgb="FFF8696B"/>
        <color rgb="FFFCFCFF"/>
        <color rgb="FF63BE7B"/>
      </colorScale>
    </cfRule>
  </conditionalFormatting>
  <conditionalFormatting sqref="F4:F19">
    <cfRule type="top10" dxfId="8" priority="2" bottom="1" rank="3"/>
    <cfRule type="top10" dxfId="7" priority="3" rank="3"/>
  </conditionalFormatting>
  <conditionalFormatting sqref="F4:F20">
    <cfRule type="top10" dxfId="6" priority="1" bottom="1" rank="3"/>
  </conditionalFormatting>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4289E-4A3E-4D76-BBBB-36B152B8E6B6}">
  <dimension ref="A1:W633"/>
  <sheetViews>
    <sheetView workbookViewId="0">
      <selection sqref="A1:W632"/>
    </sheetView>
  </sheetViews>
  <sheetFormatPr defaultRowHeight="14.4" x14ac:dyDescent="0.3"/>
  <cols>
    <col min="1" max="1" width="16.109375" bestFit="1" customWidth="1"/>
    <col min="2" max="2" width="10.33203125" style="7" bestFit="1" customWidth="1"/>
    <col min="3" max="3" width="12.44140625" bestFit="1" customWidth="1"/>
    <col min="4" max="6" width="14.44140625" style="4" customWidth="1"/>
    <col min="7" max="7" width="8.44140625" bestFit="1" customWidth="1"/>
    <col min="8" max="8" width="14" bestFit="1" customWidth="1"/>
    <col min="9" max="9" width="12.44140625" bestFit="1" customWidth="1"/>
    <col min="10" max="10" width="16.6640625" bestFit="1" customWidth="1"/>
    <col min="11" max="11" width="11.21875" bestFit="1" customWidth="1"/>
    <col min="12" max="12" width="11" bestFit="1" customWidth="1"/>
    <col min="13" max="13" width="15.33203125" bestFit="1" customWidth="1"/>
    <col min="14" max="14" width="10" bestFit="1" customWidth="1"/>
    <col min="15" max="15" width="8.21875" style="4" bestFit="1" customWidth="1"/>
    <col min="16" max="16" width="8.21875" style="4" customWidth="1"/>
    <col min="17" max="17" width="8.6640625" style="4" bestFit="1" customWidth="1"/>
    <col min="18" max="18" width="11" style="4" bestFit="1" customWidth="1"/>
    <col min="19" max="19" width="8.33203125" style="4" bestFit="1" customWidth="1"/>
    <col min="20" max="20" width="14.5546875" customWidth="1"/>
    <col min="21" max="21" width="13.77734375" customWidth="1"/>
    <col min="22" max="22" width="11.77734375" customWidth="1"/>
    <col min="23" max="23" width="16.33203125" customWidth="1"/>
  </cols>
  <sheetData>
    <row r="1" spans="1:23" x14ac:dyDescent="0.3">
      <c r="A1" s="39" t="s">
        <v>15</v>
      </c>
      <c r="B1" s="40">
        <v>45362</v>
      </c>
      <c r="C1" s="41">
        <v>45388</v>
      </c>
      <c r="D1" s="42">
        <f>DATEDIF(B1,C1, "MD")</f>
        <v>26</v>
      </c>
      <c r="E1" s="42" t="str">
        <f>TEXT(Data!B1,"MMM-YYYY")</f>
        <v>Mar-2024</v>
      </c>
      <c r="F1" s="42" t="str">
        <f>"Q"&amp;ROUNDUP(MONTH(B1)/3,0)&amp;"-"&amp;YEAR(B1)</f>
        <v>Q1-2024</v>
      </c>
      <c r="G1" s="37" t="s">
        <v>16</v>
      </c>
      <c r="H1" s="37" t="s">
        <v>17</v>
      </c>
      <c r="I1" s="37" t="s">
        <v>18</v>
      </c>
      <c r="J1" s="37" t="s">
        <v>19</v>
      </c>
      <c r="K1" s="37" t="s">
        <v>20</v>
      </c>
      <c r="L1" s="37" t="s">
        <v>21</v>
      </c>
      <c r="M1" s="37" t="s">
        <v>22</v>
      </c>
      <c r="N1" s="37" t="s">
        <v>23</v>
      </c>
      <c r="O1" s="42">
        <v>279.24</v>
      </c>
      <c r="P1" s="43" t="str">
        <f>IF(Q1&lt;50, "Low", IF(Q1&lt;200, "Medium", "High"))</f>
        <v>High</v>
      </c>
      <c r="Q1" s="42">
        <v>608.9</v>
      </c>
      <c r="R1" s="42">
        <v>0.112</v>
      </c>
      <c r="S1" s="42">
        <v>9</v>
      </c>
      <c r="T1" s="42">
        <f t="shared" ref="T1:T64" si="0">(Q27*S1)*(1-R1)</f>
        <v>1403.9546399999999</v>
      </c>
      <c r="U1" s="37">
        <f t="shared" ref="U1:U64" si="1">(O1*S1)</f>
        <v>2513.16</v>
      </c>
      <c r="V1" s="42">
        <f>(T1-U1)</f>
        <v>-1109.2053599999999</v>
      </c>
      <c r="W1" s="44">
        <f>IF(T1=0, 0, V1/T1)</f>
        <v>-0.79005783263766982</v>
      </c>
    </row>
    <row r="2" spans="1:23" x14ac:dyDescent="0.3">
      <c r="A2" s="45" t="s">
        <v>24</v>
      </c>
      <c r="B2" s="46">
        <v>45588</v>
      </c>
      <c r="C2" s="47">
        <v>45587</v>
      </c>
      <c r="D2" s="48">
        <f>DATEDIF(C2, B2, "MD")</f>
        <v>1</v>
      </c>
      <c r="E2" s="48" t="str">
        <f>TEXT(Data!B2,"MMM-YYYY")</f>
        <v>Oct-2024</v>
      </c>
      <c r="F2" s="48" t="str">
        <f t="shared" ref="F2:F65" si="2">"Q"&amp;ROUNDUP(MONTH(B2)/3,0)&amp;"-"&amp;YEAR(B2)</f>
        <v>Q4-2024</v>
      </c>
      <c r="G2" s="38" t="s">
        <v>16</v>
      </c>
      <c r="H2" s="38" t="s">
        <v>25</v>
      </c>
      <c r="I2" s="38" t="s">
        <v>26</v>
      </c>
      <c r="J2" s="38" t="s">
        <v>27</v>
      </c>
      <c r="K2" s="38" t="s">
        <v>28</v>
      </c>
      <c r="L2" s="38" t="s">
        <v>29</v>
      </c>
      <c r="M2" s="38" t="s">
        <v>30</v>
      </c>
      <c r="N2" s="38" t="s">
        <v>31</v>
      </c>
      <c r="O2" s="48">
        <v>1084.3900000000001</v>
      </c>
      <c r="P2" s="49" t="str">
        <f t="shared" ref="P2:P65" si="3">IF(Q2&lt;50, "Low", IF(Q2&lt;200, "Medium", "High"))</f>
        <v>High</v>
      </c>
      <c r="Q2" s="48">
        <v>759.33</v>
      </c>
      <c r="R2" s="48">
        <v>0.23699999999999999</v>
      </c>
      <c r="S2" s="48">
        <v>31</v>
      </c>
      <c r="T2" s="48">
        <f t="shared" si="0"/>
        <v>17934.41419</v>
      </c>
      <c r="U2" s="38">
        <f t="shared" si="1"/>
        <v>33616.090000000004</v>
      </c>
      <c r="V2" s="48">
        <f t="shared" ref="V2:V65" si="4">(T2-U2)</f>
        <v>-15681.675810000004</v>
      </c>
      <c r="W2" s="50">
        <f t="shared" ref="W2:W65" si="5">IF(T2=0, 0, V2/T2)</f>
        <v>-0.87439018882166253</v>
      </c>
    </row>
    <row r="3" spans="1:23" x14ac:dyDescent="0.3">
      <c r="A3" s="39" t="s">
        <v>32</v>
      </c>
      <c r="B3" s="40">
        <v>44985</v>
      </c>
      <c r="C3" s="41">
        <v>45010</v>
      </c>
      <c r="D3" s="42">
        <f t="shared" ref="D3:D66" si="6">DATEDIF(B3,C3, "MD")</f>
        <v>25</v>
      </c>
      <c r="E3" s="42" t="str">
        <f>TEXT(Data!B3,"MMM-YYYY")</f>
        <v>Feb-2023</v>
      </c>
      <c r="F3" s="42" t="str">
        <f t="shared" si="2"/>
        <v>Q1-2023</v>
      </c>
      <c r="G3" s="37" t="s">
        <v>16</v>
      </c>
      <c r="H3" s="37" t="s">
        <v>17</v>
      </c>
      <c r="I3" s="37" t="s">
        <v>33</v>
      </c>
      <c r="J3" s="37" t="s">
        <v>19</v>
      </c>
      <c r="K3" s="37" t="s">
        <v>20</v>
      </c>
      <c r="L3" s="37" t="s">
        <v>34</v>
      </c>
      <c r="M3" s="37" t="s">
        <v>35</v>
      </c>
      <c r="N3" s="37" t="s">
        <v>36</v>
      </c>
      <c r="O3" s="42">
        <v>1460.76</v>
      </c>
      <c r="P3" s="43" t="str">
        <f t="shared" si="3"/>
        <v>Low</v>
      </c>
      <c r="Q3" s="42">
        <v>-30.66</v>
      </c>
      <c r="R3" s="42">
        <v>0.13100000000000001</v>
      </c>
      <c r="S3" s="42">
        <v>12</v>
      </c>
      <c r="T3" s="42">
        <f t="shared" si="0"/>
        <v>4534.0944</v>
      </c>
      <c r="U3" s="37">
        <f t="shared" si="1"/>
        <v>17529.12</v>
      </c>
      <c r="V3" s="42">
        <f t="shared" si="4"/>
        <v>-12995.025599999999</v>
      </c>
      <c r="W3" s="44">
        <f t="shared" si="5"/>
        <v>-2.8660686023652264</v>
      </c>
    </row>
    <row r="4" spans="1:23" x14ac:dyDescent="0.3">
      <c r="A4" s="45" t="s">
        <v>37</v>
      </c>
      <c r="B4" s="46">
        <v>45745</v>
      </c>
      <c r="C4" s="47">
        <v>45749</v>
      </c>
      <c r="D4" s="48">
        <f t="shared" si="6"/>
        <v>4</v>
      </c>
      <c r="E4" s="48" t="str">
        <f>TEXT(Data!B4,"MMM-YYYY")</f>
        <v>Mar-2025</v>
      </c>
      <c r="F4" s="48" t="str">
        <f t="shared" si="2"/>
        <v>Q1-2025</v>
      </c>
      <c r="G4" s="38" t="s">
        <v>16</v>
      </c>
      <c r="H4" s="38" t="s">
        <v>25</v>
      </c>
      <c r="I4" s="38" t="s">
        <v>38</v>
      </c>
      <c r="J4" s="38" t="s">
        <v>39</v>
      </c>
      <c r="K4" s="38" t="s">
        <v>40</v>
      </c>
      <c r="L4" s="38" t="s">
        <v>41</v>
      </c>
      <c r="M4" s="38" t="s">
        <v>42</v>
      </c>
      <c r="N4" s="38" t="s">
        <v>43</v>
      </c>
      <c r="O4" s="48">
        <v>259.93</v>
      </c>
      <c r="P4" s="49" t="str">
        <f t="shared" si="3"/>
        <v>High</v>
      </c>
      <c r="Q4" s="48">
        <v>255.94</v>
      </c>
      <c r="R4" s="48">
        <v>7.1999999999999995E-2</v>
      </c>
      <c r="S4" s="48">
        <v>22</v>
      </c>
      <c r="T4" s="48">
        <f t="shared" si="0"/>
        <v>34016.730880000003</v>
      </c>
      <c r="U4" s="38">
        <f t="shared" si="1"/>
        <v>5718.46</v>
      </c>
      <c r="V4" s="48">
        <f t="shared" si="4"/>
        <v>28298.270880000004</v>
      </c>
      <c r="W4" s="50">
        <f t="shared" si="5"/>
        <v>0.83189272301994943</v>
      </c>
    </row>
    <row r="5" spans="1:23" x14ac:dyDescent="0.3">
      <c r="A5" s="39" t="s">
        <v>44</v>
      </c>
      <c r="B5" s="40">
        <v>45266</v>
      </c>
      <c r="C5" s="41">
        <v>45291</v>
      </c>
      <c r="D5" s="42">
        <f t="shared" si="6"/>
        <v>25</v>
      </c>
      <c r="E5" s="42" t="str">
        <f>TEXT(Data!B5,"MMM-YYYY")</f>
        <v>Dec-2023</v>
      </c>
      <c r="F5" s="42" t="str">
        <f t="shared" si="2"/>
        <v>Q4-2023</v>
      </c>
      <c r="G5" s="37" t="s">
        <v>45</v>
      </c>
      <c r="H5" s="37" t="s">
        <v>46</v>
      </c>
      <c r="I5" s="37" t="s">
        <v>47</v>
      </c>
      <c r="J5" s="37" t="s">
        <v>48</v>
      </c>
      <c r="K5" s="37" t="s">
        <v>20</v>
      </c>
      <c r="L5" s="37" t="s">
        <v>49</v>
      </c>
      <c r="M5" s="37" t="s">
        <v>30</v>
      </c>
      <c r="N5" s="37" t="s">
        <v>50</v>
      </c>
      <c r="O5" s="42">
        <v>663.03</v>
      </c>
      <c r="P5" s="43" t="str">
        <f t="shared" si="3"/>
        <v>High</v>
      </c>
      <c r="Q5" s="42">
        <v>813.51</v>
      </c>
      <c r="R5" s="42">
        <v>0.10199999999999999</v>
      </c>
      <c r="S5" s="42">
        <v>15</v>
      </c>
      <c r="T5" s="42">
        <f t="shared" si="0"/>
        <v>8510.0765999999985</v>
      </c>
      <c r="U5" s="37">
        <f t="shared" si="1"/>
        <v>9945.4499999999989</v>
      </c>
      <c r="V5" s="42">
        <f t="shared" si="4"/>
        <v>-1435.3734000000004</v>
      </c>
      <c r="W5" s="44">
        <f t="shared" si="5"/>
        <v>-0.16866750647109341</v>
      </c>
    </row>
    <row r="6" spans="1:23" x14ac:dyDescent="0.3">
      <c r="A6" s="45" t="s">
        <v>51</v>
      </c>
      <c r="B6" s="46">
        <v>44928</v>
      </c>
      <c r="C6" s="47">
        <v>44931</v>
      </c>
      <c r="D6" s="48">
        <f t="shared" si="6"/>
        <v>3</v>
      </c>
      <c r="E6" s="48" t="str">
        <f>TEXT(Data!B6,"MMM-YYYY")</f>
        <v>Jan-2023</v>
      </c>
      <c r="F6" s="48" t="str">
        <f t="shared" si="2"/>
        <v>Q1-2023</v>
      </c>
      <c r="G6" s="38" t="s">
        <v>52</v>
      </c>
      <c r="H6" s="38" t="s">
        <v>53</v>
      </c>
      <c r="I6" s="38" t="s">
        <v>54</v>
      </c>
      <c r="J6" s="38" t="s">
        <v>19</v>
      </c>
      <c r="K6" s="38" t="s">
        <v>55</v>
      </c>
      <c r="L6" s="38" t="s">
        <v>56</v>
      </c>
      <c r="M6" s="38" t="s">
        <v>57</v>
      </c>
      <c r="N6" s="38" t="s">
        <v>58</v>
      </c>
      <c r="O6" s="48">
        <v>315.87</v>
      </c>
      <c r="P6" s="49" t="str">
        <f t="shared" si="3"/>
        <v>High</v>
      </c>
      <c r="Q6" s="48">
        <v>591.67999999999995</v>
      </c>
      <c r="R6" s="48">
        <v>0</v>
      </c>
      <c r="S6" s="48">
        <v>7</v>
      </c>
      <c r="T6" s="48">
        <f t="shared" si="0"/>
        <v>12558.49</v>
      </c>
      <c r="U6" s="38">
        <f t="shared" si="1"/>
        <v>2211.09</v>
      </c>
      <c r="V6" s="48">
        <f t="shared" si="4"/>
        <v>10347.4</v>
      </c>
      <c r="W6" s="50">
        <f t="shared" si="5"/>
        <v>0.82393663569425946</v>
      </c>
    </row>
    <row r="7" spans="1:23" x14ac:dyDescent="0.3">
      <c r="A7" s="39" t="s">
        <v>59</v>
      </c>
      <c r="B7" s="40">
        <v>45653</v>
      </c>
      <c r="C7" s="41">
        <v>45671</v>
      </c>
      <c r="D7" s="42">
        <f t="shared" si="6"/>
        <v>18</v>
      </c>
      <c r="E7" s="42" t="str">
        <f>TEXT(Data!B7,"MMM-YYYY")</f>
        <v>Dec-2024</v>
      </c>
      <c r="F7" s="42" t="str">
        <f t="shared" si="2"/>
        <v>Q4-2024</v>
      </c>
      <c r="G7" s="37" t="s">
        <v>45</v>
      </c>
      <c r="H7" s="37" t="s">
        <v>60</v>
      </c>
      <c r="I7" s="37" t="s">
        <v>61</v>
      </c>
      <c r="J7" s="37" t="s">
        <v>62</v>
      </c>
      <c r="K7" s="37" t="s">
        <v>40</v>
      </c>
      <c r="L7" s="37" t="s">
        <v>63</v>
      </c>
      <c r="M7" s="37" t="s">
        <v>64</v>
      </c>
      <c r="N7" s="37" t="s">
        <v>65</v>
      </c>
      <c r="O7" s="42">
        <v>586.07000000000005</v>
      </c>
      <c r="P7" s="43" t="str">
        <f t="shared" si="3"/>
        <v>High</v>
      </c>
      <c r="Q7" s="42">
        <v>845.97</v>
      </c>
      <c r="R7" s="42">
        <v>0.14699999999999999</v>
      </c>
      <c r="S7" s="42">
        <v>4</v>
      </c>
      <c r="T7" s="42">
        <f t="shared" si="0"/>
        <v>8983.864239999999</v>
      </c>
      <c r="U7" s="37">
        <f t="shared" si="1"/>
        <v>2344.2800000000002</v>
      </c>
      <c r="V7" s="42">
        <f t="shared" si="4"/>
        <v>6639.5842399999983</v>
      </c>
      <c r="W7" s="44">
        <f t="shared" si="5"/>
        <v>0.73905660889639613</v>
      </c>
    </row>
    <row r="8" spans="1:23" x14ac:dyDescent="0.3">
      <c r="A8" s="45" t="s">
        <v>66</v>
      </c>
      <c r="B8" s="46">
        <v>44941</v>
      </c>
      <c r="C8" s="47">
        <v>44939</v>
      </c>
      <c r="D8" s="48">
        <f>DATEDIF(C8,B8, "MD")</f>
        <v>2</v>
      </c>
      <c r="E8" s="48" t="str">
        <f>TEXT(Data!B8,"MMM-YYYY")</f>
        <v>Jan-2023</v>
      </c>
      <c r="F8" s="48" t="str">
        <f t="shared" si="2"/>
        <v>Q1-2023</v>
      </c>
      <c r="G8" s="38" t="s">
        <v>16</v>
      </c>
      <c r="H8" s="38" t="s">
        <v>25</v>
      </c>
      <c r="I8" s="38" t="s">
        <v>67</v>
      </c>
      <c r="J8" s="38" t="s">
        <v>27</v>
      </c>
      <c r="K8" s="38" t="s">
        <v>28</v>
      </c>
      <c r="L8" s="38" t="s">
        <v>68</v>
      </c>
      <c r="M8" s="38" t="s">
        <v>30</v>
      </c>
      <c r="N8" s="38" t="s">
        <v>69</v>
      </c>
      <c r="O8" s="48">
        <v>28.38</v>
      </c>
      <c r="P8" s="49" t="str">
        <f t="shared" si="3"/>
        <v>Low</v>
      </c>
      <c r="Q8" s="48">
        <v>47.22</v>
      </c>
      <c r="R8" s="48">
        <v>0.19400000000000001</v>
      </c>
      <c r="S8" s="48">
        <v>18</v>
      </c>
      <c r="T8" s="48">
        <f t="shared" si="0"/>
        <v>19177.399799999999</v>
      </c>
      <c r="U8" s="38">
        <f t="shared" si="1"/>
        <v>510.84</v>
      </c>
      <c r="V8" s="48">
        <f t="shared" si="4"/>
        <v>18666.559799999999</v>
      </c>
      <c r="W8" s="50">
        <f t="shared" si="5"/>
        <v>0.97336239504168864</v>
      </c>
    </row>
    <row r="9" spans="1:23" x14ac:dyDescent="0.3">
      <c r="A9" s="39" t="s">
        <v>70</v>
      </c>
      <c r="B9" s="40">
        <v>45416</v>
      </c>
      <c r="C9" s="41">
        <v>45441</v>
      </c>
      <c r="D9" s="42">
        <f t="shared" si="6"/>
        <v>25</v>
      </c>
      <c r="E9" s="42" t="str">
        <f>TEXT(Data!B9,"MMM-YYYY")</f>
        <v>May-2024</v>
      </c>
      <c r="F9" s="42" t="str">
        <f t="shared" si="2"/>
        <v>Q2-2024</v>
      </c>
      <c r="G9" s="37" t="s">
        <v>16</v>
      </c>
      <c r="H9" s="37" t="s">
        <v>25</v>
      </c>
      <c r="I9" s="37" t="s">
        <v>67</v>
      </c>
      <c r="J9" s="37" t="s">
        <v>39</v>
      </c>
      <c r="K9" s="37" t="s">
        <v>40</v>
      </c>
      <c r="L9" s="37" t="s">
        <v>68</v>
      </c>
      <c r="M9" s="37" t="s">
        <v>64</v>
      </c>
      <c r="N9" s="37" t="s">
        <v>71</v>
      </c>
      <c r="O9" s="42">
        <v>1295.3399999999999</v>
      </c>
      <c r="P9" s="43" t="str">
        <f t="shared" si="3"/>
        <v>High</v>
      </c>
      <c r="Q9" s="42">
        <v>2530.81</v>
      </c>
      <c r="R9" s="42">
        <v>3.1E-2</v>
      </c>
      <c r="S9" s="42">
        <v>6</v>
      </c>
      <c r="T9" s="42">
        <f t="shared" si="0"/>
        <v>17656.36218</v>
      </c>
      <c r="U9" s="37">
        <f t="shared" si="1"/>
        <v>7772.0399999999991</v>
      </c>
      <c r="V9" s="42">
        <f t="shared" si="4"/>
        <v>9884.322180000001</v>
      </c>
      <c r="W9" s="44">
        <f t="shared" si="5"/>
        <v>0.55981646044825306</v>
      </c>
    </row>
    <row r="10" spans="1:23" x14ac:dyDescent="0.3">
      <c r="A10" s="45" t="s">
        <v>72</v>
      </c>
      <c r="B10" s="46">
        <v>45798</v>
      </c>
      <c r="C10" s="47">
        <v>45817</v>
      </c>
      <c r="D10" s="48">
        <f t="shared" si="6"/>
        <v>19</v>
      </c>
      <c r="E10" s="48" t="str">
        <f>TEXT(Data!B10,"MMM-YYYY")</f>
        <v>May-2025</v>
      </c>
      <c r="F10" s="48" t="str">
        <f t="shared" si="2"/>
        <v>Q2-2025</v>
      </c>
      <c r="G10" s="38" t="s">
        <v>52</v>
      </c>
      <c r="H10" s="38" t="s">
        <v>73</v>
      </c>
      <c r="I10" s="38" t="s">
        <v>74</v>
      </c>
      <c r="J10" s="38" t="s">
        <v>39</v>
      </c>
      <c r="K10" s="38" t="s">
        <v>28</v>
      </c>
      <c r="L10" s="38" t="s">
        <v>75</v>
      </c>
      <c r="M10" s="38" t="s">
        <v>22</v>
      </c>
      <c r="N10" s="38" t="s">
        <v>76</v>
      </c>
      <c r="O10" s="48">
        <v>1331.38</v>
      </c>
      <c r="P10" s="49" t="str">
        <f t="shared" si="3"/>
        <v>High</v>
      </c>
      <c r="Q10" s="48">
        <v>2309.56</v>
      </c>
      <c r="R10" s="48">
        <v>0.14899999999999999</v>
      </c>
      <c r="S10" s="48">
        <v>31</v>
      </c>
      <c r="T10" s="48">
        <f t="shared" si="0"/>
        <v>5259.5799699999998</v>
      </c>
      <c r="U10" s="38">
        <f t="shared" si="1"/>
        <v>41272.780000000006</v>
      </c>
      <c r="V10" s="48">
        <f t="shared" si="4"/>
        <v>-36013.200030000007</v>
      </c>
      <c r="W10" s="50">
        <f t="shared" si="5"/>
        <v>-6.8471627459635354</v>
      </c>
    </row>
    <row r="11" spans="1:23" x14ac:dyDescent="0.3">
      <c r="A11" s="39" t="s">
        <v>77</v>
      </c>
      <c r="B11" s="40">
        <v>45319</v>
      </c>
      <c r="C11" s="41">
        <v>45331</v>
      </c>
      <c r="D11" s="42">
        <f t="shared" si="6"/>
        <v>12</v>
      </c>
      <c r="E11" s="42" t="str">
        <f>TEXT(Data!B11,"MMM-YYYY")</f>
        <v>Jan-2024</v>
      </c>
      <c r="F11" s="42" t="str">
        <f t="shared" si="2"/>
        <v>Q1-2024</v>
      </c>
      <c r="G11" s="37" t="s">
        <v>78</v>
      </c>
      <c r="H11" s="37" t="s">
        <v>79</v>
      </c>
      <c r="I11" s="37" t="s">
        <v>80</v>
      </c>
      <c r="J11" s="37" t="s">
        <v>19</v>
      </c>
      <c r="K11" s="37" t="s">
        <v>28</v>
      </c>
      <c r="L11" s="37" t="s">
        <v>41</v>
      </c>
      <c r="M11" s="37" t="s">
        <v>81</v>
      </c>
      <c r="N11" s="37" t="s">
        <v>82</v>
      </c>
      <c r="O11" s="42">
        <v>644.16999999999996</v>
      </c>
      <c r="P11" s="43" t="str">
        <f t="shared" si="3"/>
        <v>High</v>
      </c>
      <c r="Q11" s="42">
        <v>700.12</v>
      </c>
      <c r="R11" s="42">
        <v>6.0000000000000001E-3</v>
      </c>
      <c r="S11" s="42">
        <v>23</v>
      </c>
      <c r="T11" s="42">
        <f t="shared" si="0"/>
        <v>21204.733619999999</v>
      </c>
      <c r="U11" s="37">
        <f t="shared" si="1"/>
        <v>14815.91</v>
      </c>
      <c r="V11" s="42">
        <f t="shared" si="4"/>
        <v>6388.8236199999992</v>
      </c>
      <c r="W11" s="44">
        <f t="shared" si="5"/>
        <v>0.30129233097152197</v>
      </c>
    </row>
    <row r="12" spans="1:23" x14ac:dyDescent="0.3">
      <c r="A12" s="45" t="s">
        <v>83</v>
      </c>
      <c r="B12" s="46">
        <v>45660</v>
      </c>
      <c r="C12" s="47">
        <v>45680</v>
      </c>
      <c r="D12" s="48">
        <f t="shared" si="6"/>
        <v>20</v>
      </c>
      <c r="E12" s="48" t="str">
        <f>TEXT(Data!B12,"MMM-YYYY")</f>
        <v>Jan-2025</v>
      </c>
      <c r="F12" s="48" t="str">
        <f t="shared" si="2"/>
        <v>Q1-2025</v>
      </c>
      <c r="G12" s="38" t="s">
        <v>45</v>
      </c>
      <c r="H12" s="38" t="s">
        <v>46</v>
      </c>
      <c r="I12" s="38" t="s">
        <v>47</v>
      </c>
      <c r="J12" s="38" t="s">
        <v>19</v>
      </c>
      <c r="K12" s="38" t="s">
        <v>55</v>
      </c>
      <c r="L12" s="38" t="s">
        <v>84</v>
      </c>
      <c r="M12" s="38" t="s">
        <v>42</v>
      </c>
      <c r="N12" s="38" t="s">
        <v>85</v>
      </c>
      <c r="O12" s="48">
        <v>908.6</v>
      </c>
      <c r="P12" s="49" t="str">
        <f t="shared" si="3"/>
        <v>High</v>
      </c>
      <c r="Q12" s="48">
        <v>691.37</v>
      </c>
      <c r="R12" s="48">
        <v>0.25</v>
      </c>
      <c r="S12" s="48">
        <v>20</v>
      </c>
      <c r="T12" s="48">
        <f t="shared" si="0"/>
        <v>26031.15</v>
      </c>
      <c r="U12" s="38">
        <f t="shared" si="1"/>
        <v>18172</v>
      </c>
      <c r="V12" s="48">
        <f t="shared" si="4"/>
        <v>7859.1500000000015</v>
      </c>
      <c r="W12" s="50">
        <f t="shared" si="5"/>
        <v>0.30191328466087747</v>
      </c>
    </row>
    <row r="13" spans="1:23" x14ac:dyDescent="0.3">
      <c r="A13" s="39" t="s">
        <v>86</v>
      </c>
      <c r="B13" s="40">
        <v>45722</v>
      </c>
      <c r="C13" s="41">
        <v>45747</v>
      </c>
      <c r="D13" s="42">
        <f t="shared" si="6"/>
        <v>25</v>
      </c>
      <c r="E13" s="42" t="str">
        <f>TEXT(Data!B13,"MMM-YYYY")</f>
        <v>Mar-2025</v>
      </c>
      <c r="F13" s="42" t="str">
        <f t="shared" si="2"/>
        <v>Q1-2025</v>
      </c>
      <c r="G13" s="37" t="s">
        <v>52</v>
      </c>
      <c r="H13" s="37" t="s">
        <v>73</v>
      </c>
      <c r="I13" s="37" t="s">
        <v>87</v>
      </c>
      <c r="J13" s="37" t="s">
        <v>39</v>
      </c>
      <c r="K13" s="37" t="s">
        <v>28</v>
      </c>
      <c r="L13" s="37" t="s">
        <v>29</v>
      </c>
      <c r="M13" s="37" t="s">
        <v>22</v>
      </c>
      <c r="N13" s="37" t="s">
        <v>88</v>
      </c>
      <c r="O13" s="42">
        <v>331.57</v>
      </c>
      <c r="P13" s="43" t="str">
        <f t="shared" si="3"/>
        <v>High</v>
      </c>
      <c r="Q13" s="42">
        <v>548.4</v>
      </c>
      <c r="R13" s="42">
        <v>9.4E-2</v>
      </c>
      <c r="S13" s="42">
        <v>10</v>
      </c>
      <c r="T13" s="42">
        <f t="shared" si="0"/>
        <v>12644.498400000002</v>
      </c>
      <c r="U13" s="37">
        <f t="shared" si="1"/>
        <v>3315.7</v>
      </c>
      <c r="V13" s="42">
        <f t="shared" si="4"/>
        <v>9328.7984000000033</v>
      </c>
      <c r="W13" s="44">
        <f t="shared" si="5"/>
        <v>0.73777528415045723</v>
      </c>
    </row>
    <row r="14" spans="1:23" x14ac:dyDescent="0.3">
      <c r="A14" s="45" t="s">
        <v>89</v>
      </c>
      <c r="B14" s="46">
        <v>45311</v>
      </c>
      <c r="C14" s="47">
        <v>45335</v>
      </c>
      <c r="D14" s="48">
        <f t="shared" si="6"/>
        <v>24</v>
      </c>
      <c r="E14" s="48" t="str">
        <f>TEXT(Data!B14,"MMM-YYYY")</f>
        <v>Jan-2024</v>
      </c>
      <c r="F14" s="48" t="str">
        <f t="shared" si="2"/>
        <v>Q1-2024</v>
      </c>
      <c r="G14" s="38" t="s">
        <v>78</v>
      </c>
      <c r="H14" s="38" t="s">
        <v>90</v>
      </c>
      <c r="I14" s="38" t="s">
        <v>91</v>
      </c>
      <c r="J14" s="38" t="s">
        <v>19</v>
      </c>
      <c r="K14" s="38" t="s">
        <v>20</v>
      </c>
      <c r="L14" s="38" t="s">
        <v>92</v>
      </c>
      <c r="M14" s="38" t="s">
        <v>30</v>
      </c>
      <c r="N14" s="38" t="s">
        <v>93</v>
      </c>
      <c r="O14" s="48">
        <v>643.53</v>
      </c>
      <c r="P14" s="49" t="str">
        <f t="shared" si="3"/>
        <v>High</v>
      </c>
      <c r="Q14" s="48">
        <v>1439.01</v>
      </c>
      <c r="R14" s="48">
        <v>0</v>
      </c>
      <c r="S14" s="48">
        <v>15</v>
      </c>
      <c r="T14" s="48">
        <f t="shared" si="0"/>
        <v>6816.3</v>
      </c>
      <c r="U14" s="38">
        <f t="shared" si="1"/>
        <v>9652.9499999999989</v>
      </c>
      <c r="V14" s="48">
        <f t="shared" si="4"/>
        <v>-2836.6499999999987</v>
      </c>
      <c r="W14" s="50">
        <f t="shared" si="5"/>
        <v>-0.4161568592931647</v>
      </c>
    </row>
    <row r="15" spans="1:23" x14ac:dyDescent="0.3">
      <c r="A15" s="39" t="s">
        <v>94</v>
      </c>
      <c r="B15" s="40">
        <v>45901</v>
      </c>
      <c r="C15" s="41">
        <v>45930</v>
      </c>
      <c r="D15" s="42">
        <f t="shared" si="6"/>
        <v>29</v>
      </c>
      <c r="E15" s="42" t="str">
        <f>TEXT(Data!B15,"MMM-YYYY")</f>
        <v>Sept-2025</v>
      </c>
      <c r="F15" s="42" t="str">
        <f t="shared" si="2"/>
        <v>Q3-2025</v>
      </c>
      <c r="G15" s="37" t="s">
        <v>52</v>
      </c>
      <c r="H15" s="37" t="s">
        <v>73</v>
      </c>
      <c r="I15" s="37" t="s">
        <v>87</v>
      </c>
      <c r="J15" s="37" t="s">
        <v>27</v>
      </c>
      <c r="K15" s="37" t="s">
        <v>20</v>
      </c>
      <c r="L15" s="37" t="s">
        <v>95</v>
      </c>
      <c r="M15" s="37" t="s">
        <v>81</v>
      </c>
      <c r="N15" s="37" t="s">
        <v>96</v>
      </c>
      <c r="O15" s="42">
        <v>780.59</v>
      </c>
      <c r="P15" s="43" t="str">
        <f t="shared" si="3"/>
        <v>High</v>
      </c>
      <c r="Q15" s="42">
        <v>631.57000000000005</v>
      </c>
      <c r="R15" s="42">
        <v>0</v>
      </c>
      <c r="S15" s="42">
        <v>12</v>
      </c>
      <c r="T15" s="42">
        <f t="shared" si="0"/>
        <v>18971.64</v>
      </c>
      <c r="U15" s="37">
        <f t="shared" si="1"/>
        <v>9367.08</v>
      </c>
      <c r="V15" s="42">
        <f t="shared" si="4"/>
        <v>9604.56</v>
      </c>
      <c r="W15" s="44">
        <f t="shared" si="5"/>
        <v>0.50625881579030596</v>
      </c>
    </row>
    <row r="16" spans="1:23" x14ac:dyDescent="0.3">
      <c r="A16" s="45" t="s">
        <v>97</v>
      </c>
      <c r="B16" s="46">
        <v>45039</v>
      </c>
      <c r="C16" s="47">
        <v>45038</v>
      </c>
      <c r="D16" s="48">
        <f>DATEDIF(C16, B16, "MD")</f>
        <v>1</v>
      </c>
      <c r="E16" s="48" t="str">
        <f>TEXT(Data!B16,"MMM-YYYY")</f>
        <v>Apr-2023</v>
      </c>
      <c r="F16" s="48" t="str">
        <f t="shared" si="2"/>
        <v>Q2-2023</v>
      </c>
      <c r="G16" s="38" t="s">
        <v>16</v>
      </c>
      <c r="H16" s="38" t="s">
        <v>17</v>
      </c>
      <c r="I16" s="38" t="s">
        <v>33</v>
      </c>
      <c r="J16" s="38" t="s">
        <v>62</v>
      </c>
      <c r="K16" s="38" t="s">
        <v>98</v>
      </c>
      <c r="L16" s="38" t="s">
        <v>63</v>
      </c>
      <c r="M16" s="38" t="s">
        <v>57</v>
      </c>
      <c r="N16" s="38" t="s">
        <v>99</v>
      </c>
      <c r="O16" s="48">
        <v>756.51</v>
      </c>
      <c r="P16" s="49" t="str">
        <f t="shared" si="3"/>
        <v>High</v>
      </c>
      <c r="Q16" s="48">
        <v>850.8</v>
      </c>
      <c r="R16" s="48">
        <v>7.3999999999999996E-2</v>
      </c>
      <c r="S16" s="48">
        <v>9</v>
      </c>
      <c r="T16" s="48">
        <f t="shared" si="0"/>
        <v>14666.089860000002</v>
      </c>
      <c r="U16" s="38">
        <f t="shared" si="1"/>
        <v>6808.59</v>
      </c>
      <c r="V16" s="48">
        <f t="shared" si="4"/>
        <v>7857.4998600000017</v>
      </c>
      <c r="W16" s="50">
        <f t="shared" si="5"/>
        <v>0.53575969702943038</v>
      </c>
    </row>
    <row r="17" spans="1:23" x14ac:dyDescent="0.3">
      <c r="A17" s="39" t="s">
        <v>100</v>
      </c>
      <c r="B17" s="40">
        <v>45636</v>
      </c>
      <c r="C17" s="41">
        <v>45665</v>
      </c>
      <c r="D17" s="42">
        <f t="shared" si="6"/>
        <v>29</v>
      </c>
      <c r="E17" s="42" t="str">
        <f>TEXT(Data!B17,"MMM-YYYY")</f>
        <v>Dec-2024</v>
      </c>
      <c r="F17" s="42" t="str">
        <f t="shared" si="2"/>
        <v>Q4-2024</v>
      </c>
      <c r="G17" s="37" t="s">
        <v>78</v>
      </c>
      <c r="H17" s="37" t="s">
        <v>90</v>
      </c>
      <c r="I17" s="37" t="s">
        <v>91</v>
      </c>
      <c r="J17" s="37" t="s">
        <v>62</v>
      </c>
      <c r="K17" s="37" t="s">
        <v>20</v>
      </c>
      <c r="L17" s="37" t="s">
        <v>95</v>
      </c>
      <c r="M17" s="37" t="s">
        <v>30</v>
      </c>
      <c r="N17" s="37" t="s">
        <v>101</v>
      </c>
      <c r="O17" s="42">
        <v>891.08</v>
      </c>
      <c r="P17" s="43" t="str">
        <f t="shared" si="3"/>
        <v>High</v>
      </c>
      <c r="Q17" s="42">
        <v>1040.0999999999999</v>
      </c>
      <c r="R17" s="42">
        <v>0.109</v>
      </c>
      <c r="S17" s="42">
        <v>28</v>
      </c>
      <c r="T17" s="42">
        <f t="shared" si="0"/>
        <v>79945.865999999995</v>
      </c>
      <c r="U17" s="37">
        <f t="shared" si="1"/>
        <v>24950.240000000002</v>
      </c>
      <c r="V17" s="42">
        <f t="shared" si="4"/>
        <v>54995.625999999989</v>
      </c>
      <c r="W17" s="44">
        <f t="shared" si="5"/>
        <v>0.68791081705212864</v>
      </c>
    </row>
    <row r="18" spans="1:23" x14ac:dyDescent="0.3">
      <c r="A18" s="45" t="s">
        <v>102</v>
      </c>
      <c r="B18" s="46">
        <v>45908</v>
      </c>
      <c r="C18" s="47">
        <v>45916</v>
      </c>
      <c r="D18" s="48">
        <f t="shared" si="6"/>
        <v>8</v>
      </c>
      <c r="E18" s="48" t="str">
        <f>TEXT(Data!B18,"MMM-YYYY")</f>
        <v>Sept-2025</v>
      </c>
      <c r="F18" s="48" t="str">
        <f t="shared" si="2"/>
        <v>Q3-2025</v>
      </c>
      <c r="G18" s="38" t="s">
        <v>45</v>
      </c>
      <c r="H18" s="38" t="s">
        <v>46</v>
      </c>
      <c r="I18" s="38" t="s">
        <v>47</v>
      </c>
      <c r="J18" s="38" t="s">
        <v>19</v>
      </c>
      <c r="K18" s="38" t="s">
        <v>55</v>
      </c>
      <c r="L18" s="38" t="s">
        <v>21</v>
      </c>
      <c r="M18" s="38" t="s">
        <v>42</v>
      </c>
      <c r="N18" s="38" t="s">
        <v>103</v>
      </c>
      <c r="O18" s="48">
        <v>1225.57</v>
      </c>
      <c r="P18" s="49" t="str">
        <f t="shared" si="3"/>
        <v>High</v>
      </c>
      <c r="Q18" s="48">
        <v>2705.57</v>
      </c>
      <c r="R18" s="48">
        <v>0.183</v>
      </c>
      <c r="S18" s="48">
        <v>16</v>
      </c>
      <c r="T18" s="48">
        <f t="shared" si="0"/>
        <v>14842.34096</v>
      </c>
      <c r="U18" s="38">
        <f t="shared" si="1"/>
        <v>19609.12</v>
      </c>
      <c r="V18" s="48">
        <f t="shared" si="4"/>
        <v>-4766.7790399999994</v>
      </c>
      <c r="W18" s="50">
        <f t="shared" si="5"/>
        <v>-0.32116086356232038</v>
      </c>
    </row>
    <row r="19" spans="1:23" x14ac:dyDescent="0.3">
      <c r="A19" s="39" t="s">
        <v>104</v>
      </c>
      <c r="B19" s="40">
        <v>45858</v>
      </c>
      <c r="C19" s="41">
        <v>45874</v>
      </c>
      <c r="D19" s="42">
        <f t="shared" si="6"/>
        <v>16</v>
      </c>
      <c r="E19" s="42" t="str">
        <f>TEXT(Data!B19,"MMM-YYYY")</f>
        <v>Jul-2025</v>
      </c>
      <c r="F19" s="42" t="str">
        <f t="shared" si="2"/>
        <v>Q3-2025</v>
      </c>
      <c r="G19" s="37" t="s">
        <v>52</v>
      </c>
      <c r="H19" s="37" t="s">
        <v>73</v>
      </c>
      <c r="I19" s="37" t="s">
        <v>87</v>
      </c>
      <c r="J19" s="37" t="s">
        <v>105</v>
      </c>
      <c r="K19" s="37" t="s">
        <v>40</v>
      </c>
      <c r="L19" s="37" t="s">
        <v>41</v>
      </c>
      <c r="M19" s="37" t="s">
        <v>81</v>
      </c>
      <c r="N19" s="37" t="s">
        <v>106</v>
      </c>
      <c r="O19" s="42">
        <v>1068.17</v>
      </c>
      <c r="P19" s="43" t="str">
        <f t="shared" si="3"/>
        <v>High</v>
      </c>
      <c r="Q19" s="42">
        <v>2375.37</v>
      </c>
      <c r="R19" s="42">
        <v>0.109</v>
      </c>
      <c r="S19" s="42">
        <v>18</v>
      </c>
      <c r="T19" s="42">
        <f t="shared" si="0"/>
        <v>15979.62168</v>
      </c>
      <c r="U19" s="37">
        <f t="shared" si="1"/>
        <v>19227.060000000001</v>
      </c>
      <c r="V19" s="42">
        <f t="shared" si="4"/>
        <v>-3247.4383200000011</v>
      </c>
      <c r="W19" s="44">
        <f t="shared" si="5"/>
        <v>-0.20322372988745258</v>
      </c>
    </row>
    <row r="20" spans="1:23" x14ac:dyDescent="0.3">
      <c r="A20" s="45" t="s">
        <v>107</v>
      </c>
      <c r="B20" s="46">
        <v>45798</v>
      </c>
      <c r="C20" s="47">
        <v>45796</v>
      </c>
      <c r="D20" s="48">
        <f>DATEDIF(C20,B20, "MD")</f>
        <v>2</v>
      </c>
      <c r="E20" s="48" t="str">
        <f>TEXT(Data!B20,"MMM-YYYY")</f>
        <v>May-2025</v>
      </c>
      <c r="F20" s="48" t="str">
        <f t="shared" si="2"/>
        <v>Q2-2025</v>
      </c>
      <c r="G20" s="38" t="s">
        <v>78</v>
      </c>
      <c r="H20" s="38" t="s">
        <v>108</v>
      </c>
      <c r="I20" s="38" t="s">
        <v>109</v>
      </c>
      <c r="J20" s="38" t="s">
        <v>105</v>
      </c>
      <c r="K20" s="38" t="s">
        <v>28</v>
      </c>
      <c r="L20" s="38" t="s">
        <v>110</v>
      </c>
      <c r="M20" s="38" t="s">
        <v>57</v>
      </c>
      <c r="N20" s="38" t="s">
        <v>111</v>
      </c>
      <c r="O20" s="48">
        <v>1015.16</v>
      </c>
      <c r="P20" s="49" t="str">
        <f t="shared" si="3"/>
        <v>High</v>
      </c>
      <c r="Q20" s="48">
        <v>2148.14</v>
      </c>
      <c r="R20" s="48">
        <v>3.7999999999999999E-2</v>
      </c>
      <c r="S20" s="48">
        <v>19</v>
      </c>
      <c r="T20" s="48">
        <f t="shared" si="0"/>
        <v>25535.279900000001</v>
      </c>
      <c r="U20" s="38">
        <f t="shared" si="1"/>
        <v>19288.04</v>
      </c>
      <c r="V20" s="48">
        <f t="shared" si="4"/>
        <v>6247.2399000000005</v>
      </c>
      <c r="W20" s="50">
        <f t="shared" si="5"/>
        <v>0.24465131866441769</v>
      </c>
    </row>
    <row r="21" spans="1:23" x14ac:dyDescent="0.3">
      <c r="A21" s="39" t="s">
        <v>112</v>
      </c>
      <c r="B21" s="40">
        <v>45498</v>
      </c>
      <c r="C21" s="41">
        <v>45497</v>
      </c>
      <c r="D21" s="42">
        <f>DATEDIF(C21,B21, "MD")</f>
        <v>1</v>
      </c>
      <c r="E21" s="42" t="str">
        <f>TEXT(Data!B21,"MMM-YYYY")</f>
        <v>Jul-2024</v>
      </c>
      <c r="F21" s="42" t="str">
        <f t="shared" si="2"/>
        <v>Q3-2024</v>
      </c>
      <c r="G21" s="37" t="s">
        <v>16</v>
      </c>
      <c r="H21" s="37" t="s">
        <v>17</v>
      </c>
      <c r="I21" s="37" t="s">
        <v>113</v>
      </c>
      <c r="J21" s="37" t="s">
        <v>39</v>
      </c>
      <c r="K21" s="37" t="s">
        <v>98</v>
      </c>
      <c r="L21" s="37" t="s">
        <v>29</v>
      </c>
      <c r="M21" s="37" t="s">
        <v>57</v>
      </c>
      <c r="N21" s="37" t="s">
        <v>114</v>
      </c>
      <c r="O21" s="42">
        <v>1494.4</v>
      </c>
      <c r="P21" s="43" t="str">
        <f t="shared" si="3"/>
        <v>High</v>
      </c>
      <c r="Q21" s="42">
        <v>3661.07</v>
      </c>
      <c r="R21" s="42">
        <v>7.1999999999999995E-2</v>
      </c>
      <c r="S21" s="42">
        <v>7</v>
      </c>
      <c r="T21" s="42">
        <f t="shared" si="0"/>
        <v>3565.5894400000002</v>
      </c>
      <c r="U21" s="37">
        <f t="shared" si="1"/>
        <v>10460.800000000001</v>
      </c>
      <c r="V21" s="42">
        <f t="shared" si="4"/>
        <v>-6895.2105600000014</v>
      </c>
      <c r="W21" s="44">
        <f t="shared" si="5"/>
        <v>-1.9338206700544864</v>
      </c>
    </row>
    <row r="22" spans="1:23" x14ac:dyDescent="0.3">
      <c r="A22" s="45" t="s">
        <v>115</v>
      </c>
      <c r="B22" s="46">
        <v>45057</v>
      </c>
      <c r="C22" s="47">
        <v>45074</v>
      </c>
      <c r="D22" s="48">
        <f t="shared" si="6"/>
        <v>17</v>
      </c>
      <c r="E22" s="48" t="str">
        <f>TEXT(Data!B22,"MMM-YYYY")</f>
        <v>May-2023</v>
      </c>
      <c r="F22" s="48" t="str">
        <f t="shared" si="2"/>
        <v>Q2-2023</v>
      </c>
      <c r="G22" s="38" t="s">
        <v>45</v>
      </c>
      <c r="H22" s="38" t="s">
        <v>116</v>
      </c>
      <c r="I22" s="38" t="s">
        <v>117</v>
      </c>
      <c r="J22" s="38" t="s">
        <v>105</v>
      </c>
      <c r="K22" s="38" t="s">
        <v>40</v>
      </c>
      <c r="L22" s="38" t="s">
        <v>63</v>
      </c>
      <c r="M22" s="38" t="s">
        <v>35</v>
      </c>
      <c r="N22" s="38" t="s">
        <v>118</v>
      </c>
      <c r="O22" s="48">
        <v>1331.19</v>
      </c>
      <c r="P22" s="49" t="str">
        <f t="shared" si="3"/>
        <v>High</v>
      </c>
      <c r="Q22" s="48">
        <v>2903.09</v>
      </c>
      <c r="R22" s="48">
        <v>0.14299999999999999</v>
      </c>
      <c r="S22" s="48">
        <v>8</v>
      </c>
      <c r="T22" s="48">
        <f t="shared" si="0"/>
        <v>24160.543999999998</v>
      </c>
      <c r="U22" s="38">
        <f t="shared" si="1"/>
        <v>10649.52</v>
      </c>
      <c r="V22" s="48">
        <f t="shared" si="4"/>
        <v>13511.023999999998</v>
      </c>
      <c r="W22" s="50">
        <f t="shared" si="5"/>
        <v>0.55921853415221112</v>
      </c>
    </row>
    <row r="23" spans="1:23" x14ac:dyDescent="0.3">
      <c r="A23" s="39" t="s">
        <v>119</v>
      </c>
      <c r="B23" s="40">
        <v>45822</v>
      </c>
      <c r="C23" s="41">
        <v>45837</v>
      </c>
      <c r="D23" s="42">
        <f t="shared" si="6"/>
        <v>15</v>
      </c>
      <c r="E23" s="42" t="str">
        <f>TEXT(Data!B23,"MMM-YYYY")</f>
        <v>Jun-2025</v>
      </c>
      <c r="F23" s="42" t="str">
        <f t="shared" si="2"/>
        <v>Q2-2025</v>
      </c>
      <c r="G23" s="37" t="s">
        <v>16</v>
      </c>
      <c r="H23" s="37" t="s">
        <v>25</v>
      </c>
      <c r="I23" s="37" t="s">
        <v>26</v>
      </c>
      <c r="J23" s="37" t="s">
        <v>48</v>
      </c>
      <c r="K23" s="37" t="s">
        <v>40</v>
      </c>
      <c r="L23" s="37" t="s">
        <v>110</v>
      </c>
      <c r="M23" s="37" t="s">
        <v>81</v>
      </c>
      <c r="N23" s="37" t="s">
        <v>120</v>
      </c>
      <c r="O23" s="42">
        <v>730.99</v>
      </c>
      <c r="P23" s="43" t="str">
        <f t="shared" si="3"/>
        <v>High</v>
      </c>
      <c r="Q23" s="42">
        <v>1242.8399999999999</v>
      </c>
      <c r="R23" s="42">
        <v>0.12</v>
      </c>
      <c r="S23" s="42">
        <v>10</v>
      </c>
      <c r="T23" s="42">
        <f t="shared" si="0"/>
        <v>16065.367999999999</v>
      </c>
      <c r="U23" s="37">
        <f t="shared" si="1"/>
        <v>7309.9</v>
      </c>
      <c r="V23" s="42">
        <f t="shared" si="4"/>
        <v>8755.4679999999989</v>
      </c>
      <c r="W23" s="44">
        <f t="shared" si="5"/>
        <v>0.54499019256826231</v>
      </c>
    </row>
    <row r="24" spans="1:23" x14ac:dyDescent="0.3">
      <c r="A24" s="45" t="s">
        <v>121</v>
      </c>
      <c r="B24" s="46">
        <v>45430</v>
      </c>
      <c r="C24" s="47">
        <v>45435</v>
      </c>
      <c r="D24" s="48">
        <f t="shared" si="6"/>
        <v>5</v>
      </c>
      <c r="E24" s="48" t="str">
        <f>TEXT(Data!B24,"MMM-YYYY")</f>
        <v>May-2024</v>
      </c>
      <c r="F24" s="48" t="str">
        <f t="shared" si="2"/>
        <v>Q2-2024</v>
      </c>
      <c r="G24" s="38" t="s">
        <v>52</v>
      </c>
      <c r="H24" s="38" t="s">
        <v>122</v>
      </c>
      <c r="I24" s="38" t="s">
        <v>123</v>
      </c>
      <c r="J24" s="38" t="s">
        <v>105</v>
      </c>
      <c r="K24" s="38" t="s">
        <v>20</v>
      </c>
      <c r="L24" s="38" t="s">
        <v>92</v>
      </c>
      <c r="M24" s="38" t="s">
        <v>57</v>
      </c>
      <c r="N24" s="38" t="s">
        <v>124</v>
      </c>
      <c r="O24" s="48">
        <v>1274.5899999999999</v>
      </c>
      <c r="P24" s="49" t="str">
        <f t="shared" si="3"/>
        <v>High</v>
      </c>
      <c r="Q24" s="48">
        <v>2553.69</v>
      </c>
      <c r="R24" s="48">
        <v>0.01</v>
      </c>
      <c r="S24" s="48">
        <v>8</v>
      </c>
      <c r="T24" s="48">
        <f t="shared" si="0"/>
        <v>14187.650399999999</v>
      </c>
      <c r="U24" s="38">
        <f t="shared" si="1"/>
        <v>10196.719999999999</v>
      </c>
      <c r="V24" s="48">
        <f t="shared" si="4"/>
        <v>3990.9303999999993</v>
      </c>
      <c r="W24" s="50">
        <f t="shared" si="5"/>
        <v>0.28129607704458237</v>
      </c>
    </row>
    <row r="25" spans="1:23" x14ac:dyDescent="0.3">
      <c r="A25" s="39" t="s">
        <v>125</v>
      </c>
      <c r="B25" s="40">
        <v>44964</v>
      </c>
      <c r="C25" s="41">
        <v>44969</v>
      </c>
      <c r="D25" s="42">
        <f t="shared" si="6"/>
        <v>5</v>
      </c>
      <c r="E25" s="42" t="str">
        <f>TEXT(Data!B25,"MMM-YYYY")</f>
        <v>Feb-2023</v>
      </c>
      <c r="F25" s="42" t="str">
        <f t="shared" si="2"/>
        <v>Q1-2023</v>
      </c>
      <c r="G25" s="37" t="s">
        <v>52</v>
      </c>
      <c r="H25" s="37" t="s">
        <v>73</v>
      </c>
      <c r="I25" s="37" t="s">
        <v>74</v>
      </c>
      <c r="J25" s="37" t="s">
        <v>27</v>
      </c>
      <c r="K25" s="37" t="s">
        <v>28</v>
      </c>
      <c r="L25" s="37" t="s">
        <v>126</v>
      </c>
      <c r="M25" s="37" t="s">
        <v>22</v>
      </c>
      <c r="N25" s="37" t="s">
        <v>127</v>
      </c>
      <c r="O25" s="42">
        <v>948.55</v>
      </c>
      <c r="P25" s="43" t="str">
        <f t="shared" si="3"/>
        <v>High</v>
      </c>
      <c r="Q25" s="42">
        <v>2089.16</v>
      </c>
      <c r="R25" s="42">
        <v>7.0000000000000001E-3</v>
      </c>
      <c r="S25" s="42">
        <v>12</v>
      </c>
      <c r="T25" s="42">
        <f t="shared" si="0"/>
        <v>31336.100999999999</v>
      </c>
      <c r="U25" s="37">
        <f t="shared" si="1"/>
        <v>11382.599999999999</v>
      </c>
      <c r="V25" s="42">
        <f t="shared" si="4"/>
        <v>19953.501</v>
      </c>
      <c r="W25" s="44">
        <f t="shared" si="5"/>
        <v>0.63675761703729516</v>
      </c>
    </row>
    <row r="26" spans="1:23" x14ac:dyDescent="0.3">
      <c r="A26" s="45" t="s">
        <v>128</v>
      </c>
      <c r="B26" s="46">
        <v>45473</v>
      </c>
      <c r="C26" s="47">
        <v>45487</v>
      </c>
      <c r="D26" s="48">
        <f t="shared" si="6"/>
        <v>14</v>
      </c>
      <c r="E26" s="48" t="str">
        <f>TEXT(Data!B26,"MMM-YYYY")</f>
        <v>Jun-2024</v>
      </c>
      <c r="F26" s="48" t="str">
        <f t="shared" si="2"/>
        <v>Q2-2024</v>
      </c>
      <c r="G26" s="38" t="s">
        <v>52</v>
      </c>
      <c r="H26" s="38" t="s">
        <v>73</v>
      </c>
      <c r="I26" s="38" t="s">
        <v>87</v>
      </c>
      <c r="J26" s="38" t="s">
        <v>27</v>
      </c>
      <c r="K26" s="38" t="s">
        <v>20</v>
      </c>
      <c r="L26" s="38" t="s">
        <v>21</v>
      </c>
      <c r="M26" s="38" t="s">
        <v>81</v>
      </c>
      <c r="N26" s="38" t="s">
        <v>129</v>
      </c>
      <c r="O26" s="48">
        <v>1491.85</v>
      </c>
      <c r="P26" s="49" t="str">
        <f t="shared" si="3"/>
        <v>High</v>
      </c>
      <c r="Q26" s="48">
        <v>2583.02</v>
      </c>
      <c r="R26" s="48">
        <v>0.16800000000000001</v>
      </c>
      <c r="S26" s="48">
        <v>4</v>
      </c>
      <c r="T26" s="48">
        <f t="shared" si="0"/>
        <v>353.76639999999998</v>
      </c>
      <c r="U26" s="38">
        <f t="shared" si="1"/>
        <v>5967.4</v>
      </c>
      <c r="V26" s="48">
        <f t="shared" si="4"/>
        <v>-5613.6335999999992</v>
      </c>
      <c r="W26" s="50">
        <f t="shared" si="5"/>
        <v>-15.868193248426079</v>
      </c>
    </row>
    <row r="27" spans="1:23" x14ac:dyDescent="0.3">
      <c r="A27" s="39" t="s">
        <v>130</v>
      </c>
      <c r="B27" s="40">
        <v>45626</v>
      </c>
      <c r="C27" s="41">
        <v>45656</v>
      </c>
      <c r="D27" s="42">
        <f t="shared" si="6"/>
        <v>0</v>
      </c>
      <c r="E27" s="42" t="str">
        <f>TEXT(Data!B27,"MMM-YYYY")</f>
        <v>Nov-2024</v>
      </c>
      <c r="F27" s="42" t="str">
        <f t="shared" si="2"/>
        <v>Q4-2024</v>
      </c>
      <c r="G27" s="37" t="s">
        <v>78</v>
      </c>
      <c r="H27" s="37" t="s">
        <v>90</v>
      </c>
      <c r="I27" s="37" t="s">
        <v>91</v>
      </c>
      <c r="J27" s="37" t="s">
        <v>48</v>
      </c>
      <c r="K27" s="37" t="s">
        <v>40</v>
      </c>
      <c r="L27" s="37" t="s">
        <v>84</v>
      </c>
      <c r="M27" s="37" t="s">
        <v>30</v>
      </c>
      <c r="N27" s="37" t="s">
        <v>131</v>
      </c>
      <c r="O27" s="42">
        <v>117.64</v>
      </c>
      <c r="P27" s="43" t="str">
        <f t="shared" si="3"/>
        <v>Medium</v>
      </c>
      <c r="Q27" s="42">
        <v>175.67</v>
      </c>
      <c r="R27" s="42">
        <v>0</v>
      </c>
      <c r="S27" s="42">
        <v>10</v>
      </c>
      <c r="T27" s="42">
        <f t="shared" si="0"/>
        <v>3857.2000000000003</v>
      </c>
      <c r="U27" s="37">
        <f t="shared" si="1"/>
        <v>1176.4000000000001</v>
      </c>
      <c r="V27" s="42">
        <f t="shared" si="4"/>
        <v>2680.8</v>
      </c>
      <c r="W27" s="44">
        <f t="shared" si="5"/>
        <v>0.69501192574924819</v>
      </c>
    </row>
    <row r="28" spans="1:23" x14ac:dyDescent="0.3">
      <c r="A28" s="45" t="s">
        <v>132</v>
      </c>
      <c r="B28" s="46">
        <v>45492</v>
      </c>
      <c r="C28" s="47">
        <v>45492</v>
      </c>
      <c r="D28" s="48">
        <f t="shared" si="6"/>
        <v>0</v>
      </c>
      <c r="E28" s="48" t="str">
        <f>TEXT(Data!B28,"MMM-YYYY")</f>
        <v>Jul-2024</v>
      </c>
      <c r="F28" s="48" t="str">
        <f t="shared" si="2"/>
        <v>Q3-2024</v>
      </c>
      <c r="G28" s="38" t="s">
        <v>16</v>
      </c>
      <c r="H28" s="38" t="s">
        <v>17</v>
      </c>
      <c r="I28" s="38" t="s">
        <v>18</v>
      </c>
      <c r="J28" s="38" t="s">
        <v>62</v>
      </c>
      <c r="K28" s="38" t="s">
        <v>20</v>
      </c>
      <c r="L28" s="38" t="s">
        <v>75</v>
      </c>
      <c r="M28" s="38" t="s">
        <v>42</v>
      </c>
      <c r="N28" s="38" t="s">
        <v>133</v>
      </c>
      <c r="O28" s="48">
        <v>857.24</v>
      </c>
      <c r="P28" s="49" t="str">
        <f t="shared" si="3"/>
        <v>High</v>
      </c>
      <c r="Q28" s="48">
        <v>758.23</v>
      </c>
      <c r="R28" s="48">
        <v>0.125</v>
      </c>
      <c r="S28" s="48">
        <v>6</v>
      </c>
      <c r="T28" s="48">
        <f t="shared" si="0"/>
        <v>1243.5675000000001</v>
      </c>
      <c r="U28" s="38">
        <f t="shared" si="1"/>
        <v>5143.4400000000005</v>
      </c>
      <c r="V28" s="48">
        <f t="shared" si="4"/>
        <v>-3899.8725000000004</v>
      </c>
      <c r="W28" s="50">
        <f t="shared" si="5"/>
        <v>-3.1360360414694015</v>
      </c>
    </row>
    <row r="29" spans="1:23" x14ac:dyDescent="0.3">
      <c r="A29" s="39" t="s">
        <v>134</v>
      </c>
      <c r="B29" s="40">
        <v>45030</v>
      </c>
      <c r="C29" s="41">
        <v>45060</v>
      </c>
      <c r="D29" s="42">
        <f t="shared" si="6"/>
        <v>0</v>
      </c>
      <c r="E29" s="42" t="str">
        <f>TEXT(Data!B29,"MMM-YYYY")</f>
        <v>Apr-2023</v>
      </c>
      <c r="F29" s="42" t="str">
        <f t="shared" si="2"/>
        <v>Q2-2023</v>
      </c>
      <c r="G29" s="37" t="s">
        <v>16</v>
      </c>
      <c r="H29" s="37" t="s">
        <v>17</v>
      </c>
      <c r="I29" s="37" t="s">
        <v>135</v>
      </c>
      <c r="J29" s="37" t="s">
        <v>48</v>
      </c>
      <c r="K29" s="37" t="s">
        <v>40</v>
      </c>
      <c r="L29" s="37" t="s">
        <v>110</v>
      </c>
      <c r="M29" s="37" t="s">
        <v>42</v>
      </c>
      <c r="N29" s="37" t="s">
        <v>136</v>
      </c>
      <c r="O29" s="42">
        <v>209.25</v>
      </c>
      <c r="P29" s="43" t="str">
        <f t="shared" si="3"/>
        <v>High</v>
      </c>
      <c r="Q29" s="42">
        <v>434.8</v>
      </c>
      <c r="R29" s="42">
        <v>0</v>
      </c>
      <c r="S29" s="42">
        <v>9</v>
      </c>
      <c r="T29" s="42">
        <f t="shared" si="0"/>
        <v>377.09999999999997</v>
      </c>
      <c r="U29" s="37">
        <f t="shared" si="1"/>
        <v>1883.25</v>
      </c>
      <c r="V29" s="42">
        <f t="shared" si="4"/>
        <v>-1506.15</v>
      </c>
      <c r="W29" s="44">
        <f t="shared" si="5"/>
        <v>-3.9940334128878288</v>
      </c>
    </row>
    <row r="30" spans="1:23" x14ac:dyDescent="0.3">
      <c r="A30" s="45" t="s">
        <v>137</v>
      </c>
      <c r="B30" s="46">
        <v>45754</v>
      </c>
      <c r="C30" s="47">
        <v>45758</v>
      </c>
      <c r="D30" s="48">
        <f t="shared" si="6"/>
        <v>4</v>
      </c>
      <c r="E30" s="48" t="str">
        <f>TEXT(Data!B30,"MMM-YYYY")</f>
        <v>Apr-2025</v>
      </c>
      <c r="F30" s="48" t="str">
        <f t="shared" si="2"/>
        <v>Q2-2025</v>
      </c>
      <c r="G30" s="38" t="s">
        <v>78</v>
      </c>
      <c r="H30" s="38" t="s">
        <v>90</v>
      </c>
      <c r="I30" s="38" t="s">
        <v>138</v>
      </c>
      <c r="J30" s="38" t="s">
        <v>27</v>
      </c>
      <c r="K30" s="38" t="s">
        <v>20</v>
      </c>
      <c r="L30" s="38" t="s">
        <v>63</v>
      </c>
      <c r="M30" s="38" t="s">
        <v>35</v>
      </c>
      <c r="N30" s="38" t="s">
        <v>139</v>
      </c>
      <c r="O30" s="48">
        <v>754.77</v>
      </c>
      <c r="P30" s="49" t="str">
        <f t="shared" si="3"/>
        <v>High</v>
      </c>
      <c r="Q30" s="48">
        <v>1666.18</v>
      </c>
      <c r="R30" s="48">
        <v>0.13900000000000001</v>
      </c>
      <c r="S30" s="48">
        <v>14</v>
      </c>
      <c r="T30" s="48">
        <f t="shared" si="0"/>
        <v>11781.338519999999</v>
      </c>
      <c r="U30" s="38">
        <f t="shared" si="1"/>
        <v>10566.779999999999</v>
      </c>
      <c r="V30" s="48">
        <f t="shared" si="4"/>
        <v>1214.5585200000005</v>
      </c>
      <c r="W30" s="50">
        <f t="shared" si="5"/>
        <v>0.10309172577786183</v>
      </c>
    </row>
    <row r="31" spans="1:23" x14ac:dyDescent="0.3">
      <c r="A31" s="39" t="s">
        <v>140</v>
      </c>
      <c r="B31" s="40">
        <v>45653</v>
      </c>
      <c r="C31" s="41">
        <v>45672</v>
      </c>
      <c r="D31" s="42">
        <f t="shared" si="6"/>
        <v>19</v>
      </c>
      <c r="E31" s="42" t="str">
        <f>TEXT(Data!B31,"MMM-YYYY")</f>
        <v>Dec-2024</v>
      </c>
      <c r="F31" s="42" t="str">
        <f t="shared" si="2"/>
        <v>Q4-2024</v>
      </c>
      <c r="G31" s="37" t="s">
        <v>45</v>
      </c>
      <c r="H31" s="37" t="s">
        <v>60</v>
      </c>
      <c r="I31" s="37" t="s">
        <v>141</v>
      </c>
      <c r="J31" s="37" t="s">
        <v>39</v>
      </c>
      <c r="K31" s="37" t="s">
        <v>55</v>
      </c>
      <c r="L31" s="37" t="s">
        <v>41</v>
      </c>
      <c r="M31" s="37" t="s">
        <v>22</v>
      </c>
      <c r="N31" s="37" t="s">
        <v>142</v>
      </c>
      <c r="O31" s="42">
        <v>495.59</v>
      </c>
      <c r="P31" s="43" t="str">
        <f t="shared" si="3"/>
        <v>High</v>
      </c>
      <c r="Q31" s="42">
        <v>631.78</v>
      </c>
      <c r="R31" s="42">
        <v>8.6999999999999994E-2</v>
      </c>
      <c r="S31" s="42">
        <v>17</v>
      </c>
      <c r="T31" s="42">
        <f t="shared" si="0"/>
        <v>43367.691729999999</v>
      </c>
      <c r="U31" s="37">
        <f t="shared" si="1"/>
        <v>8425.0299999999988</v>
      </c>
      <c r="V31" s="42">
        <f t="shared" si="4"/>
        <v>34942.66173</v>
      </c>
      <c r="W31" s="44">
        <f t="shared" si="5"/>
        <v>0.8057302645376464</v>
      </c>
    </row>
    <row r="32" spans="1:23" x14ac:dyDescent="0.3">
      <c r="A32" s="45" t="s">
        <v>143</v>
      </c>
      <c r="B32" s="46">
        <v>44980</v>
      </c>
      <c r="C32" s="47">
        <v>45010</v>
      </c>
      <c r="D32" s="48">
        <f t="shared" si="6"/>
        <v>2</v>
      </c>
      <c r="E32" s="48" t="str">
        <f>TEXT(Data!B32,"MMM-YYYY")</f>
        <v>Feb-2023</v>
      </c>
      <c r="F32" s="48" t="str">
        <f t="shared" si="2"/>
        <v>Q1-2023</v>
      </c>
      <c r="G32" s="38" t="s">
        <v>52</v>
      </c>
      <c r="H32" s="38" t="s">
        <v>53</v>
      </c>
      <c r="I32" s="38" t="s">
        <v>144</v>
      </c>
      <c r="J32" s="38" t="s">
        <v>105</v>
      </c>
      <c r="K32" s="38" t="s">
        <v>28</v>
      </c>
      <c r="L32" s="38" t="s">
        <v>145</v>
      </c>
      <c r="M32" s="38" t="s">
        <v>42</v>
      </c>
      <c r="N32" s="38" t="s">
        <v>146</v>
      </c>
      <c r="O32" s="48">
        <v>1242.6600000000001</v>
      </c>
      <c r="P32" s="49" t="str">
        <f t="shared" si="3"/>
        <v>High</v>
      </c>
      <c r="Q32" s="48">
        <v>1794.07</v>
      </c>
      <c r="R32" s="48">
        <v>8.8999999999999996E-2</v>
      </c>
      <c r="S32" s="48">
        <v>16</v>
      </c>
      <c r="T32" s="48">
        <f t="shared" si="0"/>
        <v>10231.623200000002</v>
      </c>
      <c r="U32" s="38">
        <f t="shared" si="1"/>
        <v>19882.560000000001</v>
      </c>
      <c r="V32" s="48">
        <f t="shared" si="4"/>
        <v>-9650.9367999999995</v>
      </c>
      <c r="W32" s="50">
        <f t="shared" si="5"/>
        <v>-0.94324591624914389</v>
      </c>
    </row>
    <row r="33" spans="1:23" x14ac:dyDescent="0.3">
      <c r="A33" s="39" t="s">
        <v>147</v>
      </c>
      <c r="B33" s="40">
        <v>45862</v>
      </c>
      <c r="C33" s="41">
        <v>45875</v>
      </c>
      <c r="D33" s="42">
        <f t="shared" si="6"/>
        <v>13</v>
      </c>
      <c r="E33" s="42" t="str">
        <f>TEXT(Data!B33,"MMM-YYYY")</f>
        <v>Jul-2025</v>
      </c>
      <c r="F33" s="42" t="str">
        <f t="shared" si="2"/>
        <v>Q3-2025</v>
      </c>
      <c r="G33" s="37" t="s">
        <v>16</v>
      </c>
      <c r="H33" s="37" t="s">
        <v>148</v>
      </c>
      <c r="I33" s="37" t="s">
        <v>149</v>
      </c>
      <c r="J33" s="37" t="s">
        <v>27</v>
      </c>
      <c r="K33" s="37" t="s">
        <v>40</v>
      </c>
      <c r="L33" s="37" t="s">
        <v>145</v>
      </c>
      <c r="M33" s="37" t="s">
        <v>35</v>
      </c>
      <c r="N33" s="37" t="s">
        <v>150</v>
      </c>
      <c r="O33" s="42">
        <v>1463.9</v>
      </c>
      <c r="P33" s="43" t="str">
        <f t="shared" si="3"/>
        <v>High</v>
      </c>
      <c r="Q33" s="42">
        <v>2633.02</v>
      </c>
      <c r="R33" s="42">
        <v>8.4000000000000005E-2</v>
      </c>
      <c r="S33" s="42">
        <v>4</v>
      </c>
      <c r="T33" s="42">
        <f t="shared" si="0"/>
        <v>-19.309279999999998</v>
      </c>
      <c r="U33" s="37">
        <f t="shared" si="1"/>
        <v>5855.6</v>
      </c>
      <c r="V33" s="42">
        <f t="shared" si="4"/>
        <v>-5874.9092800000008</v>
      </c>
      <c r="W33" s="44">
        <f t="shared" si="5"/>
        <v>304.25315081660227</v>
      </c>
    </row>
    <row r="34" spans="1:23" x14ac:dyDescent="0.3">
      <c r="A34" s="45" t="s">
        <v>151</v>
      </c>
      <c r="B34" s="46">
        <v>45400</v>
      </c>
      <c r="C34" s="47">
        <v>45420</v>
      </c>
      <c r="D34" s="48">
        <f t="shared" si="6"/>
        <v>20</v>
      </c>
      <c r="E34" s="48" t="str">
        <f>TEXT(Data!B34,"MMM-YYYY")</f>
        <v>Apr-2024</v>
      </c>
      <c r="F34" s="48" t="str">
        <f t="shared" si="2"/>
        <v>Q2-2024</v>
      </c>
      <c r="G34" s="38" t="s">
        <v>78</v>
      </c>
      <c r="H34" s="38" t="s">
        <v>108</v>
      </c>
      <c r="I34" s="38" t="s">
        <v>152</v>
      </c>
      <c r="J34" s="38" t="s">
        <v>39</v>
      </c>
      <c r="K34" s="38" t="s">
        <v>1364</v>
      </c>
      <c r="L34" s="38" t="s">
        <v>145</v>
      </c>
      <c r="M34" s="38" t="s">
        <v>57</v>
      </c>
      <c r="N34" s="38" t="s">
        <v>153</v>
      </c>
      <c r="O34" s="48">
        <v>645.33000000000004</v>
      </c>
      <c r="P34" s="49" t="str">
        <f t="shared" si="3"/>
        <v>High</v>
      </c>
      <c r="Q34" s="48">
        <v>1321.85</v>
      </c>
      <c r="R34" s="48">
        <v>0</v>
      </c>
      <c r="S34" s="48">
        <v>10</v>
      </c>
      <c r="T34" s="48">
        <f t="shared" si="0"/>
        <v>14370.599999999999</v>
      </c>
      <c r="U34" s="38">
        <f t="shared" si="1"/>
        <v>6453.3</v>
      </c>
      <c r="V34" s="48">
        <f t="shared" si="4"/>
        <v>7917.2999999999984</v>
      </c>
      <c r="W34" s="50">
        <f t="shared" si="5"/>
        <v>0.55093733038286496</v>
      </c>
    </row>
    <row r="35" spans="1:23" x14ac:dyDescent="0.3">
      <c r="A35" s="39" t="s">
        <v>154</v>
      </c>
      <c r="B35" s="40">
        <v>45527</v>
      </c>
      <c r="C35" s="41">
        <v>45525</v>
      </c>
      <c r="D35" s="42">
        <f>DATEDIF(C35,B35, "MD")</f>
        <v>2</v>
      </c>
      <c r="E35" s="42" t="str">
        <f>TEXT(Data!B35,"MMM-YYYY")</f>
        <v>Aug-2024</v>
      </c>
      <c r="F35" s="42" t="str">
        <f t="shared" si="2"/>
        <v>Q3-2024</v>
      </c>
      <c r="G35" s="37" t="s">
        <v>16</v>
      </c>
      <c r="H35" s="37" t="s">
        <v>148</v>
      </c>
      <c r="I35" s="37" t="s">
        <v>149</v>
      </c>
      <c r="J35" s="37" t="s">
        <v>27</v>
      </c>
      <c r="K35" s="37" t="s">
        <v>20</v>
      </c>
      <c r="L35" s="37" t="s">
        <v>63</v>
      </c>
      <c r="M35" s="37" t="s">
        <v>22</v>
      </c>
      <c r="N35" s="37" t="s">
        <v>155</v>
      </c>
      <c r="O35" s="42">
        <v>1432.52</v>
      </c>
      <c r="P35" s="43" t="str">
        <f t="shared" si="3"/>
        <v>High</v>
      </c>
      <c r="Q35" s="42">
        <v>3036.87</v>
      </c>
      <c r="R35" s="42">
        <v>0</v>
      </c>
      <c r="S35" s="42">
        <v>9</v>
      </c>
      <c r="T35" s="42">
        <f t="shared" si="0"/>
        <v>17207.010000000002</v>
      </c>
      <c r="U35" s="37">
        <f t="shared" si="1"/>
        <v>12892.68</v>
      </c>
      <c r="V35" s="42">
        <f t="shared" si="4"/>
        <v>4314.3300000000017</v>
      </c>
      <c r="W35" s="44">
        <f t="shared" si="5"/>
        <v>0.25073095209452434</v>
      </c>
    </row>
    <row r="36" spans="1:23" x14ac:dyDescent="0.3">
      <c r="A36" s="45" t="s">
        <v>156</v>
      </c>
      <c r="B36" s="46">
        <v>45012</v>
      </c>
      <c r="C36" s="47">
        <v>45038</v>
      </c>
      <c r="D36" s="48">
        <f t="shared" si="6"/>
        <v>26</v>
      </c>
      <c r="E36" s="48" t="str">
        <f>TEXT(Data!B36,"MMM-YYYY")</f>
        <v>Mar-2023</v>
      </c>
      <c r="F36" s="48" t="str">
        <f t="shared" si="2"/>
        <v>Q1-2023</v>
      </c>
      <c r="G36" s="38" t="s">
        <v>45</v>
      </c>
      <c r="H36" s="38" t="s">
        <v>60</v>
      </c>
      <c r="I36" s="38" t="s">
        <v>141</v>
      </c>
      <c r="J36" s="38" t="s">
        <v>39</v>
      </c>
      <c r="K36" s="38" t="s">
        <v>40</v>
      </c>
      <c r="L36" s="38" t="s">
        <v>29</v>
      </c>
      <c r="M36" s="38" t="s">
        <v>30</v>
      </c>
      <c r="N36" s="38" t="s">
        <v>157</v>
      </c>
      <c r="O36" s="48">
        <v>178.53</v>
      </c>
      <c r="P36" s="49" t="str">
        <f t="shared" si="3"/>
        <v>Medium</v>
      </c>
      <c r="Q36" s="48">
        <v>199.37</v>
      </c>
      <c r="R36" s="48">
        <v>0.10100000000000001</v>
      </c>
      <c r="S36" s="48">
        <v>37</v>
      </c>
      <c r="T36" s="48">
        <f t="shared" si="0"/>
        <v>86276.904139999999</v>
      </c>
      <c r="U36" s="38">
        <f t="shared" si="1"/>
        <v>6605.61</v>
      </c>
      <c r="V36" s="48">
        <f t="shared" si="4"/>
        <v>79671.294139999998</v>
      </c>
      <c r="W36" s="50">
        <f t="shared" si="5"/>
        <v>0.92343709981432354</v>
      </c>
    </row>
    <row r="37" spans="1:23" x14ac:dyDescent="0.3">
      <c r="A37" s="39" t="s">
        <v>158</v>
      </c>
      <c r="B37" s="40">
        <v>45358</v>
      </c>
      <c r="C37" s="41">
        <v>45376</v>
      </c>
      <c r="D37" s="42">
        <f t="shared" si="6"/>
        <v>18</v>
      </c>
      <c r="E37" s="42" t="str">
        <f>TEXT(Data!B37,"MMM-YYYY")</f>
        <v>Mar-2024</v>
      </c>
      <c r="F37" s="42" t="str">
        <f t="shared" si="2"/>
        <v>Q1-2024</v>
      </c>
      <c r="G37" s="37" t="s">
        <v>78</v>
      </c>
      <c r="H37" s="37" t="s">
        <v>79</v>
      </c>
      <c r="I37" s="37" t="s">
        <v>159</v>
      </c>
      <c r="J37" s="37" t="s">
        <v>19</v>
      </c>
      <c r="K37" s="37" t="s">
        <v>28</v>
      </c>
      <c r="L37" s="37" t="s">
        <v>56</v>
      </c>
      <c r="M37" s="37" t="s">
        <v>22</v>
      </c>
      <c r="N37" s="37" t="s">
        <v>160</v>
      </c>
      <c r="O37" s="42">
        <v>712.84</v>
      </c>
      <c r="P37" s="43" t="str">
        <f t="shared" si="3"/>
        <v>High</v>
      </c>
      <c r="Q37" s="42">
        <v>927.51</v>
      </c>
      <c r="R37" s="42">
        <v>0.24299999999999999</v>
      </c>
      <c r="S37" s="42">
        <v>27</v>
      </c>
      <c r="T37" s="42">
        <f t="shared" si="0"/>
        <v>25427.751119999997</v>
      </c>
      <c r="U37" s="37">
        <f t="shared" si="1"/>
        <v>19246.68</v>
      </c>
      <c r="V37" s="42">
        <f t="shared" si="4"/>
        <v>6181.0711199999969</v>
      </c>
      <c r="W37" s="44">
        <f t="shared" si="5"/>
        <v>0.24308367227718869</v>
      </c>
    </row>
    <row r="38" spans="1:23" x14ac:dyDescent="0.3">
      <c r="A38" s="45" t="s">
        <v>161</v>
      </c>
      <c r="B38" s="46">
        <v>45832</v>
      </c>
      <c r="C38" s="47">
        <v>45848</v>
      </c>
      <c r="D38" s="48">
        <f t="shared" si="6"/>
        <v>16</v>
      </c>
      <c r="E38" s="48" t="str">
        <f>TEXT(Data!B38,"MMM-YYYY")</f>
        <v>Jun-2025</v>
      </c>
      <c r="F38" s="48" t="str">
        <f t="shared" si="2"/>
        <v>Q2-2025</v>
      </c>
      <c r="G38" s="38" t="s">
        <v>45</v>
      </c>
      <c r="H38" s="38" t="s">
        <v>116</v>
      </c>
      <c r="I38" s="38" t="s">
        <v>162</v>
      </c>
      <c r="J38" s="38" t="s">
        <v>105</v>
      </c>
      <c r="K38" s="38" t="s">
        <v>98</v>
      </c>
      <c r="L38" s="38" t="s">
        <v>126</v>
      </c>
      <c r="M38" s="38" t="s">
        <v>22</v>
      </c>
      <c r="N38" s="38" t="s">
        <v>163</v>
      </c>
      <c r="O38" s="48">
        <v>757.19</v>
      </c>
      <c r="P38" s="49" t="str">
        <f t="shared" si="3"/>
        <v>High</v>
      </c>
      <c r="Q38" s="48">
        <v>1735.41</v>
      </c>
      <c r="R38" s="48">
        <v>0.13600000000000001</v>
      </c>
      <c r="S38" s="48">
        <v>8</v>
      </c>
      <c r="T38" s="48">
        <f t="shared" si="0"/>
        <v>13219.269119999999</v>
      </c>
      <c r="U38" s="38">
        <f t="shared" si="1"/>
        <v>6057.52</v>
      </c>
      <c r="V38" s="48">
        <f t="shared" si="4"/>
        <v>7161.7491199999986</v>
      </c>
      <c r="W38" s="50">
        <f t="shared" si="5"/>
        <v>0.54176589151700383</v>
      </c>
    </row>
    <row r="39" spans="1:23" x14ac:dyDescent="0.3">
      <c r="A39" s="39" t="s">
        <v>164</v>
      </c>
      <c r="B39" s="40">
        <v>45401</v>
      </c>
      <c r="C39" s="41">
        <v>45418</v>
      </c>
      <c r="D39" s="42">
        <f t="shared" si="6"/>
        <v>17</v>
      </c>
      <c r="E39" s="42" t="str">
        <f>TEXT(Data!B39,"MMM-YYYY")</f>
        <v>Apr-2024</v>
      </c>
      <c r="F39" s="42" t="str">
        <f t="shared" si="2"/>
        <v>Q2-2024</v>
      </c>
      <c r="G39" s="37" t="s">
        <v>16</v>
      </c>
      <c r="H39" s="37" t="s">
        <v>25</v>
      </c>
      <c r="I39" s="37" t="s">
        <v>26</v>
      </c>
      <c r="J39" s="37" t="s">
        <v>39</v>
      </c>
      <c r="K39" s="37" t="s">
        <v>28</v>
      </c>
      <c r="L39" s="37" t="s">
        <v>75</v>
      </c>
      <c r="M39" s="37" t="s">
        <v>30</v>
      </c>
      <c r="N39" s="37" t="s">
        <v>165</v>
      </c>
      <c r="O39" s="42">
        <v>865.33</v>
      </c>
      <c r="P39" s="43" t="str">
        <f t="shared" si="3"/>
        <v>High</v>
      </c>
      <c r="Q39" s="42">
        <v>1395.64</v>
      </c>
      <c r="R39" s="42">
        <v>0.17499999999999999</v>
      </c>
      <c r="S39" s="42">
        <v>13</v>
      </c>
      <c r="T39" s="42">
        <f t="shared" si="0"/>
        <v>8106.7057499999992</v>
      </c>
      <c r="U39" s="37">
        <f t="shared" si="1"/>
        <v>11249.29</v>
      </c>
      <c r="V39" s="42">
        <f t="shared" si="4"/>
        <v>-3142.5842500000017</v>
      </c>
      <c r="W39" s="44">
        <f t="shared" si="5"/>
        <v>-0.38765243822991874</v>
      </c>
    </row>
    <row r="40" spans="1:23" x14ac:dyDescent="0.3">
      <c r="A40" s="45" t="s">
        <v>166</v>
      </c>
      <c r="B40" s="46">
        <v>45094</v>
      </c>
      <c r="C40" s="47">
        <v>45101</v>
      </c>
      <c r="D40" s="48">
        <f t="shared" si="6"/>
        <v>7</v>
      </c>
      <c r="E40" s="48" t="str">
        <f>TEXT(Data!B40,"MMM-YYYY")</f>
        <v>Jun-2023</v>
      </c>
      <c r="F40" s="48" t="str">
        <f t="shared" si="2"/>
        <v>Q2-2023</v>
      </c>
      <c r="G40" s="38" t="s">
        <v>52</v>
      </c>
      <c r="H40" s="38" t="s">
        <v>122</v>
      </c>
      <c r="I40" s="38" t="s">
        <v>167</v>
      </c>
      <c r="J40" s="38" t="s">
        <v>19</v>
      </c>
      <c r="K40" s="38" t="s">
        <v>20</v>
      </c>
      <c r="L40" s="38" t="s">
        <v>34</v>
      </c>
      <c r="M40" s="38" t="s">
        <v>30</v>
      </c>
      <c r="N40" s="38" t="s">
        <v>168</v>
      </c>
      <c r="O40" s="48">
        <v>313.99</v>
      </c>
      <c r="P40" s="49" t="str">
        <f t="shared" si="3"/>
        <v>High</v>
      </c>
      <c r="Q40" s="48">
        <v>454.42</v>
      </c>
      <c r="R40" s="48">
        <v>0.129</v>
      </c>
      <c r="S40" s="48">
        <v>9</v>
      </c>
      <c r="T40" s="48">
        <f t="shared" si="0"/>
        <v>8980.9071300000014</v>
      </c>
      <c r="U40" s="38">
        <f t="shared" si="1"/>
        <v>2825.91</v>
      </c>
      <c r="V40" s="48">
        <f t="shared" si="4"/>
        <v>6154.9971300000016</v>
      </c>
      <c r="W40" s="50">
        <f t="shared" si="5"/>
        <v>0.68534247608904963</v>
      </c>
    </row>
    <row r="41" spans="1:23" x14ac:dyDescent="0.3">
      <c r="A41" s="39" t="s">
        <v>169</v>
      </c>
      <c r="B41" s="40">
        <v>45531</v>
      </c>
      <c r="C41" s="41">
        <v>45554</v>
      </c>
      <c r="D41" s="42">
        <f t="shared" si="6"/>
        <v>23</v>
      </c>
      <c r="E41" s="42" t="str">
        <f>TEXT(Data!B41,"MMM-YYYY")</f>
        <v>Aug-2024</v>
      </c>
      <c r="F41" s="42" t="str">
        <f t="shared" si="2"/>
        <v>Q3-2024</v>
      </c>
      <c r="G41" s="37" t="s">
        <v>78</v>
      </c>
      <c r="H41" s="37" t="s">
        <v>79</v>
      </c>
      <c r="I41" s="37" t="s">
        <v>80</v>
      </c>
      <c r="J41" s="37" t="s">
        <v>62</v>
      </c>
      <c r="K41" s="37" t="s">
        <v>98</v>
      </c>
      <c r="L41" s="37" t="s">
        <v>145</v>
      </c>
      <c r="M41" s="37" t="s">
        <v>64</v>
      </c>
      <c r="N41" s="37" t="s">
        <v>170</v>
      </c>
      <c r="O41" s="42">
        <v>1024.01</v>
      </c>
      <c r="P41" s="43" t="str">
        <f t="shared" si="3"/>
        <v>High</v>
      </c>
      <c r="Q41" s="42">
        <v>1580.97</v>
      </c>
      <c r="R41" s="42">
        <v>3.6999999999999998E-2</v>
      </c>
      <c r="S41" s="42">
        <v>27</v>
      </c>
      <c r="T41" s="42">
        <f t="shared" si="0"/>
        <v>32087.834099999996</v>
      </c>
      <c r="U41" s="37">
        <f t="shared" si="1"/>
        <v>27648.27</v>
      </c>
      <c r="V41" s="42">
        <f t="shared" si="4"/>
        <v>4439.564099999996</v>
      </c>
      <c r="W41" s="44">
        <f t="shared" si="5"/>
        <v>0.13835661472707492</v>
      </c>
    </row>
    <row r="42" spans="1:23" x14ac:dyDescent="0.3">
      <c r="A42" s="45" t="s">
        <v>171</v>
      </c>
      <c r="B42" s="46">
        <v>45302</v>
      </c>
      <c r="C42" s="47">
        <v>45324</v>
      </c>
      <c r="D42" s="48">
        <f t="shared" si="6"/>
        <v>22</v>
      </c>
      <c r="E42" s="48" t="str">
        <f>TEXT(Data!B42,"MMM-YYYY")</f>
        <v>Jan-2024</v>
      </c>
      <c r="F42" s="48" t="str">
        <f t="shared" si="2"/>
        <v>Q1-2024</v>
      </c>
      <c r="G42" s="38" t="s">
        <v>16</v>
      </c>
      <c r="H42" s="38" t="s">
        <v>148</v>
      </c>
      <c r="I42" s="38" t="s">
        <v>172</v>
      </c>
      <c r="J42" s="38" t="s">
        <v>48</v>
      </c>
      <c r="K42" s="38" t="s">
        <v>28</v>
      </c>
      <c r="L42" s="38" t="s">
        <v>95</v>
      </c>
      <c r="M42" s="38" t="s">
        <v>35</v>
      </c>
      <c r="N42" s="38" t="s">
        <v>173</v>
      </c>
      <c r="O42" s="48">
        <v>1206.2</v>
      </c>
      <c r="P42" s="49" t="str">
        <f t="shared" si="3"/>
        <v>High</v>
      </c>
      <c r="Q42" s="48">
        <v>1759.79</v>
      </c>
      <c r="R42" s="48">
        <v>0</v>
      </c>
      <c r="S42" s="48">
        <v>6</v>
      </c>
      <c r="T42" s="48">
        <f t="shared" si="0"/>
        <v>7368.0599999999995</v>
      </c>
      <c r="U42" s="38">
        <f t="shared" si="1"/>
        <v>7237.2000000000007</v>
      </c>
      <c r="V42" s="48">
        <f t="shared" si="4"/>
        <v>130.85999999999876</v>
      </c>
      <c r="W42" s="50">
        <f t="shared" si="5"/>
        <v>1.7760441690214082E-2</v>
      </c>
    </row>
    <row r="43" spans="1:23" x14ac:dyDescent="0.3">
      <c r="A43" s="39" t="s">
        <v>174</v>
      </c>
      <c r="B43" s="40">
        <v>45590</v>
      </c>
      <c r="C43" s="41">
        <v>45610</v>
      </c>
      <c r="D43" s="42">
        <f t="shared" si="6"/>
        <v>20</v>
      </c>
      <c r="E43" s="42" t="str">
        <f>TEXT(Data!B43,"MMM-YYYY")</f>
        <v>Oct-2024</v>
      </c>
      <c r="F43" s="42" t="str">
        <f t="shared" si="2"/>
        <v>Q4-2024</v>
      </c>
      <c r="G43" s="37" t="s">
        <v>16</v>
      </c>
      <c r="H43" s="37" t="s">
        <v>17</v>
      </c>
      <c r="I43" s="37" t="s">
        <v>113</v>
      </c>
      <c r="J43" s="37" t="s">
        <v>19</v>
      </c>
      <c r="K43" s="37" t="s">
        <v>98</v>
      </c>
      <c r="L43" s="37" t="s">
        <v>92</v>
      </c>
      <c r="M43" s="37" t="s">
        <v>30</v>
      </c>
      <c r="N43" s="37" t="s">
        <v>175</v>
      </c>
      <c r="O43" s="42">
        <v>1396.48</v>
      </c>
      <c r="P43" s="43" t="str">
        <f t="shared" si="3"/>
        <v>High</v>
      </c>
      <c r="Q43" s="42">
        <v>3204.5</v>
      </c>
      <c r="R43" s="42">
        <v>0.318</v>
      </c>
      <c r="S43" s="42">
        <v>14</v>
      </c>
      <c r="T43" s="42">
        <f t="shared" si="0"/>
        <v>5778.7360400000007</v>
      </c>
      <c r="U43" s="37">
        <f t="shared" si="1"/>
        <v>19550.72</v>
      </c>
      <c r="V43" s="42">
        <f t="shared" si="4"/>
        <v>-13771.983960000001</v>
      </c>
      <c r="W43" s="44">
        <f t="shared" si="5"/>
        <v>-2.3832173445319715</v>
      </c>
    </row>
    <row r="44" spans="1:23" x14ac:dyDescent="0.3">
      <c r="A44" s="45" t="s">
        <v>176</v>
      </c>
      <c r="B44" s="46">
        <v>45806</v>
      </c>
      <c r="C44" s="47">
        <v>45828</v>
      </c>
      <c r="D44" s="48">
        <f t="shared" si="6"/>
        <v>22</v>
      </c>
      <c r="E44" s="48" t="str">
        <f>TEXT(Data!B44,"MMM-YYYY")</f>
        <v>May-2025</v>
      </c>
      <c r="F44" s="48" t="str">
        <f t="shared" si="2"/>
        <v>Q2-2025</v>
      </c>
      <c r="G44" s="38" t="s">
        <v>78</v>
      </c>
      <c r="H44" s="38" t="s">
        <v>79</v>
      </c>
      <c r="I44" s="38" t="s">
        <v>80</v>
      </c>
      <c r="J44" s="38" t="s">
        <v>19</v>
      </c>
      <c r="K44" s="38" t="s">
        <v>98</v>
      </c>
      <c r="L44" s="38" t="s">
        <v>75</v>
      </c>
      <c r="M44" s="38" t="s">
        <v>30</v>
      </c>
      <c r="N44" s="38" t="s">
        <v>177</v>
      </c>
      <c r="O44" s="48">
        <v>483.47</v>
      </c>
      <c r="P44" s="49" t="str">
        <f t="shared" si="3"/>
        <v>High</v>
      </c>
      <c r="Q44" s="48">
        <v>1135.43</v>
      </c>
      <c r="R44" s="48">
        <v>0.14599999999999999</v>
      </c>
      <c r="S44" s="48">
        <v>11</v>
      </c>
      <c r="T44" s="48">
        <f t="shared" si="0"/>
        <v>17662.129100000002</v>
      </c>
      <c r="U44" s="38">
        <f t="shared" si="1"/>
        <v>5318.17</v>
      </c>
      <c r="V44" s="48">
        <f t="shared" si="4"/>
        <v>12343.959100000002</v>
      </c>
      <c r="W44" s="50">
        <f t="shared" si="5"/>
        <v>0.6988941723905755</v>
      </c>
    </row>
    <row r="45" spans="1:23" x14ac:dyDescent="0.3">
      <c r="A45" s="39" t="s">
        <v>178</v>
      </c>
      <c r="B45" s="40">
        <v>45432</v>
      </c>
      <c r="C45" s="41">
        <v>45445</v>
      </c>
      <c r="D45" s="42">
        <f t="shared" si="6"/>
        <v>13</v>
      </c>
      <c r="E45" s="42" t="str">
        <f>TEXT(Data!B45,"MMM-YYYY")</f>
        <v>May-2024</v>
      </c>
      <c r="F45" s="42" t="str">
        <f t="shared" si="2"/>
        <v>Q2-2024</v>
      </c>
      <c r="G45" s="37" t="s">
        <v>52</v>
      </c>
      <c r="H45" s="37" t="s">
        <v>53</v>
      </c>
      <c r="I45" s="37" t="s">
        <v>179</v>
      </c>
      <c r="J45" s="37" t="s">
        <v>105</v>
      </c>
      <c r="K45" s="37" t="s">
        <v>40</v>
      </c>
      <c r="L45" s="37" t="s">
        <v>95</v>
      </c>
      <c r="M45" s="37" t="s">
        <v>22</v>
      </c>
      <c r="N45" s="37" t="s">
        <v>180</v>
      </c>
      <c r="O45" s="42">
        <v>675.43</v>
      </c>
      <c r="P45" s="43" t="str">
        <f t="shared" si="3"/>
        <v>High</v>
      </c>
      <c r="Q45" s="42">
        <v>996.36</v>
      </c>
      <c r="R45" s="42">
        <v>0.182</v>
      </c>
      <c r="S45" s="42">
        <v>22</v>
      </c>
      <c r="T45" s="42">
        <f t="shared" si="0"/>
        <v>22844.122400000004</v>
      </c>
      <c r="U45" s="37">
        <f t="shared" si="1"/>
        <v>14859.46</v>
      </c>
      <c r="V45" s="42">
        <f t="shared" si="4"/>
        <v>7984.6624000000047</v>
      </c>
      <c r="W45" s="44">
        <f t="shared" si="5"/>
        <v>0.34952808692707771</v>
      </c>
    </row>
    <row r="46" spans="1:23" x14ac:dyDescent="0.3">
      <c r="A46" s="45" t="s">
        <v>181</v>
      </c>
      <c r="B46" s="46">
        <v>45035</v>
      </c>
      <c r="C46" s="47">
        <v>45046</v>
      </c>
      <c r="D46" s="48">
        <f t="shared" si="6"/>
        <v>11</v>
      </c>
      <c r="E46" s="48" t="str">
        <f>TEXT(Data!B46,"MMM-YYYY")</f>
        <v>Apr-2023</v>
      </c>
      <c r="F46" s="48" t="str">
        <f t="shared" si="2"/>
        <v>Q2-2023</v>
      </c>
      <c r="G46" s="38" t="s">
        <v>45</v>
      </c>
      <c r="H46" s="38" t="s">
        <v>60</v>
      </c>
      <c r="I46" s="38" t="s">
        <v>141</v>
      </c>
      <c r="J46" s="38" t="s">
        <v>62</v>
      </c>
      <c r="K46" s="38" t="s">
        <v>20</v>
      </c>
      <c r="L46" s="38" t="s">
        <v>75</v>
      </c>
      <c r="M46" s="38" t="s">
        <v>35</v>
      </c>
      <c r="N46" s="38" t="s">
        <v>182</v>
      </c>
      <c r="O46" s="48">
        <v>826.55</v>
      </c>
      <c r="P46" s="49" t="str">
        <f t="shared" si="3"/>
        <v>High</v>
      </c>
      <c r="Q46" s="48">
        <v>1397.05</v>
      </c>
      <c r="R46" s="48">
        <v>0.16900000000000001</v>
      </c>
      <c r="S46" s="48">
        <v>28</v>
      </c>
      <c r="T46" s="48">
        <f t="shared" si="0"/>
        <v>14447.799239999997</v>
      </c>
      <c r="U46" s="38">
        <f t="shared" si="1"/>
        <v>23143.399999999998</v>
      </c>
      <c r="V46" s="48">
        <f t="shared" si="4"/>
        <v>-8695.6007600000012</v>
      </c>
      <c r="W46" s="50">
        <f t="shared" si="5"/>
        <v>-0.6018633437212686</v>
      </c>
    </row>
    <row r="47" spans="1:23" x14ac:dyDescent="0.3">
      <c r="A47" s="39" t="s">
        <v>183</v>
      </c>
      <c r="B47" s="40">
        <v>45100</v>
      </c>
      <c r="C47" s="41">
        <v>45110</v>
      </c>
      <c r="D47" s="42">
        <f t="shared" si="6"/>
        <v>10</v>
      </c>
      <c r="E47" s="42" t="str">
        <f>TEXT(Data!B47,"MMM-YYYY")</f>
        <v>Jun-2023</v>
      </c>
      <c r="F47" s="42" t="str">
        <f t="shared" si="2"/>
        <v>Q2-2023</v>
      </c>
      <c r="G47" s="37" t="s">
        <v>16</v>
      </c>
      <c r="H47" s="37" t="s">
        <v>25</v>
      </c>
      <c r="I47" s="37" t="s">
        <v>67</v>
      </c>
      <c r="J47" s="37" t="s">
        <v>48</v>
      </c>
      <c r="K47" s="37" t="s">
        <v>28</v>
      </c>
      <c r="L47" s="37" t="s">
        <v>29</v>
      </c>
      <c r="M47" s="37" t="s">
        <v>30</v>
      </c>
      <c r="N47" s="37" t="s">
        <v>184</v>
      </c>
      <c r="O47" s="42">
        <v>337.75</v>
      </c>
      <c r="P47" s="43" t="str">
        <f t="shared" si="3"/>
        <v>High</v>
      </c>
      <c r="Q47" s="42">
        <v>548.89</v>
      </c>
      <c r="R47" s="42">
        <v>0</v>
      </c>
      <c r="S47" s="42">
        <v>13</v>
      </c>
      <c r="T47" s="42">
        <f t="shared" si="0"/>
        <v>18926.830000000002</v>
      </c>
      <c r="U47" s="37">
        <f t="shared" si="1"/>
        <v>4390.75</v>
      </c>
      <c r="V47" s="42">
        <f t="shared" si="4"/>
        <v>14536.080000000002</v>
      </c>
      <c r="W47" s="44">
        <f t="shared" si="5"/>
        <v>0.76801450639119173</v>
      </c>
    </row>
    <row r="48" spans="1:23" x14ac:dyDescent="0.3">
      <c r="A48" s="45" t="s">
        <v>185</v>
      </c>
      <c r="B48" s="46">
        <v>45426</v>
      </c>
      <c r="C48" s="47">
        <v>45440</v>
      </c>
      <c r="D48" s="48">
        <f t="shared" si="6"/>
        <v>14</v>
      </c>
      <c r="E48" s="48" t="str">
        <f>TEXT(Data!B48,"MMM-YYYY")</f>
        <v>May-2024</v>
      </c>
      <c r="F48" s="48" t="str">
        <f t="shared" si="2"/>
        <v>Q2-2024</v>
      </c>
      <c r="G48" s="38" t="s">
        <v>78</v>
      </c>
      <c r="H48" s="38" t="s">
        <v>108</v>
      </c>
      <c r="I48" s="38" t="s">
        <v>109</v>
      </c>
      <c r="J48" s="38" t="s">
        <v>48</v>
      </c>
      <c r="K48" s="38" t="s">
        <v>20</v>
      </c>
      <c r="L48" s="38" t="s">
        <v>56</v>
      </c>
      <c r="M48" s="38" t="s">
        <v>35</v>
      </c>
      <c r="N48" s="38" t="s">
        <v>186</v>
      </c>
      <c r="O48" s="48">
        <v>1421.14</v>
      </c>
      <c r="P48" s="49" t="str">
        <f t="shared" si="3"/>
        <v>High</v>
      </c>
      <c r="Q48" s="48">
        <v>3524</v>
      </c>
      <c r="R48" s="48">
        <v>0</v>
      </c>
      <c r="S48" s="48">
        <v>31</v>
      </c>
      <c r="T48" s="48">
        <f t="shared" si="0"/>
        <v>16939.329999999998</v>
      </c>
      <c r="U48" s="38">
        <f t="shared" si="1"/>
        <v>44055.340000000004</v>
      </c>
      <c r="V48" s="48">
        <f t="shared" si="4"/>
        <v>-27116.010000000006</v>
      </c>
      <c r="W48" s="50">
        <f t="shared" si="5"/>
        <v>-1.6007722855626527</v>
      </c>
    </row>
    <row r="49" spans="1:23" x14ac:dyDescent="0.3">
      <c r="A49" s="39" t="s">
        <v>187</v>
      </c>
      <c r="B49" s="40">
        <v>45579</v>
      </c>
      <c r="C49" s="41">
        <v>45604</v>
      </c>
      <c r="D49" s="42">
        <f t="shared" si="6"/>
        <v>25</v>
      </c>
      <c r="E49" s="42" t="str">
        <f>TEXT(Data!B49,"MMM-YYYY")</f>
        <v>Oct-2024</v>
      </c>
      <c r="F49" s="42" t="str">
        <f t="shared" si="2"/>
        <v>Q4-2024</v>
      </c>
      <c r="G49" s="37" t="s">
        <v>16</v>
      </c>
      <c r="H49" s="37" t="s">
        <v>25</v>
      </c>
      <c r="I49" s="37" t="s">
        <v>38</v>
      </c>
      <c r="J49" s="37" t="s">
        <v>105</v>
      </c>
      <c r="K49" s="37" t="s">
        <v>28</v>
      </c>
      <c r="L49" s="37" t="s">
        <v>68</v>
      </c>
      <c r="M49" s="37" t="s">
        <v>35</v>
      </c>
      <c r="N49" s="37" t="s">
        <v>188</v>
      </c>
      <c r="O49" s="42">
        <v>859.35</v>
      </c>
      <c r="P49" s="43" t="str">
        <f t="shared" si="3"/>
        <v>High</v>
      </c>
      <c r="Q49" s="42">
        <v>1825.61</v>
      </c>
      <c r="R49" s="42">
        <v>0.187</v>
      </c>
      <c r="S49" s="42">
        <v>24</v>
      </c>
      <c r="T49" s="42">
        <f t="shared" si="0"/>
        <v>26300.615040000001</v>
      </c>
      <c r="U49" s="37">
        <f t="shared" si="1"/>
        <v>20624.400000000001</v>
      </c>
      <c r="V49" s="42">
        <f t="shared" si="4"/>
        <v>5676.2150399999991</v>
      </c>
      <c r="W49" s="44">
        <f t="shared" si="5"/>
        <v>0.21582061983596865</v>
      </c>
    </row>
    <row r="50" spans="1:23" x14ac:dyDescent="0.3">
      <c r="A50" s="45" t="s">
        <v>189</v>
      </c>
      <c r="B50" s="46">
        <v>45117</v>
      </c>
      <c r="C50" s="47">
        <v>45139</v>
      </c>
      <c r="D50" s="48">
        <f t="shared" si="6"/>
        <v>22</v>
      </c>
      <c r="E50" s="48" t="str">
        <f>TEXT(Data!B50,"MMM-YYYY")</f>
        <v>Jul-2023</v>
      </c>
      <c r="F50" s="48" t="str">
        <f t="shared" si="2"/>
        <v>Q3-2023</v>
      </c>
      <c r="G50" s="38" t="s">
        <v>78</v>
      </c>
      <c r="H50" s="38" t="s">
        <v>90</v>
      </c>
      <c r="I50" s="38" t="s">
        <v>91</v>
      </c>
      <c r="J50" s="38" t="s">
        <v>48</v>
      </c>
      <c r="K50" s="38" t="s">
        <v>40</v>
      </c>
      <c r="L50" s="38" t="s">
        <v>56</v>
      </c>
      <c r="M50" s="38" t="s">
        <v>30</v>
      </c>
      <c r="N50" s="38" t="s">
        <v>190</v>
      </c>
      <c r="O50" s="48">
        <v>1303.56</v>
      </c>
      <c r="P50" s="49" t="str">
        <f t="shared" si="3"/>
        <v>High</v>
      </c>
      <c r="Q50" s="48">
        <v>1791.37</v>
      </c>
      <c r="R50" s="48">
        <v>0.126</v>
      </c>
      <c r="S50" s="48">
        <v>22</v>
      </c>
      <c r="T50" s="48">
        <f t="shared" si="0"/>
        <v>21312.892040000002</v>
      </c>
      <c r="U50" s="38">
        <f t="shared" si="1"/>
        <v>28678.32</v>
      </c>
      <c r="V50" s="48">
        <f t="shared" si="4"/>
        <v>-7365.4279599999973</v>
      </c>
      <c r="W50" s="50">
        <f t="shared" si="5"/>
        <v>-0.34558557075110097</v>
      </c>
    </row>
    <row r="51" spans="1:23" x14ac:dyDescent="0.3">
      <c r="A51" s="39" t="s">
        <v>191</v>
      </c>
      <c r="B51" s="40">
        <v>45602</v>
      </c>
      <c r="C51" s="41">
        <v>45618</v>
      </c>
      <c r="D51" s="42">
        <f t="shared" si="6"/>
        <v>16</v>
      </c>
      <c r="E51" s="42" t="str">
        <f>TEXT(Data!B51,"MMM-YYYY")</f>
        <v>Nov-2024</v>
      </c>
      <c r="F51" s="42" t="str">
        <f t="shared" si="2"/>
        <v>Q4-2024</v>
      </c>
      <c r="G51" s="37" t="s">
        <v>52</v>
      </c>
      <c r="H51" s="37" t="s">
        <v>53</v>
      </c>
      <c r="I51" s="37" t="s">
        <v>54</v>
      </c>
      <c r="J51" s="37" t="s">
        <v>39</v>
      </c>
      <c r="K51" s="37" t="s">
        <v>55</v>
      </c>
      <c r="L51" s="37" t="s">
        <v>145</v>
      </c>
      <c r="M51" s="37" t="s">
        <v>81</v>
      </c>
      <c r="N51" s="37" t="s">
        <v>192</v>
      </c>
      <c r="O51" s="42">
        <v>1454.11</v>
      </c>
      <c r="P51" s="43" t="str">
        <f t="shared" si="3"/>
        <v>High</v>
      </c>
      <c r="Q51" s="42">
        <v>2629.75</v>
      </c>
      <c r="R51" s="42">
        <v>0.29199999999999998</v>
      </c>
      <c r="S51" s="42">
        <v>8</v>
      </c>
      <c r="T51" s="42">
        <f t="shared" si="0"/>
        <v>17808.182399999998</v>
      </c>
      <c r="U51" s="37">
        <f t="shared" si="1"/>
        <v>11632.88</v>
      </c>
      <c r="V51" s="42">
        <f t="shared" si="4"/>
        <v>6175.3023999999987</v>
      </c>
      <c r="W51" s="44">
        <f t="shared" si="5"/>
        <v>0.34676769707839467</v>
      </c>
    </row>
    <row r="52" spans="1:23" x14ac:dyDescent="0.3">
      <c r="A52" s="45" t="s">
        <v>193</v>
      </c>
      <c r="B52" s="46">
        <v>45582</v>
      </c>
      <c r="C52" s="47">
        <v>45602</v>
      </c>
      <c r="D52" s="48">
        <f t="shared" si="6"/>
        <v>20</v>
      </c>
      <c r="E52" s="48" t="str">
        <f>TEXT(Data!B52,"MMM-YYYY")</f>
        <v>Oct-2024</v>
      </c>
      <c r="F52" s="48" t="str">
        <f t="shared" si="2"/>
        <v>Q4-2024</v>
      </c>
      <c r="G52" s="38" t="s">
        <v>45</v>
      </c>
      <c r="H52" s="38" t="s">
        <v>60</v>
      </c>
      <c r="I52" s="38" t="s">
        <v>61</v>
      </c>
      <c r="J52" s="38" t="s">
        <v>105</v>
      </c>
      <c r="K52" s="38" t="s">
        <v>55</v>
      </c>
      <c r="L52" s="38" t="s">
        <v>68</v>
      </c>
      <c r="M52" s="38" t="s">
        <v>64</v>
      </c>
      <c r="N52" s="38" t="s">
        <v>194</v>
      </c>
      <c r="O52" s="48">
        <v>72.94</v>
      </c>
      <c r="P52" s="49" t="str">
        <f t="shared" si="3"/>
        <v>Medium</v>
      </c>
      <c r="Q52" s="48">
        <v>106.3</v>
      </c>
      <c r="R52" s="48">
        <v>0.29499999999999998</v>
      </c>
      <c r="S52" s="48">
        <v>8</v>
      </c>
      <c r="T52" s="48">
        <f t="shared" si="0"/>
        <v>11819.917200000002</v>
      </c>
      <c r="U52" s="38">
        <f t="shared" si="1"/>
        <v>583.52</v>
      </c>
      <c r="V52" s="48">
        <f t="shared" si="4"/>
        <v>11236.397200000001</v>
      </c>
      <c r="W52" s="50">
        <f t="shared" si="5"/>
        <v>0.95063247989588284</v>
      </c>
    </row>
    <row r="53" spans="1:23" x14ac:dyDescent="0.3">
      <c r="A53" s="39" t="s">
        <v>195</v>
      </c>
      <c r="B53" s="40">
        <v>45016</v>
      </c>
      <c r="C53" s="41">
        <v>45021</v>
      </c>
      <c r="D53" s="42">
        <f t="shared" si="6"/>
        <v>5</v>
      </c>
      <c r="E53" s="42" t="str">
        <f>TEXT(Data!B53,"MMM-YYYY")</f>
        <v>Mar-2023</v>
      </c>
      <c r="F53" s="42" t="str">
        <f t="shared" si="2"/>
        <v>Q1-2023</v>
      </c>
      <c r="G53" s="37" t="s">
        <v>16</v>
      </c>
      <c r="H53" s="37" t="s">
        <v>17</v>
      </c>
      <c r="I53" s="37" t="s">
        <v>135</v>
      </c>
      <c r="J53" s="37" t="s">
        <v>27</v>
      </c>
      <c r="K53" s="37" t="s">
        <v>40</v>
      </c>
      <c r="L53" s="37" t="s">
        <v>56</v>
      </c>
      <c r="M53" s="37" t="s">
        <v>57</v>
      </c>
      <c r="N53" s="37" t="s">
        <v>196</v>
      </c>
      <c r="O53" s="42">
        <v>533.26</v>
      </c>
      <c r="P53" s="43" t="str">
        <f t="shared" si="3"/>
        <v>High</v>
      </c>
      <c r="Q53" s="42">
        <v>385.72</v>
      </c>
      <c r="R53" s="42">
        <v>0</v>
      </c>
      <c r="S53" s="42">
        <v>15</v>
      </c>
      <c r="T53" s="42">
        <f t="shared" si="0"/>
        <v>10554.3</v>
      </c>
      <c r="U53" s="37">
        <f t="shared" si="1"/>
        <v>7998.9</v>
      </c>
      <c r="V53" s="42">
        <f t="shared" si="4"/>
        <v>2555.3999999999996</v>
      </c>
      <c r="W53" s="44">
        <f t="shared" si="5"/>
        <v>0.24211932577243397</v>
      </c>
    </row>
    <row r="54" spans="1:23" x14ac:dyDescent="0.3">
      <c r="A54" s="45" t="s">
        <v>197</v>
      </c>
      <c r="B54" s="46">
        <v>45678</v>
      </c>
      <c r="C54" s="47">
        <v>45704</v>
      </c>
      <c r="D54" s="48">
        <f t="shared" si="6"/>
        <v>26</v>
      </c>
      <c r="E54" s="48" t="str">
        <f>TEXT(Data!B54,"MMM-YYYY")</f>
        <v>Jan-2025</v>
      </c>
      <c r="F54" s="48" t="str">
        <f t="shared" si="2"/>
        <v>Q1-2025</v>
      </c>
      <c r="G54" s="38" t="s">
        <v>78</v>
      </c>
      <c r="H54" s="38" t="s">
        <v>90</v>
      </c>
      <c r="I54" s="38" t="s">
        <v>138</v>
      </c>
      <c r="J54" s="38" t="s">
        <v>19</v>
      </c>
      <c r="K54" s="38" t="s">
        <v>55</v>
      </c>
      <c r="L54" s="38" t="s">
        <v>68</v>
      </c>
      <c r="M54" s="38" t="s">
        <v>57</v>
      </c>
      <c r="N54" s="38" t="s">
        <v>198</v>
      </c>
      <c r="O54" s="48">
        <v>204.11</v>
      </c>
      <c r="P54" s="49" t="str">
        <f t="shared" si="3"/>
        <v>High</v>
      </c>
      <c r="Q54" s="48">
        <v>236.87</v>
      </c>
      <c r="R54" s="48">
        <v>0.182</v>
      </c>
      <c r="S54" s="48">
        <v>13</v>
      </c>
      <c r="T54" s="48">
        <f t="shared" si="0"/>
        <v>21238.118460000002</v>
      </c>
      <c r="U54" s="38">
        <f t="shared" si="1"/>
        <v>2653.4300000000003</v>
      </c>
      <c r="V54" s="48">
        <f t="shared" si="4"/>
        <v>18584.688460000001</v>
      </c>
      <c r="W54" s="50">
        <f t="shared" si="5"/>
        <v>0.87506284961177294</v>
      </c>
    </row>
    <row r="55" spans="1:23" x14ac:dyDescent="0.3">
      <c r="A55" s="39" t="s">
        <v>199</v>
      </c>
      <c r="B55" s="40">
        <v>45168</v>
      </c>
      <c r="C55" s="41">
        <v>45170</v>
      </c>
      <c r="D55" s="42">
        <f t="shared" si="6"/>
        <v>2</v>
      </c>
      <c r="E55" s="42" t="str">
        <f>TEXT(Data!B55,"MMM-YYYY")</f>
        <v>Aug-2023</v>
      </c>
      <c r="F55" s="42" t="str">
        <f t="shared" si="2"/>
        <v>Q3-2023</v>
      </c>
      <c r="G55" s="37" t="s">
        <v>78</v>
      </c>
      <c r="H55" s="37" t="s">
        <v>79</v>
      </c>
      <c r="I55" s="37" t="s">
        <v>159</v>
      </c>
      <c r="J55" s="37" t="s">
        <v>19</v>
      </c>
      <c r="K55" s="37" t="s">
        <v>98</v>
      </c>
      <c r="L55" s="37" t="s">
        <v>126</v>
      </c>
      <c r="M55" s="37" t="s">
        <v>35</v>
      </c>
      <c r="N55" s="37" t="s">
        <v>200</v>
      </c>
      <c r="O55" s="42">
        <v>44.42</v>
      </c>
      <c r="P55" s="43" t="str">
        <f t="shared" si="3"/>
        <v>Low</v>
      </c>
      <c r="Q55" s="42">
        <v>41.9</v>
      </c>
      <c r="R55" s="42">
        <v>0.14399999999999999</v>
      </c>
      <c r="S55" s="42">
        <v>6</v>
      </c>
      <c r="T55" s="42">
        <f t="shared" si="0"/>
        <v>14195.647199999998</v>
      </c>
      <c r="U55" s="37">
        <f t="shared" si="1"/>
        <v>266.52</v>
      </c>
      <c r="V55" s="42">
        <f t="shared" si="4"/>
        <v>13929.127199999997</v>
      </c>
      <c r="W55" s="44">
        <f t="shared" si="5"/>
        <v>0.9812252307876459</v>
      </c>
    </row>
    <row r="56" spans="1:23" x14ac:dyDescent="0.3">
      <c r="A56" s="45" t="s">
        <v>201</v>
      </c>
      <c r="B56" s="46">
        <v>45753</v>
      </c>
      <c r="C56" s="47">
        <v>45777</v>
      </c>
      <c r="D56" s="48">
        <f t="shared" si="6"/>
        <v>24</v>
      </c>
      <c r="E56" s="48" t="str">
        <f>TEXT(Data!B56,"MMM-YYYY")</f>
        <v>Apr-2025</v>
      </c>
      <c r="F56" s="48" t="str">
        <f t="shared" si="2"/>
        <v>Q2-2025</v>
      </c>
      <c r="G56" s="38" t="s">
        <v>52</v>
      </c>
      <c r="H56" s="38" t="s">
        <v>73</v>
      </c>
      <c r="I56" s="38" t="s">
        <v>87</v>
      </c>
      <c r="J56" s="38" t="s">
        <v>27</v>
      </c>
      <c r="K56" s="38" t="s">
        <v>28</v>
      </c>
      <c r="L56" s="38" t="s">
        <v>95</v>
      </c>
      <c r="M56" s="38" t="s">
        <v>64</v>
      </c>
      <c r="N56" s="38" t="s">
        <v>202</v>
      </c>
      <c r="O56" s="48">
        <v>855.78</v>
      </c>
      <c r="P56" s="49" t="str">
        <f t="shared" si="3"/>
        <v>High</v>
      </c>
      <c r="Q56" s="48">
        <v>977.38</v>
      </c>
      <c r="R56" s="48">
        <v>0.14699999999999999</v>
      </c>
      <c r="S56" s="48">
        <v>38</v>
      </c>
      <c r="T56" s="48">
        <f t="shared" si="0"/>
        <v>48735.421419999999</v>
      </c>
      <c r="U56" s="38">
        <f t="shared" si="1"/>
        <v>32519.64</v>
      </c>
      <c r="V56" s="48">
        <f t="shared" si="4"/>
        <v>16215.781419999999</v>
      </c>
      <c r="W56" s="50">
        <f t="shared" si="5"/>
        <v>0.33273091619036216</v>
      </c>
    </row>
    <row r="57" spans="1:23" x14ac:dyDescent="0.3">
      <c r="A57" s="39" t="s">
        <v>203</v>
      </c>
      <c r="B57" s="40">
        <v>45697</v>
      </c>
      <c r="C57" s="41">
        <v>45717</v>
      </c>
      <c r="D57" s="42">
        <f t="shared" si="6"/>
        <v>20</v>
      </c>
      <c r="E57" s="42" t="str">
        <f>TEXT(Data!B57,"MMM-YYYY")</f>
        <v>Feb-2025</v>
      </c>
      <c r="F57" s="42" t="str">
        <f t="shared" si="2"/>
        <v>Q1-2025</v>
      </c>
      <c r="G57" s="37" t="s">
        <v>52</v>
      </c>
      <c r="H57" s="37" t="s">
        <v>73</v>
      </c>
      <c r="I57" s="37" t="s">
        <v>74</v>
      </c>
      <c r="J57" s="37" t="s">
        <v>19</v>
      </c>
      <c r="K57" s="37" t="s">
        <v>55</v>
      </c>
      <c r="L57" s="37" t="s">
        <v>56</v>
      </c>
      <c r="M57" s="37" t="s">
        <v>57</v>
      </c>
      <c r="N57" s="37" t="s">
        <v>204</v>
      </c>
      <c r="O57" s="42">
        <v>1154.6400000000001</v>
      </c>
      <c r="P57" s="43" t="str">
        <f t="shared" si="3"/>
        <v>High</v>
      </c>
      <c r="Q57" s="42">
        <v>2794.13</v>
      </c>
      <c r="R57" s="42">
        <v>3.5000000000000003E-2</v>
      </c>
      <c r="S57" s="42">
        <v>11</v>
      </c>
      <c r="T57" s="42">
        <f t="shared" si="0"/>
        <v>4119.0446000000002</v>
      </c>
      <c r="U57" s="37">
        <f t="shared" si="1"/>
        <v>12701.04</v>
      </c>
      <c r="V57" s="42">
        <f t="shared" si="4"/>
        <v>-8581.9953999999998</v>
      </c>
      <c r="W57" s="44">
        <f t="shared" si="5"/>
        <v>-2.0834917398078185</v>
      </c>
    </row>
    <row r="58" spans="1:23" x14ac:dyDescent="0.3">
      <c r="A58" s="45" t="s">
        <v>205</v>
      </c>
      <c r="B58" s="46">
        <v>45643</v>
      </c>
      <c r="C58" s="47">
        <v>45644</v>
      </c>
      <c r="D58" s="48">
        <f t="shared" si="6"/>
        <v>1</v>
      </c>
      <c r="E58" s="48" t="str">
        <f>TEXT(Data!B58,"MMM-YYYY")</f>
        <v>Dec-2024</v>
      </c>
      <c r="F58" s="48" t="str">
        <f t="shared" si="2"/>
        <v>Q4-2024</v>
      </c>
      <c r="G58" s="38" t="s">
        <v>78</v>
      </c>
      <c r="H58" s="38" t="s">
        <v>79</v>
      </c>
      <c r="I58" s="38" t="s">
        <v>159</v>
      </c>
      <c r="J58" s="38" t="s">
        <v>27</v>
      </c>
      <c r="K58" s="38" t="s">
        <v>20</v>
      </c>
      <c r="L58" s="38" t="s">
        <v>49</v>
      </c>
      <c r="M58" s="38" t="s">
        <v>81</v>
      </c>
      <c r="N58" s="38" t="s">
        <v>206</v>
      </c>
      <c r="O58" s="48">
        <v>346.82</v>
      </c>
      <c r="P58" s="49" t="str">
        <f t="shared" si="3"/>
        <v>High</v>
      </c>
      <c r="Q58" s="48">
        <v>701.95</v>
      </c>
      <c r="R58" s="48">
        <v>0.14699999999999999</v>
      </c>
      <c r="S58" s="48">
        <v>8</v>
      </c>
      <c r="T58" s="48">
        <f t="shared" si="0"/>
        <v>304.14567999999997</v>
      </c>
      <c r="U58" s="38">
        <f t="shared" si="1"/>
        <v>2774.56</v>
      </c>
      <c r="V58" s="48">
        <f t="shared" si="4"/>
        <v>-2470.4143199999999</v>
      </c>
      <c r="W58" s="50">
        <f t="shared" si="5"/>
        <v>-8.122470521363315</v>
      </c>
    </row>
    <row r="59" spans="1:23" x14ac:dyDescent="0.3">
      <c r="A59" s="39" t="s">
        <v>207</v>
      </c>
      <c r="B59" s="40">
        <v>45817</v>
      </c>
      <c r="C59" s="41">
        <v>45826</v>
      </c>
      <c r="D59" s="42">
        <f t="shared" si="6"/>
        <v>9</v>
      </c>
      <c r="E59" s="42" t="str">
        <f>TEXT(Data!B59,"MMM-YYYY")</f>
        <v>Jun-2025</v>
      </c>
      <c r="F59" s="42" t="str">
        <f t="shared" si="2"/>
        <v>Q2-2025</v>
      </c>
      <c r="G59" s="37" t="s">
        <v>78</v>
      </c>
      <c r="H59" s="37" t="s">
        <v>90</v>
      </c>
      <c r="I59" s="37" t="s">
        <v>91</v>
      </c>
      <c r="J59" s="37" t="s">
        <v>62</v>
      </c>
      <c r="K59" s="37" t="s">
        <v>40</v>
      </c>
      <c r="L59" s="37" t="s">
        <v>92</v>
      </c>
      <c r="M59" s="37" t="s">
        <v>81</v>
      </c>
      <c r="N59" s="37" t="s">
        <v>208</v>
      </c>
      <c r="O59" s="42">
        <v>1225.5</v>
      </c>
      <c r="P59" s="43" t="str">
        <f t="shared" si="3"/>
        <v>Low</v>
      </c>
      <c r="Q59" s="42">
        <v>-5.27</v>
      </c>
      <c r="R59" s="42">
        <v>7.4999999999999997E-2</v>
      </c>
      <c r="S59" s="42">
        <v>56</v>
      </c>
      <c r="T59" s="42">
        <f t="shared" si="0"/>
        <v>93667.868000000002</v>
      </c>
      <c r="U59" s="37">
        <f t="shared" si="1"/>
        <v>68628</v>
      </c>
      <c r="V59" s="42">
        <f t="shared" si="4"/>
        <v>25039.868000000002</v>
      </c>
      <c r="W59" s="44">
        <f t="shared" si="5"/>
        <v>0.2673261229774121</v>
      </c>
    </row>
    <row r="60" spans="1:23" x14ac:dyDescent="0.3">
      <c r="A60" s="45" t="s">
        <v>209</v>
      </c>
      <c r="B60" s="46">
        <v>45779</v>
      </c>
      <c r="C60" s="47">
        <v>45790</v>
      </c>
      <c r="D60" s="48">
        <f t="shared" si="6"/>
        <v>11</v>
      </c>
      <c r="E60" s="48" t="str">
        <f>TEXT(Data!B60,"MMM-YYYY")</f>
        <v>May-2025</v>
      </c>
      <c r="F60" s="48" t="str">
        <f t="shared" si="2"/>
        <v>Q2-2025</v>
      </c>
      <c r="G60" s="38" t="s">
        <v>16</v>
      </c>
      <c r="H60" s="38" t="s">
        <v>17</v>
      </c>
      <c r="I60" s="38" t="s">
        <v>135</v>
      </c>
      <c r="J60" s="38" t="s">
        <v>62</v>
      </c>
      <c r="K60" s="38" t="s">
        <v>28</v>
      </c>
      <c r="L60" s="38" t="s">
        <v>75</v>
      </c>
      <c r="M60" s="38" t="s">
        <v>81</v>
      </c>
      <c r="N60" s="38" t="s">
        <v>210</v>
      </c>
      <c r="O60" s="48">
        <v>1057.5999999999999</v>
      </c>
      <c r="P60" s="49" t="str">
        <f t="shared" si="3"/>
        <v>High</v>
      </c>
      <c r="Q60" s="48">
        <v>1437.06</v>
      </c>
      <c r="R60" s="48">
        <v>0.20499999999999999</v>
      </c>
      <c r="S60" s="48">
        <v>4</v>
      </c>
      <c r="T60" s="48">
        <f t="shared" si="0"/>
        <v>4086.5861999999997</v>
      </c>
      <c r="U60" s="38">
        <f t="shared" si="1"/>
        <v>4230.3999999999996</v>
      </c>
      <c r="V60" s="48">
        <f t="shared" si="4"/>
        <v>-143.8137999999999</v>
      </c>
      <c r="W60" s="50">
        <f t="shared" si="5"/>
        <v>-3.5191671718560573E-2</v>
      </c>
    </row>
    <row r="61" spans="1:23" x14ac:dyDescent="0.3">
      <c r="A61" s="39" t="s">
        <v>211</v>
      </c>
      <c r="B61" s="40">
        <v>45361</v>
      </c>
      <c r="C61" s="41">
        <v>45391</v>
      </c>
      <c r="D61" s="42">
        <f t="shared" si="6"/>
        <v>30</v>
      </c>
      <c r="E61" s="42" t="str">
        <f>TEXT(Data!B61,"MMM-YYYY")</f>
        <v>Mar-2024</v>
      </c>
      <c r="F61" s="42" t="str">
        <f t="shared" si="2"/>
        <v>Q1-2024</v>
      </c>
      <c r="G61" s="37" t="s">
        <v>78</v>
      </c>
      <c r="H61" s="37" t="s">
        <v>90</v>
      </c>
      <c r="I61" s="37" t="s">
        <v>138</v>
      </c>
      <c r="J61" s="37" t="s">
        <v>19</v>
      </c>
      <c r="K61" s="37" t="s">
        <v>98</v>
      </c>
      <c r="L61" s="37" t="s">
        <v>34</v>
      </c>
      <c r="M61" s="37" t="s">
        <v>22</v>
      </c>
      <c r="N61" s="37" t="s">
        <v>212</v>
      </c>
      <c r="O61" s="42">
        <v>1176.56</v>
      </c>
      <c r="P61" s="43" t="str">
        <f t="shared" si="3"/>
        <v>High</v>
      </c>
      <c r="Q61" s="42">
        <v>1911.89</v>
      </c>
      <c r="R61" s="42">
        <v>0.11899999999999999</v>
      </c>
      <c r="S61" s="42">
        <v>20</v>
      </c>
      <c r="T61" s="42">
        <f t="shared" si="0"/>
        <v>29568.826800000003</v>
      </c>
      <c r="U61" s="37">
        <f t="shared" si="1"/>
        <v>23531.199999999997</v>
      </c>
      <c r="V61" s="42">
        <f t="shared" si="4"/>
        <v>6037.6268000000055</v>
      </c>
      <c r="W61" s="44">
        <f t="shared" si="5"/>
        <v>0.20418891966319086</v>
      </c>
    </row>
    <row r="62" spans="1:23" x14ac:dyDescent="0.3">
      <c r="A62" s="45" t="s">
        <v>213</v>
      </c>
      <c r="B62" s="46">
        <v>45910</v>
      </c>
      <c r="C62" s="47">
        <v>45912</v>
      </c>
      <c r="D62" s="48">
        <f t="shared" si="6"/>
        <v>2</v>
      </c>
      <c r="E62" s="48" t="str">
        <f>TEXT(Data!B62,"MMM-YYYY")</f>
        <v>Sept-2025</v>
      </c>
      <c r="F62" s="48" t="str">
        <f t="shared" si="2"/>
        <v>Q3-2025</v>
      </c>
      <c r="G62" s="38" t="s">
        <v>45</v>
      </c>
      <c r="H62" s="38" t="s">
        <v>46</v>
      </c>
      <c r="I62" s="38" t="s">
        <v>214</v>
      </c>
      <c r="J62" s="38" t="s">
        <v>48</v>
      </c>
      <c r="K62" s="38" t="s">
        <v>28</v>
      </c>
      <c r="L62" s="38" t="s">
        <v>68</v>
      </c>
      <c r="M62" s="38" t="s">
        <v>22</v>
      </c>
      <c r="N62" s="38" t="s">
        <v>215</v>
      </c>
      <c r="O62" s="48">
        <v>1470.15</v>
      </c>
      <c r="P62" s="49" t="str">
        <f t="shared" si="3"/>
        <v>High</v>
      </c>
      <c r="Q62" s="48">
        <v>2593.7800000000002</v>
      </c>
      <c r="R62" s="48">
        <v>0.11</v>
      </c>
      <c r="S62" s="48">
        <v>12</v>
      </c>
      <c r="T62" s="48">
        <f t="shared" si="0"/>
        <v>7255.4580000000005</v>
      </c>
      <c r="U62" s="38">
        <f t="shared" si="1"/>
        <v>17641.800000000003</v>
      </c>
      <c r="V62" s="48">
        <f t="shared" si="4"/>
        <v>-10386.342000000002</v>
      </c>
      <c r="W62" s="50">
        <f t="shared" si="5"/>
        <v>-1.4315212078961799</v>
      </c>
    </row>
    <row r="63" spans="1:23" x14ac:dyDescent="0.3">
      <c r="A63" s="39" t="s">
        <v>216</v>
      </c>
      <c r="B63" s="40">
        <v>45774</v>
      </c>
      <c r="C63" s="41">
        <v>45802</v>
      </c>
      <c r="D63" s="42">
        <f t="shared" si="6"/>
        <v>28</v>
      </c>
      <c r="E63" s="42" t="str">
        <f>TEXT(Data!B63,"MMM-YYYY")</f>
        <v>Apr-2025</v>
      </c>
      <c r="F63" s="42" t="str">
        <f t="shared" si="2"/>
        <v>Q2-2025</v>
      </c>
      <c r="G63" s="37" t="s">
        <v>78</v>
      </c>
      <c r="H63" s="37" t="s">
        <v>90</v>
      </c>
      <c r="I63" s="37" t="s">
        <v>217</v>
      </c>
      <c r="J63" s="37" t="s">
        <v>62</v>
      </c>
      <c r="K63" s="37" t="s">
        <v>40</v>
      </c>
      <c r="L63" s="37" t="s">
        <v>34</v>
      </c>
      <c r="M63" s="37" t="s">
        <v>42</v>
      </c>
      <c r="N63" s="37" t="s">
        <v>218</v>
      </c>
      <c r="O63" s="42">
        <v>603.45000000000005</v>
      </c>
      <c r="P63" s="43" t="str">
        <f t="shared" si="3"/>
        <v>High</v>
      </c>
      <c r="Q63" s="42">
        <v>1244.08</v>
      </c>
      <c r="R63" s="42">
        <v>0.2</v>
      </c>
      <c r="S63" s="42">
        <v>11</v>
      </c>
      <c r="T63" s="42">
        <f t="shared" si="0"/>
        <v>9767.2960000000003</v>
      </c>
      <c r="U63" s="37">
        <f t="shared" si="1"/>
        <v>6637.9500000000007</v>
      </c>
      <c r="V63" s="42">
        <f t="shared" si="4"/>
        <v>3129.3459999999995</v>
      </c>
      <c r="W63" s="44">
        <f t="shared" si="5"/>
        <v>0.32039020830330106</v>
      </c>
    </row>
    <row r="64" spans="1:23" x14ac:dyDescent="0.3">
      <c r="A64" s="45" t="s">
        <v>219</v>
      </c>
      <c r="B64" s="46">
        <v>45598</v>
      </c>
      <c r="C64" s="47">
        <v>45614</v>
      </c>
      <c r="D64" s="48">
        <f t="shared" si="6"/>
        <v>16</v>
      </c>
      <c r="E64" s="48" t="str">
        <f>TEXT(Data!B64,"MMM-YYYY")</f>
        <v>Nov-2024</v>
      </c>
      <c r="F64" s="48" t="str">
        <f t="shared" si="2"/>
        <v>Q4-2024</v>
      </c>
      <c r="G64" s="38" t="s">
        <v>45</v>
      </c>
      <c r="H64" s="38" t="s">
        <v>60</v>
      </c>
      <c r="I64" s="38" t="s">
        <v>220</v>
      </c>
      <c r="J64" s="38" t="s">
        <v>62</v>
      </c>
      <c r="K64" s="38" t="s">
        <v>55</v>
      </c>
      <c r="L64" s="38" t="s">
        <v>68</v>
      </c>
      <c r="M64" s="38" t="s">
        <v>64</v>
      </c>
      <c r="N64" s="38" t="s">
        <v>221</v>
      </c>
      <c r="O64" s="48">
        <v>1233.58</v>
      </c>
      <c r="P64" s="49" t="str">
        <f t="shared" si="3"/>
        <v>High</v>
      </c>
      <c r="Q64" s="48">
        <v>1912.51</v>
      </c>
      <c r="R64" s="48">
        <v>0.255</v>
      </c>
      <c r="S64" s="48">
        <v>51</v>
      </c>
      <c r="T64" s="48">
        <f t="shared" si="0"/>
        <v>3175.2421499999996</v>
      </c>
      <c r="U64" s="38">
        <f t="shared" si="1"/>
        <v>62912.579999999994</v>
      </c>
      <c r="V64" s="48">
        <f t="shared" si="4"/>
        <v>-59737.337849999996</v>
      </c>
      <c r="W64" s="50">
        <f t="shared" si="5"/>
        <v>-18.813474698299782</v>
      </c>
    </row>
    <row r="65" spans="1:23" x14ac:dyDescent="0.3">
      <c r="A65" s="39" t="s">
        <v>222</v>
      </c>
      <c r="B65" s="40">
        <v>44972</v>
      </c>
      <c r="C65" s="41">
        <v>44983</v>
      </c>
      <c r="D65" s="42">
        <f t="shared" si="6"/>
        <v>11</v>
      </c>
      <c r="E65" s="42" t="str">
        <f>TEXT(Data!B65,"MMM-YYYY")</f>
        <v>Feb-2023</v>
      </c>
      <c r="F65" s="42" t="str">
        <f t="shared" si="2"/>
        <v>Q1-2023</v>
      </c>
      <c r="G65" s="37" t="s">
        <v>16</v>
      </c>
      <c r="H65" s="37" t="s">
        <v>148</v>
      </c>
      <c r="I65" s="37" t="s">
        <v>149</v>
      </c>
      <c r="J65" s="37" t="s">
        <v>39</v>
      </c>
      <c r="K65" s="37" t="s">
        <v>20</v>
      </c>
      <c r="L65" s="37" t="s">
        <v>95</v>
      </c>
      <c r="M65" s="37" t="s">
        <v>57</v>
      </c>
      <c r="N65" s="37" t="s">
        <v>223</v>
      </c>
      <c r="O65" s="42">
        <v>498.5</v>
      </c>
      <c r="P65" s="43" t="str">
        <f t="shared" si="3"/>
        <v>High</v>
      </c>
      <c r="Q65" s="42">
        <v>755.87</v>
      </c>
      <c r="R65" s="42">
        <v>0.13</v>
      </c>
      <c r="S65" s="42">
        <v>40</v>
      </c>
      <c r="T65" s="42">
        <f t="shared" ref="T65:T128" si="7">(Q91*S65)*(1-R65)</f>
        <v>44693.64</v>
      </c>
      <c r="U65" s="37">
        <f t="shared" ref="U65:U128" si="8">(O65*S65)</f>
        <v>19940</v>
      </c>
      <c r="V65" s="42">
        <f t="shared" si="4"/>
        <v>24753.64</v>
      </c>
      <c r="W65" s="44">
        <f t="shared" si="5"/>
        <v>0.55385150996875621</v>
      </c>
    </row>
    <row r="66" spans="1:23" x14ac:dyDescent="0.3">
      <c r="A66" s="45" t="s">
        <v>224</v>
      </c>
      <c r="B66" s="46">
        <v>45263</v>
      </c>
      <c r="C66" s="47">
        <v>45286</v>
      </c>
      <c r="D66" s="48">
        <f t="shared" si="6"/>
        <v>23</v>
      </c>
      <c r="E66" s="48" t="str">
        <f>TEXT(Data!B66,"MMM-YYYY")</f>
        <v>Dec-2023</v>
      </c>
      <c r="F66" s="48" t="str">
        <f t="shared" ref="F66:F129" si="9">"Q"&amp;ROUNDUP(MONTH(B66)/3,0)&amp;"-"&amp;YEAR(B66)</f>
        <v>Q4-2023</v>
      </c>
      <c r="G66" s="38" t="s">
        <v>52</v>
      </c>
      <c r="H66" s="38" t="s">
        <v>73</v>
      </c>
      <c r="I66" s="38" t="s">
        <v>225</v>
      </c>
      <c r="J66" s="38" t="s">
        <v>27</v>
      </c>
      <c r="K66" s="38" t="s">
        <v>20</v>
      </c>
      <c r="L66" s="38" t="s">
        <v>68</v>
      </c>
      <c r="M66" s="38" t="s">
        <v>42</v>
      </c>
      <c r="N66" s="38" t="s">
        <v>226</v>
      </c>
      <c r="O66" s="48">
        <v>1303.1099999999999</v>
      </c>
      <c r="P66" s="49" t="str">
        <f t="shared" ref="P66:P129" si="10">IF(Q66&lt;50, "Low", IF(Q66&lt;200, "Medium", "High"))</f>
        <v>High</v>
      </c>
      <c r="Q66" s="48">
        <v>1145.67</v>
      </c>
      <c r="R66" s="48">
        <v>0.184</v>
      </c>
      <c r="S66" s="48">
        <v>13</v>
      </c>
      <c r="T66" s="48">
        <f t="shared" si="7"/>
        <v>9671.5257600000004</v>
      </c>
      <c r="U66" s="38">
        <f t="shared" si="8"/>
        <v>16940.43</v>
      </c>
      <c r="V66" s="48">
        <f t="shared" ref="V66:V129" si="11">(T66-U66)</f>
        <v>-7268.9042399999998</v>
      </c>
      <c r="W66" s="50">
        <f t="shared" ref="W66:W129" si="12">IF(T66=0, 0, V66/T66)</f>
        <v>-0.75157781929952694</v>
      </c>
    </row>
    <row r="67" spans="1:23" x14ac:dyDescent="0.3">
      <c r="A67" s="39" t="s">
        <v>227</v>
      </c>
      <c r="B67" s="40">
        <v>45004</v>
      </c>
      <c r="C67" s="41">
        <v>45025</v>
      </c>
      <c r="D67" s="42">
        <f t="shared" ref="D67:D130" si="13">DATEDIF(B67,C67, "MD")</f>
        <v>21</v>
      </c>
      <c r="E67" s="42" t="str">
        <f>TEXT(Data!B67,"MMM-YYYY")</f>
        <v>Mar-2023</v>
      </c>
      <c r="F67" s="42" t="str">
        <f t="shared" si="9"/>
        <v>Q1-2023</v>
      </c>
      <c r="G67" s="37" t="s">
        <v>78</v>
      </c>
      <c r="H67" s="37" t="s">
        <v>108</v>
      </c>
      <c r="I67" s="37" t="s">
        <v>228</v>
      </c>
      <c r="J67" s="37" t="s">
        <v>48</v>
      </c>
      <c r="K67" s="37" t="s">
        <v>20</v>
      </c>
      <c r="L67" s="37" t="s">
        <v>49</v>
      </c>
      <c r="M67" s="37" t="s">
        <v>81</v>
      </c>
      <c r="N67" s="37" t="s">
        <v>229</v>
      </c>
      <c r="O67" s="42">
        <v>1082.17</v>
      </c>
      <c r="P67" s="43" t="str">
        <f t="shared" si="10"/>
        <v>High</v>
      </c>
      <c r="Q67" s="42">
        <v>1234.0999999999999</v>
      </c>
      <c r="R67" s="42">
        <v>0.189</v>
      </c>
      <c r="S67" s="42">
        <v>16</v>
      </c>
      <c r="T67" s="42">
        <f t="shared" si="7"/>
        <v>18232.188319999997</v>
      </c>
      <c r="U67" s="37">
        <f t="shared" si="8"/>
        <v>17314.72</v>
      </c>
      <c r="V67" s="42">
        <f t="shared" si="11"/>
        <v>917.46831999999631</v>
      </c>
      <c r="W67" s="44">
        <f t="shared" si="12"/>
        <v>5.0321349467061474E-2</v>
      </c>
    </row>
    <row r="68" spans="1:23" x14ac:dyDescent="0.3">
      <c r="A68" s="45" t="s">
        <v>230</v>
      </c>
      <c r="B68" s="46">
        <v>45434</v>
      </c>
      <c r="C68" s="47">
        <v>45449</v>
      </c>
      <c r="D68" s="48">
        <f t="shared" si="13"/>
        <v>15</v>
      </c>
      <c r="E68" s="48" t="str">
        <f>TEXT(Data!B68,"MMM-YYYY")</f>
        <v>May-2024</v>
      </c>
      <c r="F68" s="48" t="str">
        <f t="shared" si="9"/>
        <v>Q2-2024</v>
      </c>
      <c r="G68" s="38" t="s">
        <v>45</v>
      </c>
      <c r="H68" s="38" t="s">
        <v>46</v>
      </c>
      <c r="I68" s="38" t="s">
        <v>231</v>
      </c>
      <c r="J68" s="38" t="s">
        <v>19</v>
      </c>
      <c r="K68" s="38" t="s">
        <v>55</v>
      </c>
      <c r="L68" s="38" t="s">
        <v>21</v>
      </c>
      <c r="M68" s="38" t="s">
        <v>64</v>
      </c>
      <c r="N68" s="38" t="s">
        <v>232</v>
      </c>
      <c r="O68" s="48">
        <v>673.88</v>
      </c>
      <c r="P68" s="49" t="str">
        <f t="shared" si="10"/>
        <v>High</v>
      </c>
      <c r="Q68" s="48">
        <v>1228.01</v>
      </c>
      <c r="R68" s="48">
        <v>0.105</v>
      </c>
      <c r="S68" s="48">
        <v>13</v>
      </c>
      <c r="T68" s="48">
        <f t="shared" si="7"/>
        <v>11273.616900000001</v>
      </c>
      <c r="U68" s="38">
        <f t="shared" si="8"/>
        <v>8760.44</v>
      </c>
      <c r="V68" s="48">
        <f t="shared" si="11"/>
        <v>2513.1769000000004</v>
      </c>
      <c r="W68" s="50">
        <f t="shared" si="12"/>
        <v>0.22292551913840536</v>
      </c>
    </row>
    <row r="69" spans="1:23" x14ac:dyDescent="0.3">
      <c r="A69" s="39" t="s">
        <v>233</v>
      </c>
      <c r="B69" s="40">
        <v>45157</v>
      </c>
      <c r="C69" s="41">
        <v>45176</v>
      </c>
      <c r="D69" s="42">
        <f t="shared" si="13"/>
        <v>19</v>
      </c>
      <c r="E69" s="42" t="str">
        <f>TEXT(Data!B69,"MMM-YYYY")</f>
        <v>Aug-2023</v>
      </c>
      <c r="F69" s="42" t="str">
        <f t="shared" si="9"/>
        <v>Q3-2023</v>
      </c>
      <c r="G69" s="37" t="s">
        <v>16</v>
      </c>
      <c r="H69" s="37" t="s">
        <v>148</v>
      </c>
      <c r="I69" s="37" t="s">
        <v>149</v>
      </c>
      <c r="J69" s="37" t="s">
        <v>105</v>
      </c>
      <c r="K69" s="37" t="s">
        <v>20</v>
      </c>
      <c r="L69" s="37" t="s">
        <v>145</v>
      </c>
      <c r="M69" s="37" t="s">
        <v>64</v>
      </c>
      <c r="N69" s="37" t="s">
        <v>234</v>
      </c>
      <c r="O69" s="42">
        <v>494.61</v>
      </c>
      <c r="P69" s="43" t="str">
        <f t="shared" si="10"/>
        <v>High</v>
      </c>
      <c r="Q69" s="42">
        <v>605.23</v>
      </c>
      <c r="R69" s="42">
        <v>0.20399999999999999</v>
      </c>
      <c r="S69" s="42">
        <v>18</v>
      </c>
      <c r="T69" s="42">
        <f t="shared" si="7"/>
        <v>15600.46968</v>
      </c>
      <c r="U69" s="37">
        <f t="shared" si="8"/>
        <v>8902.98</v>
      </c>
      <c r="V69" s="42">
        <f t="shared" si="11"/>
        <v>6697.4896800000006</v>
      </c>
      <c r="W69" s="44">
        <f t="shared" si="12"/>
        <v>0.42931333590464055</v>
      </c>
    </row>
    <row r="70" spans="1:23" x14ac:dyDescent="0.3">
      <c r="A70" s="45" t="s">
        <v>235</v>
      </c>
      <c r="B70" s="46">
        <v>45037</v>
      </c>
      <c r="C70" s="47">
        <v>45056</v>
      </c>
      <c r="D70" s="48">
        <f t="shared" si="13"/>
        <v>19</v>
      </c>
      <c r="E70" s="48" t="str">
        <f>TEXT(Data!B70,"MMM-YYYY")</f>
        <v>Apr-2023</v>
      </c>
      <c r="F70" s="48" t="str">
        <f t="shared" si="9"/>
        <v>Q2-2023</v>
      </c>
      <c r="G70" s="38" t="s">
        <v>45</v>
      </c>
      <c r="H70" s="38" t="s">
        <v>116</v>
      </c>
      <c r="I70" s="38" t="s">
        <v>162</v>
      </c>
      <c r="J70" s="38" t="s">
        <v>19</v>
      </c>
      <c r="K70" s="38" t="s">
        <v>20</v>
      </c>
      <c r="L70" s="38" t="s">
        <v>75</v>
      </c>
      <c r="M70" s="38" t="s">
        <v>22</v>
      </c>
      <c r="N70" s="38" t="s">
        <v>236</v>
      </c>
      <c r="O70" s="48">
        <v>882.33</v>
      </c>
      <c r="P70" s="49" t="str">
        <f t="shared" si="10"/>
        <v>High</v>
      </c>
      <c r="Q70" s="48">
        <v>1880.15</v>
      </c>
      <c r="R70" s="48">
        <v>0.05</v>
      </c>
      <c r="S70" s="48">
        <v>5</v>
      </c>
      <c r="T70" s="48">
        <f t="shared" si="7"/>
        <v>11803.702499999998</v>
      </c>
      <c r="U70" s="38">
        <f t="shared" si="8"/>
        <v>4411.6500000000005</v>
      </c>
      <c r="V70" s="48">
        <f t="shared" si="11"/>
        <v>7392.0524999999971</v>
      </c>
      <c r="W70" s="50">
        <f t="shared" si="12"/>
        <v>0.6262486283435218</v>
      </c>
    </row>
    <row r="71" spans="1:23" x14ac:dyDescent="0.3">
      <c r="A71" s="39" t="s">
        <v>237</v>
      </c>
      <c r="B71" s="40">
        <v>45369</v>
      </c>
      <c r="C71" s="41">
        <v>45372</v>
      </c>
      <c r="D71" s="42">
        <f t="shared" si="13"/>
        <v>3</v>
      </c>
      <c r="E71" s="42" t="str">
        <f>TEXT(Data!B71,"MMM-YYYY")</f>
        <v>Mar-2024</v>
      </c>
      <c r="F71" s="42" t="str">
        <f t="shared" si="9"/>
        <v>Q1-2024</v>
      </c>
      <c r="G71" s="37" t="s">
        <v>78</v>
      </c>
      <c r="H71" s="37" t="s">
        <v>79</v>
      </c>
      <c r="I71" s="37" t="s">
        <v>159</v>
      </c>
      <c r="J71" s="37" t="s">
        <v>62</v>
      </c>
      <c r="K71" s="37" t="s">
        <v>28</v>
      </c>
      <c r="L71" s="37" t="s">
        <v>110</v>
      </c>
      <c r="M71" s="37" t="s">
        <v>81</v>
      </c>
      <c r="N71" s="37" t="s">
        <v>238</v>
      </c>
      <c r="O71" s="42">
        <v>910.63</v>
      </c>
      <c r="P71" s="43" t="str">
        <f t="shared" si="10"/>
        <v>High</v>
      </c>
      <c r="Q71" s="42">
        <v>1269.4000000000001</v>
      </c>
      <c r="R71" s="42">
        <v>6.8000000000000005E-2</v>
      </c>
      <c r="S71" s="42">
        <v>9</v>
      </c>
      <c r="T71" s="42">
        <f t="shared" si="7"/>
        <v>240.65172000000001</v>
      </c>
      <c r="U71" s="37">
        <f t="shared" si="8"/>
        <v>8195.67</v>
      </c>
      <c r="V71" s="42">
        <f t="shared" si="11"/>
        <v>-7955.0182800000002</v>
      </c>
      <c r="W71" s="44">
        <f t="shared" si="12"/>
        <v>-33.05614553679483</v>
      </c>
    </row>
    <row r="72" spans="1:23" x14ac:dyDescent="0.3">
      <c r="A72" s="45" t="s">
        <v>239</v>
      </c>
      <c r="B72" s="46">
        <v>45756</v>
      </c>
      <c r="C72" s="47">
        <v>45783</v>
      </c>
      <c r="D72" s="48">
        <f t="shared" si="13"/>
        <v>27</v>
      </c>
      <c r="E72" s="48" t="str">
        <f>TEXT(Data!B72,"MMM-YYYY")</f>
        <v>Apr-2025</v>
      </c>
      <c r="F72" s="48" t="str">
        <f t="shared" si="9"/>
        <v>Q2-2025</v>
      </c>
      <c r="G72" s="38" t="s">
        <v>52</v>
      </c>
      <c r="H72" s="38" t="s">
        <v>73</v>
      </c>
      <c r="I72" s="38" t="s">
        <v>87</v>
      </c>
      <c r="J72" s="38" t="s">
        <v>105</v>
      </c>
      <c r="K72" s="38" t="s">
        <v>40</v>
      </c>
      <c r="L72" s="38" t="s">
        <v>84</v>
      </c>
      <c r="M72" s="38" t="s">
        <v>57</v>
      </c>
      <c r="N72" s="38" t="s">
        <v>240</v>
      </c>
      <c r="O72" s="48">
        <v>264.19</v>
      </c>
      <c r="P72" s="49" t="str">
        <f t="shared" si="10"/>
        <v>High</v>
      </c>
      <c r="Q72" s="48">
        <v>620.92999999999995</v>
      </c>
      <c r="R72" s="48">
        <v>0.14199999999999999</v>
      </c>
      <c r="S72" s="48">
        <v>12</v>
      </c>
      <c r="T72" s="48">
        <f t="shared" si="7"/>
        <v>19527.59952</v>
      </c>
      <c r="U72" s="38">
        <f t="shared" si="8"/>
        <v>3170.2799999999997</v>
      </c>
      <c r="V72" s="48">
        <f t="shared" si="11"/>
        <v>16357.319520000001</v>
      </c>
      <c r="W72" s="50">
        <f t="shared" si="12"/>
        <v>0.83765132028885447</v>
      </c>
    </row>
    <row r="73" spans="1:23" x14ac:dyDescent="0.3">
      <c r="A73" s="39" t="s">
        <v>241</v>
      </c>
      <c r="B73" s="40">
        <v>45394</v>
      </c>
      <c r="C73" s="41">
        <v>45419</v>
      </c>
      <c r="D73" s="42">
        <f t="shared" si="13"/>
        <v>25</v>
      </c>
      <c r="E73" s="42" t="str">
        <f>TEXT(Data!B73,"MMM-YYYY")</f>
        <v>Apr-2024</v>
      </c>
      <c r="F73" s="42" t="str">
        <f t="shared" si="9"/>
        <v>Q2-2024</v>
      </c>
      <c r="G73" s="37" t="s">
        <v>16</v>
      </c>
      <c r="H73" s="37" t="s">
        <v>148</v>
      </c>
      <c r="I73" s="37" t="s">
        <v>149</v>
      </c>
      <c r="J73" s="37" t="s">
        <v>27</v>
      </c>
      <c r="K73" s="37" t="s">
        <v>55</v>
      </c>
      <c r="L73" s="37" t="s">
        <v>75</v>
      </c>
      <c r="M73" s="37" t="s">
        <v>57</v>
      </c>
      <c r="N73" s="37" t="s">
        <v>242</v>
      </c>
      <c r="O73" s="42">
        <v>1376.51</v>
      </c>
      <c r="P73" s="43" t="str">
        <f t="shared" si="10"/>
        <v>High</v>
      </c>
      <c r="Q73" s="42">
        <v>1455.91</v>
      </c>
      <c r="R73" s="42">
        <v>0.185</v>
      </c>
      <c r="S73" s="42">
        <v>17</v>
      </c>
      <c r="T73" s="42">
        <f t="shared" si="7"/>
        <v>5807.6003499999997</v>
      </c>
      <c r="U73" s="37">
        <f t="shared" si="8"/>
        <v>23400.67</v>
      </c>
      <c r="V73" s="42">
        <f t="shared" si="11"/>
        <v>-17593.069649999998</v>
      </c>
      <c r="W73" s="44">
        <f t="shared" si="12"/>
        <v>-3.0293182364037841</v>
      </c>
    </row>
    <row r="74" spans="1:23" x14ac:dyDescent="0.3">
      <c r="A74" s="45" t="s">
        <v>243</v>
      </c>
      <c r="B74" s="46">
        <v>45641</v>
      </c>
      <c r="C74" s="47">
        <v>45646</v>
      </c>
      <c r="D74" s="48">
        <f t="shared" si="13"/>
        <v>5</v>
      </c>
      <c r="E74" s="48" t="str">
        <f>TEXT(Data!B74,"MMM-YYYY")</f>
        <v>Dec-2024</v>
      </c>
      <c r="F74" s="48" t="str">
        <f t="shared" si="9"/>
        <v>Q4-2024</v>
      </c>
      <c r="G74" s="38" t="s">
        <v>45</v>
      </c>
      <c r="H74" s="38" t="s">
        <v>116</v>
      </c>
      <c r="I74" s="38" t="s">
        <v>117</v>
      </c>
      <c r="J74" s="38" t="s">
        <v>62</v>
      </c>
      <c r="K74" s="38" t="s">
        <v>98</v>
      </c>
      <c r="L74" s="38" t="s">
        <v>29</v>
      </c>
      <c r="M74" s="38" t="s">
        <v>35</v>
      </c>
      <c r="N74" s="38" t="s">
        <v>244</v>
      </c>
      <c r="O74" s="48">
        <v>717.55</v>
      </c>
      <c r="P74" s="49" t="str">
        <f t="shared" si="10"/>
        <v>High</v>
      </c>
      <c r="Q74" s="48">
        <v>546.42999999999995</v>
      </c>
      <c r="R74" s="48">
        <v>4.7E-2</v>
      </c>
      <c r="S74" s="48">
        <v>18</v>
      </c>
      <c r="T74" s="48">
        <f t="shared" si="7"/>
        <v>34328.070179999995</v>
      </c>
      <c r="U74" s="38">
        <f t="shared" si="8"/>
        <v>12915.9</v>
      </c>
      <c r="V74" s="48">
        <f t="shared" si="11"/>
        <v>21412.170179999994</v>
      </c>
      <c r="W74" s="50">
        <f t="shared" si="12"/>
        <v>0.62375106050893059</v>
      </c>
    </row>
    <row r="75" spans="1:23" x14ac:dyDescent="0.3">
      <c r="A75" s="39" t="s">
        <v>245</v>
      </c>
      <c r="B75" s="40">
        <v>45066</v>
      </c>
      <c r="C75" s="41">
        <v>45064</v>
      </c>
      <c r="D75" s="42">
        <f>DATEDIF(C75,B75, "MD")</f>
        <v>2</v>
      </c>
      <c r="E75" s="42" t="str">
        <f>TEXT(Data!B75,"MMM-YYYY")</f>
        <v>May-2023</v>
      </c>
      <c r="F75" s="42" t="str">
        <f t="shared" si="9"/>
        <v>Q2-2023</v>
      </c>
      <c r="G75" s="37" t="s">
        <v>16</v>
      </c>
      <c r="H75" s="37" t="s">
        <v>148</v>
      </c>
      <c r="I75" s="37" t="s">
        <v>172</v>
      </c>
      <c r="J75" s="37" t="s">
        <v>19</v>
      </c>
      <c r="K75" s="37" t="s">
        <v>55</v>
      </c>
      <c r="L75" s="37" t="s">
        <v>75</v>
      </c>
      <c r="M75" s="37" t="s">
        <v>22</v>
      </c>
      <c r="N75" s="37" t="s">
        <v>246</v>
      </c>
      <c r="O75" s="42">
        <v>917.88</v>
      </c>
      <c r="P75" s="43" t="str">
        <f t="shared" si="10"/>
        <v>High</v>
      </c>
      <c r="Q75" s="42">
        <v>1347.92</v>
      </c>
      <c r="R75" s="42">
        <v>0.34300000000000003</v>
      </c>
      <c r="S75" s="42">
        <v>5</v>
      </c>
      <c r="T75" s="42">
        <f t="shared" si="7"/>
        <v>10198.97235</v>
      </c>
      <c r="U75" s="37">
        <f t="shared" si="8"/>
        <v>4589.3999999999996</v>
      </c>
      <c r="V75" s="42">
        <f t="shared" si="11"/>
        <v>5609.5723500000004</v>
      </c>
      <c r="W75" s="44">
        <f t="shared" si="12"/>
        <v>0.55001348738826616</v>
      </c>
    </row>
    <row r="76" spans="1:23" x14ac:dyDescent="0.3">
      <c r="A76" s="45" t="s">
        <v>247</v>
      </c>
      <c r="B76" s="46">
        <v>45187</v>
      </c>
      <c r="C76" s="47">
        <v>45207</v>
      </c>
      <c r="D76" s="48">
        <f t="shared" si="13"/>
        <v>20</v>
      </c>
      <c r="E76" s="48" t="str">
        <f>TEXT(Data!B76,"MMM-YYYY")</f>
        <v>Sept-2023</v>
      </c>
      <c r="F76" s="48" t="str">
        <f t="shared" si="9"/>
        <v>Q3-2023</v>
      </c>
      <c r="G76" s="38" t="s">
        <v>45</v>
      </c>
      <c r="H76" s="38" t="s">
        <v>60</v>
      </c>
      <c r="I76" s="38" t="s">
        <v>141</v>
      </c>
      <c r="J76" s="38" t="s">
        <v>62</v>
      </c>
      <c r="K76" s="38" t="s">
        <v>98</v>
      </c>
      <c r="L76" s="38" t="s">
        <v>56</v>
      </c>
      <c r="M76" s="38" t="s">
        <v>22</v>
      </c>
      <c r="N76" s="38" t="s">
        <v>248</v>
      </c>
      <c r="O76" s="48">
        <v>825.64</v>
      </c>
      <c r="P76" s="49" t="str">
        <f t="shared" si="10"/>
        <v>High</v>
      </c>
      <c r="Q76" s="48">
        <v>1108.43</v>
      </c>
      <c r="R76" s="48">
        <v>0.114</v>
      </c>
      <c r="S76" s="48">
        <v>7</v>
      </c>
      <c r="T76" s="48">
        <f t="shared" si="7"/>
        <v>2073.2045600000001</v>
      </c>
      <c r="U76" s="38">
        <f t="shared" si="8"/>
        <v>5779.48</v>
      </c>
      <c r="V76" s="48">
        <f t="shared" si="11"/>
        <v>-3706.2754399999994</v>
      </c>
      <c r="W76" s="50">
        <f t="shared" si="12"/>
        <v>-1.7877036890175464</v>
      </c>
    </row>
    <row r="77" spans="1:23" x14ac:dyDescent="0.3">
      <c r="A77" s="39" t="s">
        <v>249</v>
      </c>
      <c r="B77" s="40">
        <v>45532</v>
      </c>
      <c r="C77" s="41">
        <v>45560</v>
      </c>
      <c r="D77" s="42">
        <f t="shared" si="13"/>
        <v>28</v>
      </c>
      <c r="E77" s="42" t="str">
        <f>TEXT(Data!B77,"MMM-YYYY")</f>
        <v>Aug-2024</v>
      </c>
      <c r="F77" s="42" t="str">
        <f t="shared" si="9"/>
        <v>Q3-2024</v>
      </c>
      <c r="G77" s="37" t="s">
        <v>52</v>
      </c>
      <c r="H77" s="37" t="s">
        <v>73</v>
      </c>
      <c r="I77" s="37" t="s">
        <v>225</v>
      </c>
      <c r="J77" s="37" t="s">
        <v>39</v>
      </c>
      <c r="K77" s="37" t="s">
        <v>28</v>
      </c>
      <c r="L77" s="37" t="s">
        <v>1364</v>
      </c>
      <c r="M77" s="37" t="s">
        <v>81</v>
      </c>
      <c r="N77" s="37" t="s">
        <v>250</v>
      </c>
      <c r="O77" s="42">
        <v>1394.65</v>
      </c>
      <c r="P77" s="43" t="str">
        <f t="shared" si="10"/>
        <v>High</v>
      </c>
      <c r="Q77" s="42">
        <v>3144.1</v>
      </c>
      <c r="R77" s="42">
        <v>0.13400000000000001</v>
      </c>
      <c r="S77" s="42">
        <v>13</v>
      </c>
      <c r="T77" s="42">
        <f t="shared" si="7"/>
        <v>21984.960139999999</v>
      </c>
      <c r="U77" s="37">
        <f t="shared" si="8"/>
        <v>18130.45</v>
      </c>
      <c r="V77" s="42">
        <f t="shared" si="11"/>
        <v>3854.5101399999985</v>
      </c>
      <c r="W77" s="44">
        <f t="shared" si="12"/>
        <v>0.17532486370020767</v>
      </c>
    </row>
    <row r="78" spans="1:23" x14ac:dyDescent="0.3">
      <c r="A78" s="45" t="s">
        <v>251</v>
      </c>
      <c r="B78" s="46">
        <v>45473</v>
      </c>
      <c r="C78" s="47">
        <v>45471</v>
      </c>
      <c r="D78" s="48">
        <f>DATEDIF(C78,B78, "MD")</f>
        <v>2</v>
      </c>
      <c r="E78" s="48" t="str">
        <f>TEXT(Data!B78,"MMM-YYYY")</f>
        <v>Jun-2024</v>
      </c>
      <c r="F78" s="48" t="str">
        <f t="shared" si="9"/>
        <v>Q2-2024</v>
      </c>
      <c r="G78" s="38" t="s">
        <v>52</v>
      </c>
      <c r="H78" s="38" t="s">
        <v>73</v>
      </c>
      <c r="I78" s="38" t="s">
        <v>225</v>
      </c>
      <c r="J78" s="38" t="s">
        <v>62</v>
      </c>
      <c r="K78" s="38" t="s">
        <v>98</v>
      </c>
      <c r="L78" s="38" t="s">
        <v>49</v>
      </c>
      <c r="M78" s="38" t="s">
        <v>81</v>
      </c>
      <c r="N78" s="38" t="s">
        <v>252</v>
      </c>
      <c r="O78" s="48">
        <v>1112.98</v>
      </c>
      <c r="P78" s="49" t="str">
        <f t="shared" si="10"/>
        <v>High</v>
      </c>
      <c r="Q78" s="48">
        <v>2095.73</v>
      </c>
      <c r="R78" s="48">
        <v>7.1999999999999995E-2</v>
      </c>
      <c r="S78" s="48">
        <v>17</v>
      </c>
      <c r="T78" s="48">
        <f t="shared" si="7"/>
        <v>3822.3670400000005</v>
      </c>
      <c r="U78" s="38">
        <f t="shared" si="8"/>
        <v>18920.66</v>
      </c>
      <c r="V78" s="48">
        <f t="shared" si="11"/>
        <v>-15098.292959999999</v>
      </c>
      <c r="W78" s="50">
        <f t="shared" si="12"/>
        <v>-3.9499851275402365</v>
      </c>
    </row>
    <row r="79" spans="1:23" x14ac:dyDescent="0.3">
      <c r="A79" s="39" t="s">
        <v>253</v>
      </c>
      <c r="B79" s="40">
        <v>45091</v>
      </c>
      <c r="C79" s="41">
        <v>45093</v>
      </c>
      <c r="D79" s="42">
        <f t="shared" si="13"/>
        <v>2</v>
      </c>
      <c r="E79" s="42" t="str">
        <f>TEXT(Data!B79,"MMM-YYYY")</f>
        <v>Jun-2023</v>
      </c>
      <c r="F79" s="42" t="str">
        <f t="shared" si="9"/>
        <v>Q2-2023</v>
      </c>
      <c r="G79" s="37" t="s">
        <v>78</v>
      </c>
      <c r="H79" s="37" t="s">
        <v>108</v>
      </c>
      <c r="I79" s="37" t="s">
        <v>228</v>
      </c>
      <c r="J79" s="37" t="s">
        <v>39</v>
      </c>
      <c r="K79" s="37" t="s">
        <v>98</v>
      </c>
      <c r="L79" s="37" t="s">
        <v>95</v>
      </c>
      <c r="M79" s="37" t="s">
        <v>22</v>
      </c>
      <c r="N79" s="37" t="s">
        <v>254</v>
      </c>
      <c r="O79" s="42">
        <v>357.36</v>
      </c>
      <c r="P79" s="43" t="str">
        <f t="shared" si="10"/>
        <v>High</v>
      </c>
      <c r="Q79" s="42">
        <v>703.62</v>
      </c>
      <c r="R79" s="42">
        <v>0.25700000000000001</v>
      </c>
      <c r="S79" s="42">
        <v>20</v>
      </c>
      <c r="T79" s="42">
        <f t="shared" si="7"/>
        <v>44117.408199999998</v>
      </c>
      <c r="U79" s="37">
        <f t="shared" si="8"/>
        <v>7147.2000000000007</v>
      </c>
      <c r="V79" s="42">
        <f t="shared" si="11"/>
        <v>36970.208199999994</v>
      </c>
      <c r="W79" s="44">
        <f t="shared" si="12"/>
        <v>0.83799592288832592</v>
      </c>
    </row>
    <row r="80" spans="1:23" x14ac:dyDescent="0.3">
      <c r="A80" s="45" t="s">
        <v>255</v>
      </c>
      <c r="B80" s="46">
        <v>45617</v>
      </c>
      <c r="C80" s="47">
        <v>45647</v>
      </c>
      <c r="D80" s="48">
        <f t="shared" si="13"/>
        <v>0</v>
      </c>
      <c r="E80" s="48" t="str">
        <f>TEXT(Data!B80,"MMM-YYYY")</f>
        <v>Nov-2024</v>
      </c>
      <c r="F80" s="48" t="str">
        <f t="shared" si="9"/>
        <v>Q4-2024</v>
      </c>
      <c r="G80" s="38" t="s">
        <v>78</v>
      </c>
      <c r="H80" s="38" t="s">
        <v>90</v>
      </c>
      <c r="I80" s="38" t="s">
        <v>91</v>
      </c>
      <c r="J80" s="38" t="s">
        <v>62</v>
      </c>
      <c r="K80" s="38" t="s">
        <v>98</v>
      </c>
      <c r="L80" s="38" t="s">
        <v>34</v>
      </c>
      <c r="M80" s="38" t="s">
        <v>64</v>
      </c>
      <c r="N80" s="38" t="s">
        <v>256</v>
      </c>
      <c r="O80" s="48">
        <v>1122.68</v>
      </c>
      <c r="P80" s="49" t="str">
        <f t="shared" si="10"/>
        <v>High</v>
      </c>
      <c r="Q80" s="48">
        <v>1997.19</v>
      </c>
      <c r="R80" s="48">
        <v>0.186</v>
      </c>
      <c r="S80" s="48">
        <v>3</v>
      </c>
      <c r="T80" s="48">
        <f t="shared" si="7"/>
        <v>3404.8806</v>
      </c>
      <c r="U80" s="38">
        <f t="shared" si="8"/>
        <v>3368.04</v>
      </c>
      <c r="V80" s="48">
        <f t="shared" si="11"/>
        <v>36.840599999999995</v>
      </c>
      <c r="W80" s="50">
        <f t="shared" si="12"/>
        <v>1.081993888420052E-2</v>
      </c>
    </row>
    <row r="81" spans="1:23" x14ac:dyDescent="0.3">
      <c r="A81" s="39" t="s">
        <v>257</v>
      </c>
      <c r="B81" s="40">
        <v>44965</v>
      </c>
      <c r="C81" s="41">
        <v>44968</v>
      </c>
      <c r="D81" s="42">
        <f t="shared" si="13"/>
        <v>3</v>
      </c>
      <c r="E81" s="42" t="str">
        <f>TEXT(Data!B81,"MMM-YYYY")</f>
        <v>Feb-2023</v>
      </c>
      <c r="F81" s="42" t="str">
        <f t="shared" si="9"/>
        <v>Q1-2023</v>
      </c>
      <c r="G81" s="37" t="s">
        <v>16</v>
      </c>
      <c r="H81" s="37" t="s">
        <v>148</v>
      </c>
      <c r="I81" s="37" t="s">
        <v>258</v>
      </c>
      <c r="J81" s="37" t="s">
        <v>19</v>
      </c>
      <c r="K81" s="37" t="s">
        <v>98</v>
      </c>
      <c r="L81" s="37" t="s">
        <v>110</v>
      </c>
      <c r="M81" s="37" t="s">
        <v>35</v>
      </c>
      <c r="N81" s="37" t="s">
        <v>259</v>
      </c>
      <c r="O81" s="42">
        <v>1410.05</v>
      </c>
      <c r="P81" s="43" t="str">
        <f t="shared" si="10"/>
        <v>High</v>
      </c>
      <c r="Q81" s="42">
        <v>2763.95</v>
      </c>
      <c r="R81" s="42">
        <v>0.161</v>
      </c>
      <c r="S81" s="42">
        <v>26</v>
      </c>
      <c r="T81" s="42">
        <f t="shared" si="7"/>
        <v>336.15374000000003</v>
      </c>
      <c r="U81" s="37">
        <f t="shared" si="8"/>
        <v>36661.299999999996</v>
      </c>
      <c r="V81" s="42">
        <f t="shared" si="11"/>
        <v>-36325.146259999994</v>
      </c>
      <c r="W81" s="44">
        <f t="shared" si="12"/>
        <v>-108.06110995522462</v>
      </c>
    </row>
    <row r="82" spans="1:23" x14ac:dyDescent="0.3">
      <c r="A82" s="45" t="s">
        <v>260</v>
      </c>
      <c r="B82" s="46">
        <v>45157</v>
      </c>
      <c r="C82" s="47">
        <v>45181</v>
      </c>
      <c r="D82" s="48">
        <f t="shared" si="13"/>
        <v>24</v>
      </c>
      <c r="E82" s="48" t="str">
        <f>TEXT(Data!B82,"MMM-YYYY")</f>
        <v>Aug-2023</v>
      </c>
      <c r="F82" s="48" t="str">
        <f t="shared" si="9"/>
        <v>Q3-2023</v>
      </c>
      <c r="G82" s="38" t="s">
        <v>52</v>
      </c>
      <c r="H82" s="38" t="s">
        <v>53</v>
      </c>
      <c r="I82" s="38" t="s">
        <v>179</v>
      </c>
      <c r="J82" s="38" t="s">
        <v>105</v>
      </c>
      <c r="K82" s="38" t="s">
        <v>20</v>
      </c>
      <c r="L82" s="38" t="s">
        <v>34</v>
      </c>
      <c r="M82" s="38" t="s">
        <v>30</v>
      </c>
      <c r="N82" s="38" t="s">
        <v>261</v>
      </c>
      <c r="O82" s="48">
        <v>1183.95</v>
      </c>
      <c r="P82" s="49" t="str">
        <f t="shared" si="10"/>
        <v>High</v>
      </c>
      <c r="Q82" s="48">
        <v>1503.53</v>
      </c>
      <c r="R82" s="48">
        <v>0.24099999999999999</v>
      </c>
      <c r="S82" s="48">
        <v>16</v>
      </c>
      <c r="T82" s="48">
        <f t="shared" si="7"/>
        <v>27333.836640000001</v>
      </c>
      <c r="U82" s="38">
        <f t="shared" si="8"/>
        <v>18943.2</v>
      </c>
      <c r="V82" s="48">
        <f t="shared" si="11"/>
        <v>8390.6366400000006</v>
      </c>
      <c r="W82" s="50">
        <f t="shared" si="12"/>
        <v>0.30696885879976488</v>
      </c>
    </row>
    <row r="83" spans="1:23" x14ac:dyDescent="0.3">
      <c r="A83" s="39" t="s">
        <v>262</v>
      </c>
      <c r="B83" s="40">
        <v>45791</v>
      </c>
      <c r="C83" s="41">
        <v>45801</v>
      </c>
      <c r="D83" s="42">
        <f t="shared" si="13"/>
        <v>10</v>
      </c>
      <c r="E83" s="42" t="str">
        <f>TEXT(Data!B83,"MMM-YYYY")</f>
        <v>May-2025</v>
      </c>
      <c r="F83" s="42" t="str">
        <f t="shared" si="9"/>
        <v>Q2-2025</v>
      </c>
      <c r="G83" s="37" t="s">
        <v>78</v>
      </c>
      <c r="H83" s="37" t="s">
        <v>90</v>
      </c>
      <c r="I83" s="37" t="s">
        <v>217</v>
      </c>
      <c r="J83" s="37" t="s">
        <v>62</v>
      </c>
      <c r="K83" s="37" t="s">
        <v>40</v>
      </c>
      <c r="L83" s="37" t="s">
        <v>95</v>
      </c>
      <c r="M83" s="37" t="s">
        <v>22</v>
      </c>
      <c r="N83" s="37" t="s">
        <v>263</v>
      </c>
      <c r="O83" s="42">
        <v>170.39</v>
      </c>
      <c r="P83" s="43" t="str">
        <f t="shared" si="10"/>
        <v>High</v>
      </c>
      <c r="Q83" s="42">
        <v>388.04</v>
      </c>
      <c r="R83" s="42">
        <v>8.4000000000000005E-2</v>
      </c>
      <c r="S83" s="42">
        <v>15</v>
      </c>
      <c r="T83" s="42">
        <f t="shared" si="7"/>
        <v>2281.3896</v>
      </c>
      <c r="U83" s="37">
        <f t="shared" si="8"/>
        <v>2555.85</v>
      </c>
      <c r="V83" s="42">
        <f t="shared" si="11"/>
        <v>-274.46039999999994</v>
      </c>
      <c r="W83" s="44">
        <f t="shared" si="12"/>
        <v>-0.12030404627074653</v>
      </c>
    </row>
    <row r="84" spans="1:23" x14ac:dyDescent="0.3">
      <c r="A84" s="45" t="s">
        <v>264</v>
      </c>
      <c r="B84" s="46">
        <v>45770</v>
      </c>
      <c r="C84" s="47">
        <v>45769</v>
      </c>
      <c r="D84" s="48">
        <f>DATEDIF(C84,B84, "MD")</f>
        <v>1</v>
      </c>
      <c r="E84" s="48" t="str">
        <f>TEXT(Data!B84,"MMM-YYYY")</f>
        <v>Apr-2025</v>
      </c>
      <c r="F84" s="48" t="str">
        <f t="shared" si="9"/>
        <v>Q2-2025</v>
      </c>
      <c r="G84" s="38" t="s">
        <v>52</v>
      </c>
      <c r="H84" s="38" t="s">
        <v>122</v>
      </c>
      <c r="I84" s="38" t="s">
        <v>167</v>
      </c>
      <c r="J84" s="38" t="s">
        <v>39</v>
      </c>
      <c r="K84" s="38" t="s">
        <v>55</v>
      </c>
      <c r="L84" s="38" t="s">
        <v>145</v>
      </c>
      <c r="M84" s="38" t="s">
        <v>64</v>
      </c>
      <c r="N84" s="38" t="s">
        <v>265</v>
      </c>
      <c r="O84" s="48">
        <v>23.24</v>
      </c>
      <c r="P84" s="49" t="str">
        <f t="shared" si="10"/>
        <v>Low</v>
      </c>
      <c r="Q84" s="48">
        <v>44.57</v>
      </c>
      <c r="R84" s="48">
        <v>0.215</v>
      </c>
      <c r="S84" s="48">
        <v>15</v>
      </c>
      <c r="T84" s="48">
        <f t="shared" si="7"/>
        <v>4198.3762500000003</v>
      </c>
      <c r="U84" s="38">
        <f t="shared" si="8"/>
        <v>348.59999999999997</v>
      </c>
      <c r="V84" s="48">
        <f t="shared" si="11"/>
        <v>3849.7762500000003</v>
      </c>
      <c r="W84" s="50">
        <f t="shared" si="12"/>
        <v>0.91696789919674304</v>
      </c>
    </row>
    <row r="85" spans="1:23" x14ac:dyDescent="0.3">
      <c r="A85" s="39" t="s">
        <v>266</v>
      </c>
      <c r="B85" s="40">
        <v>45741</v>
      </c>
      <c r="C85" s="41">
        <v>45764</v>
      </c>
      <c r="D85" s="42">
        <f t="shared" si="13"/>
        <v>23</v>
      </c>
      <c r="E85" s="42" t="str">
        <f>TEXT(Data!B85,"MMM-YYYY")</f>
        <v>Mar-2025</v>
      </c>
      <c r="F85" s="42" t="str">
        <f t="shared" si="9"/>
        <v>Q1-2025</v>
      </c>
      <c r="G85" s="37" t="s">
        <v>78</v>
      </c>
      <c r="H85" s="37" t="s">
        <v>108</v>
      </c>
      <c r="I85" s="37" t="s">
        <v>152</v>
      </c>
      <c r="J85" s="37" t="s">
        <v>48</v>
      </c>
      <c r="K85" s="37" t="s">
        <v>20</v>
      </c>
      <c r="L85" s="37" t="s">
        <v>92</v>
      </c>
      <c r="M85" s="37" t="s">
        <v>35</v>
      </c>
      <c r="N85" s="37" t="s">
        <v>267</v>
      </c>
      <c r="O85" s="42">
        <v>1421.19</v>
      </c>
      <c r="P85" s="43" t="str">
        <f t="shared" si="10"/>
        <v>High</v>
      </c>
      <c r="Q85" s="42">
        <v>1808.26</v>
      </c>
      <c r="R85" s="42">
        <v>0.104</v>
      </c>
      <c r="S85" s="42">
        <v>13</v>
      </c>
      <c r="T85" s="42">
        <f t="shared" si="7"/>
        <v>11939.7824</v>
      </c>
      <c r="U85" s="37">
        <f t="shared" si="8"/>
        <v>18475.47</v>
      </c>
      <c r="V85" s="42">
        <f t="shared" si="11"/>
        <v>-6535.6876000000011</v>
      </c>
      <c r="W85" s="44">
        <f t="shared" si="12"/>
        <v>-0.54738749677716081</v>
      </c>
    </row>
    <row r="86" spans="1:23" x14ac:dyDescent="0.3">
      <c r="A86" s="45" t="s">
        <v>268</v>
      </c>
      <c r="B86" s="46">
        <v>45282</v>
      </c>
      <c r="C86" s="47">
        <v>45283</v>
      </c>
      <c r="D86" s="48">
        <f t="shared" si="13"/>
        <v>1</v>
      </c>
      <c r="E86" s="48" t="str">
        <f>TEXT(Data!B86,"MMM-YYYY")</f>
        <v>Dec-2023</v>
      </c>
      <c r="F86" s="48" t="str">
        <f t="shared" si="9"/>
        <v>Q4-2023</v>
      </c>
      <c r="G86" s="38" t="s">
        <v>16</v>
      </c>
      <c r="H86" s="38" t="s">
        <v>148</v>
      </c>
      <c r="I86" s="38" t="s">
        <v>258</v>
      </c>
      <c r="J86" s="38" t="s">
        <v>39</v>
      </c>
      <c r="K86" s="38" t="s">
        <v>40</v>
      </c>
      <c r="L86" s="38" t="s">
        <v>145</v>
      </c>
      <c r="M86" s="38" t="s">
        <v>22</v>
      </c>
      <c r="N86" s="38" t="s">
        <v>269</v>
      </c>
      <c r="O86" s="48">
        <v>1186.18</v>
      </c>
      <c r="P86" s="49" t="str">
        <f t="shared" si="10"/>
        <v>High</v>
      </c>
      <c r="Q86" s="48">
        <v>1285.0899999999999</v>
      </c>
      <c r="R86" s="48">
        <v>7.0000000000000007E-2</v>
      </c>
      <c r="S86" s="48">
        <v>11</v>
      </c>
      <c r="T86" s="48">
        <f t="shared" si="7"/>
        <v>18364.589100000001</v>
      </c>
      <c r="U86" s="38">
        <f t="shared" si="8"/>
        <v>13047.980000000001</v>
      </c>
      <c r="V86" s="48">
        <f t="shared" si="11"/>
        <v>5316.6090999999997</v>
      </c>
      <c r="W86" s="50">
        <f t="shared" si="12"/>
        <v>0.28950329740838032</v>
      </c>
    </row>
    <row r="87" spans="1:23" x14ac:dyDescent="0.3">
      <c r="A87" s="39" t="s">
        <v>270</v>
      </c>
      <c r="B87" s="40">
        <v>45388</v>
      </c>
      <c r="C87" s="41">
        <v>45407</v>
      </c>
      <c r="D87" s="42">
        <f t="shared" si="13"/>
        <v>19</v>
      </c>
      <c r="E87" s="42" t="str">
        <f>TEXT(Data!B87,"MMM-YYYY")</f>
        <v>Apr-2024</v>
      </c>
      <c r="F87" s="42" t="str">
        <f t="shared" si="9"/>
        <v>Q2-2024</v>
      </c>
      <c r="G87" s="37" t="s">
        <v>45</v>
      </c>
      <c r="H87" s="37" t="s">
        <v>116</v>
      </c>
      <c r="I87" s="37" t="s">
        <v>162</v>
      </c>
      <c r="J87" s="37" t="s">
        <v>19</v>
      </c>
      <c r="K87" s="37" t="s">
        <v>20</v>
      </c>
      <c r="L87" s="37" t="s">
        <v>95</v>
      </c>
      <c r="M87" s="37" t="s">
        <v>22</v>
      </c>
      <c r="N87" s="37" t="s">
        <v>271</v>
      </c>
      <c r="O87" s="42">
        <v>1366.48</v>
      </c>
      <c r="P87" s="43" t="str">
        <f t="shared" si="10"/>
        <v>High</v>
      </c>
      <c r="Q87" s="42">
        <v>1678.14</v>
      </c>
      <c r="R87" s="42">
        <v>0.154</v>
      </c>
      <c r="S87" s="42">
        <v>10</v>
      </c>
      <c r="T87" s="42">
        <f t="shared" si="7"/>
        <v>36.970199999999998</v>
      </c>
      <c r="U87" s="37">
        <f t="shared" si="8"/>
        <v>13664.8</v>
      </c>
      <c r="V87" s="42">
        <f t="shared" si="11"/>
        <v>-13627.8298</v>
      </c>
      <c r="W87" s="44">
        <f t="shared" si="12"/>
        <v>-368.61661013464897</v>
      </c>
    </row>
    <row r="88" spans="1:23" x14ac:dyDescent="0.3">
      <c r="A88" s="45" t="s">
        <v>272</v>
      </c>
      <c r="B88" s="46">
        <v>45876</v>
      </c>
      <c r="C88" s="47">
        <v>45888</v>
      </c>
      <c r="D88" s="48">
        <f t="shared" si="13"/>
        <v>12</v>
      </c>
      <c r="E88" s="48" t="str">
        <f>TEXT(Data!B88,"MMM-YYYY")</f>
        <v>Aug-2025</v>
      </c>
      <c r="F88" s="48" t="str">
        <f t="shared" si="9"/>
        <v>Q3-2025</v>
      </c>
      <c r="G88" s="38" t="s">
        <v>16</v>
      </c>
      <c r="H88" s="38" t="s">
        <v>17</v>
      </c>
      <c r="I88" s="38" t="s">
        <v>135</v>
      </c>
      <c r="J88" s="38" t="s">
        <v>19</v>
      </c>
      <c r="K88" s="38" t="s">
        <v>1364</v>
      </c>
      <c r="L88" s="38" t="s">
        <v>110</v>
      </c>
      <c r="M88" s="38" t="s">
        <v>22</v>
      </c>
      <c r="N88" s="38" t="s">
        <v>273</v>
      </c>
      <c r="O88" s="48">
        <v>601.51</v>
      </c>
      <c r="P88" s="49" t="str">
        <f t="shared" si="10"/>
        <v>High</v>
      </c>
      <c r="Q88" s="48">
        <v>679.35</v>
      </c>
      <c r="R88" s="48">
        <v>0.188</v>
      </c>
      <c r="S88" s="48">
        <v>3</v>
      </c>
      <c r="T88" s="48">
        <f t="shared" si="7"/>
        <v>532.26600000000008</v>
      </c>
      <c r="U88" s="38">
        <f t="shared" si="8"/>
        <v>1804.53</v>
      </c>
      <c r="V88" s="48">
        <f t="shared" si="11"/>
        <v>-1272.2639999999999</v>
      </c>
      <c r="W88" s="50">
        <f t="shared" si="12"/>
        <v>-2.3902785449380568</v>
      </c>
    </row>
    <row r="89" spans="1:23" x14ac:dyDescent="0.3">
      <c r="A89" s="39" t="s">
        <v>274</v>
      </c>
      <c r="B89" s="40">
        <v>45312</v>
      </c>
      <c r="C89" s="41">
        <v>45316</v>
      </c>
      <c r="D89" s="42">
        <f t="shared" si="13"/>
        <v>4</v>
      </c>
      <c r="E89" s="42" t="str">
        <f>TEXT(Data!B89,"MMM-YYYY")</f>
        <v>Jan-2024</v>
      </c>
      <c r="F89" s="42" t="str">
        <f t="shared" si="9"/>
        <v>Q1-2024</v>
      </c>
      <c r="G89" s="37" t="s">
        <v>45</v>
      </c>
      <c r="H89" s="37" t="s">
        <v>60</v>
      </c>
      <c r="I89" s="37" t="s">
        <v>141</v>
      </c>
      <c r="J89" s="37" t="s">
        <v>48</v>
      </c>
      <c r="K89" s="37" t="s">
        <v>98</v>
      </c>
      <c r="L89" s="37" t="s">
        <v>21</v>
      </c>
      <c r="M89" s="37" t="s">
        <v>64</v>
      </c>
      <c r="N89" s="37" t="s">
        <v>275</v>
      </c>
      <c r="O89" s="42">
        <v>523.70000000000005</v>
      </c>
      <c r="P89" s="43" t="str">
        <f t="shared" si="10"/>
        <v>High</v>
      </c>
      <c r="Q89" s="42">
        <v>1109.92</v>
      </c>
      <c r="R89" s="42">
        <v>0.03</v>
      </c>
      <c r="S89" s="42">
        <v>11</v>
      </c>
      <c r="T89" s="42">
        <f t="shared" si="7"/>
        <v>2666.1129000000001</v>
      </c>
      <c r="U89" s="37">
        <f t="shared" si="8"/>
        <v>5760.7000000000007</v>
      </c>
      <c r="V89" s="42">
        <f t="shared" si="11"/>
        <v>-3094.5871000000006</v>
      </c>
      <c r="W89" s="44">
        <f t="shared" si="12"/>
        <v>-1.160711198689298</v>
      </c>
    </row>
    <row r="90" spans="1:23" x14ac:dyDescent="0.3">
      <c r="A90" s="45" t="s">
        <v>276</v>
      </c>
      <c r="B90" s="46">
        <v>45106</v>
      </c>
      <c r="C90" s="47">
        <v>45109</v>
      </c>
      <c r="D90" s="48">
        <f t="shared" si="13"/>
        <v>3</v>
      </c>
      <c r="E90" s="48" t="str">
        <f>TEXT(Data!B90,"MMM-YYYY")</f>
        <v>Jun-2023</v>
      </c>
      <c r="F90" s="48" t="str">
        <f t="shared" si="9"/>
        <v>Q2-2023</v>
      </c>
      <c r="G90" s="38" t="s">
        <v>45</v>
      </c>
      <c r="H90" s="38" t="s">
        <v>46</v>
      </c>
      <c r="I90" s="38" t="s">
        <v>231</v>
      </c>
      <c r="J90" s="38" t="s">
        <v>27</v>
      </c>
      <c r="K90" s="38" t="s">
        <v>40</v>
      </c>
      <c r="L90" s="38" t="s">
        <v>84</v>
      </c>
      <c r="M90" s="38" t="s">
        <v>64</v>
      </c>
      <c r="N90" s="38" t="s">
        <v>277</v>
      </c>
      <c r="O90" s="48">
        <v>55.65</v>
      </c>
      <c r="P90" s="49" t="str">
        <f t="shared" si="10"/>
        <v>Medium</v>
      </c>
      <c r="Q90" s="48">
        <v>83.57</v>
      </c>
      <c r="R90" s="48">
        <v>6.6000000000000003E-2</v>
      </c>
      <c r="S90" s="48">
        <v>8</v>
      </c>
      <c r="T90" s="48">
        <f t="shared" si="7"/>
        <v>25677.677439999999</v>
      </c>
      <c r="U90" s="38">
        <f t="shared" si="8"/>
        <v>445.2</v>
      </c>
      <c r="V90" s="48">
        <f t="shared" si="11"/>
        <v>25232.477439999999</v>
      </c>
      <c r="W90" s="50">
        <f t="shared" si="12"/>
        <v>0.98266198331059018</v>
      </c>
    </row>
    <row r="91" spans="1:23" x14ac:dyDescent="0.3">
      <c r="A91" s="39" t="s">
        <v>278</v>
      </c>
      <c r="B91" s="40">
        <v>45775</v>
      </c>
      <c r="C91" s="41">
        <v>45792</v>
      </c>
      <c r="D91" s="42">
        <f t="shared" si="13"/>
        <v>17</v>
      </c>
      <c r="E91" s="42" t="str">
        <f>TEXT(Data!B91,"MMM-YYYY")</f>
        <v>Apr-2025</v>
      </c>
      <c r="F91" s="42" t="str">
        <f t="shared" si="9"/>
        <v>Q2-2025</v>
      </c>
      <c r="G91" s="37" t="s">
        <v>45</v>
      </c>
      <c r="H91" s="37" t="s">
        <v>46</v>
      </c>
      <c r="I91" s="37" t="s">
        <v>231</v>
      </c>
      <c r="J91" s="37" t="s">
        <v>27</v>
      </c>
      <c r="K91" s="37" t="s">
        <v>98</v>
      </c>
      <c r="L91" s="37" t="s">
        <v>126</v>
      </c>
      <c r="M91" s="37" t="s">
        <v>35</v>
      </c>
      <c r="N91" s="37" t="s">
        <v>279</v>
      </c>
      <c r="O91" s="42">
        <v>691.19</v>
      </c>
      <c r="P91" s="43" t="str">
        <f t="shared" si="10"/>
        <v>High</v>
      </c>
      <c r="Q91" s="42">
        <v>1284.3</v>
      </c>
      <c r="R91" s="42">
        <v>7.3999999999999996E-2</v>
      </c>
      <c r="S91" s="42">
        <v>7</v>
      </c>
      <c r="T91" s="42">
        <f t="shared" si="7"/>
        <v>346.46290000000005</v>
      </c>
      <c r="U91" s="37">
        <f t="shared" si="8"/>
        <v>4838.33</v>
      </c>
      <c r="V91" s="42">
        <f t="shared" si="11"/>
        <v>-4491.8670999999995</v>
      </c>
      <c r="W91" s="44">
        <f t="shared" si="12"/>
        <v>-12.964929578318483</v>
      </c>
    </row>
    <row r="92" spans="1:23" x14ac:dyDescent="0.3">
      <c r="A92" s="45" t="s">
        <v>280</v>
      </c>
      <c r="B92" s="46">
        <v>45817</v>
      </c>
      <c r="C92" s="47">
        <v>45833</v>
      </c>
      <c r="D92" s="48">
        <f t="shared" si="13"/>
        <v>16</v>
      </c>
      <c r="E92" s="48" t="str">
        <f>TEXT(Data!B92,"MMM-YYYY")</f>
        <v>Jun-2025</v>
      </c>
      <c r="F92" s="48" t="str">
        <f t="shared" si="9"/>
        <v>Q2-2025</v>
      </c>
      <c r="G92" s="38" t="s">
        <v>45</v>
      </c>
      <c r="H92" s="38" t="s">
        <v>60</v>
      </c>
      <c r="I92" s="38" t="s">
        <v>281</v>
      </c>
      <c r="J92" s="38" t="s">
        <v>105</v>
      </c>
      <c r="K92" s="38" t="s">
        <v>55</v>
      </c>
      <c r="L92" s="38" t="s">
        <v>110</v>
      </c>
      <c r="M92" s="38" t="s">
        <v>42</v>
      </c>
      <c r="N92" s="38" t="s">
        <v>282</v>
      </c>
      <c r="O92" s="48">
        <v>527.33000000000004</v>
      </c>
      <c r="P92" s="49" t="str">
        <f t="shared" si="10"/>
        <v>High</v>
      </c>
      <c r="Q92" s="48">
        <v>911.72</v>
      </c>
      <c r="R92" s="48">
        <v>0.14399999999999999</v>
      </c>
      <c r="S92" s="48">
        <v>25</v>
      </c>
      <c r="T92" s="48">
        <f t="shared" si="7"/>
        <v>74251.58</v>
      </c>
      <c r="U92" s="38">
        <f t="shared" si="8"/>
        <v>13183.250000000002</v>
      </c>
      <c r="V92" s="48">
        <f t="shared" si="11"/>
        <v>61068.33</v>
      </c>
      <c r="W92" s="50">
        <f t="shared" si="12"/>
        <v>0.82245158958233622</v>
      </c>
    </row>
    <row r="93" spans="1:23" x14ac:dyDescent="0.3">
      <c r="A93" s="39" t="s">
        <v>283</v>
      </c>
      <c r="B93" s="40">
        <v>45101</v>
      </c>
      <c r="C93" s="41">
        <v>45100</v>
      </c>
      <c r="D93" s="42">
        <f>DATEDIF(C93,B93, "MD")</f>
        <v>1</v>
      </c>
      <c r="E93" s="42" t="str">
        <f>TEXT(Data!B93,"MMM-YYYY")</f>
        <v>Jun-2023</v>
      </c>
      <c r="F93" s="42" t="str">
        <f t="shared" si="9"/>
        <v>Q2-2023</v>
      </c>
      <c r="G93" s="37" t="s">
        <v>52</v>
      </c>
      <c r="H93" s="37" t="s">
        <v>73</v>
      </c>
      <c r="I93" s="37" t="s">
        <v>225</v>
      </c>
      <c r="J93" s="37" t="s">
        <v>39</v>
      </c>
      <c r="K93" s="37" t="s">
        <v>20</v>
      </c>
      <c r="L93" s="37" t="s">
        <v>63</v>
      </c>
      <c r="M93" s="37" t="s">
        <v>30</v>
      </c>
      <c r="N93" s="37" t="s">
        <v>284</v>
      </c>
      <c r="O93" s="42">
        <v>804.01</v>
      </c>
      <c r="P93" s="43" t="str">
        <f t="shared" si="10"/>
        <v>High</v>
      </c>
      <c r="Q93" s="42">
        <v>1405.07</v>
      </c>
      <c r="R93" s="42">
        <v>9.6000000000000002E-2</v>
      </c>
      <c r="S93" s="42">
        <v>8</v>
      </c>
      <c r="T93" s="42">
        <f t="shared" si="7"/>
        <v>4491.2166399999996</v>
      </c>
      <c r="U93" s="37">
        <f t="shared" si="8"/>
        <v>6432.08</v>
      </c>
      <c r="V93" s="42">
        <f t="shared" si="11"/>
        <v>-1940.8633600000003</v>
      </c>
      <c r="W93" s="44">
        <f t="shared" si="12"/>
        <v>-0.43214645731273393</v>
      </c>
    </row>
    <row r="94" spans="1:23" x14ac:dyDescent="0.3">
      <c r="A94" s="45" t="s">
        <v>285</v>
      </c>
      <c r="B94" s="46">
        <v>45569</v>
      </c>
      <c r="C94" s="47">
        <v>45598</v>
      </c>
      <c r="D94" s="48">
        <f t="shared" si="13"/>
        <v>29</v>
      </c>
      <c r="E94" s="48" t="str">
        <f>TEXT(Data!B94,"MMM-YYYY")</f>
        <v>Oct-2024</v>
      </c>
      <c r="F94" s="48" t="str">
        <f t="shared" si="9"/>
        <v>Q4-2024</v>
      </c>
      <c r="G94" s="38" t="s">
        <v>16</v>
      </c>
      <c r="H94" s="38" t="s">
        <v>25</v>
      </c>
      <c r="I94" s="38" t="s">
        <v>67</v>
      </c>
      <c r="J94" s="38" t="s">
        <v>19</v>
      </c>
      <c r="K94" s="38" t="s">
        <v>55</v>
      </c>
      <c r="L94" s="38" t="s">
        <v>84</v>
      </c>
      <c r="M94" s="38" t="s">
        <v>81</v>
      </c>
      <c r="N94" s="38" t="s">
        <v>286</v>
      </c>
      <c r="O94" s="48">
        <v>412.09</v>
      </c>
      <c r="P94" s="49" t="str">
        <f t="shared" si="10"/>
        <v>High</v>
      </c>
      <c r="Q94" s="48">
        <v>968.94</v>
      </c>
      <c r="R94" s="48">
        <v>9.9000000000000005E-2</v>
      </c>
      <c r="S94" s="48">
        <v>23</v>
      </c>
      <c r="T94" s="48">
        <f t="shared" si="7"/>
        <v>1834.19273</v>
      </c>
      <c r="U94" s="38">
        <f t="shared" si="8"/>
        <v>9478.07</v>
      </c>
      <c r="V94" s="48">
        <f t="shared" si="11"/>
        <v>-7643.87727</v>
      </c>
      <c r="W94" s="50">
        <f t="shared" si="12"/>
        <v>-4.1674340678473847</v>
      </c>
    </row>
    <row r="95" spans="1:23" x14ac:dyDescent="0.3">
      <c r="A95" s="39" t="s">
        <v>287</v>
      </c>
      <c r="B95" s="40">
        <v>45910</v>
      </c>
      <c r="C95" s="41">
        <v>45930</v>
      </c>
      <c r="D95" s="42">
        <f t="shared" si="13"/>
        <v>20</v>
      </c>
      <c r="E95" s="42" t="str">
        <f>TEXT(Data!B95,"MMM-YYYY")</f>
        <v>Sept-2025</v>
      </c>
      <c r="F95" s="42" t="str">
        <f t="shared" si="9"/>
        <v>Q3-2025</v>
      </c>
      <c r="G95" s="37" t="s">
        <v>16</v>
      </c>
      <c r="H95" s="37" t="s">
        <v>17</v>
      </c>
      <c r="I95" s="37" t="s">
        <v>113</v>
      </c>
      <c r="J95" s="37" t="s">
        <v>19</v>
      </c>
      <c r="K95" s="37" t="s">
        <v>98</v>
      </c>
      <c r="L95" s="37" t="s">
        <v>49</v>
      </c>
      <c r="M95" s="37" t="s">
        <v>42</v>
      </c>
      <c r="N95" s="37" t="s">
        <v>288</v>
      </c>
      <c r="O95" s="42">
        <v>1009.48</v>
      </c>
      <c r="P95" s="43" t="str">
        <f t="shared" si="10"/>
        <v>High</v>
      </c>
      <c r="Q95" s="42">
        <v>1088.81</v>
      </c>
      <c r="R95" s="42">
        <v>0.16</v>
      </c>
      <c r="S95" s="42">
        <v>6</v>
      </c>
      <c r="T95" s="42">
        <f t="shared" si="7"/>
        <v>9873.8135999999995</v>
      </c>
      <c r="U95" s="37">
        <f t="shared" si="8"/>
        <v>6056.88</v>
      </c>
      <c r="V95" s="42">
        <f t="shared" si="11"/>
        <v>3816.9335999999994</v>
      </c>
      <c r="W95" s="44">
        <f t="shared" si="12"/>
        <v>0.38657136488782812</v>
      </c>
    </row>
    <row r="96" spans="1:23" x14ac:dyDescent="0.3">
      <c r="A96" s="45" t="s">
        <v>289</v>
      </c>
      <c r="B96" s="46">
        <v>45022</v>
      </c>
      <c r="C96" s="47">
        <v>45043</v>
      </c>
      <c r="D96" s="48">
        <f t="shared" si="13"/>
        <v>21</v>
      </c>
      <c r="E96" s="48" t="str">
        <f>TEXT(Data!B96,"MMM-YYYY")</f>
        <v>Apr-2023</v>
      </c>
      <c r="F96" s="48" t="str">
        <f t="shared" si="9"/>
        <v>Q2-2023</v>
      </c>
      <c r="G96" s="38" t="s">
        <v>78</v>
      </c>
      <c r="H96" s="38" t="s">
        <v>108</v>
      </c>
      <c r="I96" s="38" t="s">
        <v>228</v>
      </c>
      <c r="J96" s="38" t="s">
        <v>105</v>
      </c>
      <c r="K96" s="38" t="s">
        <v>55</v>
      </c>
      <c r="L96" s="38" t="s">
        <v>34</v>
      </c>
      <c r="M96" s="38" t="s">
        <v>30</v>
      </c>
      <c r="N96" s="38" t="s">
        <v>290</v>
      </c>
      <c r="O96" s="48">
        <v>1084.79</v>
      </c>
      <c r="P96" s="49" t="str">
        <f t="shared" si="10"/>
        <v>High</v>
      </c>
      <c r="Q96" s="48">
        <v>2484.9899999999998</v>
      </c>
      <c r="R96" s="48">
        <v>3.4000000000000002E-2</v>
      </c>
      <c r="S96" s="48">
        <v>18</v>
      </c>
      <c r="T96" s="48">
        <f t="shared" si="7"/>
        <v>47694.762360000001</v>
      </c>
      <c r="U96" s="38">
        <f t="shared" si="8"/>
        <v>19526.22</v>
      </c>
      <c r="V96" s="48">
        <f t="shared" si="11"/>
        <v>28168.542359999999</v>
      </c>
      <c r="W96" s="50">
        <f t="shared" si="12"/>
        <v>0.59060032939013052</v>
      </c>
    </row>
    <row r="97" spans="1:23" x14ac:dyDescent="0.3">
      <c r="A97" s="39" t="s">
        <v>291</v>
      </c>
      <c r="B97" s="40">
        <v>45870</v>
      </c>
      <c r="C97" s="41">
        <v>45885</v>
      </c>
      <c r="D97" s="42">
        <f t="shared" si="13"/>
        <v>15</v>
      </c>
      <c r="E97" s="42" t="str">
        <f>TEXT(Data!B97,"MMM-YYYY")</f>
        <v>Aug-2025</v>
      </c>
      <c r="F97" s="42" t="str">
        <f t="shared" si="9"/>
        <v>Q3-2025</v>
      </c>
      <c r="G97" s="37" t="s">
        <v>45</v>
      </c>
      <c r="H97" s="37" t="s">
        <v>60</v>
      </c>
      <c r="I97" s="37" t="s">
        <v>1364</v>
      </c>
      <c r="J97" s="37" t="s">
        <v>105</v>
      </c>
      <c r="K97" s="37" t="s">
        <v>98</v>
      </c>
      <c r="L97" s="37" t="s">
        <v>68</v>
      </c>
      <c r="M97" s="37" t="s">
        <v>64</v>
      </c>
      <c r="N97" s="37" t="s">
        <v>292</v>
      </c>
      <c r="O97" s="42">
        <v>24.44</v>
      </c>
      <c r="P97" s="43" t="str">
        <f t="shared" si="10"/>
        <v>Low</v>
      </c>
      <c r="Q97" s="42">
        <v>28.69</v>
      </c>
      <c r="R97" s="42">
        <v>0.14599999999999999</v>
      </c>
      <c r="S97" s="42">
        <v>6</v>
      </c>
      <c r="T97" s="42">
        <f t="shared" si="7"/>
        <v>8605.3480799999998</v>
      </c>
      <c r="U97" s="37">
        <f t="shared" si="8"/>
        <v>146.64000000000001</v>
      </c>
      <c r="V97" s="42">
        <f t="shared" si="11"/>
        <v>8458.7080800000003</v>
      </c>
      <c r="W97" s="44">
        <f t="shared" si="12"/>
        <v>0.98295943422197984</v>
      </c>
    </row>
    <row r="98" spans="1:23" x14ac:dyDescent="0.3">
      <c r="A98" s="45" t="s">
        <v>293</v>
      </c>
      <c r="B98" s="46">
        <v>45440</v>
      </c>
      <c r="C98" s="47">
        <v>45438</v>
      </c>
      <c r="D98" s="48">
        <f>DATEDIF(C98,B98, "MD")</f>
        <v>2</v>
      </c>
      <c r="E98" s="48" t="str">
        <f>TEXT(Data!B98,"MMM-YYYY")</f>
        <v>May-2024</v>
      </c>
      <c r="F98" s="48" t="str">
        <f t="shared" si="9"/>
        <v>Q2-2024</v>
      </c>
      <c r="G98" s="38" t="s">
        <v>16</v>
      </c>
      <c r="H98" s="38" t="s">
        <v>25</v>
      </c>
      <c r="I98" s="38" t="s">
        <v>67</v>
      </c>
      <c r="J98" s="38" t="s">
        <v>105</v>
      </c>
      <c r="K98" s="38" t="s">
        <v>28</v>
      </c>
      <c r="L98" s="38" t="s">
        <v>84</v>
      </c>
      <c r="M98" s="38" t="s">
        <v>81</v>
      </c>
      <c r="N98" s="38" t="s">
        <v>294</v>
      </c>
      <c r="O98" s="48">
        <v>1227.08</v>
      </c>
      <c r="P98" s="49" t="str">
        <f t="shared" si="10"/>
        <v>High</v>
      </c>
      <c r="Q98" s="48">
        <v>1896.62</v>
      </c>
      <c r="R98" s="48">
        <v>0</v>
      </c>
      <c r="S98" s="48">
        <v>18</v>
      </c>
      <c r="T98" s="48">
        <f t="shared" si="7"/>
        <v>25810.2</v>
      </c>
      <c r="U98" s="38">
        <f t="shared" si="8"/>
        <v>22087.439999999999</v>
      </c>
      <c r="V98" s="48">
        <f t="shared" si="11"/>
        <v>3722.760000000002</v>
      </c>
      <c r="W98" s="50">
        <f t="shared" si="12"/>
        <v>0.14423599972104059</v>
      </c>
    </row>
    <row r="99" spans="1:23" x14ac:dyDescent="0.3">
      <c r="A99" s="39" t="s">
        <v>295</v>
      </c>
      <c r="B99" s="40">
        <v>45860</v>
      </c>
      <c r="C99" s="41">
        <v>45887</v>
      </c>
      <c r="D99" s="42">
        <f t="shared" si="13"/>
        <v>27</v>
      </c>
      <c r="E99" s="42" t="str">
        <f>TEXT(Data!B99,"MMM-YYYY")</f>
        <v>Jul-2025</v>
      </c>
      <c r="F99" s="42" t="str">
        <f t="shared" si="9"/>
        <v>Q3-2025</v>
      </c>
      <c r="G99" s="37" t="s">
        <v>45</v>
      </c>
      <c r="H99" s="37" t="s">
        <v>116</v>
      </c>
      <c r="I99" s="37" t="s">
        <v>117</v>
      </c>
      <c r="J99" s="37" t="s">
        <v>39</v>
      </c>
      <c r="K99" s="37" t="s">
        <v>40</v>
      </c>
      <c r="L99" s="37" t="s">
        <v>110</v>
      </c>
      <c r="M99" s="37" t="s">
        <v>35</v>
      </c>
      <c r="N99" s="37" t="s">
        <v>296</v>
      </c>
      <c r="O99" s="42">
        <v>547.32000000000005</v>
      </c>
      <c r="P99" s="43" t="str">
        <f t="shared" si="10"/>
        <v>High</v>
      </c>
      <c r="Q99" s="42">
        <v>419.17</v>
      </c>
      <c r="R99" s="42">
        <v>9.1999999999999998E-2</v>
      </c>
      <c r="S99" s="42">
        <v>14</v>
      </c>
      <c r="T99" s="42">
        <f t="shared" si="7"/>
        <v>3615.67416</v>
      </c>
      <c r="U99" s="37">
        <f t="shared" si="8"/>
        <v>7662.4800000000005</v>
      </c>
      <c r="V99" s="42">
        <f t="shared" si="11"/>
        <v>-4046.8058400000004</v>
      </c>
      <c r="W99" s="44">
        <f t="shared" si="12"/>
        <v>-1.1192396385630061</v>
      </c>
    </row>
    <row r="100" spans="1:23" x14ac:dyDescent="0.3">
      <c r="A100" s="45" t="s">
        <v>297</v>
      </c>
      <c r="B100" s="46">
        <v>44985</v>
      </c>
      <c r="C100" s="47">
        <v>45005</v>
      </c>
      <c r="D100" s="48">
        <f t="shared" si="13"/>
        <v>20</v>
      </c>
      <c r="E100" s="48" t="str">
        <f>TEXT(Data!B100,"MMM-YYYY")</f>
        <v>Feb-2023</v>
      </c>
      <c r="F100" s="48" t="str">
        <f t="shared" si="9"/>
        <v>Q1-2023</v>
      </c>
      <c r="G100" s="38" t="s">
        <v>78</v>
      </c>
      <c r="H100" s="38" t="s">
        <v>79</v>
      </c>
      <c r="I100" s="38" t="s">
        <v>80</v>
      </c>
      <c r="J100" s="38" t="s">
        <v>62</v>
      </c>
      <c r="K100" s="38" t="s">
        <v>98</v>
      </c>
      <c r="L100" s="38" t="s">
        <v>92</v>
      </c>
      <c r="M100" s="38" t="s">
        <v>57</v>
      </c>
      <c r="N100" s="38" t="s">
        <v>298</v>
      </c>
      <c r="O100" s="48">
        <v>1200.78</v>
      </c>
      <c r="P100" s="49" t="str">
        <f t="shared" si="10"/>
        <v>High</v>
      </c>
      <c r="Q100" s="48">
        <v>2001.17</v>
      </c>
      <c r="R100" s="48">
        <v>0.29199999999999998</v>
      </c>
      <c r="S100" s="48">
        <v>18</v>
      </c>
      <c r="T100" s="48">
        <f t="shared" si="7"/>
        <v>8854.276319999999</v>
      </c>
      <c r="U100" s="38">
        <f t="shared" si="8"/>
        <v>21614.04</v>
      </c>
      <c r="V100" s="48">
        <f t="shared" si="11"/>
        <v>-12759.763680000002</v>
      </c>
      <c r="W100" s="50">
        <f t="shared" si="12"/>
        <v>-1.4410848745682701</v>
      </c>
    </row>
    <row r="101" spans="1:23" x14ac:dyDescent="0.3">
      <c r="A101" s="39" t="s">
        <v>299</v>
      </c>
      <c r="B101" s="40">
        <v>45684</v>
      </c>
      <c r="C101" s="41">
        <v>45703</v>
      </c>
      <c r="D101" s="42">
        <f t="shared" si="13"/>
        <v>19</v>
      </c>
      <c r="E101" s="42" t="str">
        <f>TEXT(Data!B101,"MMM-YYYY")</f>
        <v>Jan-2025</v>
      </c>
      <c r="F101" s="42" t="str">
        <f t="shared" si="9"/>
        <v>Q1-2025</v>
      </c>
      <c r="G101" s="37" t="s">
        <v>45</v>
      </c>
      <c r="H101" s="37" t="s">
        <v>116</v>
      </c>
      <c r="I101" s="37" t="s">
        <v>117</v>
      </c>
      <c r="J101" s="37" t="s">
        <v>39</v>
      </c>
      <c r="K101" s="37" t="s">
        <v>98</v>
      </c>
      <c r="L101" s="37" t="s">
        <v>49</v>
      </c>
      <c r="M101" s="37" t="s">
        <v>42</v>
      </c>
      <c r="N101" s="37" t="s">
        <v>300</v>
      </c>
      <c r="O101" s="42">
        <v>1253.22</v>
      </c>
      <c r="P101" s="43" t="str">
        <f t="shared" si="10"/>
        <v>High</v>
      </c>
      <c r="Q101" s="42">
        <v>3104.71</v>
      </c>
      <c r="R101" s="42">
        <v>0</v>
      </c>
      <c r="S101" s="42">
        <v>17</v>
      </c>
      <c r="T101" s="42">
        <f t="shared" si="7"/>
        <v>31422.63</v>
      </c>
      <c r="U101" s="37">
        <f t="shared" si="8"/>
        <v>21304.74</v>
      </c>
      <c r="V101" s="42">
        <f t="shared" si="11"/>
        <v>10117.89</v>
      </c>
      <c r="W101" s="44">
        <f t="shared" si="12"/>
        <v>0.3219937350883742</v>
      </c>
    </row>
    <row r="102" spans="1:23" x14ac:dyDescent="0.3">
      <c r="A102" s="45" t="s">
        <v>301</v>
      </c>
      <c r="B102" s="46">
        <v>45304</v>
      </c>
      <c r="C102" s="47">
        <v>45313</v>
      </c>
      <c r="D102" s="48">
        <f t="shared" si="13"/>
        <v>9</v>
      </c>
      <c r="E102" s="48" t="str">
        <f>TEXT(Data!B102,"MMM-YYYY")</f>
        <v>Jan-2024</v>
      </c>
      <c r="F102" s="48" t="str">
        <f t="shared" si="9"/>
        <v>Q1-2024</v>
      </c>
      <c r="G102" s="38" t="s">
        <v>45</v>
      </c>
      <c r="H102" s="38" t="s">
        <v>60</v>
      </c>
      <c r="I102" s="38" t="s">
        <v>220</v>
      </c>
      <c r="J102" s="38" t="s">
        <v>105</v>
      </c>
      <c r="K102" s="38" t="s">
        <v>40</v>
      </c>
      <c r="L102" s="38" t="s">
        <v>29</v>
      </c>
      <c r="M102" s="38" t="s">
        <v>22</v>
      </c>
      <c r="N102" s="38" t="s">
        <v>302</v>
      </c>
      <c r="O102" s="48">
        <v>313.60000000000002</v>
      </c>
      <c r="P102" s="49" t="str">
        <f t="shared" si="10"/>
        <v>High</v>
      </c>
      <c r="Q102" s="48">
        <v>334.28</v>
      </c>
      <c r="R102" s="48">
        <v>0.14000000000000001</v>
      </c>
      <c r="S102" s="48">
        <v>22</v>
      </c>
      <c r="T102" s="48">
        <f t="shared" si="7"/>
        <v>854.99479999999994</v>
      </c>
      <c r="U102" s="38">
        <f t="shared" si="8"/>
        <v>6899.2000000000007</v>
      </c>
      <c r="V102" s="48">
        <f t="shared" si="11"/>
        <v>-6044.2052000000003</v>
      </c>
      <c r="W102" s="50">
        <f t="shared" si="12"/>
        <v>-7.0692888424584579</v>
      </c>
    </row>
    <row r="103" spans="1:23" x14ac:dyDescent="0.3">
      <c r="A103" s="39" t="s">
        <v>303</v>
      </c>
      <c r="B103" s="40">
        <v>45747</v>
      </c>
      <c r="C103" s="41">
        <v>45751</v>
      </c>
      <c r="D103" s="42">
        <f t="shared" si="13"/>
        <v>4</v>
      </c>
      <c r="E103" s="42" t="str">
        <f>TEXT(Data!B103,"MMM-YYYY")</f>
        <v>Mar-2025</v>
      </c>
      <c r="F103" s="42" t="str">
        <f t="shared" si="9"/>
        <v>Q1-2025</v>
      </c>
      <c r="G103" s="37" t="s">
        <v>16</v>
      </c>
      <c r="H103" s="37" t="s">
        <v>17</v>
      </c>
      <c r="I103" s="37" t="s">
        <v>135</v>
      </c>
      <c r="J103" s="37" t="s">
        <v>19</v>
      </c>
      <c r="K103" s="37" t="s">
        <v>98</v>
      </c>
      <c r="L103" s="37" t="s">
        <v>21</v>
      </c>
      <c r="M103" s="37" t="s">
        <v>57</v>
      </c>
      <c r="N103" s="37" t="s">
        <v>304</v>
      </c>
      <c r="O103" s="42">
        <v>862.08</v>
      </c>
      <c r="P103" s="43" t="str">
        <f t="shared" si="10"/>
        <v>High</v>
      </c>
      <c r="Q103" s="42">
        <v>1952.83</v>
      </c>
      <c r="R103" s="42">
        <v>0</v>
      </c>
      <c r="S103" s="42">
        <v>7</v>
      </c>
      <c r="T103" s="42">
        <f t="shared" si="7"/>
        <v>2527.7000000000003</v>
      </c>
      <c r="U103" s="37">
        <f t="shared" si="8"/>
        <v>6034.56</v>
      </c>
      <c r="V103" s="42">
        <f t="shared" si="11"/>
        <v>-3506.86</v>
      </c>
      <c r="W103" s="44">
        <f t="shared" si="12"/>
        <v>-1.3873719191359732</v>
      </c>
    </row>
    <row r="104" spans="1:23" x14ac:dyDescent="0.3">
      <c r="A104" s="45" t="s">
        <v>305</v>
      </c>
      <c r="B104" s="46">
        <v>45631</v>
      </c>
      <c r="C104" s="47">
        <v>45654</v>
      </c>
      <c r="D104" s="48">
        <f t="shared" si="13"/>
        <v>23</v>
      </c>
      <c r="E104" s="48" t="str">
        <f>TEXT(Data!B104,"MMM-YYYY")</f>
        <v>Dec-2024</v>
      </c>
      <c r="F104" s="48" t="str">
        <f t="shared" si="9"/>
        <v>Q4-2024</v>
      </c>
      <c r="G104" s="38" t="s">
        <v>52</v>
      </c>
      <c r="H104" s="38" t="s">
        <v>53</v>
      </c>
      <c r="I104" s="38" t="s">
        <v>179</v>
      </c>
      <c r="J104" s="38" t="s">
        <v>19</v>
      </c>
      <c r="K104" s="38" t="s">
        <v>98</v>
      </c>
      <c r="L104" s="38" t="s">
        <v>84</v>
      </c>
      <c r="M104" s="38" t="s">
        <v>81</v>
      </c>
      <c r="N104" s="38" t="s">
        <v>306</v>
      </c>
      <c r="O104" s="48">
        <v>107.03</v>
      </c>
      <c r="P104" s="49" t="str">
        <f t="shared" si="10"/>
        <v>High</v>
      </c>
      <c r="Q104" s="48">
        <v>242.29</v>
      </c>
      <c r="R104" s="48">
        <v>0.18</v>
      </c>
      <c r="S104" s="48">
        <v>30</v>
      </c>
      <c r="T104" s="48">
        <f t="shared" si="7"/>
        <v>24706.764000000003</v>
      </c>
      <c r="U104" s="38">
        <f t="shared" si="8"/>
        <v>3210.9</v>
      </c>
      <c r="V104" s="48">
        <f t="shared" si="11"/>
        <v>21495.864000000001</v>
      </c>
      <c r="W104" s="50">
        <f t="shared" si="12"/>
        <v>0.87003963772835646</v>
      </c>
    </row>
    <row r="105" spans="1:23" x14ac:dyDescent="0.3">
      <c r="A105" s="39" t="s">
        <v>307</v>
      </c>
      <c r="B105" s="40">
        <v>45549</v>
      </c>
      <c r="C105" s="41">
        <v>45570</v>
      </c>
      <c r="D105" s="42">
        <f t="shared" si="13"/>
        <v>21</v>
      </c>
      <c r="E105" s="42" t="str">
        <f>TEXT(Data!B105,"MMM-YYYY")</f>
        <v>Sept-2024</v>
      </c>
      <c r="F105" s="42" t="str">
        <f t="shared" si="9"/>
        <v>Q3-2024</v>
      </c>
      <c r="G105" s="37" t="s">
        <v>45</v>
      </c>
      <c r="H105" s="37" t="s">
        <v>116</v>
      </c>
      <c r="I105" s="37" t="s">
        <v>162</v>
      </c>
      <c r="J105" s="37" t="s">
        <v>62</v>
      </c>
      <c r="K105" s="37" t="s">
        <v>28</v>
      </c>
      <c r="L105" s="37" t="s">
        <v>92</v>
      </c>
      <c r="M105" s="37" t="s">
        <v>57</v>
      </c>
      <c r="N105" s="37" t="s">
        <v>308</v>
      </c>
      <c r="O105" s="42">
        <v>1405.56</v>
      </c>
      <c r="P105" s="43" t="str">
        <f t="shared" si="10"/>
        <v>High</v>
      </c>
      <c r="Q105" s="42">
        <v>2968.87</v>
      </c>
      <c r="R105" s="42">
        <v>0.16900000000000001</v>
      </c>
      <c r="S105" s="42">
        <v>5</v>
      </c>
      <c r="T105" s="42">
        <f t="shared" si="7"/>
        <v>4270.2181499999997</v>
      </c>
      <c r="U105" s="37">
        <f t="shared" si="8"/>
        <v>7027.7999999999993</v>
      </c>
      <c r="V105" s="42">
        <f t="shared" si="11"/>
        <v>-2757.5818499999996</v>
      </c>
      <c r="W105" s="44">
        <f t="shared" si="12"/>
        <v>-0.64577072016800818</v>
      </c>
    </row>
    <row r="106" spans="1:23" x14ac:dyDescent="0.3">
      <c r="A106" s="45" t="s">
        <v>309</v>
      </c>
      <c r="B106" s="46">
        <v>45433</v>
      </c>
      <c r="C106" s="47">
        <v>45439</v>
      </c>
      <c r="D106" s="48">
        <f t="shared" si="13"/>
        <v>6</v>
      </c>
      <c r="E106" s="48" t="str">
        <f>TEXT(Data!B106,"MMM-YYYY")</f>
        <v>May-2024</v>
      </c>
      <c r="F106" s="48" t="str">
        <f t="shared" si="9"/>
        <v>Q2-2024</v>
      </c>
      <c r="G106" s="38" t="s">
        <v>16</v>
      </c>
      <c r="H106" s="38" t="s">
        <v>148</v>
      </c>
      <c r="I106" s="38" t="s">
        <v>149</v>
      </c>
      <c r="J106" s="38" t="s">
        <v>39</v>
      </c>
      <c r="K106" s="38" t="s">
        <v>28</v>
      </c>
      <c r="L106" s="38" t="s">
        <v>110</v>
      </c>
      <c r="M106" s="38" t="s">
        <v>22</v>
      </c>
      <c r="N106" s="38" t="s">
        <v>310</v>
      </c>
      <c r="O106" s="48">
        <v>1157.51</v>
      </c>
      <c r="P106" s="49" t="str">
        <f t="shared" si="10"/>
        <v>High</v>
      </c>
      <c r="Q106" s="48">
        <v>1394.3</v>
      </c>
      <c r="R106" s="48">
        <v>0.27800000000000002</v>
      </c>
      <c r="S106" s="48">
        <v>12</v>
      </c>
      <c r="T106" s="48">
        <f t="shared" si="7"/>
        <v>4055.5317599999998</v>
      </c>
      <c r="U106" s="38">
        <f t="shared" si="8"/>
        <v>13890.119999999999</v>
      </c>
      <c r="V106" s="48">
        <f t="shared" si="11"/>
        <v>-9834.5882399999991</v>
      </c>
      <c r="W106" s="50">
        <f t="shared" si="12"/>
        <v>-2.4249811916156712</v>
      </c>
    </row>
    <row r="107" spans="1:23" x14ac:dyDescent="0.3">
      <c r="A107" s="39" t="s">
        <v>311</v>
      </c>
      <c r="B107" s="40">
        <v>45057</v>
      </c>
      <c r="C107" s="41">
        <v>45084</v>
      </c>
      <c r="D107" s="42">
        <f t="shared" si="13"/>
        <v>27</v>
      </c>
      <c r="E107" s="42" t="str">
        <f>TEXT(Data!B107,"MMM-YYYY")</f>
        <v>May-2023</v>
      </c>
      <c r="F107" s="42" t="str">
        <f t="shared" si="9"/>
        <v>Q2-2023</v>
      </c>
      <c r="G107" s="37" t="s">
        <v>16</v>
      </c>
      <c r="H107" s="37" t="s">
        <v>17</v>
      </c>
      <c r="I107" s="37" t="s">
        <v>113</v>
      </c>
      <c r="J107" s="37" t="s">
        <v>19</v>
      </c>
      <c r="K107" s="37" t="s">
        <v>28</v>
      </c>
      <c r="L107" s="37" t="s">
        <v>29</v>
      </c>
      <c r="M107" s="37" t="s">
        <v>42</v>
      </c>
      <c r="N107" s="37" t="s">
        <v>312</v>
      </c>
      <c r="O107" s="42">
        <v>12.85</v>
      </c>
      <c r="P107" s="43" t="str">
        <f t="shared" si="10"/>
        <v>Low</v>
      </c>
      <c r="Q107" s="42">
        <v>15.41</v>
      </c>
      <c r="R107" s="42">
        <v>0.13700000000000001</v>
      </c>
      <c r="S107" s="42">
        <v>39</v>
      </c>
      <c r="T107" s="42">
        <f t="shared" si="7"/>
        <v>22483.549139999999</v>
      </c>
      <c r="U107" s="37">
        <f t="shared" si="8"/>
        <v>501.15</v>
      </c>
      <c r="V107" s="42">
        <f t="shared" si="11"/>
        <v>21982.399139999998</v>
      </c>
      <c r="W107" s="44">
        <f t="shared" si="12"/>
        <v>0.97771036961827273</v>
      </c>
    </row>
    <row r="108" spans="1:23" x14ac:dyDescent="0.3">
      <c r="A108" s="45" t="s">
        <v>313</v>
      </c>
      <c r="B108" s="46">
        <v>45518</v>
      </c>
      <c r="C108" s="47">
        <v>45539</v>
      </c>
      <c r="D108" s="48">
        <f t="shared" si="13"/>
        <v>21</v>
      </c>
      <c r="E108" s="48" t="str">
        <f>TEXT(Data!B108,"MMM-YYYY")</f>
        <v>Aug-2024</v>
      </c>
      <c r="F108" s="48" t="str">
        <f t="shared" si="9"/>
        <v>Q3-2024</v>
      </c>
      <c r="G108" s="38" t="s">
        <v>78</v>
      </c>
      <c r="H108" s="38" t="s">
        <v>108</v>
      </c>
      <c r="I108" s="38" t="s">
        <v>228</v>
      </c>
      <c r="J108" s="38" t="s">
        <v>39</v>
      </c>
      <c r="K108" s="38" t="s">
        <v>28</v>
      </c>
      <c r="L108" s="38" t="s">
        <v>29</v>
      </c>
      <c r="M108" s="38" t="s">
        <v>42</v>
      </c>
      <c r="N108" s="38" t="s">
        <v>314</v>
      </c>
      <c r="O108" s="48">
        <v>1138.8</v>
      </c>
      <c r="P108" s="49" t="str">
        <f t="shared" si="10"/>
        <v>High</v>
      </c>
      <c r="Q108" s="48">
        <v>2250.81</v>
      </c>
      <c r="R108" s="48">
        <v>0.123</v>
      </c>
      <c r="S108" s="48">
        <v>12</v>
      </c>
      <c r="T108" s="48">
        <f t="shared" si="7"/>
        <v>5654.22948</v>
      </c>
      <c r="U108" s="38">
        <f t="shared" si="8"/>
        <v>13665.599999999999</v>
      </c>
      <c r="V108" s="48">
        <f t="shared" si="11"/>
        <v>-8011.3705199999986</v>
      </c>
      <c r="W108" s="50">
        <f t="shared" si="12"/>
        <v>-1.4168810353979475</v>
      </c>
    </row>
    <row r="109" spans="1:23" x14ac:dyDescent="0.3">
      <c r="A109" s="39" t="s">
        <v>315</v>
      </c>
      <c r="B109" s="40">
        <v>45581</v>
      </c>
      <c r="C109" s="41">
        <v>45604</v>
      </c>
      <c r="D109" s="42">
        <f t="shared" si="13"/>
        <v>23</v>
      </c>
      <c r="E109" s="42" t="str">
        <f>TEXT(Data!B109,"MMM-YYYY")</f>
        <v>Oct-2024</v>
      </c>
      <c r="F109" s="42" t="str">
        <f t="shared" si="9"/>
        <v>Q4-2024</v>
      </c>
      <c r="G109" s="37" t="s">
        <v>45</v>
      </c>
      <c r="H109" s="37" t="s">
        <v>46</v>
      </c>
      <c r="I109" s="37" t="s">
        <v>47</v>
      </c>
      <c r="J109" s="37" t="s">
        <v>62</v>
      </c>
      <c r="K109" s="37" t="s">
        <v>20</v>
      </c>
      <c r="L109" s="37" t="s">
        <v>29</v>
      </c>
      <c r="M109" s="37" t="s">
        <v>35</v>
      </c>
      <c r="N109" s="37" t="s">
        <v>316</v>
      </c>
      <c r="O109" s="42">
        <v>82.14</v>
      </c>
      <c r="P109" s="43" t="str">
        <f t="shared" si="10"/>
        <v>Medium</v>
      </c>
      <c r="Q109" s="42">
        <v>166.04</v>
      </c>
      <c r="R109" s="42">
        <v>0</v>
      </c>
      <c r="S109" s="42">
        <v>10</v>
      </c>
      <c r="T109" s="42">
        <f t="shared" si="7"/>
        <v>5727.1</v>
      </c>
      <c r="U109" s="37">
        <f t="shared" si="8"/>
        <v>821.4</v>
      </c>
      <c r="V109" s="42">
        <f t="shared" si="11"/>
        <v>4905.7000000000007</v>
      </c>
      <c r="W109" s="44">
        <f t="shared" si="12"/>
        <v>0.85657662691414516</v>
      </c>
    </row>
    <row r="110" spans="1:23" x14ac:dyDescent="0.3">
      <c r="A110" s="45" t="s">
        <v>317</v>
      </c>
      <c r="B110" s="46">
        <v>45445</v>
      </c>
      <c r="C110" s="47">
        <v>45451</v>
      </c>
      <c r="D110" s="48">
        <f t="shared" si="13"/>
        <v>6</v>
      </c>
      <c r="E110" s="48" t="str">
        <f>TEXT(Data!B110,"MMM-YYYY")</f>
        <v>Jun-2024</v>
      </c>
      <c r="F110" s="48" t="str">
        <f t="shared" si="9"/>
        <v>Q2-2024</v>
      </c>
      <c r="G110" s="38" t="s">
        <v>16</v>
      </c>
      <c r="H110" s="38" t="s">
        <v>17</v>
      </c>
      <c r="I110" s="38" t="s">
        <v>18</v>
      </c>
      <c r="J110" s="38" t="s">
        <v>48</v>
      </c>
      <c r="K110" s="38" t="s">
        <v>40</v>
      </c>
      <c r="L110" s="38" t="s">
        <v>75</v>
      </c>
      <c r="M110" s="38" t="s">
        <v>81</v>
      </c>
      <c r="N110" s="38" t="s">
        <v>318</v>
      </c>
      <c r="O110" s="48">
        <v>292.94</v>
      </c>
      <c r="P110" s="49" t="str">
        <f t="shared" si="10"/>
        <v>High</v>
      </c>
      <c r="Q110" s="48">
        <v>356.55</v>
      </c>
      <c r="R110" s="48">
        <v>0.22900000000000001</v>
      </c>
      <c r="S110" s="48">
        <v>2</v>
      </c>
      <c r="T110" s="48">
        <f t="shared" si="7"/>
        <v>3583.4075399999997</v>
      </c>
      <c r="U110" s="38">
        <f t="shared" si="8"/>
        <v>585.88</v>
      </c>
      <c r="V110" s="48">
        <f t="shared" si="11"/>
        <v>2997.5275399999996</v>
      </c>
      <c r="W110" s="50">
        <f t="shared" si="12"/>
        <v>0.83650199050482543</v>
      </c>
    </row>
    <row r="111" spans="1:23" x14ac:dyDescent="0.3">
      <c r="A111" s="39" t="s">
        <v>319</v>
      </c>
      <c r="B111" s="40">
        <v>45452</v>
      </c>
      <c r="C111" s="41">
        <v>45480</v>
      </c>
      <c r="D111" s="42">
        <f t="shared" si="13"/>
        <v>28</v>
      </c>
      <c r="E111" s="42" t="str">
        <f>TEXT(Data!B111,"MMM-YYYY")</f>
        <v>Jun-2024</v>
      </c>
      <c r="F111" s="42" t="str">
        <f t="shared" si="9"/>
        <v>Q2-2024</v>
      </c>
      <c r="G111" s="37" t="s">
        <v>45</v>
      </c>
      <c r="H111" s="37" t="s">
        <v>116</v>
      </c>
      <c r="I111" s="37" t="s">
        <v>117</v>
      </c>
      <c r="J111" s="37" t="s">
        <v>19</v>
      </c>
      <c r="K111" s="37" t="s">
        <v>28</v>
      </c>
      <c r="L111" s="37" t="s">
        <v>29</v>
      </c>
      <c r="M111" s="37" t="s">
        <v>22</v>
      </c>
      <c r="N111" s="37" t="s">
        <v>320</v>
      </c>
      <c r="O111" s="42">
        <v>550.22</v>
      </c>
      <c r="P111" s="43" t="str">
        <f t="shared" si="10"/>
        <v>High</v>
      </c>
      <c r="Q111" s="42">
        <v>1025.05</v>
      </c>
      <c r="R111" s="42">
        <v>0</v>
      </c>
      <c r="S111" s="42">
        <v>27</v>
      </c>
      <c r="T111" s="42">
        <f t="shared" si="7"/>
        <v>44038.080000000002</v>
      </c>
      <c r="U111" s="37">
        <f t="shared" si="8"/>
        <v>14855.94</v>
      </c>
      <c r="V111" s="42">
        <f t="shared" si="11"/>
        <v>29182.14</v>
      </c>
      <c r="W111" s="44">
        <f t="shared" si="12"/>
        <v>0.66265695507161071</v>
      </c>
    </row>
    <row r="112" spans="1:23" x14ac:dyDescent="0.3">
      <c r="A112" s="45" t="s">
        <v>321</v>
      </c>
      <c r="B112" s="46">
        <v>45453</v>
      </c>
      <c r="C112" s="47">
        <v>45454</v>
      </c>
      <c r="D112" s="48">
        <f t="shared" si="13"/>
        <v>1</v>
      </c>
      <c r="E112" s="48" t="str">
        <f>TEXT(Data!B112,"MMM-YYYY")</f>
        <v>Jun-2024</v>
      </c>
      <c r="F112" s="48" t="str">
        <f t="shared" si="9"/>
        <v>Q2-2024</v>
      </c>
      <c r="G112" s="38" t="s">
        <v>78</v>
      </c>
      <c r="H112" s="38" t="s">
        <v>108</v>
      </c>
      <c r="I112" s="38" t="s">
        <v>109</v>
      </c>
      <c r="J112" s="38" t="s">
        <v>62</v>
      </c>
      <c r="K112" s="38" t="s">
        <v>40</v>
      </c>
      <c r="L112" s="38" t="s">
        <v>110</v>
      </c>
      <c r="M112" s="38" t="s">
        <v>57</v>
      </c>
      <c r="N112" s="38" t="s">
        <v>322</v>
      </c>
      <c r="O112" s="48">
        <v>1187.1300000000001</v>
      </c>
      <c r="P112" s="49" t="str">
        <f t="shared" si="10"/>
        <v>High</v>
      </c>
      <c r="Q112" s="48">
        <v>1795.17</v>
      </c>
      <c r="R112" s="48">
        <v>1.2E-2</v>
      </c>
      <c r="S112" s="48">
        <v>17</v>
      </c>
      <c r="T112" s="48">
        <f t="shared" si="7"/>
        <v>6606.0347600000005</v>
      </c>
      <c r="U112" s="38">
        <f t="shared" si="8"/>
        <v>20181.210000000003</v>
      </c>
      <c r="V112" s="48">
        <f t="shared" si="11"/>
        <v>-13575.175240000002</v>
      </c>
      <c r="W112" s="50">
        <f t="shared" si="12"/>
        <v>-2.0549657598229172</v>
      </c>
    </row>
    <row r="113" spans="1:23" x14ac:dyDescent="0.3">
      <c r="A113" s="39" t="s">
        <v>323</v>
      </c>
      <c r="B113" s="40">
        <v>45472</v>
      </c>
      <c r="C113" s="41">
        <v>45499</v>
      </c>
      <c r="D113" s="42">
        <f t="shared" si="13"/>
        <v>27</v>
      </c>
      <c r="E113" s="42" t="str">
        <f>TEXT(Data!B113,"MMM-YYYY")</f>
        <v>Jun-2024</v>
      </c>
      <c r="F113" s="42" t="str">
        <f t="shared" si="9"/>
        <v>Q2-2024</v>
      </c>
      <c r="G113" s="37" t="s">
        <v>16</v>
      </c>
      <c r="H113" s="37" t="s">
        <v>148</v>
      </c>
      <c r="I113" s="37" t="s">
        <v>172</v>
      </c>
      <c r="J113" s="37" t="s">
        <v>105</v>
      </c>
      <c r="K113" s="37" t="s">
        <v>55</v>
      </c>
      <c r="L113" s="37" t="s">
        <v>56</v>
      </c>
      <c r="M113" s="37" t="s">
        <v>35</v>
      </c>
      <c r="N113" s="37" t="s">
        <v>324</v>
      </c>
      <c r="O113" s="42">
        <v>5.36</v>
      </c>
      <c r="P113" s="43" t="str">
        <f t="shared" si="10"/>
        <v>Low</v>
      </c>
      <c r="Q113" s="42">
        <v>4.37</v>
      </c>
      <c r="R113" s="42">
        <v>0.11799999999999999</v>
      </c>
      <c r="S113" s="42">
        <v>9</v>
      </c>
      <c r="T113" s="42">
        <f t="shared" si="7"/>
        <v>14734.198080000002</v>
      </c>
      <c r="U113" s="37">
        <f t="shared" si="8"/>
        <v>48.24</v>
      </c>
      <c r="V113" s="42">
        <f t="shared" si="11"/>
        <v>14685.958080000002</v>
      </c>
      <c r="W113" s="44">
        <f t="shared" si="12"/>
        <v>0.99672598401771995</v>
      </c>
    </row>
    <row r="114" spans="1:23" x14ac:dyDescent="0.3">
      <c r="A114" s="45" t="s">
        <v>325</v>
      </c>
      <c r="B114" s="46">
        <v>45674</v>
      </c>
      <c r="C114" s="47">
        <v>45681</v>
      </c>
      <c r="D114" s="48">
        <f t="shared" si="13"/>
        <v>7</v>
      </c>
      <c r="E114" s="48" t="str">
        <f>TEXT(Data!B114,"MMM-YYYY")</f>
        <v>Jan-2025</v>
      </c>
      <c r="F114" s="48" t="str">
        <f t="shared" si="9"/>
        <v>Q1-2025</v>
      </c>
      <c r="G114" s="38" t="s">
        <v>52</v>
      </c>
      <c r="H114" s="38" t="s">
        <v>122</v>
      </c>
      <c r="I114" s="38" t="s">
        <v>326</v>
      </c>
      <c r="J114" s="38" t="s">
        <v>105</v>
      </c>
      <c r="K114" s="38" t="s">
        <v>28</v>
      </c>
      <c r="L114" s="38" t="s">
        <v>41</v>
      </c>
      <c r="M114" s="38" t="s">
        <v>81</v>
      </c>
      <c r="N114" s="38" t="s">
        <v>327</v>
      </c>
      <c r="O114" s="48">
        <v>142.09</v>
      </c>
      <c r="P114" s="49" t="str">
        <f t="shared" si="10"/>
        <v>High</v>
      </c>
      <c r="Q114" s="48">
        <v>218.5</v>
      </c>
      <c r="R114" s="48">
        <v>0.11899999999999999</v>
      </c>
      <c r="S114" s="48">
        <v>11</v>
      </c>
      <c r="T114" s="48">
        <f t="shared" si="7"/>
        <v>822.7659000000001</v>
      </c>
      <c r="U114" s="38">
        <f t="shared" si="8"/>
        <v>1562.99</v>
      </c>
      <c r="V114" s="48">
        <f t="shared" si="11"/>
        <v>-740.22409999999991</v>
      </c>
      <c r="W114" s="50">
        <f t="shared" si="12"/>
        <v>-0.89967766043779862</v>
      </c>
    </row>
    <row r="115" spans="1:23" x14ac:dyDescent="0.3">
      <c r="A115" s="39" t="s">
        <v>328</v>
      </c>
      <c r="B115" s="40">
        <v>45250</v>
      </c>
      <c r="C115" s="41">
        <v>45265</v>
      </c>
      <c r="D115" s="42">
        <f t="shared" si="13"/>
        <v>15</v>
      </c>
      <c r="E115" s="42" t="str">
        <f>TEXT(Data!B115,"MMM-YYYY")</f>
        <v>Nov-2023</v>
      </c>
      <c r="F115" s="42" t="str">
        <f t="shared" si="9"/>
        <v>Q4-2023</v>
      </c>
      <c r="G115" s="37" t="s">
        <v>45</v>
      </c>
      <c r="H115" s="37" t="s">
        <v>46</v>
      </c>
      <c r="I115" s="37" t="s">
        <v>214</v>
      </c>
      <c r="J115" s="37" t="s">
        <v>105</v>
      </c>
      <c r="K115" s="37" t="s">
        <v>20</v>
      </c>
      <c r="L115" s="37" t="s">
        <v>49</v>
      </c>
      <c r="M115" s="37" t="s">
        <v>35</v>
      </c>
      <c r="N115" s="37" t="s">
        <v>329</v>
      </c>
      <c r="O115" s="42">
        <v>354.24</v>
      </c>
      <c r="P115" s="43" t="str">
        <f t="shared" si="10"/>
        <v>High</v>
      </c>
      <c r="Q115" s="42">
        <v>249.87</v>
      </c>
      <c r="R115" s="42">
        <v>0</v>
      </c>
      <c r="S115" s="42">
        <v>6</v>
      </c>
      <c r="T115" s="42">
        <f t="shared" si="7"/>
        <v>13513.439999999999</v>
      </c>
      <c r="U115" s="37">
        <f t="shared" si="8"/>
        <v>2125.44</v>
      </c>
      <c r="V115" s="42">
        <f t="shared" si="11"/>
        <v>11387.999999999998</v>
      </c>
      <c r="W115" s="44">
        <f t="shared" si="12"/>
        <v>0.84271658437821895</v>
      </c>
    </row>
    <row r="116" spans="1:23" x14ac:dyDescent="0.3">
      <c r="A116" s="45" t="s">
        <v>330</v>
      </c>
      <c r="B116" s="46">
        <v>44987</v>
      </c>
      <c r="C116" s="47">
        <v>44990</v>
      </c>
      <c r="D116" s="48">
        <f t="shared" si="13"/>
        <v>3</v>
      </c>
      <c r="E116" s="48" t="str">
        <f>TEXT(Data!B116,"MMM-YYYY")</f>
        <v>Mar-2023</v>
      </c>
      <c r="F116" s="48" t="str">
        <f t="shared" si="9"/>
        <v>Q1-2023</v>
      </c>
      <c r="G116" s="38" t="s">
        <v>52</v>
      </c>
      <c r="H116" s="38" t="s">
        <v>73</v>
      </c>
      <c r="I116" s="38" t="s">
        <v>87</v>
      </c>
      <c r="J116" s="38" t="s">
        <v>105</v>
      </c>
      <c r="K116" s="38" t="s">
        <v>98</v>
      </c>
      <c r="L116" s="38" t="s">
        <v>41</v>
      </c>
      <c r="M116" s="38" t="s">
        <v>64</v>
      </c>
      <c r="N116" s="38" t="s">
        <v>331</v>
      </c>
      <c r="O116" s="48">
        <v>1473.58</v>
      </c>
      <c r="P116" s="49" t="str">
        <f t="shared" si="10"/>
        <v>High</v>
      </c>
      <c r="Q116" s="48">
        <v>3436.52</v>
      </c>
      <c r="R116" s="48">
        <v>0.108</v>
      </c>
      <c r="S116" s="48">
        <v>8</v>
      </c>
      <c r="T116" s="48">
        <f t="shared" si="7"/>
        <v>6576.6803200000004</v>
      </c>
      <c r="U116" s="38">
        <f t="shared" si="8"/>
        <v>11788.64</v>
      </c>
      <c r="V116" s="48">
        <f t="shared" si="11"/>
        <v>-5211.959679999999</v>
      </c>
      <c r="W116" s="50">
        <f t="shared" si="12"/>
        <v>-0.79249095689662452</v>
      </c>
    </row>
    <row r="117" spans="1:23" x14ac:dyDescent="0.3">
      <c r="A117" s="39" t="s">
        <v>332</v>
      </c>
      <c r="B117" s="40">
        <v>45811</v>
      </c>
      <c r="C117" s="41">
        <v>45818</v>
      </c>
      <c r="D117" s="42">
        <f t="shared" si="13"/>
        <v>7</v>
      </c>
      <c r="E117" s="42" t="str">
        <f>TEXT(Data!B117,"MMM-YYYY")</f>
        <v>Jun-2025</v>
      </c>
      <c r="F117" s="42" t="str">
        <f t="shared" si="9"/>
        <v>Q2-2025</v>
      </c>
      <c r="G117" s="37" t="s">
        <v>52</v>
      </c>
      <c r="H117" s="37" t="s">
        <v>53</v>
      </c>
      <c r="I117" s="37" t="s">
        <v>54</v>
      </c>
      <c r="J117" s="37" t="s">
        <v>48</v>
      </c>
      <c r="K117" s="37" t="s">
        <v>55</v>
      </c>
      <c r="L117" s="37" t="s">
        <v>68</v>
      </c>
      <c r="M117" s="37" t="s">
        <v>30</v>
      </c>
      <c r="N117" s="37" t="s">
        <v>333</v>
      </c>
      <c r="O117" s="42">
        <v>75.180000000000007</v>
      </c>
      <c r="P117" s="43" t="str">
        <f t="shared" si="10"/>
        <v>Medium</v>
      </c>
      <c r="Q117" s="42">
        <v>53.45</v>
      </c>
      <c r="R117" s="42">
        <v>0.157</v>
      </c>
      <c r="S117" s="42">
        <v>17</v>
      </c>
      <c r="T117" s="42">
        <f t="shared" si="7"/>
        <v>23548.41258</v>
      </c>
      <c r="U117" s="37">
        <f t="shared" si="8"/>
        <v>1278.0600000000002</v>
      </c>
      <c r="V117" s="42">
        <f t="shared" si="11"/>
        <v>22270.352579999999</v>
      </c>
      <c r="W117" s="44">
        <f t="shared" si="12"/>
        <v>0.94572627791117114</v>
      </c>
    </row>
    <row r="118" spans="1:23" x14ac:dyDescent="0.3">
      <c r="A118" s="45" t="s">
        <v>334</v>
      </c>
      <c r="B118" s="46">
        <v>45653</v>
      </c>
      <c r="C118" s="47">
        <v>45659</v>
      </c>
      <c r="D118" s="48">
        <f t="shared" si="13"/>
        <v>6</v>
      </c>
      <c r="E118" s="48" t="str">
        <f>TEXT(Data!B118,"MMM-YYYY")</f>
        <v>Dec-2024</v>
      </c>
      <c r="F118" s="48" t="str">
        <f t="shared" si="9"/>
        <v>Q4-2024</v>
      </c>
      <c r="G118" s="38" t="s">
        <v>78</v>
      </c>
      <c r="H118" s="38" t="s">
        <v>79</v>
      </c>
      <c r="I118" s="38" t="s">
        <v>335</v>
      </c>
      <c r="J118" s="38" t="s">
        <v>27</v>
      </c>
      <c r="K118" s="38" t="s">
        <v>98</v>
      </c>
      <c r="L118" s="38" t="s">
        <v>84</v>
      </c>
      <c r="M118" s="38" t="s">
        <v>57</v>
      </c>
      <c r="N118" s="38" t="s">
        <v>336</v>
      </c>
      <c r="O118" s="48">
        <v>1391.99</v>
      </c>
      <c r="P118" s="49" t="str">
        <f t="shared" si="10"/>
        <v>High</v>
      </c>
      <c r="Q118" s="48">
        <v>3469.7</v>
      </c>
      <c r="R118" s="48">
        <v>0.184</v>
      </c>
      <c r="S118" s="48">
        <v>23</v>
      </c>
      <c r="T118" s="48">
        <f t="shared" si="7"/>
        <v>27535.846560000005</v>
      </c>
      <c r="U118" s="38">
        <f t="shared" si="8"/>
        <v>32015.77</v>
      </c>
      <c r="V118" s="48">
        <f t="shared" si="11"/>
        <v>-4479.923439999995</v>
      </c>
      <c r="W118" s="50">
        <f t="shared" si="12"/>
        <v>-0.16269423314218215</v>
      </c>
    </row>
    <row r="119" spans="1:23" x14ac:dyDescent="0.3">
      <c r="A119" s="39" t="s">
        <v>337</v>
      </c>
      <c r="B119" s="40">
        <v>45086</v>
      </c>
      <c r="C119" s="41">
        <v>45096</v>
      </c>
      <c r="D119" s="42">
        <f t="shared" si="13"/>
        <v>10</v>
      </c>
      <c r="E119" s="42" t="str">
        <f>TEXT(Data!B119,"MMM-YYYY")</f>
        <v>Jun-2023</v>
      </c>
      <c r="F119" s="42" t="str">
        <f t="shared" si="9"/>
        <v>Q2-2023</v>
      </c>
      <c r="G119" s="37" t="s">
        <v>45</v>
      </c>
      <c r="H119" s="37" t="s">
        <v>116</v>
      </c>
      <c r="I119" s="37" t="s">
        <v>338</v>
      </c>
      <c r="J119" s="37" t="s">
        <v>105</v>
      </c>
      <c r="K119" s="37" t="s">
        <v>20</v>
      </c>
      <c r="L119" s="37" t="s">
        <v>84</v>
      </c>
      <c r="M119" s="37" t="s">
        <v>64</v>
      </c>
      <c r="N119" s="37" t="s">
        <v>339</v>
      </c>
      <c r="O119" s="42">
        <v>339.61</v>
      </c>
      <c r="P119" s="43" t="str">
        <f t="shared" si="10"/>
        <v>High</v>
      </c>
      <c r="Q119" s="42">
        <v>621.02</v>
      </c>
      <c r="R119" s="42">
        <v>7.0999999999999994E-2</v>
      </c>
      <c r="S119" s="42">
        <v>10</v>
      </c>
      <c r="T119" s="42">
        <f t="shared" si="7"/>
        <v>9278.4804000000004</v>
      </c>
      <c r="U119" s="37">
        <f t="shared" si="8"/>
        <v>3396.1000000000004</v>
      </c>
      <c r="V119" s="42">
        <f t="shared" si="11"/>
        <v>5882.3804</v>
      </c>
      <c r="W119" s="44">
        <f t="shared" si="12"/>
        <v>0.63398101266668616</v>
      </c>
    </row>
    <row r="120" spans="1:23" x14ac:dyDescent="0.3">
      <c r="A120" s="45" t="s">
        <v>340</v>
      </c>
      <c r="B120" s="46">
        <v>45847</v>
      </c>
      <c r="C120" s="47">
        <v>45856</v>
      </c>
      <c r="D120" s="48">
        <f t="shared" si="13"/>
        <v>9</v>
      </c>
      <c r="E120" s="48" t="str">
        <f>TEXT(Data!B120,"MMM-YYYY")</f>
        <v>Jul-2025</v>
      </c>
      <c r="F120" s="48" t="str">
        <f t="shared" si="9"/>
        <v>Q3-2025</v>
      </c>
      <c r="G120" s="38" t="s">
        <v>52</v>
      </c>
      <c r="H120" s="38" t="s">
        <v>53</v>
      </c>
      <c r="I120" s="38" t="s">
        <v>179</v>
      </c>
      <c r="J120" s="38" t="s">
        <v>27</v>
      </c>
      <c r="K120" s="38" t="s">
        <v>55</v>
      </c>
      <c r="L120" s="38" t="s">
        <v>34</v>
      </c>
      <c r="M120" s="38" t="s">
        <v>57</v>
      </c>
      <c r="N120" s="38" t="s">
        <v>341</v>
      </c>
      <c r="O120" s="48">
        <v>57.96</v>
      </c>
      <c r="P120" s="49" t="str">
        <f t="shared" si="10"/>
        <v>Medium</v>
      </c>
      <c r="Q120" s="48">
        <v>88.51</v>
      </c>
      <c r="R120" s="48">
        <v>4.2999999999999997E-2</v>
      </c>
      <c r="S120" s="48">
        <v>7</v>
      </c>
      <c r="T120" s="48">
        <f t="shared" si="7"/>
        <v>4225.1932799999995</v>
      </c>
      <c r="U120" s="38">
        <f t="shared" si="8"/>
        <v>405.72</v>
      </c>
      <c r="V120" s="48">
        <f t="shared" si="11"/>
        <v>3819.4732799999992</v>
      </c>
      <c r="W120" s="50">
        <f t="shared" si="12"/>
        <v>0.90397599041907017</v>
      </c>
    </row>
    <row r="121" spans="1:23" x14ac:dyDescent="0.3">
      <c r="A121" s="39" t="s">
        <v>342</v>
      </c>
      <c r="B121" s="40">
        <v>45827</v>
      </c>
      <c r="C121" s="41">
        <v>45850</v>
      </c>
      <c r="D121" s="42">
        <f t="shared" si="13"/>
        <v>23</v>
      </c>
      <c r="E121" s="42" t="str">
        <f>TEXT(Data!B121,"MMM-YYYY")</f>
        <v>Jun-2025</v>
      </c>
      <c r="F121" s="42" t="str">
        <f t="shared" si="9"/>
        <v>Q2-2025</v>
      </c>
      <c r="G121" s="37" t="s">
        <v>78</v>
      </c>
      <c r="H121" s="37" t="s">
        <v>108</v>
      </c>
      <c r="I121" s="37" t="s">
        <v>1364</v>
      </c>
      <c r="J121" s="37" t="s">
        <v>39</v>
      </c>
      <c r="K121" s="37" t="s">
        <v>98</v>
      </c>
      <c r="L121" s="37" t="s">
        <v>1364</v>
      </c>
      <c r="M121" s="37" t="s">
        <v>35</v>
      </c>
      <c r="N121" s="37" t="s">
        <v>343</v>
      </c>
      <c r="O121" s="42">
        <v>801.24</v>
      </c>
      <c r="P121" s="43" t="str">
        <f t="shared" si="10"/>
        <v>High</v>
      </c>
      <c r="Q121" s="42">
        <v>1959.09</v>
      </c>
      <c r="R121" s="42">
        <v>0.123</v>
      </c>
      <c r="S121" s="42">
        <v>23</v>
      </c>
      <c r="T121" s="42">
        <f t="shared" si="7"/>
        <v>14696.792309999999</v>
      </c>
      <c r="U121" s="37">
        <f t="shared" si="8"/>
        <v>18428.52</v>
      </c>
      <c r="V121" s="42">
        <f t="shared" si="11"/>
        <v>-3731.7276900000015</v>
      </c>
      <c r="W121" s="44">
        <f t="shared" si="12"/>
        <v>-0.25391443325091134</v>
      </c>
    </row>
    <row r="122" spans="1:23" x14ac:dyDescent="0.3">
      <c r="A122" s="45" t="s">
        <v>344</v>
      </c>
      <c r="B122" s="46">
        <v>45249</v>
      </c>
      <c r="C122" s="47">
        <v>45273</v>
      </c>
      <c r="D122" s="48">
        <f t="shared" si="13"/>
        <v>24</v>
      </c>
      <c r="E122" s="48" t="str">
        <f>TEXT(Data!B122,"MMM-YYYY")</f>
        <v>Nov-2023</v>
      </c>
      <c r="F122" s="48" t="str">
        <f t="shared" si="9"/>
        <v>Q4-2023</v>
      </c>
      <c r="G122" s="38" t="s">
        <v>78</v>
      </c>
      <c r="H122" s="38" t="s">
        <v>90</v>
      </c>
      <c r="I122" s="38" t="s">
        <v>138</v>
      </c>
      <c r="J122" s="38" t="s">
        <v>39</v>
      </c>
      <c r="K122" s="38" t="s">
        <v>98</v>
      </c>
      <c r="L122" s="38" t="s">
        <v>92</v>
      </c>
      <c r="M122" s="38" t="s">
        <v>64</v>
      </c>
      <c r="N122" s="38" t="s">
        <v>345</v>
      </c>
      <c r="O122" s="48">
        <v>1297.42</v>
      </c>
      <c r="P122" s="49" t="str">
        <f t="shared" si="10"/>
        <v>High</v>
      </c>
      <c r="Q122" s="48">
        <v>2742.97</v>
      </c>
      <c r="R122" s="48">
        <v>6.9000000000000006E-2</v>
      </c>
      <c r="S122" s="48">
        <v>9</v>
      </c>
      <c r="T122" s="48">
        <f t="shared" si="7"/>
        <v>7972.7022900000002</v>
      </c>
      <c r="U122" s="38">
        <f t="shared" si="8"/>
        <v>11676.78</v>
      </c>
      <c r="V122" s="48">
        <f t="shared" si="11"/>
        <v>-3704.0777100000005</v>
      </c>
      <c r="W122" s="50">
        <f t="shared" si="12"/>
        <v>-0.46459501123551927</v>
      </c>
    </row>
    <row r="123" spans="1:23" x14ac:dyDescent="0.3">
      <c r="A123" s="39" t="s">
        <v>346</v>
      </c>
      <c r="B123" s="40">
        <v>45289</v>
      </c>
      <c r="C123" s="41">
        <v>45311</v>
      </c>
      <c r="D123" s="42">
        <f t="shared" si="13"/>
        <v>22</v>
      </c>
      <c r="E123" s="42" t="str">
        <f>TEXT(Data!B123,"MMM-YYYY")</f>
        <v>Dec-2023</v>
      </c>
      <c r="F123" s="42" t="str">
        <f t="shared" si="9"/>
        <v>Q4-2023</v>
      </c>
      <c r="G123" s="37" t="s">
        <v>16</v>
      </c>
      <c r="H123" s="37" t="s">
        <v>17</v>
      </c>
      <c r="I123" s="37" t="s">
        <v>18</v>
      </c>
      <c r="J123" s="37" t="s">
        <v>19</v>
      </c>
      <c r="K123" s="37" t="s">
        <v>98</v>
      </c>
      <c r="L123" s="37" t="s">
        <v>49</v>
      </c>
      <c r="M123" s="37" t="s">
        <v>42</v>
      </c>
      <c r="N123" s="37" t="s">
        <v>347</v>
      </c>
      <c r="O123" s="42">
        <v>1395.49</v>
      </c>
      <c r="P123" s="43" t="str">
        <f t="shared" si="10"/>
        <v>High</v>
      </c>
      <c r="Q123" s="42">
        <v>1679.42</v>
      </c>
      <c r="R123" s="42">
        <v>0.20300000000000001</v>
      </c>
      <c r="S123" s="42">
        <v>12</v>
      </c>
      <c r="T123" s="42">
        <f t="shared" si="7"/>
        <v>7009.2643199999993</v>
      </c>
      <c r="U123" s="37">
        <f t="shared" si="8"/>
        <v>16745.88</v>
      </c>
      <c r="V123" s="42">
        <f t="shared" si="11"/>
        <v>-9736.6156800000026</v>
      </c>
      <c r="W123" s="44">
        <f t="shared" si="12"/>
        <v>-1.3891066502111884</v>
      </c>
    </row>
    <row r="124" spans="1:23" x14ac:dyDescent="0.3">
      <c r="A124" s="45" t="s">
        <v>348</v>
      </c>
      <c r="B124" s="46">
        <v>45598</v>
      </c>
      <c r="C124" s="47">
        <v>45625</v>
      </c>
      <c r="D124" s="48">
        <f t="shared" si="13"/>
        <v>27</v>
      </c>
      <c r="E124" s="48" t="str">
        <f>TEXT(Data!B124,"MMM-YYYY")</f>
        <v>Nov-2024</v>
      </c>
      <c r="F124" s="48" t="str">
        <f t="shared" si="9"/>
        <v>Q4-2024</v>
      </c>
      <c r="G124" s="38" t="s">
        <v>52</v>
      </c>
      <c r="H124" s="38" t="s">
        <v>73</v>
      </c>
      <c r="I124" s="38" t="s">
        <v>87</v>
      </c>
      <c r="J124" s="38" t="s">
        <v>62</v>
      </c>
      <c r="K124" s="38" t="s">
        <v>98</v>
      </c>
      <c r="L124" s="38" t="s">
        <v>34</v>
      </c>
      <c r="M124" s="38" t="s">
        <v>35</v>
      </c>
      <c r="N124" s="38" t="s">
        <v>349</v>
      </c>
      <c r="O124" s="48">
        <v>1363.51</v>
      </c>
      <c r="P124" s="49" t="str">
        <f t="shared" si="10"/>
        <v>High</v>
      </c>
      <c r="Q124" s="48">
        <v>1433.9</v>
      </c>
      <c r="R124" s="48">
        <v>5.7000000000000002E-2</v>
      </c>
      <c r="S124" s="48">
        <v>8</v>
      </c>
      <c r="T124" s="48">
        <f t="shared" si="7"/>
        <v>18192.506879999997</v>
      </c>
      <c r="U124" s="38">
        <f t="shared" si="8"/>
        <v>10908.08</v>
      </c>
      <c r="V124" s="48">
        <f t="shared" si="11"/>
        <v>7284.4268799999973</v>
      </c>
      <c r="W124" s="50">
        <f t="shared" si="12"/>
        <v>0.4004080871343883</v>
      </c>
    </row>
    <row r="125" spans="1:23" x14ac:dyDescent="0.3">
      <c r="A125" s="39" t="s">
        <v>350</v>
      </c>
      <c r="B125" s="40">
        <v>45159</v>
      </c>
      <c r="C125" s="41">
        <v>45173</v>
      </c>
      <c r="D125" s="42">
        <f t="shared" si="13"/>
        <v>14</v>
      </c>
      <c r="E125" s="42" t="str">
        <f>TEXT(Data!B125,"MMM-YYYY")</f>
        <v>Aug-2023</v>
      </c>
      <c r="F125" s="42" t="str">
        <f t="shared" si="9"/>
        <v>Q3-2023</v>
      </c>
      <c r="G125" s="37" t="s">
        <v>52</v>
      </c>
      <c r="H125" s="37" t="s">
        <v>53</v>
      </c>
      <c r="I125" s="37" t="s">
        <v>144</v>
      </c>
      <c r="J125" s="37" t="s">
        <v>27</v>
      </c>
      <c r="K125" s="37" t="s">
        <v>55</v>
      </c>
      <c r="L125" s="37" t="s">
        <v>84</v>
      </c>
      <c r="M125" s="37" t="s">
        <v>22</v>
      </c>
      <c r="N125" s="37" t="s">
        <v>351</v>
      </c>
      <c r="O125" s="42">
        <v>178.19</v>
      </c>
      <c r="P125" s="43" t="str">
        <f t="shared" si="10"/>
        <v>High</v>
      </c>
      <c r="Q125" s="42">
        <v>284.43</v>
      </c>
      <c r="R125" s="42">
        <v>8.8999999999999996E-2</v>
      </c>
      <c r="S125" s="42">
        <v>8</v>
      </c>
      <c r="T125" s="42">
        <f t="shared" si="7"/>
        <v>4141.6975199999997</v>
      </c>
      <c r="U125" s="37">
        <f t="shared" si="8"/>
        <v>1425.52</v>
      </c>
      <c r="V125" s="42">
        <f t="shared" si="11"/>
        <v>2716.1775199999997</v>
      </c>
      <c r="W125" s="44">
        <f t="shared" si="12"/>
        <v>0.65581262438498888</v>
      </c>
    </row>
    <row r="126" spans="1:23" x14ac:dyDescent="0.3">
      <c r="A126" s="45" t="s">
        <v>352</v>
      </c>
      <c r="B126" s="46">
        <v>45150</v>
      </c>
      <c r="C126" s="47">
        <v>45175</v>
      </c>
      <c r="D126" s="48">
        <f t="shared" si="13"/>
        <v>25</v>
      </c>
      <c r="E126" s="48" t="str">
        <f>TEXT(Data!B126,"MMM-YYYY")</f>
        <v>Aug-2023</v>
      </c>
      <c r="F126" s="48" t="str">
        <f t="shared" si="9"/>
        <v>Q3-2023</v>
      </c>
      <c r="G126" s="38" t="s">
        <v>45</v>
      </c>
      <c r="H126" s="38" t="s">
        <v>116</v>
      </c>
      <c r="I126" s="38" t="s">
        <v>162</v>
      </c>
      <c r="J126" s="38" t="s">
        <v>62</v>
      </c>
      <c r="K126" s="38" t="s">
        <v>20</v>
      </c>
      <c r="L126" s="38" t="s">
        <v>56</v>
      </c>
      <c r="M126" s="38" t="s">
        <v>22</v>
      </c>
      <c r="N126" s="38" t="s">
        <v>353</v>
      </c>
      <c r="O126" s="48">
        <v>950.77</v>
      </c>
      <c r="P126" s="49" t="str">
        <f t="shared" si="10"/>
        <v>High</v>
      </c>
      <c r="Q126" s="48">
        <v>694.78</v>
      </c>
      <c r="R126" s="48">
        <v>8.4000000000000005E-2</v>
      </c>
      <c r="S126" s="48">
        <v>14</v>
      </c>
      <c r="T126" s="48">
        <f t="shared" si="7"/>
        <v>16093.478800000001</v>
      </c>
      <c r="U126" s="38">
        <f t="shared" si="8"/>
        <v>13310.779999999999</v>
      </c>
      <c r="V126" s="48">
        <f t="shared" si="11"/>
        <v>2782.6988000000019</v>
      </c>
      <c r="W126" s="50">
        <f t="shared" si="12"/>
        <v>0.17290847023081185</v>
      </c>
    </row>
    <row r="127" spans="1:23" x14ac:dyDescent="0.3">
      <c r="A127" s="39" t="s">
        <v>354</v>
      </c>
      <c r="B127" s="40">
        <v>45450</v>
      </c>
      <c r="C127" s="41">
        <v>45469</v>
      </c>
      <c r="D127" s="42">
        <f t="shared" si="13"/>
        <v>19</v>
      </c>
      <c r="E127" s="42" t="str">
        <f>TEXT(Data!B127,"MMM-YYYY")</f>
        <v>Jun-2024</v>
      </c>
      <c r="F127" s="42" t="str">
        <f t="shared" si="9"/>
        <v>Q2-2024</v>
      </c>
      <c r="G127" s="37" t="s">
        <v>78</v>
      </c>
      <c r="H127" s="37" t="s">
        <v>79</v>
      </c>
      <c r="I127" s="37" t="s">
        <v>80</v>
      </c>
      <c r="J127" s="37" t="s">
        <v>39</v>
      </c>
      <c r="K127" s="37" t="s">
        <v>40</v>
      </c>
      <c r="L127" s="37" t="s">
        <v>110</v>
      </c>
      <c r="M127" s="37" t="s">
        <v>22</v>
      </c>
      <c r="N127" s="37" t="s">
        <v>355</v>
      </c>
      <c r="O127" s="42">
        <v>1064.32</v>
      </c>
      <c r="P127" s="43" t="str">
        <f t="shared" si="10"/>
        <v>High</v>
      </c>
      <c r="Q127" s="42">
        <v>1848.39</v>
      </c>
      <c r="R127" s="42">
        <v>7.2999999999999995E-2</v>
      </c>
      <c r="S127" s="42">
        <v>38</v>
      </c>
      <c r="T127" s="42">
        <f t="shared" si="7"/>
        <v>29785.344300000001</v>
      </c>
      <c r="U127" s="37">
        <f t="shared" si="8"/>
        <v>40444.159999999996</v>
      </c>
      <c r="V127" s="42">
        <f t="shared" si="11"/>
        <v>-10658.815699999996</v>
      </c>
      <c r="W127" s="44">
        <f t="shared" si="12"/>
        <v>-0.35785437269563458</v>
      </c>
    </row>
    <row r="128" spans="1:23" x14ac:dyDescent="0.3">
      <c r="A128" s="45" t="s">
        <v>356</v>
      </c>
      <c r="B128" s="46">
        <v>45874</v>
      </c>
      <c r="C128" s="47">
        <v>45883</v>
      </c>
      <c r="D128" s="48">
        <f t="shared" si="13"/>
        <v>9</v>
      </c>
      <c r="E128" s="48" t="str">
        <f>TEXT(Data!B128,"MMM-YYYY")</f>
        <v>Aug-2025</v>
      </c>
      <c r="F128" s="48" t="str">
        <f t="shared" si="9"/>
        <v>Q3-2025</v>
      </c>
      <c r="G128" s="38" t="s">
        <v>78</v>
      </c>
      <c r="H128" s="38" t="s">
        <v>108</v>
      </c>
      <c r="I128" s="38" t="s">
        <v>152</v>
      </c>
      <c r="J128" s="38" t="s">
        <v>39</v>
      </c>
      <c r="K128" s="38" t="s">
        <v>98</v>
      </c>
      <c r="L128" s="38" t="s">
        <v>63</v>
      </c>
      <c r="M128" s="38" t="s">
        <v>22</v>
      </c>
      <c r="N128" s="38" t="s">
        <v>357</v>
      </c>
      <c r="O128" s="48">
        <v>41.76</v>
      </c>
      <c r="P128" s="49" t="str">
        <f t="shared" si="10"/>
        <v>Low</v>
      </c>
      <c r="Q128" s="48">
        <v>45.19</v>
      </c>
      <c r="R128" s="48">
        <v>0.17899999999999999</v>
      </c>
      <c r="S128" s="48">
        <v>23</v>
      </c>
      <c r="T128" s="48">
        <f t="shared" si="7"/>
        <v>40507.245110000003</v>
      </c>
      <c r="U128" s="38">
        <f t="shared" si="8"/>
        <v>960.4799999999999</v>
      </c>
      <c r="V128" s="48">
        <f t="shared" si="11"/>
        <v>39546.76511</v>
      </c>
      <c r="W128" s="50">
        <f t="shared" si="12"/>
        <v>0.97628868619942533</v>
      </c>
    </row>
    <row r="129" spans="1:23" x14ac:dyDescent="0.3">
      <c r="A129" s="39" t="s">
        <v>358</v>
      </c>
      <c r="B129" s="40">
        <v>45442</v>
      </c>
      <c r="C129" s="41">
        <v>45456</v>
      </c>
      <c r="D129" s="42">
        <f t="shared" si="13"/>
        <v>14</v>
      </c>
      <c r="E129" s="42" t="str">
        <f>TEXT(Data!B129,"MMM-YYYY")</f>
        <v>May-2024</v>
      </c>
      <c r="F129" s="42" t="str">
        <f t="shared" si="9"/>
        <v>Q2-2024</v>
      </c>
      <c r="G129" s="37" t="s">
        <v>52</v>
      </c>
      <c r="H129" s="37" t="s">
        <v>122</v>
      </c>
      <c r="I129" s="37" t="s">
        <v>167</v>
      </c>
      <c r="J129" s="37" t="s">
        <v>62</v>
      </c>
      <c r="K129" s="37" t="s">
        <v>20</v>
      </c>
      <c r="L129" s="37" t="s">
        <v>84</v>
      </c>
      <c r="M129" s="37" t="s">
        <v>42</v>
      </c>
      <c r="N129" s="37" t="s">
        <v>359</v>
      </c>
      <c r="O129" s="42">
        <v>157.78</v>
      </c>
      <c r="P129" s="43" t="str">
        <f t="shared" si="10"/>
        <v>High</v>
      </c>
      <c r="Q129" s="42">
        <v>361.1</v>
      </c>
      <c r="R129" s="42">
        <v>0.187</v>
      </c>
      <c r="S129" s="42">
        <v>9</v>
      </c>
      <c r="T129" s="42">
        <f t="shared" ref="T129:T192" si="14">(Q155*S129)*(1-R129)</f>
        <v>9877.5109800000009</v>
      </c>
      <c r="U129" s="37">
        <f t="shared" ref="U129:U192" si="15">(O129*S129)</f>
        <v>1420.02</v>
      </c>
      <c r="V129" s="42">
        <f t="shared" si="11"/>
        <v>8457.4909800000005</v>
      </c>
      <c r="W129" s="44">
        <f t="shared" si="12"/>
        <v>0.85623706185948478</v>
      </c>
    </row>
    <row r="130" spans="1:23" x14ac:dyDescent="0.3">
      <c r="A130" s="45" t="s">
        <v>360</v>
      </c>
      <c r="B130" s="46">
        <v>44948</v>
      </c>
      <c r="C130" s="47">
        <v>44956</v>
      </c>
      <c r="D130" s="48">
        <f t="shared" si="13"/>
        <v>8</v>
      </c>
      <c r="E130" s="48" t="str">
        <f>TEXT(Data!B130,"MMM-YYYY")</f>
        <v>Jan-2023</v>
      </c>
      <c r="F130" s="48" t="str">
        <f t="shared" ref="F130:F193" si="16">"Q"&amp;ROUNDUP(MONTH(B130)/3,0)&amp;"-"&amp;YEAR(B130)</f>
        <v>Q1-2023</v>
      </c>
      <c r="G130" s="38" t="s">
        <v>52</v>
      </c>
      <c r="H130" s="38" t="s">
        <v>122</v>
      </c>
      <c r="I130" s="38" t="s">
        <v>167</v>
      </c>
      <c r="J130" s="38" t="s">
        <v>62</v>
      </c>
      <c r="K130" s="38" t="s">
        <v>28</v>
      </c>
      <c r="L130" s="38" t="s">
        <v>75</v>
      </c>
      <c r="M130" s="38" t="s">
        <v>35</v>
      </c>
      <c r="N130" s="38" t="s">
        <v>361</v>
      </c>
      <c r="O130" s="48">
        <v>413.52</v>
      </c>
      <c r="P130" s="49" t="str">
        <f t="shared" ref="P130:P193" si="17">IF(Q130&lt;50, "Low", IF(Q130&lt;200, "Medium", "High"))</f>
        <v>High</v>
      </c>
      <c r="Q130" s="48">
        <v>1004.34</v>
      </c>
      <c r="R130" s="48">
        <v>0.111</v>
      </c>
      <c r="S130" s="48">
        <v>18</v>
      </c>
      <c r="T130" s="48">
        <f t="shared" si="14"/>
        <v>8440.7349599999998</v>
      </c>
      <c r="U130" s="38">
        <f t="shared" si="15"/>
        <v>7443.36</v>
      </c>
      <c r="V130" s="48">
        <f t="shared" ref="V130:V193" si="18">(T130-U130)</f>
        <v>997.3749600000001</v>
      </c>
      <c r="W130" s="50">
        <f t="shared" ref="W130:W193" si="19">IF(T130=0, 0, V130/T130)</f>
        <v>0.11816209900281008</v>
      </c>
    </row>
    <row r="131" spans="1:23" x14ac:dyDescent="0.3">
      <c r="A131" s="39" t="s">
        <v>362</v>
      </c>
      <c r="B131" s="40">
        <v>45700</v>
      </c>
      <c r="C131" s="41">
        <v>45716</v>
      </c>
      <c r="D131" s="42">
        <f t="shared" ref="D131:D194" si="20">DATEDIF(B131,C131, "MD")</f>
        <v>16</v>
      </c>
      <c r="E131" s="42" t="str">
        <f>TEXT(Data!B131,"MMM-YYYY")</f>
        <v>Feb-2025</v>
      </c>
      <c r="F131" s="42" t="str">
        <f t="shared" si="16"/>
        <v>Q1-2025</v>
      </c>
      <c r="G131" s="37" t="s">
        <v>52</v>
      </c>
      <c r="H131" s="37" t="s">
        <v>73</v>
      </c>
      <c r="I131" s="37" t="s">
        <v>74</v>
      </c>
      <c r="J131" s="37" t="s">
        <v>39</v>
      </c>
      <c r="K131" s="37" t="s">
        <v>98</v>
      </c>
      <c r="L131" s="37" t="s">
        <v>56</v>
      </c>
      <c r="M131" s="37" t="s">
        <v>64</v>
      </c>
      <c r="N131" s="37" t="s">
        <v>363</v>
      </c>
      <c r="O131" s="42">
        <v>414.95</v>
      </c>
      <c r="P131" s="43" t="str">
        <f t="shared" si="17"/>
        <v>High</v>
      </c>
      <c r="Q131" s="42">
        <v>1027.73</v>
      </c>
      <c r="R131" s="42">
        <v>6.3E-2</v>
      </c>
      <c r="S131" s="42">
        <v>8</v>
      </c>
      <c r="T131" s="42">
        <f t="shared" si="14"/>
        <v>10997.906320000002</v>
      </c>
      <c r="U131" s="37">
        <f t="shared" si="15"/>
        <v>3319.6</v>
      </c>
      <c r="V131" s="42">
        <f t="shared" si="18"/>
        <v>7678.3063200000015</v>
      </c>
      <c r="W131" s="44">
        <f t="shared" si="19"/>
        <v>0.69816073137818835</v>
      </c>
    </row>
    <row r="132" spans="1:23" x14ac:dyDescent="0.3">
      <c r="A132" s="45" t="s">
        <v>364</v>
      </c>
      <c r="B132" s="46">
        <v>45719</v>
      </c>
      <c r="C132" s="47">
        <v>45740</v>
      </c>
      <c r="D132" s="48">
        <f t="shared" si="20"/>
        <v>21</v>
      </c>
      <c r="E132" s="48" t="str">
        <f>TEXT(Data!B132,"MMM-YYYY")</f>
        <v>Mar-2025</v>
      </c>
      <c r="F132" s="48" t="str">
        <f t="shared" si="16"/>
        <v>Q1-2025</v>
      </c>
      <c r="G132" s="38" t="s">
        <v>16</v>
      </c>
      <c r="H132" s="38" t="s">
        <v>25</v>
      </c>
      <c r="I132" s="38" t="s">
        <v>67</v>
      </c>
      <c r="J132" s="38" t="s">
        <v>105</v>
      </c>
      <c r="K132" s="38" t="s">
        <v>98</v>
      </c>
      <c r="L132" s="38" t="s">
        <v>92</v>
      </c>
      <c r="M132" s="38" t="s">
        <v>81</v>
      </c>
      <c r="N132" s="38" t="s">
        <v>365</v>
      </c>
      <c r="O132" s="48">
        <v>555.95000000000005</v>
      </c>
      <c r="P132" s="49" t="str">
        <f t="shared" si="17"/>
        <v>High</v>
      </c>
      <c r="Q132" s="48">
        <v>468.09</v>
      </c>
      <c r="R132" s="48">
        <v>0.14199999999999999</v>
      </c>
      <c r="S132" s="48">
        <v>11</v>
      </c>
      <c r="T132" s="48">
        <f t="shared" si="14"/>
        <v>15583.45932</v>
      </c>
      <c r="U132" s="38">
        <f t="shared" si="15"/>
        <v>6115.4500000000007</v>
      </c>
      <c r="V132" s="48">
        <f t="shared" si="18"/>
        <v>9468.0093199999992</v>
      </c>
      <c r="W132" s="50">
        <f t="shared" si="19"/>
        <v>0.60756787858063332</v>
      </c>
    </row>
    <row r="133" spans="1:23" x14ac:dyDescent="0.3">
      <c r="A133" s="39" t="s">
        <v>366</v>
      </c>
      <c r="B133" s="40">
        <v>44953</v>
      </c>
      <c r="C133" s="41">
        <v>44957</v>
      </c>
      <c r="D133" s="42">
        <f t="shared" si="20"/>
        <v>4</v>
      </c>
      <c r="E133" s="42" t="str">
        <f>TEXT(Data!B133,"MMM-YYYY")</f>
        <v>Jan-2023</v>
      </c>
      <c r="F133" s="42" t="str">
        <f t="shared" si="16"/>
        <v>Q1-2023</v>
      </c>
      <c r="G133" s="37" t="s">
        <v>78</v>
      </c>
      <c r="H133" s="37" t="s">
        <v>108</v>
      </c>
      <c r="I133" s="37" t="s">
        <v>228</v>
      </c>
      <c r="J133" s="37" t="s">
        <v>105</v>
      </c>
      <c r="K133" s="37" t="s">
        <v>28</v>
      </c>
      <c r="L133" s="37" t="s">
        <v>126</v>
      </c>
      <c r="M133" s="37" t="s">
        <v>57</v>
      </c>
      <c r="N133" s="37" t="s">
        <v>367</v>
      </c>
      <c r="O133" s="42">
        <v>941.2</v>
      </c>
      <c r="P133" s="43" t="str">
        <f t="shared" si="17"/>
        <v>High</v>
      </c>
      <c r="Q133" s="42">
        <v>668.02</v>
      </c>
      <c r="R133" s="42">
        <v>0.22</v>
      </c>
      <c r="S133" s="42">
        <v>16</v>
      </c>
      <c r="T133" s="42">
        <f t="shared" si="14"/>
        <v>24737.606400000001</v>
      </c>
      <c r="U133" s="37">
        <f t="shared" si="15"/>
        <v>15059.2</v>
      </c>
      <c r="V133" s="42">
        <f t="shared" si="18"/>
        <v>9678.4063999999998</v>
      </c>
      <c r="W133" s="44">
        <f t="shared" si="19"/>
        <v>0.3912426385763822</v>
      </c>
    </row>
    <row r="134" spans="1:23" x14ac:dyDescent="0.3">
      <c r="A134" s="45" t="s">
        <v>368</v>
      </c>
      <c r="B134" s="46">
        <v>45666</v>
      </c>
      <c r="C134" s="47">
        <v>45672</v>
      </c>
      <c r="D134" s="48">
        <f t="shared" si="20"/>
        <v>6</v>
      </c>
      <c r="E134" s="48" t="str">
        <f>TEXT(Data!B134,"MMM-YYYY")</f>
        <v>Jan-2025</v>
      </c>
      <c r="F134" s="48" t="str">
        <f t="shared" si="16"/>
        <v>Q1-2025</v>
      </c>
      <c r="G134" s="38" t="s">
        <v>45</v>
      </c>
      <c r="H134" s="38" t="s">
        <v>116</v>
      </c>
      <c r="I134" s="38" t="s">
        <v>338</v>
      </c>
      <c r="J134" s="38" t="s">
        <v>27</v>
      </c>
      <c r="K134" s="38" t="s">
        <v>28</v>
      </c>
      <c r="L134" s="38" t="s">
        <v>21</v>
      </c>
      <c r="M134" s="38" t="s">
        <v>42</v>
      </c>
      <c r="N134" s="38" t="s">
        <v>369</v>
      </c>
      <c r="O134" s="48">
        <v>304.77999999999997</v>
      </c>
      <c r="P134" s="49" t="str">
        <f t="shared" si="17"/>
        <v>High</v>
      </c>
      <c r="Q134" s="48">
        <v>537.27</v>
      </c>
      <c r="R134" s="48">
        <v>0.187</v>
      </c>
      <c r="S134" s="48">
        <v>8</v>
      </c>
      <c r="T134" s="48">
        <f t="shared" si="14"/>
        <v>16599.638879999999</v>
      </c>
      <c r="U134" s="38">
        <f t="shared" si="15"/>
        <v>2438.2399999999998</v>
      </c>
      <c r="V134" s="48">
        <f t="shared" si="18"/>
        <v>14161.398879999999</v>
      </c>
      <c r="W134" s="50">
        <f t="shared" si="19"/>
        <v>0.85311487691833454</v>
      </c>
    </row>
    <row r="135" spans="1:23" x14ac:dyDescent="0.3">
      <c r="A135" s="39" t="s">
        <v>370</v>
      </c>
      <c r="B135" s="40">
        <v>45647</v>
      </c>
      <c r="C135" s="41">
        <v>45652</v>
      </c>
      <c r="D135" s="42">
        <f t="shared" si="20"/>
        <v>5</v>
      </c>
      <c r="E135" s="42" t="str">
        <f>TEXT(Data!B135,"MMM-YYYY")</f>
        <v>Dec-2024</v>
      </c>
      <c r="F135" s="42" t="str">
        <f t="shared" si="16"/>
        <v>Q4-2024</v>
      </c>
      <c r="G135" s="37" t="s">
        <v>52</v>
      </c>
      <c r="H135" s="37" t="s">
        <v>122</v>
      </c>
      <c r="I135" s="37" t="s">
        <v>167</v>
      </c>
      <c r="J135" s="37" t="s">
        <v>48</v>
      </c>
      <c r="K135" s="37" t="s">
        <v>40</v>
      </c>
      <c r="L135" s="37" t="s">
        <v>110</v>
      </c>
      <c r="M135" s="37" t="s">
        <v>30</v>
      </c>
      <c r="N135" s="37" t="s">
        <v>371</v>
      </c>
      <c r="O135" s="42">
        <v>699.57</v>
      </c>
      <c r="P135" s="43" t="str">
        <f t="shared" si="17"/>
        <v>High</v>
      </c>
      <c r="Q135" s="42">
        <v>572.71</v>
      </c>
      <c r="R135" s="42">
        <v>0.192</v>
      </c>
      <c r="S135" s="42">
        <v>26</v>
      </c>
      <c r="T135" s="42">
        <f t="shared" si="14"/>
        <v>10987.39408</v>
      </c>
      <c r="U135" s="37">
        <f t="shared" si="15"/>
        <v>18188.82</v>
      </c>
      <c r="V135" s="42">
        <f t="shared" si="18"/>
        <v>-7201.4259199999997</v>
      </c>
      <c r="W135" s="44">
        <f t="shared" si="19"/>
        <v>-0.65542619729172391</v>
      </c>
    </row>
    <row r="136" spans="1:23" x14ac:dyDescent="0.3">
      <c r="A136" s="45" t="s">
        <v>372</v>
      </c>
      <c r="B136" s="46">
        <v>45028</v>
      </c>
      <c r="C136" s="47">
        <v>45033</v>
      </c>
      <c r="D136" s="48">
        <f t="shared" si="20"/>
        <v>5</v>
      </c>
      <c r="E136" s="48" t="str">
        <f>TEXT(Data!B136,"MMM-YYYY")</f>
        <v>Apr-2023</v>
      </c>
      <c r="F136" s="48" t="str">
        <f t="shared" si="16"/>
        <v>Q2-2023</v>
      </c>
      <c r="G136" s="38" t="s">
        <v>78</v>
      </c>
      <c r="H136" s="38" t="s">
        <v>90</v>
      </c>
      <c r="I136" s="38" t="s">
        <v>138</v>
      </c>
      <c r="J136" s="38" t="s">
        <v>105</v>
      </c>
      <c r="K136" s="38" t="s">
        <v>98</v>
      </c>
      <c r="L136" s="38" t="s">
        <v>63</v>
      </c>
      <c r="M136" s="38" t="s">
        <v>64</v>
      </c>
      <c r="N136" s="38" t="s">
        <v>373</v>
      </c>
      <c r="O136" s="48">
        <v>1087.81</v>
      </c>
      <c r="P136" s="49" t="str">
        <f t="shared" si="17"/>
        <v>High</v>
      </c>
      <c r="Q136" s="48">
        <v>2323.87</v>
      </c>
      <c r="R136" s="48">
        <v>9.4E-2</v>
      </c>
      <c r="S136" s="48">
        <v>13</v>
      </c>
      <c r="T136" s="48">
        <f t="shared" si="14"/>
        <v>14342.18838</v>
      </c>
      <c r="U136" s="38">
        <f t="shared" si="15"/>
        <v>14141.529999999999</v>
      </c>
      <c r="V136" s="48">
        <f t="shared" si="18"/>
        <v>200.65838000000076</v>
      </c>
      <c r="W136" s="50">
        <f t="shared" si="19"/>
        <v>1.399077844213902E-2</v>
      </c>
    </row>
    <row r="137" spans="1:23" x14ac:dyDescent="0.3">
      <c r="A137" s="39" t="s">
        <v>374</v>
      </c>
      <c r="B137" s="40">
        <v>45640</v>
      </c>
      <c r="C137" s="41">
        <v>45669</v>
      </c>
      <c r="D137" s="42">
        <f t="shared" si="20"/>
        <v>29</v>
      </c>
      <c r="E137" s="42" t="str">
        <f>TEXT(Data!B137,"MMM-YYYY")</f>
        <v>Dec-2024</v>
      </c>
      <c r="F137" s="42" t="str">
        <f t="shared" si="16"/>
        <v>Q4-2024</v>
      </c>
      <c r="G137" s="37" t="s">
        <v>45</v>
      </c>
      <c r="H137" s="37" t="s">
        <v>116</v>
      </c>
      <c r="I137" s="37" t="s">
        <v>117</v>
      </c>
      <c r="J137" s="37" t="s">
        <v>27</v>
      </c>
      <c r="K137" s="37" t="s">
        <v>28</v>
      </c>
      <c r="L137" s="37" t="s">
        <v>29</v>
      </c>
      <c r="M137" s="37" t="s">
        <v>22</v>
      </c>
      <c r="N137" s="37" t="s">
        <v>375</v>
      </c>
      <c r="O137" s="42">
        <v>1412.15</v>
      </c>
      <c r="P137" s="43" t="str">
        <f t="shared" si="17"/>
        <v>High</v>
      </c>
      <c r="Q137" s="42">
        <v>1631.04</v>
      </c>
      <c r="R137" s="42">
        <v>8.9999999999999993E-3</v>
      </c>
      <c r="S137" s="42">
        <v>6</v>
      </c>
      <c r="T137" s="42">
        <f t="shared" si="14"/>
        <v>7989.2834400000002</v>
      </c>
      <c r="U137" s="37">
        <f t="shared" si="15"/>
        <v>8472.9000000000015</v>
      </c>
      <c r="V137" s="42">
        <f t="shared" si="18"/>
        <v>-483.6165600000013</v>
      </c>
      <c r="W137" s="44">
        <f t="shared" si="19"/>
        <v>-6.0533158403002073E-2</v>
      </c>
    </row>
    <row r="138" spans="1:23" x14ac:dyDescent="0.3">
      <c r="A138" s="45" t="s">
        <v>376</v>
      </c>
      <c r="B138" s="46">
        <v>45016</v>
      </c>
      <c r="C138" s="47">
        <v>45028</v>
      </c>
      <c r="D138" s="48">
        <f t="shared" si="20"/>
        <v>12</v>
      </c>
      <c r="E138" s="48" t="str">
        <f>TEXT(Data!B138,"MMM-YYYY")</f>
        <v>Mar-2023</v>
      </c>
      <c r="F138" s="48" t="str">
        <f t="shared" si="16"/>
        <v>Q1-2023</v>
      </c>
      <c r="G138" s="38" t="s">
        <v>16</v>
      </c>
      <c r="H138" s="38" t="s">
        <v>17</v>
      </c>
      <c r="I138" s="38" t="s">
        <v>113</v>
      </c>
      <c r="J138" s="38" t="s">
        <v>62</v>
      </c>
      <c r="K138" s="38" t="s">
        <v>28</v>
      </c>
      <c r="L138" s="38" t="s">
        <v>21</v>
      </c>
      <c r="M138" s="38" t="s">
        <v>42</v>
      </c>
      <c r="N138" s="38" t="s">
        <v>377</v>
      </c>
      <c r="O138" s="48">
        <v>304.22000000000003</v>
      </c>
      <c r="P138" s="49" t="str">
        <f t="shared" si="17"/>
        <v>High</v>
      </c>
      <c r="Q138" s="48">
        <v>393.31</v>
      </c>
      <c r="R138" s="48">
        <v>0.26500000000000001</v>
      </c>
      <c r="S138" s="48">
        <v>15</v>
      </c>
      <c r="T138" s="48">
        <f t="shared" si="14"/>
        <v>3326.2424999999998</v>
      </c>
      <c r="U138" s="38">
        <f t="shared" si="15"/>
        <v>4563.3</v>
      </c>
      <c r="V138" s="48">
        <f t="shared" si="18"/>
        <v>-1237.0575000000003</v>
      </c>
      <c r="W138" s="50">
        <f t="shared" si="19"/>
        <v>-0.3719083921271526</v>
      </c>
    </row>
    <row r="139" spans="1:23" x14ac:dyDescent="0.3">
      <c r="A139" s="39" t="s">
        <v>378</v>
      </c>
      <c r="B139" s="40">
        <v>45616</v>
      </c>
      <c r="C139" s="41">
        <v>45641</v>
      </c>
      <c r="D139" s="42">
        <f t="shared" si="20"/>
        <v>25</v>
      </c>
      <c r="E139" s="42" t="str">
        <f>TEXT(Data!B139,"MMM-YYYY")</f>
        <v>Nov-2024</v>
      </c>
      <c r="F139" s="42" t="str">
        <f t="shared" si="16"/>
        <v>Q4-2024</v>
      </c>
      <c r="G139" s="37" t="s">
        <v>78</v>
      </c>
      <c r="H139" s="37" t="s">
        <v>90</v>
      </c>
      <c r="I139" s="37" t="s">
        <v>217</v>
      </c>
      <c r="J139" s="37" t="s">
        <v>19</v>
      </c>
      <c r="K139" s="37" t="s">
        <v>28</v>
      </c>
      <c r="L139" s="37" t="s">
        <v>41</v>
      </c>
      <c r="M139" s="37" t="s">
        <v>30</v>
      </c>
      <c r="N139" s="37" t="s">
        <v>379</v>
      </c>
      <c r="O139" s="42">
        <v>1203.58</v>
      </c>
      <c r="P139" s="43" t="str">
        <f t="shared" si="17"/>
        <v>High</v>
      </c>
      <c r="Q139" s="42">
        <v>1856.16</v>
      </c>
      <c r="R139" s="42">
        <v>0.129</v>
      </c>
      <c r="S139" s="42">
        <v>22</v>
      </c>
      <c r="T139" s="42">
        <f t="shared" si="14"/>
        <v>28967.387020000002</v>
      </c>
      <c r="U139" s="37">
        <f t="shared" si="15"/>
        <v>26478.76</v>
      </c>
      <c r="V139" s="42">
        <f t="shared" si="18"/>
        <v>2488.6270200000035</v>
      </c>
      <c r="W139" s="44">
        <f t="shared" si="19"/>
        <v>8.591133947572753E-2</v>
      </c>
    </row>
    <row r="140" spans="1:23" x14ac:dyDescent="0.3">
      <c r="A140" s="45" t="s">
        <v>380</v>
      </c>
      <c r="B140" s="46">
        <v>45336</v>
      </c>
      <c r="C140" s="47">
        <v>45336</v>
      </c>
      <c r="D140" s="48">
        <f t="shared" si="20"/>
        <v>0</v>
      </c>
      <c r="E140" s="48" t="str">
        <f>TEXT(Data!B140,"MMM-YYYY")</f>
        <v>Feb-2024</v>
      </c>
      <c r="F140" s="48" t="str">
        <f t="shared" si="16"/>
        <v>Q1-2024</v>
      </c>
      <c r="G140" s="38" t="s">
        <v>45</v>
      </c>
      <c r="H140" s="38" t="s">
        <v>116</v>
      </c>
      <c r="I140" s="38" t="s">
        <v>338</v>
      </c>
      <c r="J140" s="38" t="s">
        <v>19</v>
      </c>
      <c r="K140" s="38" t="s">
        <v>55</v>
      </c>
      <c r="L140" s="38" t="s">
        <v>49</v>
      </c>
      <c r="M140" s="38" t="s">
        <v>81</v>
      </c>
      <c r="N140" s="38" t="s">
        <v>381</v>
      </c>
      <c r="O140" s="48">
        <v>65.930000000000007</v>
      </c>
      <c r="P140" s="49" t="str">
        <f t="shared" si="17"/>
        <v>Medium</v>
      </c>
      <c r="Q140" s="48">
        <v>84.9</v>
      </c>
      <c r="R140" s="48">
        <v>0.25900000000000001</v>
      </c>
      <c r="S140" s="48">
        <v>23</v>
      </c>
      <c r="T140" s="48">
        <f t="shared" si="14"/>
        <v>35027.455319999994</v>
      </c>
      <c r="U140" s="38">
        <f t="shared" si="15"/>
        <v>1516.39</v>
      </c>
      <c r="V140" s="48">
        <f t="shared" si="18"/>
        <v>33511.065319999994</v>
      </c>
      <c r="W140" s="50">
        <f t="shared" si="19"/>
        <v>0.95670853088964847</v>
      </c>
    </row>
    <row r="141" spans="1:23" x14ac:dyDescent="0.3">
      <c r="A141" s="39" t="s">
        <v>382</v>
      </c>
      <c r="B141" s="40">
        <v>45048</v>
      </c>
      <c r="C141" s="41">
        <v>45064</v>
      </c>
      <c r="D141" s="42">
        <f t="shared" si="20"/>
        <v>16</v>
      </c>
      <c r="E141" s="42" t="str">
        <f>TEXT(Data!B141,"MMM-YYYY")</f>
        <v>May-2023</v>
      </c>
      <c r="F141" s="42" t="str">
        <f t="shared" si="16"/>
        <v>Q2-2023</v>
      </c>
      <c r="G141" s="37" t="s">
        <v>45</v>
      </c>
      <c r="H141" s="37" t="s">
        <v>60</v>
      </c>
      <c r="I141" s="37" t="s">
        <v>141</v>
      </c>
      <c r="J141" s="37" t="s">
        <v>62</v>
      </c>
      <c r="K141" s="37" t="s">
        <v>40</v>
      </c>
      <c r="L141" s="37" t="s">
        <v>95</v>
      </c>
      <c r="M141" s="37" t="s">
        <v>64</v>
      </c>
      <c r="N141" s="37" t="s">
        <v>383</v>
      </c>
      <c r="O141" s="42">
        <v>1463.92</v>
      </c>
      <c r="P141" s="43" t="str">
        <f t="shared" si="17"/>
        <v>High</v>
      </c>
      <c r="Q141" s="42">
        <v>2252.2399999999998</v>
      </c>
      <c r="R141" s="42">
        <v>0.11799999999999999</v>
      </c>
      <c r="S141" s="42">
        <v>44</v>
      </c>
      <c r="T141" s="42">
        <f t="shared" si="14"/>
        <v>15179.749199999998</v>
      </c>
      <c r="U141" s="37">
        <f t="shared" si="15"/>
        <v>64412.480000000003</v>
      </c>
      <c r="V141" s="42">
        <f t="shared" si="18"/>
        <v>-49232.730800000005</v>
      </c>
      <c r="W141" s="44">
        <f t="shared" si="19"/>
        <v>-3.2433164837795876</v>
      </c>
    </row>
    <row r="142" spans="1:23" x14ac:dyDescent="0.3">
      <c r="A142" s="45" t="s">
        <v>384</v>
      </c>
      <c r="B142" s="46">
        <v>45649</v>
      </c>
      <c r="C142" s="47">
        <v>45668</v>
      </c>
      <c r="D142" s="48">
        <f t="shared" si="20"/>
        <v>19</v>
      </c>
      <c r="E142" s="48" t="str">
        <f>TEXT(Data!B142,"MMM-YYYY")</f>
        <v>Dec-2024</v>
      </c>
      <c r="F142" s="48" t="str">
        <f t="shared" si="16"/>
        <v>Q4-2024</v>
      </c>
      <c r="G142" s="38" t="s">
        <v>78</v>
      </c>
      <c r="H142" s="38" t="s">
        <v>79</v>
      </c>
      <c r="I142" s="38" t="s">
        <v>80</v>
      </c>
      <c r="J142" s="38" t="s">
        <v>27</v>
      </c>
      <c r="K142" s="38" t="s">
        <v>20</v>
      </c>
      <c r="L142" s="38" t="s">
        <v>95</v>
      </c>
      <c r="M142" s="38" t="s">
        <v>42</v>
      </c>
      <c r="N142" s="38" t="s">
        <v>385</v>
      </c>
      <c r="O142" s="48">
        <v>501.81</v>
      </c>
      <c r="P142" s="49" t="str">
        <f t="shared" si="17"/>
        <v>High</v>
      </c>
      <c r="Q142" s="48">
        <v>921.62</v>
      </c>
      <c r="R142" s="48">
        <v>0.01</v>
      </c>
      <c r="S142" s="48">
        <v>9</v>
      </c>
      <c r="T142" s="48">
        <f t="shared" si="14"/>
        <v>16474.322700000001</v>
      </c>
      <c r="U142" s="38">
        <f t="shared" si="15"/>
        <v>4516.29</v>
      </c>
      <c r="V142" s="48">
        <f t="shared" si="18"/>
        <v>11958.0327</v>
      </c>
      <c r="W142" s="50">
        <f t="shared" si="19"/>
        <v>0.72585883606614066</v>
      </c>
    </row>
    <row r="143" spans="1:23" x14ac:dyDescent="0.3">
      <c r="A143" s="39" t="s">
        <v>386</v>
      </c>
      <c r="B143" s="40">
        <v>45133</v>
      </c>
      <c r="C143" s="41">
        <v>45163</v>
      </c>
      <c r="D143" s="42">
        <f t="shared" si="20"/>
        <v>30</v>
      </c>
      <c r="E143" s="42" t="str">
        <f>TEXT(Data!B143,"MMM-YYYY")</f>
        <v>Jul-2023</v>
      </c>
      <c r="F143" s="42" t="str">
        <f t="shared" si="16"/>
        <v>Q3-2023</v>
      </c>
      <c r="G143" s="37" t="s">
        <v>52</v>
      </c>
      <c r="H143" s="37" t="s">
        <v>122</v>
      </c>
      <c r="I143" s="37" t="s">
        <v>387</v>
      </c>
      <c r="J143" s="37" t="s">
        <v>48</v>
      </c>
      <c r="K143" s="37" t="s">
        <v>20</v>
      </c>
      <c r="L143" s="37" t="s">
        <v>110</v>
      </c>
      <c r="M143" s="37" t="s">
        <v>81</v>
      </c>
      <c r="N143" s="37" t="s">
        <v>388</v>
      </c>
      <c r="O143" s="42">
        <v>1261.48</v>
      </c>
      <c r="P143" s="43" t="str">
        <f t="shared" si="17"/>
        <v>High</v>
      </c>
      <c r="Q143" s="42">
        <v>1643.18</v>
      </c>
      <c r="R143" s="42">
        <v>0.151</v>
      </c>
      <c r="S143" s="42">
        <v>23</v>
      </c>
      <c r="T143" s="42">
        <f t="shared" si="14"/>
        <v>27251.100119999996</v>
      </c>
      <c r="U143" s="37">
        <f t="shared" si="15"/>
        <v>29014.04</v>
      </c>
      <c r="V143" s="42">
        <f t="shared" si="18"/>
        <v>-1762.9398800000054</v>
      </c>
      <c r="W143" s="44">
        <f t="shared" si="19"/>
        <v>-6.4692429745475011E-2</v>
      </c>
    </row>
    <row r="144" spans="1:23" x14ac:dyDescent="0.3">
      <c r="A144" s="45" t="s">
        <v>389</v>
      </c>
      <c r="B144" s="46">
        <v>45458</v>
      </c>
      <c r="C144" s="47">
        <v>45479</v>
      </c>
      <c r="D144" s="48">
        <f t="shared" si="20"/>
        <v>21</v>
      </c>
      <c r="E144" s="48" t="str">
        <f>TEXT(Data!B144,"MMM-YYYY")</f>
        <v>Jun-2024</v>
      </c>
      <c r="F144" s="48" t="str">
        <f t="shared" si="16"/>
        <v>Q2-2024</v>
      </c>
      <c r="G144" s="38" t="s">
        <v>52</v>
      </c>
      <c r="H144" s="38" t="s">
        <v>53</v>
      </c>
      <c r="I144" s="38" t="s">
        <v>54</v>
      </c>
      <c r="J144" s="38" t="s">
        <v>105</v>
      </c>
      <c r="K144" s="38" t="s">
        <v>55</v>
      </c>
      <c r="L144" s="38" t="s">
        <v>49</v>
      </c>
      <c r="M144" s="38" t="s">
        <v>30</v>
      </c>
      <c r="N144" s="38" t="s">
        <v>390</v>
      </c>
      <c r="O144" s="48">
        <v>817.23</v>
      </c>
      <c r="P144" s="49" t="str">
        <f t="shared" si="17"/>
        <v>High</v>
      </c>
      <c r="Q144" s="48">
        <v>1467.17</v>
      </c>
      <c r="R144" s="48">
        <v>0.245</v>
      </c>
      <c r="S144" s="48">
        <v>9</v>
      </c>
      <c r="T144" s="48">
        <f t="shared" si="14"/>
        <v>3655.9817999999996</v>
      </c>
      <c r="U144" s="38">
        <f t="shared" si="15"/>
        <v>7355.07</v>
      </c>
      <c r="V144" s="48">
        <f t="shared" si="18"/>
        <v>-3699.0882000000001</v>
      </c>
      <c r="W144" s="50">
        <f t="shared" si="19"/>
        <v>-1.0117906495048745</v>
      </c>
    </row>
    <row r="145" spans="1:23" x14ac:dyDescent="0.3">
      <c r="A145" s="39" t="s">
        <v>391</v>
      </c>
      <c r="B145" s="40">
        <v>45112</v>
      </c>
      <c r="C145" s="41">
        <v>45121</v>
      </c>
      <c r="D145" s="42">
        <f t="shared" si="20"/>
        <v>9</v>
      </c>
      <c r="E145" s="42" t="str">
        <f>TEXT(Data!B145,"MMM-YYYY")</f>
        <v>Jul-2023</v>
      </c>
      <c r="F145" s="42" t="str">
        <f t="shared" si="16"/>
        <v>Q3-2023</v>
      </c>
      <c r="G145" s="37" t="s">
        <v>52</v>
      </c>
      <c r="H145" s="37" t="s">
        <v>73</v>
      </c>
      <c r="I145" s="37" t="s">
        <v>87</v>
      </c>
      <c r="J145" s="37" t="s">
        <v>105</v>
      </c>
      <c r="K145" s="37" t="s">
        <v>98</v>
      </c>
      <c r="L145" s="37" t="s">
        <v>56</v>
      </c>
      <c r="M145" s="37" t="s">
        <v>35</v>
      </c>
      <c r="N145" s="37" t="s">
        <v>392</v>
      </c>
      <c r="O145" s="42">
        <v>578.85</v>
      </c>
      <c r="P145" s="43" t="str">
        <f t="shared" si="17"/>
        <v>High</v>
      </c>
      <c r="Q145" s="42">
        <v>998.76</v>
      </c>
      <c r="R145" s="42">
        <v>8.2000000000000003E-2</v>
      </c>
      <c r="S145" s="42">
        <v>28</v>
      </c>
      <c r="T145" s="42">
        <f t="shared" si="14"/>
        <v>31331.119680000003</v>
      </c>
      <c r="U145" s="37">
        <f t="shared" si="15"/>
        <v>16207.800000000001</v>
      </c>
      <c r="V145" s="42">
        <f t="shared" si="18"/>
        <v>15123.319680000002</v>
      </c>
      <c r="W145" s="44">
        <f t="shared" si="19"/>
        <v>0.4826932402819254</v>
      </c>
    </row>
    <row r="146" spans="1:23" x14ac:dyDescent="0.3">
      <c r="A146" s="45" t="s">
        <v>393</v>
      </c>
      <c r="B146" s="46">
        <v>45260</v>
      </c>
      <c r="C146" s="47">
        <v>45259</v>
      </c>
      <c r="D146" s="48">
        <f>DATEDIF(C146,B146, "MD")</f>
        <v>1</v>
      </c>
      <c r="E146" s="48" t="str">
        <f>TEXT(Data!B146,"MMM-YYYY")</f>
        <v>Nov-2023</v>
      </c>
      <c r="F146" s="48" t="str">
        <f t="shared" si="16"/>
        <v>Q4-2023</v>
      </c>
      <c r="G146" s="38" t="s">
        <v>16</v>
      </c>
      <c r="H146" s="38" t="s">
        <v>148</v>
      </c>
      <c r="I146" s="38" t="s">
        <v>172</v>
      </c>
      <c r="J146" s="38" t="s">
        <v>62</v>
      </c>
      <c r="K146" s="38" t="s">
        <v>40</v>
      </c>
      <c r="L146" s="38" t="s">
        <v>63</v>
      </c>
      <c r="M146" s="38" t="s">
        <v>57</v>
      </c>
      <c r="N146" s="38" t="s">
        <v>394</v>
      </c>
      <c r="O146" s="48">
        <v>275.56</v>
      </c>
      <c r="P146" s="49" t="str">
        <f t="shared" si="17"/>
        <v>High</v>
      </c>
      <c r="Q146" s="48">
        <v>630.72</v>
      </c>
      <c r="R146" s="48">
        <v>0.107</v>
      </c>
      <c r="S146" s="48">
        <v>23</v>
      </c>
      <c r="T146" s="48">
        <f t="shared" si="14"/>
        <v>42353.882679999995</v>
      </c>
      <c r="U146" s="38">
        <f t="shared" si="15"/>
        <v>6337.88</v>
      </c>
      <c r="V146" s="48">
        <f t="shared" si="18"/>
        <v>36016.002679999998</v>
      </c>
      <c r="W146" s="50">
        <f t="shared" si="19"/>
        <v>0.85035893762361436</v>
      </c>
    </row>
    <row r="147" spans="1:23" x14ac:dyDescent="0.3">
      <c r="A147" s="39" t="s">
        <v>395</v>
      </c>
      <c r="B147" s="40">
        <v>45911</v>
      </c>
      <c r="C147" s="41">
        <v>45928</v>
      </c>
      <c r="D147" s="42">
        <f t="shared" si="20"/>
        <v>17</v>
      </c>
      <c r="E147" s="42" t="str">
        <f>TEXT(Data!B147,"MMM-YYYY")</f>
        <v>Sept-2025</v>
      </c>
      <c r="F147" s="42" t="str">
        <f t="shared" si="16"/>
        <v>Q3-2025</v>
      </c>
      <c r="G147" s="37" t="s">
        <v>16</v>
      </c>
      <c r="H147" s="37" t="s">
        <v>17</v>
      </c>
      <c r="I147" s="37" t="s">
        <v>33</v>
      </c>
      <c r="J147" s="37" t="s">
        <v>39</v>
      </c>
      <c r="K147" s="37" t="s">
        <v>55</v>
      </c>
      <c r="L147" s="37" t="s">
        <v>29</v>
      </c>
      <c r="M147" s="37" t="s">
        <v>57</v>
      </c>
      <c r="N147" s="37" t="s">
        <v>396</v>
      </c>
      <c r="O147" s="42">
        <v>891.46</v>
      </c>
      <c r="P147" s="43" t="str">
        <f t="shared" si="17"/>
        <v>High</v>
      </c>
      <c r="Q147" s="42">
        <v>728.61</v>
      </c>
      <c r="R147" s="42">
        <v>0.185</v>
      </c>
      <c r="S147" s="42">
        <v>6</v>
      </c>
      <c r="T147" s="42">
        <f t="shared" si="14"/>
        <v>49.780199999999994</v>
      </c>
      <c r="U147" s="37">
        <f t="shared" si="15"/>
        <v>5348.76</v>
      </c>
      <c r="V147" s="42">
        <f t="shared" si="18"/>
        <v>-5298.9798000000001</v>
      </c>
      <c r="W147" s="44">
        <f t="shared" si="19"/>
        <v>-106.44753938312824</v>
      </c>
    </row>
    <row r="148" spans="1:23" x14ac:dyDescent="0.3">
      <c r="A148" s="45" t="s">
        <v>397</v>
      </c>
      <c r="B148" s="46">
        <v>45386</v>
      </c>
      <c r="C148" s="47">
        <v>45406</v>
      </c>
      <c r="D148" s="48">
        <f t="shared" si="20"/>
        <v>20</v>
      </c>
      <c r="E148" s="48" t="str">
        <f>TEXT(Data!B148,"MMM-YYYY")</f>
        <v>Apr-2024</v>
      </c>
      <c r="F148" s="48" t="str">
        <f t="shared" si="16"/>
        <v>Q2-2024</v>
      </c>
      <c r="G148" s="38" t="s">
        <v>78</v>
      </c>
      <c r="H148" s="38" t="s">
        <v>79</v>
      </c>
      <c r="I148" s="38" t="s">
        <v>335</v>
      </c>
      <c r="J148" s="38" t="s">
        <v>39</v>
      </c>
      <c r="K148" s="38" t="s">
        <v>98</v>
      </c>
      <c r="L148" s="38" t="s">
        <v>68</v>
      </c>
      <c r="M148" s="38" t="s">
        <v>81</v>
      </c>
      <c r="N148" s="38" t="s">
        <v>398</v>
      </c>
      <c r="O148" s="48">
        <v>683.42</v>
      </c>
      <c r="P148" s="49" t="str">
        <f t="shared" si="17"/>
        <v>High</v>
      </c>
      <c r="Q148" s="48">
        <v>951.51</v>
      </c>
      <c r="R148" s="48">
        <v>0</v>
      </c>
      <c r="S148" s="48">
        <v>14</v>
      </c>
      <c r="T148" s="48">
        <f t="shared" si="14"/>
        <v>31944.079999999998</v>
      </c>
      <c r="U148" s="38">
        <f t="shared" si="15"/>
        <v>9567.8799999999992</v>
      </c>
      <c r="V148" s="48">
        <f t="shared" si="18"/>
        <v>22376.199999999997</v>
      </c>
      <c r="W148" s="50">
        <f t="shared" si="19"/>
        <v>0.7004803393930894</v>
      </c>
    </row>
    <row r="149" spans="1:23" x14ac:dyDescent="0.3">
      <c r="A149" s="39" t="s">
        <v>399</v>
      </c>
      <c r="B149" s="40">
        <v>45183</v>
      </c>
      <c r="C149" s="41">
        <v>45185</v>
      </c>
      <c r="D149" s="42">
        <f t="shared" si="20"/>
        <v>2</v>
      </c>
      <c r="E149" s="42" t="str">
        <f>TEXT(Data!B149,"MMM-YYYY")</f>
        <v>Sept-2023</v>
      </c>
      <c r="F149" s="42" t="str">
        <f t="shared" si="16"/>
        <v>Q3-2023</v>
      </c>
      <c r="G149" s="37" t="s">
        <v>78</v>
      </c>
      <c r="H149" s="37" t="s">
        <v>90</v>
      </c>
      <c r="I149" s="37" t="s">
        <v>138</v>
      </c>
      <c r="J149" s="37" t="s">
        <v>39</v>
      </c>
      <c r="K149" s="37" t="s">
        <v>98</v>
      </c>
      <c r="L149" s="37" t="s">
        <v>56</v>
      </c>
      <c r="M149" s="37" t="s">
        <v>30</v>
      </c>
      <c r="N149" s="37" t="s">
        <v>400</v>
      </c>
      <c r="O149" s="42">
        <v>376.83</v>
      </c>
      <c r="P149" s="43" t="str">
        <f t="shared" si="17"/>
        <v>High</v>
      </c>
      <c r="Q149" s="42">
        <v>732.88</v>
      </c>
      <c r="R149" s="42">
        <v>0.188</v>
      </c>
      <c r="S149" s="42">
        <v>25</v>
      </c>
      <c r="T149" s="42">
        <f t="shared" si="14"/>
        <v>5066.2710000000006</v>
      </c>
      <c r="U149" s="37">
        <f t="shared" si="15"/>
        <v>9420.75</v>
      </c>
      <c r="V149" s="42">
        <f t="shared" si="18"/>
        <v>-4354.4789999999994</v>
      </c>
      <c r="W149" s="44">
        <f t="shared" si="19"/>
        <v>-0.85950376519534755</v>
      </c>
    </row>
    <row r="150" spans="1:23" x14ac:dyDescent="0.3">
      <c r="A150" s="45" t="s">
        <v>401</v>
      </c>
      <c r="B150" s="46">
        <v>45558</v>
      </c>
      <c r="C150" s="47">
        <v>45583</v>
      </c>
      <c r="D150" s="48">
        <f t="shared" si="20"/>
        <v>25</v>
      </c>
      <c r="E150" s="48" t="str">
        <f>TEXT(Data!B150,"MMM-YYYY")</f>
        <v>Sept-2024</v>
      </c>
      <c r="F150" s="48" t="str">
        <f t="shared" si="16"/>
        <v>Q3-2024</v>
      </c>
      <c r="G150" s="38" t="s">
        <v>52</v>
      </c>
      <c r="H150" s="38" t="s">
        <v>53</v>
      </c>
      <c r="I150" s="38" t="s">
        <v>179</v>
      </c>
      <c r="J150" s="38" t="s">
        <v>62</v>
      </c>
      <c r="K150" s="38" t="s">
        <v>28</v>
      </c>
      <c r="L150" s="38" t="s">
        <v>126</v>
      </c>
      <c r="M150" s="38" t="s">
        <v>42</v>
      </c>
      <c r="N150" s="38" t="s">
        <v>402</v>
      </c>
      <c r="O150" s="48">
        <v>1297</v>
      </c>
      <c r="P150" s="49" t="str">
        <f t="shared" si="17"/>
        <v>High</v>
      </c>
      <c r="Q150" s="48">
        <v>2411.52</v>
      </c>
      <c r="R150" s="48">
        <v>2.1000000000000001E-2</v>
      </c>
      <c r="S150" s="48">
        <v>18</v>
      </c>
      <c r="T150" s="48">
        <f t="shared" si="14"/>
        <v>57712.049999999996</v>
      </c>
      <c r="U150" s="38">
        <f t="shared" si="15"/>
        <v>23346</v>
      </c>
      <c r="V150" s="48">
        <f t="shared" si="18"/>
        <v>34366.049999999996</v>
      </c>
      <c r="W150" s="50">
        <f t="shared" si="19"/>
        <v>0.59547442865051581</v>
      </c>
    </row>
    <row r="151" spans="1:23" x14ac:dyDescent="0.3">
      <c r="A151" s="39" t="s">
        <v>403</v>
      </c>
      <c r="B151" s="40">
        <v>45763</v>
      </c>
      <c r="C151" s="41">
        <v>45793</v>
      </c>
      <c r="D151" s="42">
        <f t="shared" si="20"/>
        <v>0</v>
      </c>
      <c r="E151" s="42" t="str">
        <f>TEXT(Data!B151,"MMM-YYYY")</f>
        <v>Apr-2025</v>
      </c>
      <c r="F151" s="42" t="str">
        <f t="shared" si="16"/>
        <v>Q2-2025</v>
      </c>
      <c r="G151" s="37" t="s">
        <v>52</v>
      </c>
      <c r="H151" s="37" t="s">
        <v>53</v>
      </c>
      <c r="I151" s="37" t="s">
        <v>144</v>
      </c>
      <c r="J151" s="37" t="s">
        <v>105</v>
      </c>
      <c r="K151" s="37" t="s">
        <v>55</v>
      </c>
      <c r="L151" s="37" t="s">
        <v>95</v>
      </c>
      <c r="M151" s="37" t="s">
        <v>30</v>
      </c>
      <c r="N151" s="37" t="s">
        <v>404</v>
      </c>
      <c r="O151" s="42">
        <v>763.32</v>
      </c>
      <c r="P151" s="43" t="str">
        <f t="shared" si="17"/>
        <v>High</v>
      </c>
      <c r="Q151" s="42">
        <v>568.29</v>
      </c>
      <c r="R151" s="42">
        <v>0.13100000000000001</v>
      </c>
      <c r="S151" s="42">
        <v>16</v>
      </c>
      <c r="T151" s="42">
        <f t="shared" si="14"/>
        <v>26608.919040000001</v>
      </c>
      <c r="U151" s="37">
        <f t="shared" si="15"/>
        <v>12213.12</v>
      </c>
      <c r="V151" s="42">
        <f t="shared" si="18"/>
        <v>14395.79904</v>
      </c>
      <c r="W151" s="44">
        <f t="shared" si="19"/>
        <v>0.54101404940048248</v>
      </c>
    </row>
    <row r="152" spans="1:23" x14ac:dyDescent="0.3">
      <c r="A152" s="45" t="s">
        <v>405</v>
      </c>
      <c r="B152" s="46">
        <v>45110</v>
      </c>
      <c r="C152" s="47">
        <v>45130</v>
      </c>
      <c r="D152" s="48">
        <f t="shared" si="20"/>
        <v>20</v>
      </c>
      <c r="E152" s="48" t="str">
        <f>TEXT(Data!B152,"MMM-YYYY")</f>
        <v>Jul-2023</v>
      </c>
      <c r="F152" s="48" t="str">
        <f t="shared" si="16"/>
        <v>Q3-2023</v>
      </c>
      <c r="G152" s="38" t="s">
        <v>16</v>
      </c>
      <c r="H152" s="38" t="s">
        <v>148</v>
      </c>
      <c r="I152" s="38" t="s">
        <v>149</v>
      </c>
      <c r="J152" s="38" t="s">
        <v>62</v>
      </c>
      <c r="K152" s="38" t="s">
        <v>55</v>
      </c>
      <c r="L152" s="38" t="s">
        <v>84</v>
      </c>
      <c r="M152" s="38" t="s">
        <v>57</v>
      </c>
      <c r="N152" s="38" t="s">
        <v>406</v>
      </c>
      <c r="O152" s="48">
        <v>1001.96</v>
      </c>
      <c r="P152" s="49" t="str">
        <f t="shared" si="17"/>
        <v>High</v>
      </c>
      <c r="Q152" s="48">
        <v>1254.95</v>
      </c>
      <c r="R152" s="48">
        <v>4.4999999999999998E-2</v>
      </c>
      <c r="S152" s="48">
        <v>18</v>
      </c>
      <c r="T152" s="48">
        <f t="shared" si="14"/>
        <v>517.24709999999993</v>
      </c>
      <c r="U152" s="38">
        <f t="shared" si="15"/>
        <v>18035.28</v>
      </c>
      <c r="V152" s="48">
        <f t="shared" si="18"/>
        <v>-17518.032899999998</v>
      </c>
      <c r="W152" s="50">
        <f t="shared" si="19"/>
        <v>-33.867822361884677</v>
      </c>
    </row>
    <row r="153" spans="1:23" x14ac:dyDescent="0.3">
      <c r="A153" s="39" t="s">
        <v>407</v>
      </c>
      <c r="B153" s="40">
        <v>45267</v>
      </c>
      <c r="C153" s="41">
        <v>45265</v>
      </c>
      <c r="D153" s="42">
        <f>DATEDIF(C153,B153, "MD")</f>
        <v>2</v>
      </c>
      <c r="E153" s="42" t="str">
        <f>TEXT(Data!B153,"MMM-YYYY")</f>
        <v>Dec-2023</v>
      </c>
      <c r="F153" s="42" t="str">
        <f t="shared" si="16"/>
        <v>Q4-2023</v>
      </c>
      <c r="G153" s="37" t="s">
        <v>45</v>
      </c>
      <c r="H153" s="37" t="s">
        <v>46</v>
      </c>
      <c r="I153" s="37" t="s">
        <v>214</v>
      </c>
      <c r="J153" s="37" t="s">
        <v>39</v>
      </c>
      <c r="K153" s="37" t="s">
        <v>40</v>
      </c>
      <c r="L153" s="37" t="s">
        <v>92</v>
      </c>
      <c r="M153" s="37" t="s">
        <v>30</v>
      </c>
      <c r="N153" s="37" t="s">
        <v>408</v>
      </c>
      <c r="O153" s="42">
        <v>1097.5899999999999</v>
      </c>
      <c r="P153" s="43" t="str">
        <f t="shared" si="17"/>
        <v>High</v>
      </c>
      <c r="Q153" s="42">
        <v>845.55</v>
      </c>
      <c r="R153" s="42">
        <v>0.184</v>
      </c>
      <c r="S153" s="42">
        <v>6</v>
      </c>
      <c r="T153" s="42">
        <f t="shared" si="14"/>
        <v>2454.4137600000004</v>
      </c>
      <c r="U153" s="37">
        <f t="shared" si="15"/>
        <v>6585.5399999999991</v>
      </c>
      <c r="V153" s="42">
        <f t="shared" si="18"/>
        <v>-4131.1262399999987</v>
      </c>
      <c r="W153" s="44">
        <f t="shared" si="19"/>
        <v>-1.6831417372757875</v>
      </c>
    </row>
    <row r="154" spans="1:23" x14ac:dyDescent="0.3">
      <c r="A154" s="45" t="s">
        <v>409</v>
      </c>
      <c r="B154" s="46">
        <v>45340</v>
      </c>
      <c r="C154" s="47">
        <v>45355</v>
      </c>
      <c r="D154" s="48">
        <f t="shared" si="20"/>
        <v>15</v>
      </c>
      <c r="E154" s="48" t="str">
        <f>TEXT(Data!B154,"MMM-YYYY")</f>
        <v>Feb-2024</v>
      </c>
      <c r="F154" s="48" t="str">
        <f t="shared" si="16"/>
        <v>Q1-2024</v>
      </c>
      <c r="G154" s="38" t="s">
        <v>16</v>
      </c>
      <c r="H154" s="38" t="s">
        <v>17</v>
      </c>
      <c r="I154" s="38" t="s">
        <v>18</v>
      </c>
      <c r="J154" s="38" t="s">
        <v>27</v>
      </c>
      <c r="K154" s="38" t="s">
        <v>98</v>
      </c>
      <c r="L154" s="38" t="s">
        <v>95</v>
      </c>
      <c r="M154" s="38" t="s">
        <v>30</v>
      </c>
      <c r="N154" s="38" t="s">
        <v>410</v>
      </c>
      <c r="O154" s="48">
        <v>928.68</v>
      </c>
      <c r="P154" s="49" t="str">
        <f t="shared" si="17"/>
        <v>High</v>
      </c>
      <c r="Q154" s="48">
        <v>2145.17</v>
      </c>
      <c r="R154" s="48">
        <v>0.13600000000000001</v>
      </c>
      <c r="S154" s="48">
        <v>16</v>
      </c>
      <c r="T154" s="48">
        <f t="shared" si="14"/>
        <v>5684.1523200000001</v>
      </c>
      <c r="U154" s="38">
        <f t="shared" si="15"/>
        <v>14858.88</v>
      </c>
      <c r="V154" s="48">
        <f t="shared" si="18"/>
        <v>-9174.72768</v>
      </c>
      <c r="W154" s="50">
        <f t="shared" si="19"/>
        <v>-1.6140889904934848</v>
      </c>
    </row>
    <row r="155" spans="1:23" x14ac:dyDescent="0.3">
      <c r="A155" s="39" t="s">
        <v>411</v>
      </c>
      <c r="B155" s="40">
        <v>45230</v>
      </c>
      <c r="C155" s="41">
        <v>45232</v>
      </c>
      <c r="D155" s="42">
        <f t="shared" si="20"/>
        <v>2</v>
      </c>
      <c r="E155" s="42" t="str">
        <f>TEXT(Data!B155,"MMM-YYYY")</f>
        <v>Oct-2023</v>
      </c>
      <c r="F155" s="42" t="str">
        <f t="shared" si="16"/>
        <v>Q4-2023</v>
      </c>
      <c r="G155" s="37" t="s">
        <v>16</v>
      </c>
      <c r="H155" s="37" t="s">
        <v>17</v>
      </c>
      <c r="I155" s="37" t="s">
        <v>18</v>
      </c>
      <c r="J155" s="37" t="s">
        <v>27</v>
      </c>
      <c r="K155" s="37" t="s">
        <v>20</v>
      </c>
      <c r="L155" s="37" t="s">
        <v>68</v>
      </c>
      <c r="M155" s="37" t="s">
        <v>81</v>
      </c>
      <c r="N155" s="37" t="s">
        <v>412</v>
      </c>
      <c r="O155" s="42">
        <v>867.89</v>
      </c>
      <c r="P155" s="43" t="str">
        <f t="shared" si="17"/>
        <v>High</v>
      </c>
      <c r="Q155" s="42">
        <v>1349.94</v>
      </c>
      <c r="R155" s="42">
        <v>0.184</v>
      </c>
      <c r="S155" s="42">
        <v>10</v>
      </c>
      <c r="T155" s="42">
        <f t="shared" si="14"/>
        <v>48.307200000000009</v>
      </c>
      <c r="U155" s="37">
        <f t="shared" si="15"/>
        <v>8678.9</v>
      </c>
      <c r="V155" s="42">
        <f t="shared" si="18"/>
        <v>-8630.5928000000004</v>
      </c>
      <c r="W155" s="44">
        <f t="shared" si="19"/>
        <v>-178.66058889772123</v>
      </c>
    </row>
    <row r="156" spans="1:23" x14ac:dyDescent="0.3">
      <c r="A156" s="45" t="s">
        <v>413</v>
      </c>
      <c r="B156" s="46">
        <v>45511</v>
      </c>
      <c r="C156" s="47">
        <v>45521</v>
      </c>
      <c r="D156" s="48">
        <f t="shared" si="20"/>
        <v>10</v>
      </c>
      <c r="E156" s="48" t="str">
        <f>TEXT(Data!B156,"MMM-YYYY")</f>
        <v>Aug-2024</v>
      </c>
      <c r="F156" s="48" t="str">
        <f t="shared" si="16"/>
        <v>Q3-2024</v>
      </c>
      <c r="G156" s="38" t="s">
        <v>45</v>
      </c>
      <c r="H156" s="38" t="s">
        <v>46</v>
      </c>
      <c r="I156" s="38" t="s">
        <v>47</v>
      </c>
      <c r="J156" s="38" t="s">
        <v>48</v>
      </c>
      <c r="K156" s="38" t="s">
        <v>28</v>
      </c>
      <c r="L156" s="38" t="s">
        <v>95</v>
      </c>
      <c r="M156" s="38" t="s">
        <v>35</v>
      </c>
      <c r="N156" s="38" t="s">
        <v>414</v>
      </c>
      <c r="O156" s="48">
        <v>436.58</v>
      </c>
      <c r="P156" s="49" t="str">
        <f t="shared" si="17"/>
        <v>High</v>
      </c>
      <c r="Q156" s="48">
        <v>527.48</v>
      </c>
      <c r="R156" s="48">
        <v>0.111</v>
      </c>
      <c r="S156" s="48">
        <v>19</v>
      </c>
      <c r="T156" s="48">
        <f t="shared" si="14"/>
        <v>37272.187330000001</v>
      </c>
      <c r="U156" s="38">
        <f t="shared" si="15"/>
        <v>8295.02</v>
      </c>
      <c r="V156" s="48">
        <f t="shared" si="18"/>
        <v>28977.16733</v>
      </c>
      <c r="W156" s="50">
        <f t="shared" si="19"/>
        <v>0.77744745897101064</v>
      </c>
    </row>
    <row r="157" spans="1:23" x14ac:dyDescent="0.3">
      <c r="A157" s="39" t="s">
        <v>415</v>
      </c>
      <c r="B157" s="40">
        <v>45323</v>
      </c>
      <c r="C157" s="41">
        <v>45343</v>
      </c>
      <c r="D157" s="42">
        <f t="shared" si="20"/>
        <v>20</v>
      </c>
      <c r="E157" s="42" t="str">
        <f>TEXT(Data!B157,"MMM-YYYY")</f>
        <v>Feb-2024</v>
      </c>
      <c r="F157" s="42" t="str">
        <f t="shared" si="16"/>
        <v>Q1-2024</v>
      </c>
      <c r="G157" s="37" t="s">
        <v>78</v>
      </c>
      <c r="H157" s="37" t="s">
        <v>90</v>
      </c>
      <c r="I157" s="37" t="s">
        <v>217</v>
      </c>
      <c r="J157" s="37" t="s">
        <v>62</v>
      </c>
      <c r="K157" s="37" t="s">
        <v>40</v>
      </c>
      <c r="L157" s="37" t="s">
        <v>75</v>
      </c>
      <c r="M157" s="37" t="s">
        <v>35</v>
      </c>
      <c r="N157" s="37" t="s">
        <v>416</v>
      </c>
      <c r="O157" s="42">
        <v>656.2</v>
      </c>
      <c r="P157" s="43" t="str">
        <f t="shared" si="17"/>
        <v>High</v>
      </c>
      <c r="Q157" s="42">
        <v>1467.17</v>
      </c>
      <c r="R157" s="42">
        <v>1.7999999999999999E-2</v>
      </c>
      <c r="S157" s="42">
        <v>5</v>
      </c>
      <c r="T157" s="42">
        <f t="shared" si="14"/>
        <v>9391.848</v>
      </c>
      <c r="U157" s="37">
        <f t="shared" si="15"/>
        <v>3281</v>
      </c>
      <c r="V157" s="42">
        <f t="shared" si="18"/>
        <v>6110.848</v>
      </c>
      <c r="W157" s="44">
        <f t="shared" si="19"/>
        <v>0.65065448248310664</v>
      </c>
    </row>
    <row r="158" spans="1:23" x14ac:dyDescent="0.3">
      <c r="A158" s="45" t="s">
        <v>417</v>
      </c>
      <c r="B158" s="46">
        <v>45531</v>
      </c>
      <c r="C158" s="47">
        <v>45553</v>
      </c>
      <c r="D158" s="48">
        <f t="shared" si="20"/>
        <v>22</v>
      </c>
      <c r="E158" s="48" t="str">
        <f>TEXT(Data!B158,"MMM-YYYY")</f>
        <v>Aug-2024</v>
      </c>
      <c r="F158" s="48" t="str">
        <f t="shared" si="16"/>
        <v>Q3-2024</v>
      </c>
      <c r="G158" s="38" t="s">
        <v>45</v>
      </c>
      <c r="H158" s="38" t="s">
        <v>60</v>
      </c>
      <c r="I158" s="38" t="s">
        <v>141</v>
      </c>
      <c r="J158" s="38" t="s">
        <v>48</v>
      </c>
      <c r="K158" s="38" t="s">
        <v>98</v>
      </c>
      <c r="L158" s="38" t="s">
        <v>56</v>
      </c>
      <c r="M158" s="38" t="s">
        <v>22</v>
      </c>
      <c r="N158" s="38" t="s">
        <v>418</v>
      </c>
      <c r="O158" s="48">
        <v>896.75</v>
      </c>
      <c r="P158" s="49" t="str">
        <f t="shared" si="17"/>
        <v>High</v>
      </c>
      <c r="Q158" s="48">
        <v>1651.14</v>
      </c>
      <c r="R158" s="48">
        <v>2.5000000000000001E-2</v>
      </c>
      <c r="S158" s="48">
        <v>15</v>
      </c>
      <c r="T158" s="48">
        <f t="shared" si="14"/>
        <v>20216.283749999999</v>
      </c>
      <c r="U158" s="38">
        <f t="shared" si="15"/>
        <v>13451.25</v>
      </c>
      <c r="V158" s="48">
        <f t="shared" si="18"/>
        <v>6765.0337499999987</v>
      </c>
      <c r="W158" s="50">
        <f t="shared" si="19"/>
        <v>0.3346329045267778</v>
      </c>
    </row>
    <row r="159" spans="1:23" x14ac:dyDescent="0.3">
      <c r="A159" s="39" t="s">
        <v>419</v>
      </c>
      <c r="B159" s="40">
        <v>45703</v>
      </c>
      <c r="C159" s="41">
        <v>45703</v>
      </c>
      <c r="D159" s="42">
        <f t="shared" si="20"/>
        <v>0</v>
      </c>
      <c r="E159" s="42" t="str">
        <f>TEXT(Data!B159,"MMM-YYYY")</f>
        <v>Feb-2025</v>
      </c>
      <c r="F159" s="42" t="str">
        <f t="shared" si="16"/>
        <v>Q1-2025</v>
      </c>
      <c r="G159" s="37" t="s">
        <v>78</v>
      </c>
      <c r="H159" s="37" t="s">
        <v>79</v>
      </c>
      <c r="I159" s="37" t="s">
        <v>335</v>
      </c>
      <c r="J159" s="37" t="s">
        <v>62</v>
      </c>
      <c r="K159" s="37" t="s">
        <v>40</v>
      </c>
      <c r="L159" s="37" t="s">
        <v>49</v>
      </c>
      <c r="M159" s="37" t="s">
        <v>81</v>
      </c>
      <c r="N159" s="37" t="s">
        <v>420</v>
      </c>
      <c r="O159" s="42">
        <v>815.83</v>
      </c>
      <c r="P159" s="43" t="str">
        <f t="shared" si="17"/>
        <v>High</v>
      </c>
      <c r="Q159" s="42">
        <v>1982.18</v>
      </c>
      <c r="R159" s="42">
        <v>0.127</v>
      </c>
      <c r="S159" s="42">
        <v>6</v>
      </c>
      <c r="T159" s="42">
        <f t="shared" si="14"/>
        <v>7100.6851799999995</v>
      </c>
      <c r="U159" s="37">
        <f t="shared" si="15"/>
        <v>4894.9800000000005</v>
      </c>
      <c r="V159" s="42">
        <f t="shared" si="18"/>
        <v>2205.705179999999</v>
      </c>
      <c r="W159" s="44">
        <f t="shared" si="19"/>
        <v>0.31063272403804826</v>
      </c>
    </row>
    <row r="160" spans="1:23" x14ac:dyDescent="0.3">
      <c r="A160" s="45" t="s">
        <v>421</v>
      </c>
      <c r="B160" s="46">
        <v>45870</v>
      </c>
      <c r="C160" s="47">
        <v>45890</v>
      </c>
      <c r="D160" s="48">
        <f t="shared" si="20"/>
        <v>20</v>
      </c>
      <c r="E160" s="48" t="str">
        <f>TEXT(Data!B160,"MMM-YYYY")</f>
        <v>Aug-2025</v>
      </c>
      <c r="F160" s="48" t="str">
        <f t="shared" si="16"/>
        <v>Q3-2025</v>
      </c>
      <c r="G160" s="38" t="s">
        <v>45</v>
      </c>
      <c r="H160" s="38" t="s">
        <v>116</v>
      </c>
      <c r="I160" s="38" t="s">
        <v>162</v>
      </c>
      <c r="J160" s="38" t="s">
        <v>19</v>
      </c>
      <c r="K160" s="38" t="s">
        <v>98</v>
      </c>
      <c r="L160" s="38" t="s">
        <v>34</v>
      </c>
      <c r="M160" s="38" t="s">
        <v>42</v>
      </c>
      <c r="N160" s="38" t="s">
        <v>422</v>
      </c>
      <c r="O160" s="48">
        <v>1220.4100000000001</v>
      </c>
      <c r="P160" s="49" t="str">
        <f t="shared" si="17"/>
        <v>High</v>
      </c>
      <c r="Q160" s="48">
        <v>2552.2199999999998</v>
      </c>
      <c r="R160" s="48">
        <v>0.18099999999999999</v>
      </c>
      <c r="S160" s="48">
        <v>14</v>
      </c>
      <c r="T160" s="48">
        <f t="shared" si="14"/>
        <v>10180.661399999999</v>
      </c>
      <c r="U160" s="38">
        <f t="shared" si="15"/>
        <v>17085.740000000002</v>
      </c>
      <c r="V160" s="48">
        <f t="shared" si="18"/>
        <v>-6905.0786000000026</v>
      </c>
      <c r="W160" s="50">
        <f t="shared" si="19"/>
        <v>-0.6782544206803699</v>
      </c>
    </row>
    <row r="161" spans="1:23" x14ac:dyDescent="0.3">
      <c r="A161" s="39" t="s">
        <v>423</v>
      </c>
      <c r="B161" s="40">
        <v>44977</v>
      </c>
      <c r="C161" s="41">
        <v>44989</v>
      </c>
      <c r="D161" s="42">
        <f t="shared" si="20"/>
        <v>12</v>
      </c>
      <c r="E161" s="42" t="str">
        <f>TEXT(Data!B161,"MMM-YYYY")</f>
        <v>Feb-2023</v>
      </c>
      <c r="F161" s="42" t="str">
        <f t="shared" si="16"/>
        <v>Q1-2023</v>
      </c>
      <c r="G161" s="37" t="s">
        <v>45</v>
      </c>
      <c r="H161" s="37" t="s">
        <v>60</v>
      </c>
      <c r="I161" s="37" t="s">
        <v>141</v>
      </c>
      <c r="J161" s="37" t="s">
        <v>48</v>
      </c>
      <c r="K161" s="37" t="s">
        <v>55</v>
      </c>
      <c r="L161" s="37" t="s">
        <v>110</v>
      </c>
      <c r="M161" s="37" t="s">
        <v>64</v>
      </c>
      <c r="N161" s="37" t="s">
        <v>424</v>
      </c>
      <c r="O161" s="42">
        <v>299.75</v>
      </c>
      <c r="P161" s="43" t="str">
        <f t="shared" si="17"/>
        <v>High</v>
      </c>
      <c r="Q161" s="42">
        <v>523.01</v>
      </c>
      <c r="R161" s="42">
        <v>0.157</v>
      </c>
      <c r="S161" s="42">
        <v>50</v>
      </c>
      <c r="T161" s="42">
        <f t="shared" si="14"/>
        <v>43022.083500000001</v>
      </c>
      <c r="U161" s="37">
        <f t="shared" si="15"/>
        <v>14987.5</v>
      </c>
      <c r="V161" s="42">
        <f t="shared" si="18"/>
        <v>28034.583500000001</v>
      </c>
      <c r="W161" s="44">
        <f t="shared" si="19"/>
        <v>0.65163239943969709</v>
      </c>
    </row>
    <row r="162" spans="1:23" x14ac:dyDescent="0.3">
      <c r="A162" s="45" t="s">
        <v>425</v>
      </c>
      <c r="B162" s="46">
        <v>45595</v>
      </c>
      <c r="C162" s="47">
        <v>45620</v>
      </c>
      <c r="D162" s="48">
        <f t="shared" si="20"/>
        <v>25</v>
      </c>
      <c r="E162" s="48" t="str">
        <f>TEXT(Data!B162,"MMM-YYYY")</f>
        <v>Oct-2024</v>
      </c>
      <c r="F162" s="48" t="str">
        <f t="shared" si="16"/>
        <v>Q4-2024</v>
      </c>
      <c r="G162" s="38" t="s">
        <v>45</v>
      </c>
      <c r="H162" s="38" t="s">
        <v>116</v>
      </c>
      <c r="I162" s="38" t="s">
        <v>117</v>
      </c>
      <c r="J162" s="38" t="s">
        <v>62</v>
      </c>
      <c r="K162" s="38" t="s">
        <v>28</v>
      </c>
      <c r="L162" s="38" t="s">
        <v>63</v>
      </c>
      <c r="M162" s="38" t="s">
        <v>22</v>
      </c>
      <c r="N162" s="38" t="s">
        <v>426</v>
      </c>
      <c r="O162" s="48">
        <v>811.05</v>
      </c>
      <c r="P162" s="49" t="str">
        <f t="shared" si="17"/>
        <v>High</v>
      </c>
      <c r="Q162" s="48">
        <v>1217.71</v>
      </c>
      <c r="R162" s="48">
        <v>7.1999999999999995E-2</v>
      </c>
      <c r="S162" s="48">
        <v>5</v>
      </c>
      <c r="T162" s="48">
        <f t="shared" si="14"/>
        <v>6475.2592000000004</v>
      </c>
      <c r="U162" s="38">
        <f t="shared" si="15"/>
        <v>4055.25</v>
      </c>
      <c r="V162" s="48">
        <f t="shared" si="18"/>
        <v>2420.0092000000004</v>
      </c>
      <c r="W162" s="50">
        <f t="shared" si="19"/>
        <v>0.37373163378540897</v>
      </c>
    </row>
    <row r="163" spans="1:23" x14ac:dyDescent="0.3">
      <c r="A163" s="39" t="s">
        <v>427</v>
      </c>
      <c r="B163" s="40">
        <v>45385</v>
      </c>
      <c r="C163" s="41">
        <v>45389</v>
      </c>
      <c r="D163" s="42">
        <f t="shared" si="20"/>
        <v>4</v>
      </c>
      <c r="E163" s="42" t="str">
        <f>TEXT(Data!B163,"MMM-YYYY")</f>
        <v>Apr-2024</v>
      </c>
      <c r="F163" s="42" t="str">
        <f t="shared" si="16"/>
        <v>Q2-2024</v>
      </c>
      <c r="G163" s="37" t="s">
        <v>52</v>
      </c>
      <c r="H163" s="37" t="s">
        <v>73</v>
      </c>
      <c r="I163" s="37" t="s">
        <v>87</v>
      </c>
      <c r="J163" s="37" t="s">
        <v>39</v>
      </c>
      <c r="K163" s="37" t="s">
        <v>98</v>
      </c>
      <c r="L163" s="37" t="s">
        <v>126</v>
      </c>
      <c r="M163" s="37" t="s">
        <v>42</v>
      </c>
      <c r="N163" s="37" t="s">
        <v>428</v>
      </c>
      <c r="O163" s="42">
        <v>1023.27</v>
      </c>
      <c r="P163" s="43" t="str">
        <f t="shared" si="17"/>
        <v>High</v>
      </c>
      <c r="Q163" s="42">
        <v>1343.64</v>
      </c>
      <c r="R163" s="42">
        <v>0.13300000000000001</v>
      </c>
      <c r="S163" s="42">
        <v>7</v>
      </c>
      <c r="T163" s="42">
        <f t="shared" si="14"/>
        <v>13797.385980000001</v>
      </c>
      <c r="U163" s="37">
        <f t="shared" si="15"/>
        <v>7162.8899999999994</v>
      </c>
      <c r="V163" s="42">
        <f t="shared" si="18"/>
        <v>6634.4959800000015</v>
      </c>
      <c r="W163" s="44">
        <f t="shared" si="19"/>
        <v>0.48085166201895302</v>
      </c>
    </row>
    <row r="164" spans="1:23" x14ac:dyDescent="0.3">
      <c r="A164" s="45" t="s">
        <v>429</v>
      </c>
      <c r="B164" s="46">
        <v>45010</v>
      </c>
      <c r="C164" s="47">
        <v>45011</v>
      </c>
      <c r="D164" s="48">
        <f t="shared" si="20"/>
        <v>1</v>
      </c>
      <c r="E164" s="48" t="str">
        <f>TEXT(Data!B164,"MMM-YYYY")</f>
        <v>Mar-2023</v>
      </c>
      <c r="F164" s="48" t="str">
        <f t="shared" si="16"/>
        <v>Q1-2023</v>
      </c>
      <c r="G164" s="38" t="s">
        <v>45</v>
      </c>
      <c r="H164" s="38" t="s">
        <v>46</v>
      </c>
      <c r="I164" s="38" t="s">
        <v>47</v>
      </c>
      <c r="J164" s="38" t="s">
        <v>62</v>
      </c>
      <c r="K164" s="38" t="s">
        <v>55</v>
      </c>
      <c r="L164" s="38" t="s">
        <v>34</v>
      </c>
      <c r="M164" s="38" t="s">
        <v>64</v>
      </c>
      <c r="N164" s="38" t="s">
        <v>430</v>
      </c>
      <c r="O164" s="48">
        <v>135.12</v>
      </c>
      <c r="P164" s="49" t="str">
        <f t="shared" si="17"/>
        <v>High</v>
      </c>
      <c r="Q164" s="48">
        <v>301.7</v>
      </c>
      <c r="R164" s="48">
        <v>0.14000000000000001</v>
      </c>
      <c r="S164" s="48">
        <v>47</v>
      </c>
      <c r="T164" s="48">
        <f t="shared" si="14"/>
        <v>50207.703000000001</v>
      </c>
      <c r="U164" s="38">
        <f t="shared" si="15"/>
        <v>6350.64</v>
      </c>
      <c r="V164" s="48">
        <f t="shared" si="18"/>
        <v>43857.063000000002</v>
      </c>
      <c r="W164" s="50">
        <f t="shared" si="19"/>
        <v>0.87351263609888707</v>
      </c>
    </row>
    <row r="165" spans="1:23" x14ac:dyDescent="0.3">
      <c r="A165" s="39" t="s">
        <v>431</v>
      </c>
      <c r="B165" s="40">
        <v>45447</v>
      </c>
      <c r="C165" s="41">
        <v>45459</v>
      </c>
      <c r="D165" s="42">
        <f t="shared" si="20"/>
        <v>12</v>
      </c>
      <c r="E165" s="42" t="str">
        <f>TEXT(Data!B165,"MMM-YYYY")</f>
        <v>Jun-2024</v>
      </c>
      <c r="F165" s="42" t="str">
        <f t="shared" si="16"/>
        <v>Q2-2024</v>
      </c>
      <c r="G165" s="37" t="s">
        <v>45</v>
      </c>
      <c r="H165" s="37" t="s">
        <v>116</v>
      </c>
      <c r="I165" s="37" t="s">
        <v>162</v>
      </c>
      <c r="J165" s="37" t="s">
        <v>19</v>
      </c>
      <c r="K165" s="37" t="s">
        <v>20</v>
      </c>
      <c r="L165" s="37" t="s">
        <v>29</v>
      </c>
      <c r="M165" s="37" t="s">
        <v>30</v>
      </c>
      <c r="N165" s="37" t="s">
        <v>432</v>
      </c>
      <c r="O165" s="42">
        <v>918.42</v>
      </c>
      <c r="P165" s="43" t="str">
        <f t="shared" si="17"/>
        <v>High</v>
      </c>
      <c r="Q165" s="42">
        <v>1511.71</v>
      </c>
      <c r="R165" s="42">
        <v>0.02</v>
      </c>
      <c r="S165" s="42">
        <v>8</v>
      </c>
      <c r="T165" s="42">
        <f t="shared" si="14"/>
        <v>10272.6736</v>
      </c>
      <c r="U165" s="37">
        <f t="shared" si="15"/>
        <v>7347.36</v>
      </c>
      <c r="V165" s="42">
        <f t="shared" si="18"/>
        <v>2925.3136000000004</v>
      </c>
      <c r="W165" s="44">
        <f t="shared" si="19"/>
        <v>0.28476652855007489</v>
      </c>
    </row>
    <row r="166" spans="1:23" x14ac:dyDescent="0.3">
      <c r="A166" s="45" t="s">
        <v>433</v>
      </c>
      <c r="B166" s="46">
        <v>44976</v>
      </c>
      <c r="C166" s="47">
        <v>44997</v>
      </c>
      <c r="D166" s="48">
        <f t="shared" si="20"/>
        <v>21</v>
      </c>
      <c r="E166" s="48" t="str">
        <f>TEXT(Data!B166,"MMM-YYYY")</f>
        <v>Feb-2023</v>
      </c>
      <c r="F166" s="48" t="str">
        <f t="shared" si="16"/>
        <v>Q1-2023</v>
      </c>
      <c r="G166" s="38" t="s">
        <v>78</v>
      </c>
      <c r="H166" s="38" t="s">
        <v>79</v>
      </c>
      <c r="I166" s="38" t="s">
        <v>80</v>
      </c>
      <c r="J166" s="38" t="s">
        <v>62</v>
      </c>
      <c r="K166" s="38" t="s">
        <v>98</v>
      </c>
      <c r="L166" s="38" t="s">
        <v>49</v>
      </c>
      <c r="M166" s="38" t="s">
        <v>64</v>
      </c>
      <c r="N166" s="38" t="s">
        <v>434</v>
      </c>
      <c r="O166" s="48">
        <v>1234.81</v>
      </c>
      <c r="P166" s="49" t="str">
        <f t="shared" si="17"/>
        <v>High</v>
      </c>
      <c r="Q166" s="48">
        <v>2055.2399999999998</v>
      </c>
      <c r="R166" s="48">
        <v>5.2999999999999999E-2</v>
      </c>
      <c r="S166" s="48">
        <v>44</v>
      </c>
      <c r="T166" s="48">
        <f t="shared" si="14"/>
        <v>40303.373</v>
      </c>
      <c r="U166" s="38">
        <f t="shared" si="15"/>
        <v>54331.64</v>
      </c>
      <c r="V166" s="48">
        <f t="shared" si="18"/>
        <v>-14028.267</v>
      </c>
      <c r="W166" s="50">
        <f t="shared" si="19"/>
        <v>-0.34806682309195314</v>
      </c>
    </row>
    <row r="167" spans="1:23" x14ac:dyDescent="0.3">
      <c r="A167" s="39" t="s">
        <v>435</v>
      </c>
      <c r="B167" s="40">
        <v>45034</v>
      </c>
      <c r="C167" s="41">
        <v>45064</v>
      </c>
      <c r="D167" s="42">
        <f t="shared" si="20"/>
        <v>0</v>
      </c>
      <c r="E167" s="42" t="str">
        <f>TEXT(Data!B167,"MMM-YYYY")</f>
        <v>Apr-2023</v>
      </c>
      <c r="F167" s="42" t="str">
        <f t="shared" si="16"/>
        <v>Q2-2023</v>
      </c>
      <c r="G167" s="37" t="s">
        <v>45</v>
      </c>
      <c r="H167" s="37" t="s">
        <v>116</v>
      </c>
      <c r="I167" s="37" t="s">
        <v>117</v>
      </c>
      <c r="J167" s="37" t="s">
        <v>39</v>
      </c>
      <c r="K167" s="37" t="s">
        <v>20</v>
      </c>
      <c r="L167" s="37" t="s">
        <v>92</v>
      </c>
      <c r="M167" s="37" t="s">
        <v>57</v>
      </c>
      <c r="N167" s="37" t="s">
        <v>436</v>
      </c>
      <c r="O167" s="42">
        <v>329.03</v>
      </c>
      <c r="P167" s="43" t="str">
        <f t="shared" si="17"/>
        <v>High</v>
      </c>
      <c r="Q167" s="42">
        <v>391.15</v>
      </c>
      <c r="R167" s="42">
        <v>0.19700000000000001</v>
      </c>
      <c r="S167" s="42">
        <v>46</v>
      </c>
      <c r="T167" s="42">
        <f t="shared" si="14"/>
        <v>32735.194359999998</v>
      </c>
      <c r="U167" s="37">
        <f t="shared" si="15"/>
        <v>15135.38</v>
      </c>
      <c r="V167" s="42">
        <f t="shared" si="18"/>
        <v>17599.814359999997</v>
      </c>
      <c r="W167" s="44">
        <f t="shared" si="19"/>
        <v>0.53764196926552166</v>
      </c>
    </row>
    <row r="168" spans="1:23" x14ac:dyDescent="0.3">
      <c r="A168" s="45" t="s">
        <v>437</v>
      </c>
      <c r="B168" s="46">
        <v>45435</v>
      </c>
      <c r="C168" s="47">
        <v>45457</v>
      </c>
      <c r="D168" s="48">
        <f t="shared" si="20"/>
        <v>22</v>
      </c>
      <c r="E168" s="48" t="str">
        <f>TEXT(Data!B168,"MMM-YYYY")</f>
        <v>May-2024</v>
      </c>
      <c r="F168" s="48" t="str">
        <f t="shared" si="16"/>
        <v>Q2-2024</v>
      </c>
      <c r="G168" s="38" t="s">
        <v>78</v>
      </c>
      <c r="H168" s="38" t="s">
        <v>90</v>
      </c>
      <c r="I168" s="38" t="s">
        <v>91</v>
      </c>
      <c r="J168" s="38" t="s">
        <v>62</v>
      </c>
      <c r="K168" s="38" t="s">
        <v>28</v>
      </c>
      <c r="L168" s="38" t="s">
        <v>126</v>
      </c>
      <c r="M168" s="38" t="s">
        <v>64</v>
      </c>
      <c r="N168" s="38" t="s">
        <v>438</v>
      </c>
      <c r="O168" s="48">
        <v>1481.74</v>
      </c>
      <c r="P168" s="49" t="str">
        <f t="shared" si="17"/>
        <v>High</v>
      </c>
      <c r="Q168" s="48">
        <v>1848.97</v>
      </c>
      <c r="R168" s="48">
        <v>0.254</v>
      </c>
      <c r="S168" s="48">
        <v>9</v>
      </c>
      <c r="T168" s="48">
        <f t="shared" si="14"/>
        <v>5308.1555399999997</v>
      </c>
      <c r="U168" s="38">
        <f t="shared" si="15"/>
        <v>13335.66</v>
      </c>
      <c r="V168" s="48">
        <f t="shared" si="18"/>
        <v>-8027.5044600000001</v>
      </c>
      <c r="W168" s="50">
        <f t="shared" si="19"/>
        <v>-1.5122963898680333</v>
      </c>
    </row>
    <row r="169" spans="1:23" x14ac:dyDescent="0.3">
      <c r="A169" s="39" t="s">
        <v>439</v>
      </c>
      <c r="B169" s="40">
        <v>45206</v>
      </c>
      <c r="C169" s="41">
        <v>45222</v>
      </c>
      <c r="D169" s="42">
        <f t="shared" si="20"/>
        <v>16</v>
      </c>
      <c r="E169" s="42" t="str">
        <f>TEXT(Data!B169,"MMM-YYYY")</f>
        <v>Oct-2023</v>
      </c>
      <c r="F169" s="42" t="str">
        <f t="shared" si="16"/>
        <v>Q4-2023</v>
      </c>
      <c r="G169" s="37" t="s">
        <v>45</v>
      </c>
      <c r="H169" s="37" t="s">
        <v>60</v>
      </c>
      <c r="I169" s="37" t="s">
        <v>281</v>
      </c>
      <c r="J169" s="37" t="s">
        <v>48</v>
      </c>
      <c r="K169" s="37" t="s">
        <v>20</v>
      </c>
      <c r="L169" s="37" t="s">
        <v>41</v>
      </c>
      <c r="M169" s="37" t="s">
        <v>64</v>
      </c>
      <c r="N169" s="37" t="s">
        <v>440</v>
      </c>
      <c r="O169" s="42">
        <v>906.81</v>
      </c>
      <c r="P169" s="43" t="str">
        <f t="shared" si="17"/>
        <v>High</v>
      </c>
      <c r="Q169" s="42">
        <v>1395.56</v>
      </c>
      <c r="R169" s="42">
        <v>0.185</v>
      </c>
      <c r="S169" s="42">
        <v>6</v>
      </c>
      <c r="T169" s="42">
        <f t="shared" si="14"/>
        <v>1766.9036999999998</v>
      </c>
      <c r="U169" s="37">
        <f t="shared" si="15"/>
        <v>5440.86</v>
      </c>
      <c r="V169" s="42">
        <f t="shared" si="18"/>
        <v>-3673.9562999999998</v>
      </c>
      <c r="W169" s="44">
        <f t="shared" si="19"/>
        <v>-2.079318923832691</v>
      </c>
    </row>
    <row r="170" spans="1:23" x14ac:dyDescent="0.3">
      <c r="A170" s="45" t="s">
        <v>441</v>
      </c>
      <c r="B170" s="46">
        <v>45574</v>
      </c>
      <c r="C170" s="47">
        <v>45604</v>
      </c>
      <c r="D170" s="48">
        <f t="shared" si="20"/>
        <v>30</v>
      </c>
      <c r="E170" s="48" t="str">
        <f>TEXT(Data!B170,"MMM-YYYY")</f>
        <v>Oct-2024</v>
      </c>
      <c r="F170" s="48" t="str">
        <f t="shared" si="16"/>
        <v>Q4-2024</v>
      </c>
      <c r="G170" s="38" t="s">
        <v>78</v>
      </c>
      <c r="H170" s="38" t="s">
        <v>108</v>
      </c>
      <c r="I170" s="38" t="s">
        <v>228</v>
      </c>
      <c r="J170" s="38" t="s">
        <v>62</v>
      </c>
      <c r="K170" s="38" t="s">
        <v>55</v>
      </c>
      <c r="L170" s="38" t="s">
        <v>29</v>
      </c>
      <c r="M170" s="38" t="s">
        <v>22</v>
      </c>
      <c r="N170" s="38" t="s">
        <v>442</v>
      </c>
      <c r="O170" s="48">
        <v>343.85</v>
      </c>
      <c r="P170" s="49" t="str">
        <f t="shared" si="17"/>
        <v>High</v>
      </c>
      <c r="Q170" s="48">
        <v>538.04</v>
      </c>
      <c r="R170" s="48">
        <v>0.13900000000000001</v>
      </c>
      <c r="S170" s="48">
        <v>5</v>
      </c>
      <c r="T170" s="48">
        <f t="shared" si="14"/>
        <v>8403.5321999999996</v>
      </c>
      <c r="U170" s="38">
        <f t="shared" si="15"/>
        <v>1719.25</v>
      </c>
      <c r="V170" s="48">
        <f t="shared" si="18"/>
        <v>6684.2821999999996</v>
      </c>
      <c r="W170" s="50">
        <f t="shared" si="19"/>
        <v>0.79541340961363838</v>
      </c>
    </row>
    <row r="171" spans="1:23" x14ac:dyDescent="0.3">
      <c r="A171" s="39" t="s">
        <v>443</v>
      </c>
      <c r="B171" s="40">
        <v>45488</v>
      </c>
      <c r="C171" s="41">
        <v>45488</v>
      </c>
      <c r="D171" s="42">
        <f t="shared" si="20"/>
        <v>0</v>
      </c>
      <c r="E171" s="42" t="str">
        <f>TEXT(Data!B171,"MMM-YYYY")</f>
        <v>Jul-2024</v>
      </c>
      <c r="F171" s="42" t="str">
        <f t="shared" si="16"/>
        <v>Q3-2024</v>
      </c>
      <c r="G171" s="37" t="s">
        <v>45</v>
      </c>
      <c r="H171" s="37" t="s">
        <v>46</v>
      </c>
      <c r="I171" s="37" t="s">
        <v>214</v>
      </c>
      <c r="J171" s="37" t="s">
        <v>62</v>
      </c>
      <c r="K171" s="37" t="s">
        <v>40</v>
      </c>
      <c r="L171" s="37" t="s">
        <v>41</v>
      </c>
      <c r="M171" s="37" t="s">
        <v>81</v>
      </c>
      <c r="N171" s="37" t="s">
        <v>444</v>
      </c>
      <c r="O171" s="42">
        <v>801.77</v>
      </c>
      <c r="P171" s="43" t="str">
        <f t="shared" si="17"/>
        <v>High</v>
      </c>
      <c r="Q171" s="42">
        <v>1218.92</v>
      </c>
      <c r="R171" s="42">
        <v>0.254</v>
      </c>
      <c r="S171" s="42">
        <v>16</v>
      </c>
      <c r="T171" s="42">
        <f t="shared" si="14"/>
        <v>18676.97536</v>
      </c>
      <c r="U171" s="37">
        <f t="shared" si="15"/>
        <v>12828.32</v>
      </c>
      <c r="V171" s="42">
        <f t="shared" si="18"/>
        <v>5848.6553600000007</v>
      </c>
      <c r="W171" s="44">
        <f t="shared" si="19"/>
        <v>0.31314788648947495</v>
      </c>
    </row>
    <row r="172" spans="1:23" x14ac:dyDescent="0.3">
      <c r="A172" s="45" t="s">
        <v>445</v>
      </c>
      <c r="B172" s="46">
        <v>45190</v>
      </c>
      <c r="C172" s="47">
        <v>45209</v>
      </c>
      <c r="D172" s="48">
        <f t="shared" si="20"/>
        <v>19</v>
      </c>
      <c r="E172" s="48" t="str">
        <f>TEXT(Data!B172,"MMM-YYYY")</f>
        <v>Sept-2023</v>
      </c>
      <c r="F172" s="48" t="str">
        <f t="shared" si="16"/>
        <v>Q3-2023</v>
      </c>
      <c r="G172" s="38" t="s">
        <v>45</v>
      </c>
      <c r="H172" s="38" t="s">
        <v>46</v>
      </c>
      <c r="I172" s="38" t="s">
        <v>214</v>
      </c>
      <c r="J172" s="38" t="s">
        <v>27</v>
      </c>
      <c r="K172" s="38" t="s">
        <v>28</v>
      </c>
      <c r="L172" s="38" t="s">
        <v>145</v>
      </c>
      <c r="M172" s="38" t="s">
        <v>22</v>
      </c>
      <c r="N172" s="38" t="s">
        <v>446</v>
      </c>
      <c r="O172" s="48">
        <v>845.63</v>
      </c>
      <c r="P172" s="49" t="str">
        <f t="shared" si="17"/>
        <v>High</v>
      </c>
      <c r="Q172" s="48">
        <v>2062.12</v>
      </c>
      <c r="R172" s="48">
        <v>0.13400000000000001</v>
      </c>
      <c r="S172" s="48">
        <v>5</v>
      </c>
      <c r="T172" s="48">
        <f t="shared" si="14"/>
        <v>3691.4982</v>
      </c>
      <c r="U172" s="38">
        <f t="shared" si="15"/>
        <v>4228.1499999999996</v>
      </c>
      <c r="V172" s="48">
        <f t="shared" si="18"/>
        <v>-536.65179999999964</v>
      </c>
      <c r="W172" s="50">
        <f t="shared" si="19"/>
        <v>-0.1453750674996942</v>
      </c>
    </row>
    <row r="173" spans="1:23" x14ac:dyDescent="0.3">
      <c r="A173" s="39" t="s">
        <v>447</v>
      </c>
      <c r="B173" s="40">
        <v>44981</v>
      </c>
      <c r="C173" s="41">
        <v>44994</v>
      </c>
      <c r="D173" s="42">
        <f t="shared" si="20"/>
        <v>13</v>
      </c>
      <c r="E173" s="42" t="str">
        <f>TEXT(Data!B173,"MMM-YYYY")</f>
        <v>Feb-2023</v>
      </c>
      <c r="F173" s="42" t="str">
        <f t="shared" si="16"/>
        <v>Q1-2023</v>
      </c>
      <c r="G173" s="37" t="s">
        <v>52</v>
      </c>
      <c r="H173" s="37" t="s">
        <v>122</v>
      </c>
      <c r="I173" s="37" t="s">
        <v>387</v>
      </c>
      <c r="J173" s="37" t="s">
        <v>105</v>
      </c>
      <c r="K173" s="37" t="s">
        <v>28</v>
      </c>
      <c r="L173" s="37" t="s">
        <v>110</v>
      </c>
      <c r="M173" s="37" t="s">
        <v>22</v>
      </c>
      <c r="N173" s="37" t="s">
        <v>448</v>
      </c>
      <c r="O173" s="42">
        <v>6.85</v>
      </c>
      <c r="P173" s="43" t="str">
        <f t="shared" si="17"/>
        <v>Low</v>
      </c>
      <c r="Q173" s="42">
        <v>10.18</v>
      </c>
      <c r="R173" s="42">
        <v>4.7E-2</v>
      </c>
      <c r="S173" s="42">
        <v>10</v>
      </c>
      <c r="T173" s="42">
        <f t="shared" si="14"/>
        <v>13964.213699999998</v>
      </c>
      <c r="U173" s="37">
        <f t="shared" si="15"/>
        <v>68.5</v>
      </c>
      <c r="V173" s="42">
        <f t="shared" si="18"/>
        <v>13895.713699999998</v>
      </c>
      <c r="W173" s="44">
        <f t="shared" si="19"/>
        <v>0.99509460385871928</v>
      </c>
    </row>
    <row r="174" spans="1:23" x14ac:dyDescent="0.3">
      <c r="A174" s="45" t="s">
        <v>449</v>
      </c>
      <c r="B174" s="46">
        <v>45798</v>
      </c>
      <c r="C174" s="47">
        <v>45796</v>
      </c>
      <c r="D174" s="48">
        <f>DATEDIF(C174,B174, "MD")</f>
        <v>2</v>
      </c>
      <c r="E174" s="48" t="str">
        <f>TEXT(Data!B174,"MMM-YYYY")</f>
        <v>May-2025</v>
      </c>
      <c r="F174" s="48" t="str">
        <f t="shared" si="16"/>
        <v>Q2-2025</v>
      </c>
      <c r="G174" s="38" t="s">
        <v>16</v>
      </c>
      <c r="H174" s="38" t="s">
        <v>148</v>
      </c>
      <c r="I174" s="38" t="s">
        <v>149</v>
      </c>
      <c r="J174" s="38" t="s">
        <v>39</v>
      </c>
      <c r="K174" s="38" t="s">
        <v>55</v>
      </c>
      <c r="L174" s="38" t="s">
        <v>68</v>
      </c>
      <c r="M174" s="38" t="s">
        <v>57</v>
      </c>
      <c r="N174" s="38" t="s">
        <v>450</v>
      </c>
      <c r="O174" s="48">
        <v>1263.8399999999999</v>
      </c>
      <c r="P174" s="49" t="str">
        <f t="shared" si="17"/>
        <v>High</v>
      </c>
      <c r="Q174" s="48">
        <v>2281.7199999999998</v>
      </c>
      <c r="R174" s="48">
        <v>7.8E-2</v>
      </c>
      <c r="S174" s="48">
        <v>15</v>
      </c>
      <c r="T174" s="48">
        <f t="shared" si="14"/>
        <v>36583.530899999998</v>
      </c>
      <c r="U174" s="38">
        <f t="shared" si="15"/>
        <v>18957.599999999999</v>
      </c>
      <c r="V174" s="48">
        <f t="shared" si="18"/>
        <v>17625.930899999999</v>
      </c>
      <c r="W174" s="50">
        <f t="shared" si="19"/>
        <v>0.48179960945213191</v>
      </c>
    </row>
    <row r="175" spans="1:23" x14ac:dyDescent="0.3">
      <c r="A175" s="39" t="s">
        <v>451</v>
      </c>
      <c r="B175" s="40">
        <v>45435</v>
      </c>
      <c r="C175" s="41">
        <v>45446</v>
      </c>
      <c r="D175" s="42">
        <f t="shared" si="20"/>
        <v>11</v>
      </c>
      <c r="E175" s="42" t="str">
        <f>TEXT(Data!B175,"MMM-YYYY")</f>
        <v>May-2024</v>
      </c>
      <c r="F175" s="42" t="str">
        <f t="shared" si="16"/>
        <v>Q2-2024</v>
      </c>
      <c r="G175" s="37" t="s">
        <v>16</v>
      </c>
      <c r="H175" s="37" t="s">
        <v>148</v>
      </c>
      <c r="I175" s="37" t="s">
        <v>149</v>
      </c>
      <c r="J175" s="37" t="s">
        <v>62</v>
      </c>
      <c r="K175" s="37" t="s">
        <v>55</v>
      </c>
      <c r="L175" s="37" t="s">
        <v>84</v>
      </c>
      <c r="M175" s="37" t="s">
        <v>30</v>
      </c>
      <c r="N175" s="37" t="s">
        <v>452</v>
      </c>
      <c r="O175" s="42">
        <v>180.89</v>
      </c>
      <c r="P175" s="43" t="str">
        <f t="shared" si="17"/>
        <v>High</v>
      </c>
      <c r="Q175" s="42">
        <v>249.57</v>
      </c>
      <c r="R175" s="42">
        <v>2.1999999999999999E-2</v>
      </c>
      <c r="S175" s="42">
        <v>8</v>
      </c>
      <c r="T175" s="42">
        <f t="shared" si="14"/>
        <v>6897.4036800000003</v>
      </c>
      <c r="U175" s="37">
        <f t="shared" si="15"/>
        <v>1447.12</v>
      </c>
      <c r="V175" s="42">
        <f t="shared" si="18"/>
        <v>5450.2836800000005</v>
      </c>
      <c r="W175" s="44">
        <f t="shared" si="19"/>
        <v>0.79019351815000627</v>
      </c>
    </row>
    <row r="176" spans="1:23" x14ac:dyDescent="0.3">
      <c r="A176" s="45" t="s">
        <v>453</v>
      </c>
      <c r="B176" s="46">
        <v>45761</v>
      </c>
      <c r="C176" s="47">
        <v>45781</v>
      </c>
      <c r="D176" s="48">
        <f t="shared" si="20"/>
        <v>20</v>
      </c>
      <c r="E176" s="48" t="str">
        <f>TEXT(Data!B176,"MMM-YYYY")</f>
        <v>Apr-2025</v>
      </c>
      <c r="F176" s="48" t="str">
        <f t="shared" si="16"/>
        <v>Q2-2025</v>
      </c>
      <c r="G176" s="38" t="s">
        <v>78</v>
      </c>
      <c r="H176" s="38" t="s">
        <v>108</v>
      </c>
      <c r="I176" s="38" t="s">
        <v>109</v>
      </c>
      <c r="J176" s="38" t="s">
        <v>105</v>
      </c>
      <c r="K176" s="38" t="s">
        <v>40</v>
      </c>
      <c r="L176" s="38" t="s">
        <v>95</v>
      </c>
      <c r="M176" s="38" t="s">
        <v>64</v>
      </c>
      <c r="N176" s="38" t="s">
        <v>454</v>
      </c>
      <c r="O176" s="48">
        <v>1413.87</v>
      </c>
      <c r="P176" s="49" t="str">
        <f t="shared" si="17"/>
        <v>High</v>
      </c>
      <c r="Q176" s="48">
        <v>3275</v>
      </c>
      <c r="R176" s="48">
        <v>0.255</v>
      </c>
      <c r="S176" s="48">
        <v>38</v>
      </c>
      <c r="T176" s="48">
        <f t="shared" si="14"/>
        <v>17694.882399999999</v>
      </c>
      <c r="U176" s="38">
        <f t="shared" si="15"/>
        <v>53727.06</v>
      </c>
      <c r="V176" s="48">
        <f t="shared" si="18"/>
        <v>-36032.177599999995</v>
      </c>
      <c r="W176" s="50">
        <f t="shared" si="19"/>
        <v>-2.0363050053387188</v>
      </c>
    </row>
    <row r="177" spans="1:23" x14ac:dyDescent="0.3">
      <c r="A177" s="39" t="s">
        <v>455</v>
      </c>
      <c r="B177" s="40">
        <v>45165</v>
      </c>
      <c r="C177" s="41">
        <v>45180</v>
      </c>
      <c r="D177" s="42">
        <f t="shared" si="20"/>
        <v>15</v>
      </c>
      <c r="E177" s="42" t="str">
        <f>TEXT(Data!B177,"MMM-YYYY")</f>
        <v>Aug-2023</v>
      </c>
      <c r="F177" s="42" t="str">
        <f t="shared" si="16"/>
        <v>Q3-2023</v>
      </c>
      <c r="G177" s="37" t="s">
        <v>78</v>
      </c>
      <c r="H177" s="37" t="s">
        <v>108</v>
      </c>
      <c r="I177" s="37" t="s">
        <v>152</v>
      </c>
      <c r="J177" s="37" t="s">
        <v>48</v>
      </c>
      <c r="K177" s="37" t="s">
        <v>40</v>
      </c>
      <c r="L177" s="37" t="s">
        <v>126</v>
      </c>
      <c r="M177" s="37" t="s">
        <v>30</v>
      </c>
      <c r="N177" s="37" t="s">
        <v>456</v>
      </c>
      <c r="O177" s="42">
        <v>943.79</v>
      </c>
      <c r="P177" s="43" t="str">
        <f t="shared" si="17"/>
        <v>High</v>
      </c>
      <c r="Q177" s="42">
        <v>1913.76</v>
      </c>
      <c r="R177" s="42">
        <v>9.0999999999999998E-2</v>
      </c>
      <c r="S177" s="42">
        <v>9</v>
      </c>
      <c r="T177" s="42">
        <f t="shared" si="14"/>
        <v>7960.4402400000008</v>
      </c>
      <c r="U177" s="37">
        <f t="shared" si="15"/>
        <v>8494.11</v>
      </c>
      <c r="V177" s="42">
        <f t="shared" si="18"/>
        <v>-533.66975999999977</v>
      </c>
      <c r="W177" s="44">
        <f t="shared" si="19"/>
        <v>-6.7040231935715122E-2</v>
      </c>
    </row>
    <row r="178" spans="1:23" x14ac:dyDescent="0.3">
      <c r="A178" s="45" t="s">
        <v>457</v>
      </c>
      <c r="B178" s="46">
        <v>45325</v>
      </c>
      <c r="C178" s="47">
        <v>45343</v>
      </c>
      <c r="D178" s="48">
        <f t="shared" si="20"/>
        <v>18</v>
      </c>
      <c r="E178" s="48" t="str">
        <f>TEXT(Data!B178,"MMM-YYYY")</f>
        <v>Feb-2024</v>
      </c>
      <c r="F178" s="48" t="str">
        <f t="shared" si="16"/>
        <v>Q1-2024</v>
      </c>
      <c r="G178" s="38" t="s">
        <v>78</v>
      </c>
      <c r="H178" s="38" t="s">
        <v>79</v>
      </c>
      <c r="I178" s="38" t="s">
        <v>335</v>
      </c>
      <c r="J178" s="38" t="s">
        <v>19</v>
      </c>
      <c r="K178" s="38" t="s">
        <v>20</v>
      </c>
      <c r="L178" s="38" t="s">
        <v>92</v>
      </c>
      <c r="M178" s="38" t="s">
        <v>22</v>
      </c>
      <c r="N178" s="38" t="s">
        <v>458</v>
      </c>
      <c r="O178" s="48">
        <v>39.229999999999997</v>
      </c>
      <c r="P178" s="49" t="str">
        <f t="shared" si="17"/>
        <v>Low</v>
      </c>
      <c r="Q178" s="48">
        <v>30.09</v>
      </c>
      <c r="R178" s="48">
        <v>0.17699999999999999</v>
      </c>
      <c r="S178" s="48">
        <v>13</v>
      </c>
      <c r="T178" s="48">
        <f t="shared" si="14"/>
        <v>16533.592659999998</v>
      </c>
      <c r="U178" s="38">
        <f t="shared" si="15"/>
        <v>509.98999999999995</v>
      </c>
      <c r="V178" s="48">
        <f t="shared" si="18"/>
        <v>16023.602659999999</v>
      </c>
      <c r="W178" s="50">
        <f t="shared" si="19"/>
        <v>0.96915431446222655</v>
      </c>
    </row>
    <row r="179" spans="1:23" x14ac:dyDescent="0.3">
      <c r="A179" s="39" t="s">
        <v>459</v>
      </c>
      <c r="B179" s="40">
        <v>45021</v>
      </c>
      <c r="C179" s="41">
        <v>45032</v>
      </c>
      <c r="D179" s="42">
        <f t="shared" si="20"/>
        <v>11</v>
      </c>
      <c r="E179" s="42" t="str">
        <f>TEXT(Data!B179,"MMM-YYYY")</f>
        <v>Apr-2023</v>
      </c>
      <c r="F179" s="42" t="str">
        <f t="shared" si="16"/>
        <v>Q2-2023</v>
      </c>
      <c r="G179" s="37" t="s">
        <v>52</v>
      </c>
      <c r="H179" s="37" t="s">
        <v>53</v>
      </c>
      <c r="I179" s="37" t="s">
        <v>179</v>
      </c>
      <c r="J179" s="37" t="s">
        <v>39</v>
      </c>
      <c r="K179" s="37" t="s">
        <v>28</v>
      </c>
      <c r="L179" s="37" t="s">
        <v>68</v>
      </c>
      <c r="M179" s="37" t="s">
        <v>64</v>
      </c>
      <c r="N179" s="37" t="s">
        <v>460</v>
      </c>
      <c r="O179" s="42">
        <v>213.1</v>
      </c>
      <c r="P179" s="43" t="str">
        <f t="shared" si="17"/>
        <v>High</v>
      </c>
      <c r="Q179" s="42">
        <v>501.31</v>
      </c>
      <c r="R179" s="42">
        <v>5.6000000000000001E-2</v>
      </c>
      <c r="S179" s="42">
        <v>15</v>
      </c>
      <c r="T179" s="42">
        <f t="shared" si="14"/>
        <v>31908.427200000002</v>
      </c>
      <c r="U179" s="37">
        <f t="shared" si="15"/>
        <v>3196.5</v>
      </c>
      <c r="V179" s="42">
        <f t="shared" si="18"/>
        <v>28711.927200000002</v>
      </c>
      <c r="W179" s="44">
        <f t="shared" si="19"/>
        <v>0.89982270263700115</v>
      </c>
    </row>
    <row r="180" spans="1:23" x14ac:dyDescent="0.3">
      <c r="A180" s="45" t="s">
        <v>461</v>
      </c>
      <c r="B180" s="46">
        <v>45890</v>
      </c>
      <c r="C180" s="47">
        <v>45912</v>
      </c>
      <c r="D180" s="48">
        <f t="shared" si="20"/>
        <v>22</v>
      </c>
      <c r="E180" s="48" t="str">
        <f>TEXT(Data!B180,"MMM-YYYY")</f>
        <v>Aug-2025</v>
      </c>
      <c r="F180" s="48" t="str">
        <f t="shared" si="16"/>
        <v>Q3-2025</v>
      </c>
      <c r="G180" s="38" t="s">
        <v>45</v>
      </c>
      <c r="H180" s="38" t="s">
        <v>116</v>
      </c>
      <c r="I180" s="38" t="s">
        <v>117</v>
      </c>
      <c r="J180" s="38" t="s">
        <v>27</v>
      </c>
      <c r="K180" s="38" t="s">
        <v>20</v>
      </c>
      <c r="L180" s="38" t="s">
        <v>56</v>
      </c>
      <c r="M180" s="38" t="s">
        <v>30</v>
      </c>
      <c r="N180" s="38" t="s">
        <v>462</v>
      </c>
      <c r="O180" s="48">
        <v>352.66</v>
      </c>
      <c r="P180" s="49" t="str">
        <f t="shared" si="17"/>
        <v>High</v>
      </c>
      <c r="Q180" s="48">
        <v>411.18</v>
      </c>
      <c r="R180" s="48">
        <v>0.17299999999999999</v>
      </c>
      <c r="S180" s="48">
        <v>13</v>
      </c>
      <c r="T180" s="48">
        <f t="shared" si="14"/>
        <v>26302.966559999997</v>
      </c>
      <c r="U180" s="38">
        <f t="shared" si="15"/>
        <v>4584.58</v>
      </c>
      <c r="V180" s="48">
        <f t="shared" si="18"/>
        <v>21718.386559999999</v>
      </c>
      <c r="W180" s="50">
        <f t="shared" si="19"/>
        <v>0.82570102921501043</v>
      </c>
    </row>
    <row r="181" spans="1:23" x14ac:dyDescent="0.3">
      <c r="A181" s="39" t="s">
        <v>463</v>
      </c>
      <c r="B181" s="40">
        <v>45915</v>
      </c>
      <c r="C181" s="41">
        <v>45918</v>
      </c>
      <c r="D181" s="42">
        <f t="shared" si="20"/>
        <v>3</v>
      </c>
      <c r="E181" s="42" t="str">
        <f>TEXT(Data!B181,"MMM-YYYY")</f>
        <v>Sept-2025</v>
      </c>
      <c r="F181" s="42" t="str">
        <f t="shared" si="16"/>
        <v>Q3-2025</v>
      </c>
      <c r="G181" s="37" t="s">
        <v>52</v>
      </c>
      <c r="H181" s="37" t="s">
        <v>73</v>
      </c>
      <c r="I181" s="37" t="s">
        <v>225</v>
      </c>
      <c r="J181" s="37" t="s">
        <v>39</v>
      </c>
      <c r="K181" s="37" t="s">
        <v>98</v>
      </c>
      <c r="L181" s="37" t="s">
        <v>49</v>
      </c>
      <c r="M181" s="37" t="s">
        <v>81</v>
      </c>
      <c r="N181" s="37" t="s">
        <v>464</v>
      </c>
      <c r="O181" s="42">
        <v>5.5</v>
      </c>
      <c r="P181" s="43" t="str">
        <f t="shared" si="17"/>
        <v>Low</v>
      </c>
      <c r="Q181" s="42">
        <v>5.92</v>
      </c>
      <c r="R181" s="42">
        <v>0.21199999999999999</v>
      </c>
      <c r="S181" s="42">
        <v>4</v>
      </c>
      <c r="T181" s="42">
        <f t="shared" si="14"/>
        <v>593.52160000000003</v>
      </c>
      <c r="U181" s="37">
        <f t="shared" si="15"/>
        <v>22</v>
      </c>
      <c r="V181" s="42">
        <f t="shared" si="18"/>
        <v>571.52160000000003</v>
      </c>
      <c r="W181" s="44">
        <f t="shared" si="19"/>
        <v>0.96293310976382329</v>
      </c>
    </row>
    <row r="182" spans="1:23" x14ac:dyDescent="0.3">
      <c r="A182" s="45" t="s">
        <v>465</v>
      </c>
      <c r="B182" s="46">
        <v>45568</v>
      </c>
      <c r="C182" s="47">
        <v>45576</v>
      </c>
      <c r="D182" s="48">
        <f t="shared" si="20"/>
        <v>8</v>
      </c>
      <c r="E182" s="48" t="str">
        <f>TEXT(Data!B182,"MMM-YYYY")</f>
        <v>Oct-2024</v>
      </c>
      <c r="F182" s="48" t="str">
        <f t="shared" si="16"/>
        <v>Q4-2024</v>
      </c>
      <c r="G182" s="38" t="s">
        <v>45</v>
      </c>
      <c r="H182" s="38" t="s">
        <v>116</v>
      </c>
      <c r="I182" s="38" t="s">
        <v>338</v>
      </c>
      <c r="J182" s="38" t="s">
        <v>105</v>
      </c>
      <c r="K182" s="38" t="s">
        <v>98</v>
      </c>
      <c r="L182" s="38" t="s">
        <v>56</v>
      </c>
      <c r="M182" s="38" t="s">
        <v>42</v>
      </c>
      <c r="N182" s="38" t="s">
        <v>466</v>
      </c>
      <c r="O182" s="48">
        <v>1132.6099999999999</v>
      </c>
      <c r="P182" s="49" t="str">
        <f t="shared" si="17"/>
        <v>High</v>
      </c>
      <c r="Q182" s="48">
        <v>2206.63</v>
      </c>
      <c r="R182" s="48">
        <v>6.3E-2</v>
      </c>
      <c r="S182" s="48">
        <v>20</v>
      </c>
      <c r="T182" s="48">
        <f t="shared" si="14"/>
        <v>48027.621600000006</v>
      </c>
      <c r="U182" s="38">
        <f t="shared" si="15"/>
        <v>22652.199999999997</v>
      </c>
      <c r="V182" s="48">
        <f t="shared" si="18"/>
        <v>25375.421600000009</v>
      </c>
      <c r="W182" s="50">
        <f t="shared" si="19"/>
        <v>0.52835057732694402</v>
      </c>
    </row>
    <row r="183" spans="1:23" x14ac:dyDescent="0.3">
      <c r="A183" s="39" t="s">
        <v>467</v>
      </c>
      <c r="B183" s="40">
        <v>45690</v>
      </c>
      <c r="C183" s="41">
        <v>45720</v>
      </c>
      <c r="D183" s="42">
        <f t="shared" si="20"/>
        <v>2</v>
      </c>
      <c r="E183" s="42" t="str">
        <f>TEXT(Data!B183,"MMM-YYYY")</f>
        <v>Feb-2025</v>
      </c>
      <c r="F183" s="42" t="str">
        <f t="shared" si="16"/>
        <v>Q1-2025</v>
      </c>
      <c r="G183" s="37" t="s">
        <v>45</v>
      </c>
      <c r="H183" s="37" t="s">
        <v>46</v>
      </c>
      <c r="I183" s="37" t="s">
        <v>47</v>
      </c>
      <c r="J183" s="37" t="s">
        <v>27</v>
      </c>
      <c r="K183" s="37" t="s">
        <v>55</v>
      </c>
      <c r="L183" s="37" t="s">
        <v>49</v>
      </c>
      <c r="M183" s="37" t="s">
        <v>81</v>
      </c>
      <c r="N183" s="37" t="s">
        <v>468</v>
      </c>
      <c r="O183" s="42">
        <v>766.59</v>
      </c>
      <c r="P183" s="43" t="str">
        <f t="shared" si="17"/>
        <v>High</v>
      </c>
      <c r="Q183" s="42">
        <v>1912.8</v>
      </c>
      <c r="R183" s="42">
        <v>0.19600000000000001</v>
      </c>
      <c r="S183" s="42">
        <v>5</v>
      </c>
      <c r="T183" s="42">
        <f t="shared" si="14"/>
        <v>7256.5421999999999</v>
      </c>
      <c r="U183" s="37">
        <f t="shared" si="15"/>
        <v>3832.9500000000003</v>
      </c>
      <c r="V183" s="42">
        <f t="shared" si="18"/>
        <v>3423.5921999999996</v>
      </c>
      <c r="W183" s="44">
        <f t="shared" si="19"/>
        <v>0.47179388001078526</v>
      </c>
    </row>
    <row r="184" spans="1:23" x14ac:dyDescent="0.3">
      <c r="A184" s="45" t="s">
        <v>469</v>
      </c>
      <c r="B184" s="46">
        <v>45157</v>
      </c>
      <c r="C184" s="47">
        <v>45161</v>
      </c>
      <c r="D184" s="48">
        <f t="shared" si="20"/>
        <v>4</v>
      </c>
      <c r="E184" s="48" t="str">
        <f>TEXT(Data!B184,"MMM-YYYY")</f>
        <v>Aug-2023</v>
      </c>
      <c r="F184" s="48" t="str">
        <f t="shared" si="16"/>
        <v>Q3-2023</v>
      </c>
      <c r="G184" s="38" t="s">
        <v>16</v>
      </c>
      <c r="H184" s="38" t="s">
        <v>25</v>
      </c>
      <c r="I184" s="38" t="s">
        <v>67</v>
      </c>
      <c r="J184" s="38" t="s">
        <v>62</v>
      </c>
      <c r="K184" s="38" t="s">
        <v>28</v>
      </c>
      <c r="L184" s="38" t="s">
        <v>29</v>
      </c>
      <c r="M184" s="38" t="s">
        <v>64</v>
      </c>
      <c r="N184" s="38" t="s">
        <v>470</v>
      </c>
      <c r="O184" s="48">
        <v>790.63</v>
      </c>
      <c r="P184" s="49" t="str">
        <f t="shared" si="17"/>
        <v>High</v>
      </c>
      <c r="Q184" s="48">
        <v>1382.31</v>
      </c>
      <c r="R184" s="48">
        <v>0.10100000000000001</v>
      </c>
      <c r="S184" s="48">
        <v>7</v>
      </c>
      <c r="T184" s="48">
        <f t="shared" si="14"/>
        <v>12999.63889</v>
      </c>
      <c r="U184" s="38">
        <f t="shared" si="15"/>
        <v>5534.41</v>
      </c>
      <c r="V184" s="48">
        <f t="shared" si="18"/>
        <v>7465.2288900000003</v>
      </c>
      <c r="W184" s="50">
        <f t="shared" si="19"/>
        <v>0.57426432789164961</v>
      </c>
    </row>
    <row r="185" spans="1:23" x14ac:dyDescent="0.3">
      <c r="A185" s="39" t="s">
        <v>471</v>
      </c>
      <c r="B185" s="40">
        <v>45587</v>
      </c>
      <c r="C185" s="41">
        <v>45594</v>
      </c>
      <c r="D185" s="42">
        <f t="shared" si="20"/>
        <v>7</v>
      </c>
      <c r="E185" s="42" t="str">
        <f>TEXT(Data!B185,"MMM-YYYY")</f>
        <v>Oct-2024</v>
      </c>
      <c r="F185" s="42" t="str">
        <f t="shared" si="16"/>
        <v>Q4-2024</v>
      </c>
      <c r="G185" s="37" t="s">
        <v>16</v>
      </c>
      <c r="H185" s="37" t="s">
        <v>25</v>
      </c>
      <c r="I185" s="37" t="s">
        <v>26</v>
      </c>
      <c r="J185" s="37" t="s">
        <v>105</v>
      </c>
      <c r="K185" s="37" t="s">
        <v>55</v>
      </c>
      <c r="L185" s="37" t="s">
        <v>110</v>
      </c>
      <c r="M185" s="37" t="s">
        <v>64</v>
      </c>
      <c r="N185" s="37" t="s">
        <v>472</v>
      </c>
      <c r="O185" s="42">
        <v>1023.06</v>
      </c>
      <c r="P185" s="43" t="str">
        <f t="shared" si="17"/>
        <v>High</v>
      </c>
      <c r="Q185" s="42">
        <v>1355.61</v>
      </c>
      <c r="R185" s="42">
        <v>0.153</v>
      </c>
      <c r="S185" s="42">
        <v>23</v>
      </c>
      <c r="T185" s="42">
        <f t="shared" si="14"/>
        <v>46101.981310000003</v>
      </c>
      <c r="U185" s="37">
        <f t="shared" si="15"/>
        <v>23530.379999999997</v>
      </c>
      <c r="V185" s="42">
        <f t="shared" si="18"/>
        <v>22571.601310000005</v>
      </c>
      <c r="W185" s="44">
        <f t="shared" si="19"/>
        <v>0.4896015457171683</v>
      </c>
    </row>
    <row r="186" spans="1:23" x14ac:dyDescent="0.3">
      <c r="A186" s="45" t="s">
        <v>473</v>
      </c>
      <c r="B186" s="46">
        <v>45099</v>
      </c>
      <c r="C186" s="47">
        <v>45128</v>
      </c>
      <c r="D186" s="48">
        <f t="shared" si="20"/>
        <v>29</v>
      </c>
      <c r="E186" s="48" t="str">
        <f>TEXT(Data!B186,"MMM-YYYY")</f>
        <v>Jun-2023</v>
      </c>
      <c r="F186" s="48" t="str">
        <f t="shared" si="16"/>
        <v>Q2-2023</v>
      </c>
      <c r="G186" s="38" t="s">
        <v>78</v>
      </c>
      <c r="H186" s="38" t="s">
        <v>90</v>
      </c>
      <c r="I186" s="38" t="s">
        <v>138</v>
      </c>
      <c r="J186" s="38" t="s">
        <v>19</v>
      </c>
      <c r="K186" s="38" t="s">
        <v>20</v>
      </c>
      <c r="L186" s="38" t="s">
        <v>29</v>
      </c>
      <c r="M186" s="38" t="s">
        <v>81</v>
      </c>
      <c r="N186" s="38" t="s">
        <v>474</v>
      </c>
      <c r="O186" s="48">
        <v>734.34</v>
      </c>
      <c r="P186" s="49" t="str">
        <f t="shared" si="17"/>
        <v>High</v>
      </c>
      <c r="Q186" s="48">
        <v>887.9</v>
      </c>
      <c r="R186" s="48">
        <v>2.5000000000000001E-2</v>
      </c>
      <c r="S186" s="48">
        <v>12</v>
      </c>
      <c r="T186" s="48">
        <f t="shared" si="14"/>
        <v>1541.5919999999999</v>
      </c>
      <c r="U186" s="38">
        <f t="shared" si="15"/>
        <v>8812.08</v>
      </c>
      <c r="V186" s="48">
        <f t="shared" si="18"/>
        <v>-7270.4880000000003</v>
      </c>
      <c r="W186" s="50">
        <f t="shared" si="19"/>
        <v>-4.7162206342534221</v>
      </c>
    </row>
    <row r="187" spans="1:23" x14ac:dyDescent="0.3">
      <c r="A187" s="39" t="s">
        <v>475</v>
      </c>
      <c r="B187" s="40">
        <v>45670</v>
      </c>
      <c r="C187" s="41">
        <v>45696</v>
      </c>
      <c r="D187" s="42">
        <f t="shared" si="20"/>
        <v>26</v>
      </c>
      <c r="E187" s="42" t="str">
        <f>TEXT(Data!B187,"MMM-YYYY")</f>
        <v>Jan-2025</v>
      </c>
      <c r="F187" s="42" t="str">
        <f t="shared" si="16"/>
        <v>Q1-2025</v>
      </c>
      <c r="G187" s="37" t="s">
        <v>78</v>
      </c>
      <c r="H187" s="37" t="s">
        <v>90</v>
      </c>
      <c r="I187" s="37" t="s">
        <v>217</v>
      </c>
      <c r="J187" s="37" t="s">
        <v>39</v>
      </c>
      <c r="K187" s="37" t="s">
        <v>1364</v>
      </c>
      <c r="L187" s="37" t="s">
        <v>63</v>
      </c>
      <c r="M187" s="37" t="s">
        <v>64</v>
      </c>
      <c r="N187" s="37" t="s">
        <v>476</v>
      </c>
      <c r="O187" s="42">
        <v>594.74</v>
      </c>
      <c r="P187" s="43" t="str">
        <f t="shared" si="17"/>
        <v>High</v>
      </c>
      <c r="Q187" s="42">
        <v>1020.69</v>
      </c>
      <c r="R187" s="42">
        <v>0.21099999999999999</v>
      </c>
      <c r="S187" s="42">
        <v>6</v>
      </c>
      <c r="T187" s="42">
        <f t="shared" si="14"/>
        <v>6319.9846800000005</v>
      </c>
      <c r="U187" s="37">
        <f t="shared" si="15"/>
        <v>3568.44</v>
      </c>
      <c r="V187" s="42">
        <f t="shared" si="18"/>
        <v>2751.5446800000004</v>
      </c>
      <c r="W187" s="44">
        <f t="shared" si="19"/>
        <v>0.43537204903477711</v>
      </c>
    </row>
    <row r="188" spans="1:23" x14ac:dyDescent="0.3">
      <c r="A188" s="45" t="s">
        <v>360</v>
      </c>
      <c r="B188" s="46">
        <v>44955</v>
      </c>
      <c r="C188" s="47">
        <v>44985</v>
      </c>
      <c r="D188" s="48">
        <f t="shared" si="20"/>
        <v>30</v>
      </c>
      <c r="E188" s="48" t="str">
        <f>TEXT(Data!B188,"MMM-YYYY")</f>
        <v>Jan-2023</v>
      </c>
      <c r="F188" s="48" t="str">
        <f t="shared" si="16"/>
        <v>Q1-2023</v>
      </c>
      <c r="G188" s="38" t="s">
        <v>45</v>
      </c>
      <c r="H188" s="38" t="s">
        <v>60</v>
      </c>
      <c r="I188" s="38" t="s">
        <v>61</v>
      </c>
      <c r="J188" s="38" t="s">
        <v>39</v>
      </c>
      <c r="K188" s="38" t="s">
        <v>20</v>
      </c>
      <c r="L188" s="38" t="s">
        <v>56</v>
      </c>
      <c r="M188" s="38" t="s">
        <v>81</v>
      </c>
      <c r="N188" s="38" t="s">
        <v>477</v>
      </c>
      <c r="O188" s="48">
        <v>1262.0999999999999</v>
      </c>
      <c r="P188" s="49" t="str">
        <f t="shared" si="17"/>
        <v>High</v>
      </c>
      <c r="Q188" s="48">
        <v>1395.53</v>
      </c>
      <c r="R188" s="48">
        <v>0.23300000000000001</v>
      </c>
      <c r="S188" s="48">
        <v>25</v>
      </c>
      <c r="T188" s="48">
        <f t="shared" si="14"/>
        <v>51608.553749999999</v>
      </c>
      <c r="U188" s="38">
        <f t="shared" si="15"/>
        <v>31552.499999999996</v>
      </c>
      <c r="V188" s="48">
        <f t="shared" si="18"/>
        <v>20056.053750000003</v>
      </c>
      <c r="W188" s="50">
        <f t="shared" si="19"/>
        <v>0.38861879073679723</v>
      </c>
    </row>
    <row r="189" spans="1:23" x14ac:dyDescent="0.3">
      <c r="A189" s="39" t="s">
        <v>478</v>
      </c>
      <c r="B189" s="40">
        <v>45126</v>
      </c>
      <c r="C189" s="41">
        <v>45138</v>
      </c>
      <c r="D189" s="42">
        <f t="shared" si="20"/>
        <v>12</v>
      </c>
      <c r="E189" s="42" t="str">
        <f>TEXT(Data!B189,"MMM-YYYY")</f>
        <v>Jul-2023</v>
      </c>
      <c r="F189" s="42" t="str">
        <f t="shared" si="16"/>
        <v>Q3-2023</v>
      </c>
      <c r="G189" s="37" t="s">
        <v>52</v>
      </c>
      <c r="H189" s="37" t="s">
        <v>73</v>
      </c>
      <c r="I189" s="37" t="s">
        <v>225</v>
      </c>
      <c r="J189" s="37" t="s">
        <v>19</v>
      </c>
      <c r="K189" s="37" t="s">
        <v>20</v>
      </c>
      <c r="L189" s="37" t="s">
        <v>21</v>
      </c>
      <c r="M189" s="37" t="s">
        <v>64</v>
      </c>
      <c r="N189" s="37" t="s">
        <v>479</v>
      </c>
      <c r="O189" s="42">
        <v>1334.64</v>
      </c>
      <c r="P189" s="43" t="str">
        <f t="shared" si="17"/>
        <v>High</v>
      </c>
      <c r="Q189" s="42">
        <v>2273.42</v>
      </c>
      <c r="R189" s="42">
        <v>0.11799999999999999</v>
      </c>
      <c r="S189" s="42">
        <v>14</v>
      </c>
      <c r="T189" s="42">
        <f t="shared" si="14"/>
        <v>9587.7280800000008</v>
      </c>
      <c r="U189" s="37">
        <f t="shared" si="15"/>
        <v>18684.960000000003</v>
      </c>
      <c r="V189" s="42">
        <f t="shared" si="18"/>
        <v>-9097.231920000002</v>
      </c>
      <c r="W189" s="44">
        <f t="shared" si="19"/>
        <v>-0.94884125249409468</v>
      </c>
    </row>
    <row r="190" spans="1:23" x14ac:dyDescent="0.3">
      <c r="A190" s="45" t="s">
        <v>480</v>
      </c>
      <c r="B190" s="46">
        <v>45431</v>
      </c>
      <c r="C190" s="47">
        <v>45451</v>
      </c>
      <c r="D190" s="48">
        <f t="shared" si="20"/>
        <v>20</v>
      </c>
      <c r="E190" s="48" t="str">
        <f>TEXT(Data!B190,"MMM-YYYY")</f>
        <v>May-2024</v>
      </c>
      <c r="F190" s="48" t="str">
        <f t="shared" si="16"/>
        <v>Q2-2024</v>
      </c>
      <c r="G190" s="38" t="s">
        <v>52</v>
      </c>
      <c r="H190" s="38" t="s">
        <v>73</v>
      </c>
      <c r="I190" s="38" t="s">
        <v>87</v>
      </c>
      <c r="J190" s="38" t="s">
        <v>62</v>
      </c>
      <c r="K190" s="38" t="s">
        <v>20</v>
      </c>
      <c r="L190" s="38" t="s">
        <v>63</v>
      </c>
      <c r="M190" s="38" t="s">
        <v>64</v>
      </c>
      <c r="N190" s="38" t="s">
        <v>481</v>
      </c>
      <c r="O190" s="48">
        <v>1075.9000000000001</v>
      </c>
      <c r="P190" s="49" t="str">
        <f t="shared" si="17"/>
        <v>High</v>
      </c>
      <c r="Q190" s="48">
        <v>1242.1500000000001</v>
      </c>
      <c r="R190" s="48">
        <v>1.2E-2</v>
      </c>
      <c r="S190" s="48">
        <v>7</v>
      </c>
      <c r="T190" s="48">
        <f t="shared" si="14"/>
        <v>2200.4637200000002</v>
      </c>
      <c r="U190" s="38">
        <f t="shared" si="15"/>
        <v>7531.3000000000011</v>
      </c>
      <c r="V190" s="48">
        <f t="shared" si="18"/>
        <v>-5330.8362800000014</v>
      </c>
      <c r="W190" s="50">
        <f t="shared" si="19"/>
        <v>-2.4225967606500691</v>
      </c>
    </row>
    <row r="191" spans="1:23" x14ac:dyDescent="0.3">
      <c r="A191" s="39" t="s">
        <v>482</v>
      </c>
      <c r="B191" s="40">
        <v>45325</v>
      </c>
      <c r="C191" s="41">
        <v>45341</v>
      </c>
      <c r="D191" s="42">
        <f t="shared" si="20"/>
        <v>16</v>
      </c>
      <c r="E191" s="42" t="str">
        <f>TEXT(Data!B191,"MMM-YYYY")</f>
        <v>Feb-2024</v>
      </c>
      <c r="F191" s="42" t="str">
        <f t="shared" si="16"/>
        <v>Q1-2024</v>
      </c>
      <c r="G191" s="37" t="s">
        <v>45</v>
      </c>
      <c r="H191" s="37" t="s">
        <v>116</v>
      </c>
      <c r="I191" s="37" t="s">
        <v>117</v>
      </c>
      <c r="J191" s="37" t="s">
        <v>62</v>
      </c>
      <c r="K191" s="37" t="s">
        <v>28</v>
      </c>
      <c r="L191" s="37" t="s">
        <v>92</v>
      </c>
      <c r="M191" s="37" t="s">
        <v>57</v>
      </c>
      <c r="N191" s="37" t="s">
        <v>483</v>
      </c>
      <c r="O191" s="42">
        <v>993.75</v>
      </c>
      <c r="P191" s="43" t="str">
        <f t="shared" si="17"/>
        <v>High</v>
      </c>
      <c r="Q191" s="42">
        <v>1310.29</v>
      </c>
      <c r="R191" s="42">
        <v>0.215</v>
      </c>
      <c r="S191" s="42">
        <v>19</v>
      </c>
      <c r="T191" s="42">
        <f t="shared" si="14"/>
        <v>18590.205150000002</v>
      </c>
      <c r="U191" s="37">
        <f t="shared" si="15"/>
        <v>18881.25</v>
      </c>
      <c r="V191" s="42">
        <f t="shared" si="18"/>
        <v>-291.04484999999841</v>
      </c>
      <c r="W191" s="44">
        <f t="shared" si="19"/>
        <v>-1.5655817009636301E-2</v>
      </c>
    </row>
    <row r="192" spans="1:23" x14ac:dyDescent="0.3">
      <c r="A192" s="45" t="s">
        <v>484</v>
      </c>
      <c r="B192" s="46">
        <v>45146</v>
      </c>
      <c r="C192" s="47">
        <v>45160</v>
      </c>
      <c r="D192" s="48">
        <f t="shared" si="20"/>
        <v>14</v>
      </c>
      <c r="E192" s="48" t="str">
        <f>TEXT(Data!B192,"MMM-YYYY")</f>
        <v>Aug-2023</v>
      </c>
      <c r="F192" s="48" t="str">
        <f t="shared" si="16"/>
        <v>Q3-2023</v>
      </c>
      <c r="G192" s="38" t="s">
        <v>78</v>
      </c>
      <c r="H192" s="38" t="s">
        <v>108</v>
      </c>
      <c r="I192" s="38" t="s">
        <v>109</v>
      </c>
      <c r="J192" s="38" t="s">
        <v>39</v>
      </c>
      <c r="K192" s="38" t="s">
        <v>98</v>
      </c>
      <c r="L192" s="38" t="s">
        <v>126</v>
      </c>
      <c r="M192" s="38" t="s">
        <v>64</v>
      </c>
      <c r="N192" s="38" t="s">
        <v>485</v>
      </c>
      <c r="O192" s="48">
        <v>446.69</v>
      </c>
      <c r="P192" s="49" t="str">
        <f t="shared" si="17"/>
        <v>High</v>
      </c>
      <c r="Q192" s="48">
        <v>967.25</v>
      </c>
      <c r="R192" s="48">
        <v>9.4E-2</v>
      </c>
      <c r="S192" s="48">
        <v>10</v>
      </c>
      <c r="T192" s="48">
        <f t="shared" si="14"/>
        <v>3143.4576000000002</v>
      </c>
      <c r="U192" s="38">
        <f t="shared" si="15"/>
        <v>4466.8999999999996</v>
      </c>
      <c r="V192" s="48">
        <f t="shared" si="18"/>
        <v>-1323.4423999999995</v>
      </c>
      <c r="W192" s="50">
        <f t="shared" si="19"/>
        <v>-0.42101487228585471</v>
      </c>
    </row>
    <row r="193" spans="1:23" x14ac:dyDescent="0.3">
      <c r="A193" s="39" t="s">
        <v>486</v>
      </c>
      <c r="B193" s="40">
        <v>45516</v>
      </c>
      <c r="C193" s="41">
        <v>45538</v>
      </c>
      <c r="D193" s="42">
        <f t="shared" si="20"/>
        <v>22</v>
      </c>
      <c r="E193" s="42" t="str">
        <f>TEXT(Data!B193,"MMM-YYYY")</f>
        <v>Aug-2024</v>
      </c>
      <c r="F193" s="42" t="str">
        <f t="shared" si="16"/>
        <v>Q3-2024</v>
      </c>
      <c r="G193" s="37" t="s">
        <v>52</v>
      </c>
      <c r="H193" s="37" t="s">
        <v>122</v>
      </c>
      <c r="I193" s="37" t="s">
        <v>326</v>
      </c>
      <c r="J193" s="37" t="s">
        <v>48</v>
      </c>
      <c r="K193" s="37" t="s">
        <v>55</v>
      </c>
      <c r="L193" s="37" t="s">
        <v>34</v>
      </c>
      <c r="M193" s="37" t="s">
        <v>57</v>
      </c>
      <c r="N193" s="37" t="s">
        <v>487</v>
      </c>
      <c r="O193" s="42">
        <v>797.8</v>
      </c>
      <c r="P193" s="43" t="str">
        <f t="shared" si="17"/>
        <v>High</v>
      </c>
      <c r="Q193" s="42">
        <v>886.22</v>
      </c>
      <c r="R193" s="42">
        <v>0.23599999999999999</v>
      </c>
      <c r="S193" s="42">
        <v>36</v>
      </c>
      <c r="T193" s="42">
        <f t="shared" ref="T193:T256" si="21">(Q219*S193)*(1-R193)</f>
        <v>13882.919040000001</v>
      </c>
      <c r="U193" s="37">
        <f t="shared" ref="U193:U256" si="22">(O193*S193)</f>
        <v>28720.799999999999</v>
      </c>
      <c r="V193" s="42">
        <f t="shared" si="18"/>
        <v>-14837.880959999999</v>
      </c>
      <c r="W193" s="44">
        <f t="shared" si="19"/>
        <v>-1.06878682482038</v>
      </c>
    </row>
    <row r="194" spans="1:23" x14ac:dyDescent="0.3">
      <c r="A194" s="45" t="s">
        <v>488</v>
      </c>
      <c r="B194" s="46">
        <v>45214</v>
      </c>
      <c r="C194" s="47">
        <v>45243</v>
      </c>
      <c r="D194" s="48">
        <f t="shared" si="20"/>
        <v>29</v>
      </c>
      <c r="E194" s="48" t="str">
        <f>TEXT(Data!B194,"MMM-YYYY")</f>
        <v>Oct-2023</v>
      </c>
      <c r="F194" s="48" t="str">
        <f t="shared" ref="F194:F257" si="23">"Q"&amp;ROUNDUP(MONTH(B194)/3,0)&amp;"-"&amp;YEAR(B194)</f>
        <v>Q4-2023</v>
      </c>
      <c r="G194" s="38" t="s">
        <v>45</v>
      </c>
      <c r="H194" s="38" t="s">
        <v>116</v>
      </c>
      <c r="I194" s="38" t="s">
        <v>117</v>
      </c>
      <c r="J194" s="38" t="s">
        <v>39</v>
      </c>
      <c r="K194" s="38" t="s">
        <v>55</v>
      </c>
      <c r="L194" s="38" t="s">
        <v>29</v>
      </c>
      <c r="M194" s="38" t="s">
        <v>30</v>
      </c>
      <c r="N194" s="38" t="s">
        <v>489</v>
      </c>
      <c r="O194" s="48">
        <v>986.44</v>
      </c>
      <c r="P194" s="49" t="str">
        <f t="shared" ref="P194:P257" si="24">IF(Q194&lt;50, "Low", IF(Q194&lt;200, "Medium", "High"))</f>
        <v>High</v>
      </c>
      <c r="Q194" s="48">
        <v>790.61</v>
      </c>
      <c r="R194" s="48">
        <v>7.1999999999999995E-2</v>
      </c>
      <c r="S194" s="48">
        <v>6</v>
      </c>
      <c r="T194" s="48">
        <f t="shared" si="21"/>
        <v>5219.7772800000002</v>
      </c>
      <c r="U194" s="38">
        <f t="shared" si="22"/>
        <v>5918.64</v>
      </c>
      <c r="V194" s="48">
        <f t="shared" ref="V194:V257" si="25">(T194-U194)</f>
        <v>-698.86272000000008</v>
      </c>
      <c r="W194" s="50">
        <f t="shared" ref="W194:W257" si="26">IF(T194=0, 0, V194/T194)</f>
        <v>-0.13388745965804888</v>
      </c>
    </row>
    <row r="195" spans="1:23" x14ac:dyDescent="0.3">
      <c r="A195" s="39" t="s">
        <v>490</v>
      </c>
      <c r="B195" s="40">
        <v>45050</v>
      </c>
      <c r="C195" s="41">
        <v>45072</v>
      </c>
      <c r="D195" s="42">
        <f t="shared" ref="D195:D258" si="27">DATEDIF(B195,C195, "MD")</f>
        <v>22</v>
      </c>
      <c r="E195" s="42" t="str">
        <f>TEXT(Data!B195,"MMM-YYYY")</f>
        <v>May-2023</v>
      </c>
      <c r="F195" s="42" t="str">
        <f t="shared" si="23"/>
        <v>Q2-2023</v>
      </c>
      <c r="G195" s="37" t="s">
        <v>52</v>
      </c>
      <c r="H195" s="37" t="s">
        <v>122</v>
      </c>
      <c r="I195" s="37" t="s">
        <v>167</v>
      </c>
      <c r="J195" s="37" t="s">
        <v>105</v>
      </c>
      <c r="K195" s="37" t="s">
        <v>28</v>
      </c>
      <c r="L195" s="37" t="s">
        <v>29</v>
      </c>
      <c r="M195" s="37" t="s">
        <v>35</v>
      </c>
      <c r="N195" s="37" t="s">
        <v>491</v>
      </c>
      <c r="O195" s="42">
        <v>249.71</v>
      </c>
      <c r="P195" s="43" t="str">
        <f t="shared" si="24"/>
        <v>High</v>
      </c>
      <c r="Q195" s="42">
        <v>361.33</v>
      </c>
      <c r="R195" s="42">
        <v>9.4E-2</v>
      </c>
      <c r="S195" s="42">
        <v>12</v>
      </c>
      <c r="T195" s="42">
        <f t="shared" si="21"/>
        <v>14139.90576</v>
      </c>
      <c r="U195" s="37">
        <f t="shared" si="22"/>
        <v>2996.52</v>
      </c>
      <c r="V195" s="42">
        <f t="shared" si="25"/>
        <v>11143.385759999999</v>
      </c>
      <c r="W195" s="44">
        <f t="shared" si="26"/>
        <v>0.7880806243789279</v>
      </c>
    </row>
    <row r="196" spans="1:23" x14ac:dyDescent="0.3">
      <c r="A196" s="45" t="s">
        <v>492</v>
      </c>
      <c r="B196" s="46">
        <v>45557</v>
      </c>
      <c r="C196" s="47">
        <v>45566</v>
      </c>
      <c r="D196" s="48">
        <f t="shared" si="27"/>
        <v>9</v>
      </c>
      <c r="E196" s="48" t="str">
        <f>TEXT(Data!B196,"MMM-YYYY")</f>
        <v>Sept-2024</v>
      </c>
      <c r="F196" s="48" t="str">
        <f t="shared" si="23"/>
        <v>Q3-2024</v>
      </c>
      <c r="G196" s="38" t="s">
        <v>52</v>
      </c>
      <c r="H196" s="38" t="s">
        <v>73</v>
      </c>
      <c r="I196" s="38" t="s">
        <v>74</v>
      </c>
      <c r="J196" s="38" t="s">
        <v>39</v>
      </c>
      <c r="K196" s="38" t="s">
        <v>28</v>
      </c>
      <c r="L196" s="38" t="s">
        <v>95</v>
      </c>
      <c r="M196" s="38" t="s">
        <v>64</v>
      </c>
      <c r="N196" s="38" t="s">
        <v>493</v>
      </c>
      <c r="O196" s="48">
        <v>1378.8</v>
      </c>
      <c r="P196" s="49" t="str">
        <f t="shared" si="24"/>
        <v>High</v>
      </c>
      <c r="Q196" s="48">
        <v>1952.04</v>
      </c>
      <c r="R196" s="48">
        <v>0.159</v>
      </c>
      <c r="S196" s="48">
        <v>19</v>
      </c>
      <c r="T196" s="48">
        <f t="shared" si="21"/>
        <v>3645.6088500000001</v>
      </c>
      <c r="U196" s="38">
        <f t="shared" si="22"/>
        <v>26197.200000000001</v>
      </c>
      <c r="V196" s="48">
        <f t="shared" si="25"/>
        <v>-22551.59115</v>
      </c>
      <c r="W196" s="50">
        <f t="shared" si="26"/>
        <v>-6.1859601723317077</v>
      </c>
    </row>
    <row r="197" spans="1:23" x14ac:dyDescent="0.3">
      <c r="A197" s="39" t="s">
        <v>494</v>
      </c>
      <c r="B197" s="40">
        <v>45588</v>
      </c>
      <c r="C197" s="41">
        <v>45610</v>
      </c>
      <c r="D197" s="42">
        <f t="shared" si="27"/>
        <v>22</v>
      </c>
      <c r="E197" s="42" t="str">
        <f>TEXT(Data!B197,"MMM-YYYY")</f>
        <v>Oct-2024</v>
      </c>
      <c r="F197" s="42" t="str">
        <f t="shared" si="23"/>
        <v>Q4-2024</v>
      </c>
      <c r="G197" s="37" t="s">
        <v>45</v>
      </c>
      <c r="H197" s="37" t="s">
        <v>46</v>
      </c>
      <c r="I197" s="37" t="s">
        <v>47</v>
      </c>
      <c r="J197" s="37" t="s">
        <v>39</v>
      </c>
      <c r="K197" s="37" t="s">
        <v>98</v>
      </c>
      <c r="L197" s="37" t="s">
        <v>56</v>
      </c>
      <c r="M197" s="37" t="s">
        <v>42</v>
      </c>
      <c r="N197" s="37" t="s">
        <v>495</v>
      </c>
      <c r="O197" s="42">
        <v>1406.4</v>
      </c>
      <c r="P197" s="43" t="str">
        <f t="shared" si="24"/>
        <v>High</v>
      </c>
      <c r="Q197" s="42">
        <v>1564.76</v>
      </c>
      <c r="R197" s="42">
        <v>0.185</v>
      </c>
      <c r="S197" s="42">
        <v>17</v>
      </c>
      <c r="T197" s="42">
        <f t="shared" si="21"/>
        <v>6879.2846</v>
      </c>
      <c r="U197" s="37">
        <f t="shared" si="22"/>
        <v>23908.800000000003</v>
      </c>
      <c r="V197" s="42">
        <f t="shared" si="25"/>
        <v>-17029.515400000004</v>
      </c>
      <c r="W197" s="44">
        <f t="shared" si="26"/>
        <v>-2.4754776681284567</v>
      </c>
    </row>
    <row r="198" spans="1:23" x14ac:dyDescent="0.3">
      <c r="A198" s="45" t="s">
        <v>496</v>
      </c>
      <c r="B198" s="46">
        <v>45333</v>
      </c>
      <c r="C198" s="47">
        <v>45354</v>
      </c>
      <c r="D198" s="48">
        <f t="shared" si="27"/>
        <v>21</v>
      </c>
      <c r="E198" s="48" t="str">
        <f>TEXT(Data!B198,"MMM-YYYY")</f>
        <v>Feb-2024</v>
      </c>
      <c r="F198" s="48" t="str">
        <f t="shared" si="23"/>
        <v>Q1-2024</v>
      </c>
      <c r="G198" s="38" t="s">
        <v>16</v>
      </c>
      <c r="H198" s="38" t="s">
        <v>17</v>
      </c>
      <c r="I198" s="38" t="s">
        <v>18</v>
      </c>
      <c r="J198" s="38" t="s">
        <v>105</v>
      </c>
      <c r="K198" s="38" t="s">
        <v>28</v>
      </c>
      <c r="L198" s="38" t="s">
        <v>56</v>
      </c>
      <c r="M198" s="38" t="s">
        <v>42</v>
      </c>
      <c r="N198" s="38" t="s">
        <v>497</v>
      </c>
      <c r="O198" s="48">
        <v>516.86</v>
      </c>
      <c r="P198" s="49" t="str">
        <f t="shared" si="24"/>
        <v>High</v>
      </c>
      <c r="Q198" s="48">
        <v>852.54</v>
      </c>
      <c r="R198" s="48">
        <v>5.0999999999999997E-2</v>
      </c>
      <c r="S198" s="48">
        <v>14</v>
      </c>
      <c r="T198" s="48">
        <f t="shared" si="21"/>
        <v>39076.783199999991</v>
      </c>
      <c r="U198" s="38">
        <f t="shared" si="22"/>
        <v>7236.04</v>
      </c>
      <c r="V198" s="48">
        <f t="shared" si="25"/>
        <v>31840.74319999999</v>
      </c>
      <c r="W198" s="50">
        <f t="shared" si="26"/>
        <v>0.81482508519278518</v>
      </c>
    </row>
    <row r="199" spans="1:23" x14ac:dyDescent="0.3">
      <c r="A199" s="39" t="s">
        <v>498</v>
      </c>
      <c r="B199" s="40">
        <v>44956</v>
      </c>
      <c r="C199" s="41">
        <v>44978</v>
      </c>
      <c r="D199" s="42">
        <f t="shared" si="27"/>
        <v>22</v>
      </c>
      <c r="E199" s="42" t="str">
        <f>TEXT(Data!B199,"MMM-YYYY")</f>
        <v>Jan-2023</v>
      </c>
      <c r="F199" s="42" t="str">
        <f t="shared" si="23"/>
        <v>Q1-2023</v>
      </c>
      <c r="G199" s="37" t="s">
        <v>78</v>
      </c>
      <c r="H199" s="37" t="s">
        <v>79</v>
      </c>
      <c r="I199" s="37" t="s">
        <v>159</v>
      </c>
      <c r="J199" s="37" t="s">
        <v>62</v>
      </c>
      <c r="K199" s="37" t="s">
        <v>40</v>
      </c>
      <c r="L199" s="37" t="s">
        <v>41</v>
      </c>
      <c r="M199" s="37" t="s">
        <v>35</v>
      </c>
      <c r="N199" s="37" t="s">
        <v>499</v>
      </c>
      <c r="O199" s="42">
        <v>1142.8800000000001</v>
      </c>
      <c r="P199" s="43" t="str">
        <f t="shared" si="24"/>
        <v>High</v>
      </c>
      <c r="Q199" s="42">
        <v>1465.29</v>
      </c>
      <c r="R199" s="42">
        <v>0.186</v>
      </c>
      <c r="S199" s="42">
        <v>7</v>
      </c>
      <c r="T199" s="42">
        <f t="shared" si="21"/>
        <v>6200.5636000000013</v>
      </c>
      <c r="U199" s="37">
        <f t="shared" si="22"/>
        <v>8000.1600000000008</v>
      </c>
      <c r="V199" s="42">
        <f t="shared" si="25"/>
        <v>-1799.5963999999994</v>
      </c>
      <c r="W199" s="44">
        <f t="shared" si="26"/>
        <v>-0.29023110092766391</v>
      </c>
    </row>
    <row r="200" spans="1:23" x14ac:dyDescent="0.3">
      <c r="A200" s="45" t="s">
        <v>500</v>
      </c>
      <c r="B200" s="46">
        <v>45030</v>
      </c>
      <c r="C200" s="47">
        <v>45059</v>
      </c>
      <c r="D200" s="48">
        <f t="shared" si="27"/>
        <v>29</v>
      </c>
      <c r="E200" s="48" t="str">
        <f>TEXT(Data!B200,"MMM-YYYY")</f>
        <v>Apr-2023</v>
      </c>
      <c r="F200" s="48" t="str">
        <f t="shared" si="23"/>
        <v>Q2-2023</v>
      </c>
      <c r="G200" s="38" t="s">
        <v>78</v>
      </c>
      <c r="H200" s="38" t="s">
        <v>79</v>
      </c>
      <c r="I200" s="38" t="s">
        <v>335</v>
      </c>
      <c r="J200" s="38" t="s">
        <v>48</v>
      </c>
      <c r="K200" s="38" t="s">
        <v>98</v>
      </c>
      <c r="L200" s="38" t="s">
        <v>29</v>
      </c>
      <c r="M200" s="38" t="s">
        <v>30</v>
      </c>
      <c r="N200" s="38" t="s">
        <v>501</v>
      </c>
      <c r="O200" s="48">
        <v>1320.33</v>
      </c>
      <c r="P200" s="49" t="str">
        <f t="shared" si="24"/>
        <v>High</v>
      </c>
      <c r="Q200" s="48">
        <v>2645.23</v>
      </c>
      <c r="R200" s="48">
        <v>0.155</v>
      </c>
      <c r="S200" s="48">
        <v>25</v>
      </c>
      <c r="T200" s="48">
        <f t="shared" si="21"/>
        <v>53428.293749999997</v>
      </c>
      <c r="U200" s="38">
        <f t="shared" si="22"/>
        <v>33008.25</v>
      </c>
      <c r="V200" s="48">
        <f t="shared" si="25"/>
        <v>20420.043749999997</v>
      </c>
      <c r="W200" s="50">
        <f t="shared" si="26"/>
        <v>0.38219531856189959</v>
      </c>
    </row>
    <row r="201" spans="1:23" x14ac:dyDescent="0.3">
      <c r="A201" s="39" t="s">
        <v>502</v>
      </c>
      <c r="B201" s="40">
        <v>44939</v>
      </c>
      <c r="C201" s="41">
        <v>44945</v>
      </c>
      <c r="D201" s="42">
        <f t="shared" si="27"/>
        <v>6</v>
      </c>
      <c r="E201" s="42" t="str">
        <f>TEXT(Data!B201,"MMM-YYYY")</f>
        <v>Jan-2023</v>
      </c>
      <c r="F201" s="42" t="str">
        <f t="shared" si="23"/>
        <v>Q1-2023</v>
      </c>
      <c r="G201" s="37" t="s">
        <v>52</v>
      </c>
      <c r="H201" s="37" t="s">
        <v>122</v>
      </c>
      <c r="I201" s="37" t="s">
        <v>123</v>
      </c>
      <c r="J201" s="37" t="s">
        <v>19</v>
      </c>
      <c r="K201" s="37" t="s">
        <v>98</v>
      </c>
      <c r="L201" s="37" t="s">
        <v>92</v>
      </c>
      <c r="M201" s="37" t="s">
        <v>42</v>
      </c>
      <c r="N201" s="37" t="s">
        <v>503</v>
      </c>
      <c r="O201" s="42">
        <v>833.57</v>
      </c>
      <c r="P201" s="43" t="str">
        <f t="shared" si="24"/>
        <v>High</v>
      </c>
      <c r="Q201" s="42">
        <v>881.57</v>
      </c>
      <c r="R201" s="42">
        <v>5.7000000000000002E-2</v>
      </c>
      <c r="S201" s="42">
        <v>18</v>
      </c>
      <c r="T201" s="42">
        <f t="shared" si="21"/>
        <v>45796.021740000004</v>
      </c>
      <c r="U201" s="37">
        <f t="shared" si="22"/>
        <v>15004.26</v>
      </c>
      <c r="V201" s="42">
        <f t="shared" si="25"/>
        <v>30791.761740000002</v>
      </c>
      <c r="W201" s="44">
        <f t="shared" si="26"/>
        <v>0.67236761120464961</v>
      </c>
    </row>
    <row r="202" spans="1:23" x14ac:dyDescent="0.3">
      <c r="A202" s="45" t="s">
        <v>504</v>
      </c>
      <c r="B202" s="46">
        <v>45303</v>
      </c>
      <c r="C202" s="47">
        <v>45320</v>
      </c>
      <c r="D202" s="48">
        <f t="shared" si="27"/>
        <v>17</v>
      </c>
      <c r="E202" s="48" t="str">
        <f>TEXT(Data!B202,"MMM-YYYY")</f>
        <v>Jan-2024</v>
      </c>
      <c r="F202" s="48" t="str">
        <f t="shared" si="23"/>
        <v>Q1-2024</v>
      </c>
      <c r="G202" s="38" t="s">
        <v>52</v>
      </c>
      <c r="H202" s="38" t="s">
        <v>122</v>
      </c>
      <c r="I202" s="38" t="s">
        <v>123</v>
      </c>
      <c r="J202" s="38" t="s">
        <v>27</v>
      </c>
      <c r="K202" s="38" t="s">
        <v>55</v>
      </c>
      <c r="L202" s="38" t="s">
        <v>75</v>
      </c>
      <c r="M202" s="38" t="s">
        <v>30</v>
      </c>
      <c r="N202" s="38" t="s">
        <v>505</v>
      </c>
      <c r="O202" s="48">
        <v>493.76</v>
      </c>
      <c r="P202" s="49" t="str">
        <f t="shared" si="24"/>
        <v>High</v>
      </c>
      <c r="Q202" s="48">
        <v>625.04</v>
      </c>
      <c r="R202" s="48">
        <v>0.25800000000000001</v>
      </c>
      <c r="S202" s="48">
        <v>10</v>
      </c>
      <c r="T202" s="48">
        <f t="shared" si="21"/>
        <v>11002.004999999999</v>
      </c>
      <c r="U202" s="38">
        <f t="shared" si="22"/>
        <v>4937.6000000000004</v>
      </c>
      <c r="V202" s="48">
        <f t="shared" si="25"/>
        <v>6064.4049999999988</v>
      </c>
      <c r="W202" s="50">
        <f t="shared" si="26"/>
        <v>0.55120907507313432</v>
      </c>
    </row>
    <row r="203" spans="1:23" x14ac:dyDescent="0.3">
      <c r="A203" s="39" t="s">
        <v>506</v>
      </c>
      <c r="B203" s="40">
        <v>45153</v>
      </c>
      <c r="C203" s="41">
        <v>45176</v>
      </c>
      <c r="D203" s="42">
        <f t="shared" si="27"/>
        <v>23</v>
      </c>
      <c r="E203" s="42" t="str">
        <f>TEXT(Data!B203,"MMM-YYYY")</f>
        <v>Aug-2023</v>
      </c>
      <c r="F203" s="42" t="str">
        <f t="shared" si="23"/>
        <v>Q3-2023</v>
      </c>
      <c r="G203" s="37" t="s">
        <v>52</v>
      </c>
      <c r="H203" s="37" t="s">
        <v>122</v>
      </c>
      <c r="I203" s="37" t="s">
        <v>387</v>
      </c>
      <c r="J203" s="37" t="s">
        <v>105</v>
      </c>
      <c r="K203" s="37" t="s">
        <v>28</v>
      </c>
      <c r="L203" s="37" t="s">
        <v>95</v>
      </c>
      <c r="M203" s="37" t="s">
        <v>42</v>
      </c>
      <c r="N203" s="37" t="s">
        <v>507</v>
      </c>
      <c r="O203" s="42">
        <v>590.33000000000004</v>
      </c>
      <c r="P203" s="43" t="str">
        <f t="shared" si="24"/>
        <v>High</v>
      </c>
      <c r="Q203" s="42">
        <v>973.04</v>
      </c>
      <c r="R203" s="42">
        <v>0</v>
      </c>
      <c r="S203" s="42">
        <v>26</v>
      </c>
      <c r="T203" s="42">
        <f t="shared" si="21"/>
        <v>37877.06</v>
      </c>
      <c r="U203" s="37">
        <f t="shared" si="22"/>
        <v>15348.580000000002</v>
      </c>
      <c r="V203" s="42">
        <f t="shared" si="25"/>
        <v>22528.479999999996</v>
      </c>
      <c r="W203" s="44">
        <f t="shared" si="26"/>
        <v>0.59477900343902079</v>
      </c>
    </row>
    <row r="204" spans="1:23" x14ac:dyDescent="0.3">
      <c r="A204" s="45" t="s">
        <v>508</v>
      </c>
      <c r="B204" s="46">
        <v>44946</v>
      </c>
      <c r="C204" s="47">
        <v>44960</v>
      </c>
      <c r="D204" s="48">
        <f t="shared" si="27"/>
        <v>14</v>
      </c>
      <c r="E204" s="48" t="str">
        <f>TEXT(Data!B204,"MMM-YYYY")</f>
        <v>Jan-2023</v>
      </c>
      <c r="F204" s="48" t="str">
        <f t="shared" si="23"/>
        <v>Q1-2023</v>
      </c>
      <c r="G204" s="38" t="s">
        <v>16</v>
      </c>
      <c r="H204" s="38" t="s">
        <v>17</v>
      </c>
      <c r="I204" s="38" t="s">
        <v>18</v>
      </c>
      <c r="J204" s="38" t="s">
        <v>19</v>
      </c>
      <c r="K204" s="38" t="s">
        <v>20</v>
      </c>
      <c r="L204" s="38" t="s">
        <v>110</v>
      </c>
      <c r="M204" s="38" t="s">
        <v>35</v>
      </c>
      <c r="N204" s="38" t="s">
        <v>509</v>
      </c>
      <c r="O204" s="48">
        <v>884.36</v>
      </c>
      <c r="P204" s="49" t="str">
        <f t="shared" si="24"/>
        <v>High</v>
      </c>
      <c r="Q204" s="48">
        <v>1545.34</v>
      </c>
      <c r="R204" s="48">
        <v>0.24299999999999999</v>
      </c>
      <c r="S204" s="48">
        <v>41</v>
      </c>
      <c r="T204" s="48">
        <f t="shared" si="21"/>
        <v>28497.86303</v>
      </c>
      <c r="U204" s="38">
        <f t="shared" si="22"/>
        <v>36258.76</v>
      </c>
      <c r="V204" s="48">
        <f t="shared" si="25"/>
        <v>-7760.8969700000016</v>
      </c>
      <c r="W204" s="50">
        <f t="shared" si="26"/>
        <v>-0.27233259426610423</v>
      </c>
    </row>
    <row r="205" spans="1:23" x14ac:dyDescent="0.3">
      <c r="A205" s="39" t="s">
        <v>510</v>
      </c>
      <c r="B205" s="40">
        <v>45692</v>
      </c>
      <c r="C205" s="41">
        <v>45713</v>
      </c>
      <c r="D205" s="42">
        <f t="shared" si="27"/>
        <v>21</v>
      </c>
      <c r="E205" s="42" t="str">
        <f>TEXT(Data!B205,"MMM-YYYY")</f>
        <v>Feb-2025</v>
      </c>
      <c r="F205" s="42" t="str">
        <f t="shared" si="23"/>
        <v>Q1-2025</v>
      </c>
      <c r="G205" s="37" t="s">
        <v>78</v>
      </c>
      <c r="H205" s="37" t="s">
        <v>108</v>
      </c>
      <c r="I205" s="37" t="s">
        <v>109</v>
      </c>
      <c r="J205" s="37" t="s">
        <v>19</v>
      </c>
      <c r="K205" s="37" t="s">
        <v>40</v>
      </c>
      <c r="L205" s="37" t="s">
        <v>145</v>
      </c>
      <c r="M205" s="37" t="s">
        <v>64</v>
      </c>
      <c r="N205" s="37" t="s">
        <v>511</v>
      </c>
      <c r="O205" s="42">
        <v>1016.32</v>
      </c>
      <c r="P205" s="43" t="str">
        <f t="shared" si="24"/>
        <v>High</v>
      </c>
      <c r="Q205" s="42">
        <v>2253.42</v>
      </c>
      <c r="R205" s="42">
        <v>5.5E-2</v>
      </c>
      <c r="S205" s="42">
        <v>12</v>
      </c>
      <c r="T205" s="42">
        <f t="shared" si="21"/>
        <v>554.97959999999989</v>
      </c>
      <c r="U205" s="37">
        <f t="shared" si="22"/>
        <v>12195.84</v>
      </c>
      <c r="V205" s="42">
        <f t="shared" si="25"/>
        <v>-11640.8604</v>
      </c>
      <c r="W205" s="44">
        <f t="shared" si="26"/>
        <v>-20.97529422703105</v>
      </c>
    </row>
    <row r="206" spans="1:23" x14ac:dyDescent="0.3">
      <c r="A206" s="45" t="s">
        <v>512</v>
      </c>
      <c r="B206" s="46">
        <v>45035</v>
      </c>
      <c r="C206" s="47">
        <v>45044</v>
      </c>
      <c r="D206" s="48">
        <f t="shared" si="27"/>
        <v>9</v>
      </c>
      <c r="E206" s="48" t="str">
        <f>TEXT(Data!B206,"MMM-YYYY")</f>
        <v>Apr-2023</v>
      </c>
      <c r="F206" s="48" t="str">
        <f t="shared" si="23"/>
        <v>Q2-2023</v>
      </c>
      <c r="G206" s="38" t="s">
        <v>78</v>
      </c>
      <c r="H206" s="38" t="s">
        <v>79</v>
      </c>
      <c r="I206" s="38" t="s">
        <v>80</v>
      </c>
      <c r="J206" s="38" t="s">
        <v>27</v>
      </c>
      <c r="K206" s="38" t="s">
        <v>28</v>
      </c>
      <c r="L206" s="38" t="s">
        <v>63</v>
      </c>
      <c r="M206" s="38" t="s">
        <v>64</v>
      </c>
      <c r="N206" s="38" t="s">
        <v>513</v>
      </c>
      <c r="O206" s="48">
        <v>1178.42</v>
      </c>
      <c r="P206" s="49" t="str">
        <f t="shared" si="24"/>
        <v>High</v>
      </c>
      <c r="Q206" s="48">
        <v>2446.56</v>
      </c>
      <c r="R206" s="48">
        <v>2.9000000000000001E-2</v>
      </c>
      <c r="S206" s="48">
        <v>11</v>
      </c>
      <c r="T206" s="48">
        <f t="shared" si="21"/>
        <v>9957.7894899999992</v>
      </c>
      <c r="U206" s="38">
        <f t="shared" si="22"/>
        <v>12962.62</v>
      </c>
      <c r="V206" s="48">
        <f t="shared" si="25"/>
        <v>-3004.8305100000016</v>
      </c>
      <c r="W206" s="50">
        <f t="shared" si="26"/>
        <v>-0.30175678176542792</v>
      </c>
    </row>
    <row r="207" spans="1:23" x14ac:dyDescent="0.3">
      <c r="A207" s="39" t="s">
        <v>514</v>
      </c>
      <c r="B207" s="40">
        <v>45109</v>
      </c>
      <c r="C207" s="41">
        <v>45139</v>
      </c>
      <c r="D207" s="42">
        <f t="shared" si="27"/>
        <v>30</v>
      </c>
      <c r="E207" s="42" t="str">
        <f>TEXT(Data!B207,"MMM-YYYY")</f>
        <v>Jul-2023</v>
      </c>
      <c r="F207" s="42" t="str">
        <f t="shared" si="23"/>
        <v>Q3-2023</v>
      </c>
      <c r="G207" s="37" t="s">
        <v>78</v>
      </c>
      <c r="H207" s="37" t="s">
        <v>108</v>
      </c>
      <c r="I207" s="37" t="s">
        <v>109</v>
      </c>
      <c r="J207" s="37" t="s">
        <v>62</v>
      </c>
      <c r="K207" s="37" t="s">
        <v>20</v>
      </c>
      <c r="L207" s="37" t="s">
        <v>56</v>
      </c>
      <c r="M207" s="37" t="s">
        <v>22</v>
      </c>
      <c r="N207" s="37" t="s">
        <v>515</v>
      </c>
      <c r="O207" s="42">
        <v>137.46</v>
      </c>
      <c r="P207" s="43" t="str">
        <f t="shared" si="24"/>
        <v>Medium</v>
      </c>
      <c r="Q207" s="42">
        <v>188.3</v>
      </c>
      <c r="R207" s="42">
        <v>3.7999999999999999E-2</v>
      </c>
      <c r="S207" s="42">
        <v>37</v>
      </c>
      <c r="T207" s="42">
        <f t="shared" si="21"/>
        <v>11596.169260000001</v>
      </c>
      <c r="U207" s="37">
        <f t="shared" si="22"/>
        <v>5086.0200000000004</v>
      </c>
      <c r="V207" s="42">
        <f t="shared" si="25"/>
        <v>6510.1492600000001</v>
      </c>
      <c r="W207" s="44">
        <f t="shared" si="26"/>
        <v>0.56140516010370822</v>
      </c>
    </row>
    <row r="208" spans="1:23" x14ac:dyDescent="0.3">
      <c r="A208" s="45" t="s">
        <v>516</v>
      </c>
      <c r="B208" s="46">
        <v>45678</v>
      </c>
      <c r="C208" s="47">
        <v>45702</v>
      </c>
      <c r="D208" s="48">
        <f t="shared" si="27"/>
        <v>24</v>
      </c>
      <c r="E208" s="48" t="str">
        <f>TEXT(Data!B208,"MMM-YYYY")</f>
        <v>Jan-2025</v>
      </c>
      <c r="F208" s="48" t="str">
        <f t="shared" si="23"/>
        <v>Q1-2025</v>
      </c>
      <c r="G208" s="38" t="s">
        <v>16</v>
      </c>
      <c r="H208" s="38" t="s">
        <v>17</v>
      </c>
      <c r="I208" s="38" t="s">
        <v>33</v>
      </c>
      <c r="J208" s="38" t="s">
        <v>62</v>
      </c>
      <c r="K208" s="38" t="s">
        <v>20</v>
      </c>
      <c r="L208" s="38" t="s">
        <v>29</v>
      </c>
      <c r="M208" s="38" t="s">
        <v>81</v>
      </c>
      <c r="N208" s="38" t="s">
        <v>517</v>
      </c>
      <c r="O208" s="48">
        <v>1030.44</v>
      </c>
      <c r="P208" s="49" t="str">
        <f t="shared" si="24"/>
        <v>High</v>
      </c>
      <c r="Q208" s="48">
        <v>2562.84</v>
      </c>
      <c r="R208" s="48">
        <v>0.14799999999999999</v>
      </c>
      <c r="S208" s="48">
        <v>13</v>
      </c>
      <c r="T208" s="48">
        <f t="shared" si="21"/>
        <v>4496.5237200000001</v>
      </c>
      <c r="U208" s="38">
        <f t="shared" si="22"/>
        <v>13395.720000000001</v>
      </c>
      <c r="V208" s="48">
        <f t="shared" si="25"/>
        <v>-8899.1962800000001</v>
      </c>
      <c r="W208" s="50">
        <f t="shared" si="26"/>
        <v>-1.9791280629561541</v>
      </c>
    </row>
    <row r="209" spans="1:23" x14ac:dyDescent="0.3">
      <c r="A209" s="39" t="s">
        <v>518</v>
      </c>
      <c r="B209" s="40">
        <v>45545</v>
      </c>
      <c r="C209" s="41">
        <v>45572</v>
      </c>
      <c r="D209" s="42">
        <f t="shared" si="27"/>
        <v>27</v>
      </c>
      <c r="E209" s="42" t="str">
        <f>TEXT(Data!B209,"MMM-YYYY")</f>
        <v>Sept-2024</v>
      </c>
      <c r="F209" s="42" t="str">
        <f t="shared" si="23"/>
        <v>Q3-2024</v>
      </c>
      <c r="G209" s="37" t="s">
        <v>16</v>
      </c>
      <c r="H209" s="37" t="s">
        <v>17</v>
      </c>
      <c r="I209" s="37" t="s">
        <v>18</v>
      </c>
      <c r="J209" s="37" t="s">
        <v>48</v>
      </c>
      <c r="K209" s="37" t="s">
        <v>20</v>
      </c>
      <c r="L209" s="37" t="s">
        <v>49</v>
      </c>
      <c r="M209" s="37" t="s">
        <v>30</v>
      </c>
      <c r="N209" s="37" t="s">
        <v>519</v>
      </c>
      <c r="O209" s="42">
        <v>1248.3900000000001</v>
      </c>
      <c r="P209" s="43" t="str">
        <f t="shared" si="24"/>
        <v>High</v>
      </c>
      <c r="Q209" s="42">
        <v>1805.11</v>
      </c>
      <c r="R209" s="42">
        <v>0.20300000000000001</v>
      </c>
      <c r="S209" s="42">
        <v>11</v>
      </c>
      <c r="T209" s="42">
        <f t="shared" si="21"/>
        <v>13931.376689999999</v>
      </c>
      <c r="U209" s="37">
        <f t="shared" si="22"/>
        <v>13732.29</v>
      </c>
      <c r="V209" s="42">
        <f t="shared" si="25"/>
        <v>199.08668999999827</v>
      </c>
      <c r="W209" s="44">
        <f t="shared" si="26"/>
        <v>1.4290525224467122E-2</v>
      </c>
    </row>
    <row r="210" spans="1:23" x14ac:dyDescent="0.3">
      <c r="A210" s="45" t="s">
        <v>520</v>
      </c>
      <c r="B210" s="46">
        <v>45859</v>
      </c>
      <c r="C210" s="47">
        <v>45876</v>
      </c>
      <c r="D210" s="48">
        <f t="shared" si="27"/>
        <v>17</v>
      </c>
      <c r="E210" s="48" t="str">
        <f>TEXT(Data!B210,"MMM-YYYY")</f>
        <v>Jul-2025</v>
      </c>
      <c r="F210" s="48" t="str">
        <f t="shared" si="23"/>
        <v>Q3-2025</v>
      </c>
      <c r="G210" s="38" t="s">
        <v>16</v>
      </c>
      <c r="H210" s="38" t="s">
        <v>25</v>
      </c>
      <c r="I210" s="38" t="s">
        <v>38</v>
      </c>
      <c r="J210" s="38" t="s">
        <v>105</v>
      </c>
      <c r="K210" s="38" t="s">
        <v>98</v>
      </c>
      <c r="L210" s="38" t="s">
        <v>110</v>
      </c>
      <c r="M210" s="38" t="s">
        <v>81</v>
      </c>
      <c r="N210" s="38" t="s">
        <v>521</v>
      </c>
      <c r="O210" s="48">
        <v>1204.95</v>
      </c>
      <c r="P210" s="49" t="str">
        <f t="shared" si="24"/>
        <v>High</v>
      </c>
      <c r="Q210" s="48">
        <v>2065.73</v>
      </c>
      <c r="R210" s="48">
        <v>0.13600000000000001</v>
      </c>
      <c r="S210" s="48">
        <v>10</v>
      </c>
      <c r="T210" s="48">
        <f t="shared" si="21"/>
        <v>12379.392</v>
      </c>
      <c r="U210" s="38">
        <f t="shared" si="22"/>
        <v>12049.5</v>
      </c>
      <c r="V210" s="48">
        <f t="shared" si="25"/>
        <v>329.89199999999983</v>
      </c>
      <c r="W210" s="50">
        <f t="shared" si="26"/>
        <v>2.6648481605558643E-2</v>
      </c>
    </row>
    <row r="211" spans="1:23" x14ac:dyDescent="0.3">
      <c r="A211" s="39" t="s">
        <v>522</v>
      </c>
      <c r="B211" s="40">
        <v>45567</v>
      </c>
      <c r="C211" s="41">
        <v>45588</v>
      </c>
      <c r="D211" s="42">
        <f t="shared" si="27"/>
        <v>21</v>
      </c>
      <c r="E211" s="42" t="str">
        <f>TEXT(Data!B211,"MMM-YYYY")</f>
        <v>Oct-2024</v>
      </c>
      <c r="F211" s="42" t="str">
        <f t="shared" si="23"/>
        <v>Q4-2024</v>
      </c>
      <c r="G211" s="37" t="s">
        <v>16</v>
      </c>
      <c r="H211" s="37" t="s">
        <v>148</v>
      </c>
      <c r="I211" s="37" t="s">
        <v>172</v>
      </c>
      <c r="J211" s="37" t="s">
        <v>19</v>
      </c>
      <c r="K211" s="37" t="s">
        <v>40</v>
      </c>
      <c r="L211" s="37" t="s">
        <v>75</v>
      </c>
      <c r="M211" s="37" t="s">
        <v>22</v>
      </c>
      <c r="N211" s="37" t="s">
        <v>523</v>
      </c>
      <c r="O211" s="42">
        <v>1095.6099999999999</v>
      </c>
      <c r="P211" s="43" t="str">
        <f t="shared" si="24"/>
        <v>High</v>
      </c>
      <c r="Q211" s="42">
        <v>2366.5100000000002</v>
      </c>
      <c r="R211" s="42">
        <v>0.152</v>
      </c>
      <c r="S211" s="42">
        <v>9</v>
      </c>
      <c r="T211" s="42">
        <f t="shared" si="21"/>
        <v>13476.28032</v>
      </c>
      <c r="U211" s="37">
        <f t="shared" si="22"/>
        <v>9860.49</v>
      </c>
      <c r="V211" s="42">
        <f t="shared" si="25"/>
        <v>3615.7903200000001</v>
      </c>
      <c r="W211" s="44">
        <f t="shared" si="26"/>
        <v>0.26830774027710341</v>
      </c>
    </row>
    <row r="212" spans="1:23" x14ac:dyDescent="0.3">
      <c r="A212" s="45" t="s">
        <v>524</v>
      </c>
      <c r="B212" s="46">
        <v>45852</v>
      </c>
      <c r="C212" s="47">
        <v>45873</v>
      </c>
      <c r="D212" s="48">
        <f t="shared" si="27"/>
        <v>21</v>
      </c>
      <c r="E212" s="48" t="str">
        <f>TEXT(Data!B212,"MMM-YYYY")</f>
        <v>Jul-2025</v>
      </c>
      <c r="F212" s="48" t="str">
        <f t="shared" si="23"/>
        <v>Q3-2025</v>
      </c>
      <c r="G212" s="38" t="s">
        <v>52</v>
      </c>
      <c r="H212" s="38" t="s">
        <v>53</v>
      </c>
      <c r="I212" s="38" t="s">
        <v>144</v>
      </c>
      <c r="J212" s="38" t="s">
        <v>48</v>
      </c>
      <c r="K212" s="38" t="s">
        <v>28</v>
      </c>
      <c r="L212" s="38" t="s">
        <v>92</v>
      </c>
      <c r="M212" s="38" t="s">
        <v>64</v>
      </c>
      <c r="N212" s="38" t="s">
        <v>525</v>
      </c>
      <c r="O212" s="48">
        <v>90.3</v>
      </c>
      <c r="P212" s="49" t="str">
        <f t="shared" si="24"/>
        <v>Medium</v>
      </c>
      <c r="Q212" s="48">
        <v>131.76</v>
      </c>
      <c r="R212" s="48">
        <v>0.10199999999999999</v>
      </c>
      <c r="S212" s="48">
        <v>15</v>
      </c>
      <c r="T212" s="48">
        <f t="shared" si="21"/>
        <v>37144.063799999996</v>
      </c>
      <c r="U212" s="38">
        <f t="shared" si="22"/>
        <v>1354.5</v>
      </c>
      <c r="V212" s="48">
        <f t="shared" si="25"/>
        <v>35789.563799999996</v>
      </c>
      <c r="W212" s="50">
        <f t="shared" si="26"/>
        <v>0.96353387697982573</v>
      </c>
    </row>
    <row r="213" spans="1:23" x14ac:dyDescent="0.3">
      <c r="A213" s="39" t="s">
        <v>526</v>
      </c>
      <c r="B213" s="40">
        <v>45544</v>
      </c>
      <c r="C213" s="41">
        <v>45566</v>
      </c>
      <c r="D213" s="42">
        <f t="shared" si="27"/>
        <v>22</v>
      </c>
      <c r="E213" s="42" t="str">
        <f>TEXT(Data!B213,"MMM-YYYY")</f>
        <v>Sept-2024</v>
      </c>
      <c r="F213" s="42" t="str">
        <f t="shared" si="23"/>
        <v>Q3-2024</v>
      </c>
      <c r="G213" s="37" t="s">
        <v>45</v>
      </c>
      <c r="H213" s="37" t="s">
        <v>116</v>
      </c>
      <c r="I213" s="37" t="s">
        <v>117</v>
      </c>
      <c r="J213" s="37" t="s">
        <v>48</v>
      </c>
      <c r="K213" s="37" t="s">
        <v>98</v>
      </c>
      <c r="L213" s="37" t="s">
        <v>49</v>
      </c>
      <c r="M213" s="37" t="s">
        <v>30</v>
      </c>
      <c r="N213" s="37" t="s">
        <v>527</v>
      </c>
      <c r="O213" s="42">
        <v>1166.18</v>
      </c>
      <c r="P213" s="43" t="str">
        <f t="shared" si="24"/>
        <v>High</v>
      </c>
      <c r="Q213" s="42">
        <v>1335.02</v>
      </c>
      <c r="R213" s="42">
        <v>0.128</v>
      </c>
      <c r="S213" s="42">
        <v>6</v>
      </c>
      <c r="T213" s="42">
        <f t="shared" si="21"/>
        <v>4571.46</v>
      </c>
      <c r="U213" s="37">
        <f t="shared" si="22"/>
        <v>6997.08</v>
      </c>
      <c r="V213" s="42">
        <f t="shared" si="25"/>
        <v>-2425.62</v>
      </c>
      <c r="W213" s="44">
        <f t="shared" si="26"/>
        <v>-0.53060072712000106</v>
      </c>
    </row>
    <row r="214" spans="1:23" x14ac:dyDescent="0.3">
      <c r="A214" s="45" t="s">
        <v>528</v>
      </c>
      <c r="B214" s="46">
        <v>45686</v>
      </c>
      <c r="C214" s="47">
        <v>45694</v>
      </c>
      <c r="D214" s="48">
        <f t="shared" si="27"/>
        <v>8</v>
      </c>
      <c r="E214" s="48" t="str">
        <f>TEXT(Data!B214,"MMM-YYYY")</f>
        <v>Jan-2025</v>
      </c>
      <c r="F214" s="48" t="str">
        <f t="shared" si="23"/>
        <v>Q1-2025</v>
      </c>
      <c r="G214" s="38" t="s">
        <v>16</v>
      </c>
      <c r="H214" s="38" t="s">
        <v>17</v>
      </c>
      <c r="I214" s="38" t="s">
        <v>18</v>
      </c>
      <c r="J214" s="38" t="s">
        <v>27</v>
      </c>
      <c r="K214" s="38" t="s">
        <v>20</v>
      </c>
      <c r="L214" s="38" t="s">
        <v>56</v>
      </c>
      <c r="M214" s="38" t="s">
        <v>42</v>
      </c>
      <c r="N214" s="38" t="s">
        <v>529</v>
      </c>
      <c r="O214" s="48">
        <v>1445.27</v>
      </c>
      <c r="P214" s="49" t="str">
        <f t="shared" si="24"/>
        <v>High</v>
      </c>
      <c r="Q214" s="48">
        <v>2691.45</v>
      </c>
      <c r="R214" s="48">
        <v>0</v>
      </c>
      <c r="S214" s="48">
        <v>9</v>
      </c>
      <c r="T214" s="48">
        <f t="shared" si="21"/>
        <v>2326.6799999999998</v>
      </c>
      <c r="U214" s="38">
        <f t="shared" si="22"/>
        <v>13007.43</v>
      </c>
      <c r="V214" s="48">
        <f t="shared" si="25"/>
        <v>-10680.75</v>
      </c>
      <c r="W214" s="50">
        <f t="shared" si="26"/>
        <v>-4.5905539223270928</v>
      </c>
    </row>
    <row r="215" spans="1:23" x14ac:dyDescent="0.3">
      <c r="A215" s="39" t="s">
        <v>530</v>
      </c>
      <c r="B215" s="40">
        <v>45240</v>
      </c>
      <c r="C215" s="41">
        <v>45258</v>
      </c>
      <c r="D215" s="42">
        <f t="shared" si="27"/>
        <v>18</v>
      </c>
      <c r="E215" s="42" t="str">
        <f>TEXT(Data!B215,"MMM-YYYY")</f>
        <v>Nov-2023</v>
      </c>
      <c r="F215" s="42" t="str">
        <f t="shared" si="23"/>
        <v>Q4-2023</v>
      </c>
      <c r="G215" s="37" t="s">
        <v>52</v>
      </c>
      <c r="H215" s="37" t="s">
        <v>73</v>
      </c>
      <c r="I215" s="37" t="s">
        <v>87</v>
      </c>
      <c r="J215" s="37" t="s">
        <v>27</v>
      </c>
      <c r="K215" s="37" t="s">
        <v>40</v>
      </c>
      <c r="L215" s="37" t="s">
        <v>49</v>
      </c>
      <c r="M215" s="37" t="s">
        <v>81</v>
      </c>
      <c r="N215" s="37" t="s">
        <v>531</v>
      </c>
      <c r="O215" s="42">
        <v>388.51</v>
      </c>
      <c r="P215" s="43" t="str">
        <f t="shared" si="24"/>
        <v>High</v>
      </c>
      <c r="Q215" s="42">
        <v>776.46</v>
      </c>
      <c r="R215" s="42">
        <v>0.157</v>
      </c>
      <c r="S215" s="42">
        <v>12</v>
      </c>
      <c r="T215" s="42">
        <f t="shared" si="21"/>
        <v>6137.98416</v>
      </c>
      <c r="U215" s="37">
        <f t="shared" si="22"/>
        <v>4662.12</v>
      </c>
      <c r="V215" s="42">
        <f t="shared" si="25"/>
        <v>1475.8641600000001</v>
      </c>
      <c r="W215" s="44">
        <f t="shared" si="26"/>
        <v>0.24044769773403912</v>
      </c>
    </row>
    <row r="216" spans="1:23" x14ac:dyDescent="0.3">
      <c r="A216" s="45" t="s">
        <v>532</v>
      </c>
      <c r="B216" s="46">
        <v>45351</v>
      </c>
      <c r="C216" s="47">
        <v>45381</v>
      </c>
      <c r="D216" s="48">
        <f t="shared" si="27"/>
        <v>1</v>
      </c>
      <c r="E216" s="48" t="str">
        <f>TEXT(Data!B216,"MMM-YYYY")</f>
        <v>Feb-2024</v>
      </c>
      <c r="F216" s="48" t="str">
        <f t="shared" si="23"/>
        <v>Q1-2024</v>
      </c>
      <c r="G216" s="38" t="s">
        <v>45</v>
      </c>
      <c r="H216" s="38" t="s">
        <v>46</v>
      </c>
      <c r="I216" s="38" t="s">
        <v>231</v>
      </c>
      <c r="J216" s="38" t="s">
        <v>62</v>
      </c>
      <c r="K216" s="38" t="s">
        <v>98</v>
      </c>
      <c r="L216" s="38" t="s">
        <v>34</v>
      </c>
      <c r="M216" s="38" t="s">
        <v>35</v>
      </c>
      <c r="N216" s="38" t="s">
        <v>533</v>
      </c>
      <c r="O216" s="48">
        <v>231.11</v>
      </c>
      <c r="P216" s="49" t="str">
        <f t="shared" si="24"/>
        <v>High</v>
      </c>
      <c r="Q216" s="48">
        <v>318.17</v>
      </c>
      <c r="R216" s="48">
        <v>0.20100000000000001</v>
      </c>
      <c r="S216" s="48">
        <v>60</v>
      </c>
      <c r="T216" s="48">
        <f t="shared" si="21"/>
        <v>64128.8586</v>
      </c>
      <c r="U216" s="38">
        <f t="shared" si="22"/>
        <v>13866.6</v>
      </c>
      <c r="V216" s="48">
        <f t="shared" si="25"/>
        <v>50262.258600000001</v>
      </c>
      <c r="W216" s="50">
        <f t="shared" si="26"/>
        <v>0.7837697363913475</v>
      </c>
    </row>
    <row r="217" spans="1:23" x14ac:dyDescent="0.3">
      <c r="A217" s="39" t="s">
        <v>534</v>
      </c>
      <c r="B217" s="40">
        <v>45280</v>
      </c>
      <c r="C217" s="41">
        <v>45305</v>
      </c>
      <c r="D217" s="42">
        <f t="shared" si="27"/>
        <v>25</v>
      </c>
      <c r="E217" s="42" t="str">
        <f>TEXT(Data!B217,"MMM-YYYY")</f>
        <v>Dec-2023</v>
      </c>
      <c r="F217" s="42" t="str">
        <f t="shared" si="23"/>
        <v>Q4-2023</v>
      </c>
      <c r="G217" s="37" t="s">
        <v>45</v>
      </c>
      <c r="H217" s="37" t="s">
        <v>60</v>
      </c>
      <c r="I217" s="37" t="s">
        <v>220</v>
      </c>
      <c r="J217" s="37" t="s">
        <v>39</v>
      </c>
      <c r="K217" s="37" t="s">
        <v>40</v>
      </c>
      <c r="L217" s="37" t="s">
        <v>49</v>
      </c>
      <c r="M217" s="37" t="s">
        <v>64</v>
      </c>
      <c r="N217" s="37" t="s">
        <v>535</v>
      </c>
      <c r="O217" s="42">
        <v>1085.6099999999999</v>
      </c>
      <c r="P217" s="43" t="str">
        <f t="shared" si="24"/>
        <v>High</v>
      </c>
      <c r="Q217" s="42">
        <v>1246.4100000000001</v>
      </c>
      <c r="R217" s="42">
        <v>0.113</v>
      </c>
      <c r="S217" s="42">
        <v>7</v>
      </c>
      <c r="T217" s="42">
        <f t="shared" si="21"/>
        <v>11133.23372</v>
      </c>
      <c r="U217" s="37">
        <f t="shared" si="22"/>
        <v>7599.2699999999995</v>
      </c>
      <c r="V217" s="42">
        <f t="shared" si="25"/>
        <v>3533.9637200000006</v>
      </c>
      <c r="W217" s="44">
        <f t="shared" si="26"/>
        <v>0.31742473111397151</v>
      </c>
    </row>
    <row r="218" spans="1:23" x14ac:dyDescent="0.3">
      <c r="A218" s="45" t="s">
        <v>536</v>
      </c>
      <c r="B218" s="46">
        <v>44948</v>
      </c>
      <c r="C218" s="47">
        <v>44947</v>
      </c>
      <c r="D218" s="48">
        <f>DATEDIF(C218,B218, "MD")</f>
        <v>1</v>
      </c>
      <c r="E218" s="48" t="str">
        <f>TEXT(Data!B218,"MMM-YYYY")</f>
        <v>Jan-2023</v>
      </c>
      <c r="F218" s="48" t="str">
        <f t="shared" si="23"/>
        <v>Q1-2023</v>
      </c>
      <c r="G218" s="38" t="s">
        <v>78</v>
      </c>
      <c r="H218" s="38" t="s">
        <v>79</v>
      </c>
      <c r="I218" s="38" t="s">
        <v>159</v>
      </c>
      <c r="J218" s="38" t="s">
        <v>19</v>
      </c>
      <c r="K218" s="38" t="s">
        <v>98</v>
      </c>
      <c r="L218" s="38" t="s">
        <v>84</v>
      </c>
      <c r="M218" s="38" t="s">
        <v>64</v>
      </c>
      <c r="N218" s="38" t="s">
        <v>537</v>
      </c>
      <c r="O218" s="48">
        <v>150.86000000000001</v>
      </c>
      <c r="P218" s="49" t="str">
        <f t="shared" si="24"/>
        <v>High</v>
      </c>
      <c r="Q218" s="48">
        <v>346.96</v>
      </c>
      <c r="R218" s="48">
        <v>0.19600000000000001</v>
      </c>
      <c r="S218" s="48">
        <v>8</v>
      </c>
      <c r="T218" s="48">
        <f t="shared" si="21"/>
        <v>789.46368000000007</v>
      </c>
      <c r="U218" s="38">
        <f t="shared" si="22"/>
        <v>1206.8800000000001</v>
      </c>
      <c r="V218" s="48">
        <f t="shared" si="25"/>
        <v>-417.41632000000004</v>
      </c>
      <c r="W218" s="50">
        <f t="shared" si="26"/>
        <v>-0.52873403878440617</v>
      </c>
    </row>
    <row r="219" spans="1:23" x14ac:dyDescent="0.3">
      <c r="A219" s="39" t="s">
        <v>538</v>
      </c>
      <c r="B219" s="40">
        <v>45576</v>
      </c>
      <c r="C219" s="41">
        <v>45605</v>
      </c>
      <c r="D219" s="42">
        <f t="shared" si="27"/>
        <v>29</v>
      </c>
      <c r="E219" s="42" t="str">
        <f>TEXT(Data!B219,"MMM-YYYY")</f>
        <v>Oct-2024</v>
      </c>
      <c r="F219" s="42" t="str">
        <f t="shared" si="23"/>
        <v>Q4-2024</v>
      </c>
      <c r="G219" s="37" t="s">
        <v>45</v>
      </c>
      <c r="H219" s="37" t="s">
        <v>116</v>
      </c>
      <c r="I219" s="37" t="s">
        <v>162</v>
      </c>
      <c r="J219" s="37" t="s">
        <v>39</v>
      </c>
      <c r="K219" s="37" t="s">
        <v>28</v>
      </c>
      <c r="L219" s="37" t="s">
        <v>84</v>
      </c>
      <c r="M219" s="37" t="s">
        <v>30</v>
      </c>
      <c r="N219" s="37" t="s">
        <v>539</v>
      </c>
      <c r="O219" s="42">
        <v>391.64</v>
      </c>
      <c r="P219" s="43" t="str">
        <f t="shared" si="24"/>
        <v>High</v>
      </c>
      <c r="Q219" s="42">
        <v>504.76</v>
      </c>
      <c r="R219" s="42">
        <v>4.0000000000000001E-3</v>
      </c>
      <c r="S219" s="42">
        <v>13</v>
      </c>
      <c r="T219" s="42">
        <f t="shared" si="21"/>
        <v>12014.83764</v>
      </c>
      <c r="U219" s="37">
        <f t="shared" si="22"/>
        <v>5091.32</v>
      </c>
      <c r="V219" s="42">
        <f t="shared" si="25"/>
        <v>6923.51764</v>
      </c>
      <c r="W219" s="44">
        <f t="shared" si="26"/>
        <v>0.57624729084562143</v>
      </c>
    </row>
    <row r="220" spans="1:23" x14ac:dyDescent="0.3">
      <c r="A220" s="45" t="s">
        <v>540</v>
      </c>
      <c r="B220" s="46">
        <v>45554</v>
      </c>
      <c r="C220" s="47">
        <v>45579</v>
      </c>
      <c r="D220" s="48">
        <f t="shared" si="27"/>
        <v>25</v>
      </c>
      <c r="E220" s="48" t="str">
        <f>TEXT(Data!B220,"MMM-YYYY")</f>
        <v>Sept-2024</v>
      </c>
      <c r="F220" s="48" t="str">
        <f t="shared" si="23"/>
        <v>Q3-2024</v>
      </c>
      <c r="G220" s="38" t="s">
        <v>52</v>
      </c>
      <c r="H220" s="38" t="s">
        <v>73</v>
      </c>
      <c r="I220" s="38" t="s">
        <v>225</v>
      </c>
      <c r="J220" s="38" t="s">
        <v>62</v>
      </c>
      <c r="K220" s="38" t="s">
        <v>20</v>
      </c>
      <c r="L220" s="38" t="s">
        <v>95</v>
      </c>
      <c r="M220" s="38" t="s">
        <v>30</v>
      </c>
      <c r="N220" s="38" t="s">
        <v>541</v>
      </c>
      <c r="O220" s="48">
        <v>386.96</v>
      </c>
      <c r="P220" s="49" t="str">
        <f t="shared" si="24"/>
        <v>High</v>
      </c>
      <c r="Q220" s="48">
        <v>937.46</v>
      </c>
      <c r="R220" s="48">
        <v>0.26600000000000001</v>
      </c>
      <c r="S220" s="48">
        <v>41</v>
      </c>
      <c r="T220" s="48">
        <f t="shared" si="21"/>
        <v>4570.6767199999995</v>
      </c>
      <c r="U220" s="38">
        <f t="shared" si="22"/>
        <v>15865.359999999999</v>
      </c>
      <c r="V220" s="48">
        <f t="shared" si="25"/>
        <v>-11294.683279999999</v>
      </c>
      <c r="W220" s="50">
        <f t="shared" si="26"/>
        <v>-2.4711183861631763</v>
      </c>
    </row>
    <row r="221" spans="1:23" x14ac:dyDescent="0.3">
      <c r="A221" s="39" t="s">
        <v>542</v>
      </c>
      <c r="B221" s="40">
        <v>45894</v>
      </c>
      <c r="C221" s="41">
        <v>45924</v>
      </c>
      <c r="D221" s="42">
        <f t="shared" si="27"/>
        <v>30</v>
      </c>
      <c r="E221" s="42" t="str">
        <f>TEXT(Data!B221,"MMM-YYYY")</f>
        <v>Aug-2025</v>
      </c>
      <c r="F221" s="42" t="str">
        <f t="shared" si="23"/>
        <v>Q3-2025</v>
      </c>
      <c r="G221" s="37" t="s">
        <v>16</v>
      </c>
      <c r="H221" s="37" t="s">
        <v>17</v>
      </c>
      <c r="I221" s="37" t="s">
        <v>33</v>
      </c>
      <c r="J221" s="37" t="s">
        <v>48</v>
      </c>
      <c r="K221" s="37" t="s">
        <v>98</v>
      </c>
      <c r="L221" s="37" t="s">
        <v>56</v>
      </c>
      <c r="M221" s="37" t="s">
        <v>22</v>
      </c>
      <c r="N221" s="37" t="s">
        <v>543</v>
      </c>
      <c r="O221" s="42">
        <v>589.14</v>
      </c>
      <c r="P221" s="43" t="str">
        <f t="shared" si="24"/>
        <v>High</v>
      </c>
      <c r="Q221" s="42">
        <v>1300.58</v>
      </c>
      <c r="R221" s="42">
        <v>5.5E-2</v>
      </c>
      <c r="S221" s="42">
        <v>11</v>
      </c>
      <c r="T221" s="42">
        <f t="shared" si="21"/>
        <v>22977.108</v>
      </c>
      <c r="U221" s="37">
        <f t="shared" si="22"/>
        <v>6480.54</v>
      </c>
      <c r="V221" s="42">
        <f t="shared" si="25"/>
        <v>16496.567999999999</v>
      </c>
      <c r="W221" s="44">
        <f t="shared" si="26"/>
        <v>0.71795667235406646</v>
      </c>
    </row>
    <row r="222" spans="1:23" x14ac:dyDescent="0.3">
      <c r="A222" s="45" t="s">
        <v>544</v>
      </c>
      <c r="B222" s="46">
        <v>45194</v>
      </c>
      <c r="C222" s="47">
        <v>45201</v>
      </c>
      <c r="D222" s="48">
        <f t="shared" si="27"/>
        <v>7</v>
      </c>
      <c r="E222" s="48" t="str">
        <f>TEXT(Data!B222,"MMM-YYYY")</f>
        <v>Sept-2023</v>
      </c>
      <c r="F222" s="48" t="str">
        <f t="shared" si="23"/>
        <v>Q3-2023</v>
      </c>
      <c r="G222" s="38" t="s">
        <v>52</v>
      </c>
      <c r="H222" s="38" t="s">
        <v>122</v>
      </c>
      <c r="I222" s="38" t="s">
        <v>387</v>
      </c>
      <c r="J222" s="38" t="s">
        <v>27</v>
      </c>
      <c r="K222" s="38" t="s">
        <v>40</v>
      </c>
      <c r="L222" s="38" t="s">
        <v>34</v>
      </c>
      <c r="M222" s="38" t="s">
        <v>81</v>
      </c>
      <c r="N222" s="38" t="s">
        <v>545</v>
      </c>
      <c r="O222" s="48">
        <v>145.58000000000001</v>
      </c>
      <c r="P222" s="49" t="str">
        <f t="shared" si="24"/>
        <v>High</v>
      </c>
      <c r="Q222" s="48">
        <v>228.15</v>
      </c>
      <c r="R222" s="48">
        <v>0.20399999999999999</v>
      </c>
      <c r="S222" s="48">
        <v>5</v>
      </c>
      <c r="T222" s="48">
        <f t="shared" si="21"/>
        <v>158.16520000000003</v>
      </c>
      <c r="U222" s="38">
        <f t="shared" si="22"/>
        <v>727.90000000000009</v>
      </c>
      <c r="V222" s="48">
        <f t="shared" si="25"/>
        <v>-569.73480000000006</v>
      </c>
      <c r="W222" s="50">
        <f t="shared" si="26"/>
        <v>-3.602150156924532</v>
      </c>
    </row>
    <row r="223" spans="1:23" x14ac:dyDescent="0.3">
      <c r="A223" s="39" t="s">
        <v>546</v>
      </c>
      <c r="B223" s="40">
        <v>45164</v>
      </c>
      <c r="C223" s="41">
        <v>45179</v>
      </c>
      <c r="D223" s="42">
        <f t="shared" si="27"/>
        <v>15</v>
      </c>
      <c r="E223" s="42" t="str">
        <f>TEXT(Data!B223,"MMM-YYYY")</f>
        <v>Aug-2023</v>
      </c>
      <c r="F223" s="42" t="str">
        <f t="shared" si="23"/>
        <v>Q3-2023</v>
      </c>
      <c r="G223" s="37" t="s">
        <v>16</v>
      </c>
      <c r="H223" s="37" t="s">
        <v>148</v>
      </c>
      <c r="I223" s="37" t="s">
        <v>258</v>
      </c>
      <c r="J223" s="37" t="s">
        <v>39</v>
      </c>
      <c r="K223" s="37" t="s">
        <v>98</v>
      </c>
      <c r="L223" s="37" t="s">
        <v>126</v>
      </c>
      <c r="M223" s="37" t="s">
        <v>22</v>
      </c>
      <c r="N223" s="37" t="s">
        <v>547</v>
      </c>
      <c r="O223" s="42">
        <v>241.14</v>
      </c>
      <c r="P223" s="43" t="str">
        <f t="shared" si="24"/>
        <v>High</v>
      </c>
      <c r="Q223" s="42">
        <v>496.52</v>
      </c>
      <c r="R223" s="42">
        <v>9.2999999999999999E-2</v>
      </c>
      <c r="S223" s="42">
        <v>10</v>
      </c>
      <c r="T223" s="42">
        <f t="shared" si="21"/>
        <v>9151.630000000001</v>
      </c>
      <c r="U223" s="37">
        <f t="shared" si="22"/>
        <v>2411.3999999999996</v>
      </c>
      <c r="V223" s="42">
        <f t="shared" si="25"/>
        <v>6740.2300000000014</v>
      </c>
      <c r="W223" s="44">
        <f t="shared" si="26"/>
        <v>0.73650595576962796</v>
      </c>
    </row>
    <row r="224" spans="1:23" x14ac:dyDescent="0.3">
      <c r="A224" s="45" t="s">
        <v>548</v>
      </c>
      <c r="B224" s="46">
        <v>45854</v>
      </c>
      <c r="C224" s="47">
        <v>45855</v>
      </c>
      <c r="D224" s="48">
        <f t="shared" si="27"/>
        <v>1</v>
      </c>
      <c r="E224" s="48" t="str">
        <f>TEXT(Data!B224,"MMM-YYYY")</f>
        <v>Jul-2025</v>
      </c>
      <c r="F224" s="48" t="str">
        <f t="shared" si="23"/>
        <v>Q3-2025</v>
      </c>
      <c r="G224" s="38" t="s">
        <v>16</v>
      </c>
      <c r="H224" s="38" t="s">
        <v>148</v>
      </c>
      <c r="I224" s="38" t="s">
        <v>172</v>
      </c>
      <c r="J224" s="38" t="s">
        <v>62</v>
      </c>
      <c r="K224" s="38" t="s">
        <v>55</v>
      </c>
      <c r="L224" s="38" t="s">
        <v>56</v>
      </c>
      <c r="M224" s="38" t="s">
        <v>35</v>
      </c>
      <c r="N224" s="38" t="s">
        <v>549</v>
      </c>
      <c r="O224" s="48">
        <v>1198.9000000000001</v>
      </c>
      <c r="P224" s="49" t="str">
        <f t="shared" si="24"/>
        <v>High</v>
      </c>
      <c r="Q224" s="48">
        <v>2941.2</v>
      </c>
      <c r="R224" s="48">
        <v>5.0999999999999997E-2</v>
      </c>
      <c r="S224" s="48">
        <v>24</v>
      </c>
      <c r="T224" s="48">
        <f t="shared" si="21"/>
        <v>37663.304640000002</v>
      </c>
      <c r="U224" s="38">
        <f t="shared" si="22"/>
        <v>28773.600000000002</v>
      </c>
      <c r="V224" s="48">
        <f t="shared" si="25"/>
        <v>8889.7046399999999</v>
      </c>
      <c r="W224" s="50">
        <f t="shared" si="26"/>
        <v>0.23603092519286697</v>
      </c>
    </row>
    <row r="225" spans="1:23" x14ac:dyDescent="0.3">
      <c r="A225" s="39" t="s">
        <v>550</v>
      </c>
      <c r="B225" s="40">
        <v>45035</v>
      </c>
      <c r="C225" s="41">
        <v>45053</v>
      </c>
      <c r="D225" s="42">
        <f t="shared" si="27"/>
        <v>18</v>
      </c>
      <c r="E225" s="42" t="str">
        <f>TEXT(Data!B225,"MMM-YYYY")</f>
        <v>Apr-2023</v>
      </c>
      <c r="F225" s="42" t="str">
        <f t="shared" si="23"/>
        <v>Q2-2023</v>
      </c>
      <c r="G225" s="37" t="s">
        <v>78</v>
      </c>
      <c r="H225" s="37" t="s">
        <v>108</v>
      </c>
      <c r="I225" s="37" t="s">
        <v>109</v>
      </c>
      <c r="J225" s="37" t="s">
        <v>105</v>
      </c>
      <c r="K225" s="37" t="s">
        <v>20</v>
      </c>
      <c r="L225" s="37" t="s">
        <v>126</v>
      </c>
      <c r="M225" s="37" t="s">
        <v>57</v>
      </c>
      <c r="N225" s="37" t="s">
        <v>551</v>
      </c>
      <c r="O225" s="42">
        <v>1089.1500000000001</v>
      </c>
      <c r="P225" s="43" t="str">
        <f t="shared" si="24"/>
        <v>High</v>
      </c>
      <c r="Q225" s="42">
        <v>1088.2</v>
      </c>
      <c r="R225" s="42">
        <v>5.0999999999999997E-2</v>
      </c>
      <c r="S225" s="42">
        <v>15</v>
      </c>
      <c r="T225" s="42">
        <f t="shared" si="21"/>
        <v>14458.4895</v>
      </c>
      <c r="U225" s="37">
        <f t="shared" si="22"/>
        <v>16337.250000000002</v>
      </c>
      <c r="V225" s="42">
        <f t="shared" si="25"/>
        <v>-1878.7605000000021</v>
      </c>
      <c r="W225" s="44">
        <f t="shared" si="26"/>
        <v>-0.12994168581718044</v>
      </c>
    </row>
    <row r="226" spans="1:23" x14ac:dyDescent="0.3">
      <c r="A226" s="45" t="s">
        <v>552</v>
      </c>
      <c r="B226" s="46">
        <v>45279</v>
      </c>
      <c r="C226" s="47">
        <v>45280</v>
      </c>
      <c r="D226" s="48">
        <f t="shared" si="27"/>
        <v>1</v>
      </c>
      <c r="E226" s="48" t="str">
        <f>TEXT(Data!B226,"MMM-YYYY")</f>
        <v>Dec-2023</v>
      </c>
      <c r="F226" s="48" t="str">
        <f t="shared" si="23"/>
        <v>Q4-2023</v>
      </c>
      <c r="G226" s="38" t="s">
        <v>52</v>
      </c>
      <c r="H226" s="38" t="s">
        <v>73</v>
      </c>
      <c r="I226" s="38" t="s">
        <v>225</v>
      </c>
      <c r="J226" s="38" t="s">
        <v>48</v>
      </c>
      <c r="K226" s="38" t="s">
        <v>55</v>
      </c>
      <c r="L226" s="38" t="s">
        <v>29</v>
      </c>
      <c r="M226" s="38" t="s">
        <v>42</v>
      </c>
      <c r="N226" s="38" t="s">
        <v>553</v>
      </c>
      <c r="O226" s="48">
        <v>1080.43</v>
      </c>
      <c r="P226" s="49" t="str">
        <f t="shared" si="24"/>
        <v>High</v>
      </c>
      <c r="Q226" s="48">
        <v>2529.15</v>
      </c>
      <c r="R226" s="48">
        <v>0.14699999999999999</v>
      </c>
      <c r="S226" s="48">
        <v>10</v>
      </c>
      <c r="T226" s="48">
        <f t="shared" si="21"/>
        <v>7783.1984999999995</v>
      </c>
      <c r="U226" s="38">
        <f t="shared" si="22"/>
        <v>10804.300000000001</v>
      </c>
      <c r="V226" s="48">
        <f t="shared" si="25"/>
        <v>-3021.1015000000016</v>
      </c>
      <c r="W226" s="50">
        <f t="shared" si="26"/>
        <v>-0.38815680982567796</v>
      </c>
    </row>
    <row r="227" spans="1:23" x14ac:dyDescent="0.3">
      <c r="A227" s="39" t="s">
        <v>554</v>
      </c>
      <c r="B227" s="40">
        <v>45137</v>
      </c>
      <c r="C227" s="41">
        <v>45145</v>
      </c>
      <c r="D227" s="42">
        <f t="shared" si="27"/>
        <v>8</v>
      </c>
      <c r="E227" s="42" t="str">
        <f>TEXT(Data!B227,"MMM-YYYY")</f>
        <v>Jul-2023</v>
      </c>
      <c r="F227" s="42" t="str">
        <f t="shared" si="23"/>
        <v>Q3-2023</v>
      </c>
      <c r="G227" s="37" t="s">
        <v>45</v>
      </c>
      <c r="H227" s="37" t="s">
        <v>46</v>
      </c>
      <c r="I227" s="37" t="s">
        <v>231</v>
      </c>
      <c r="J227" s="37" t="s">
        <v>27</v>
      </c>
      <c r="K227" s="37" t="s">
        <v>40</v>
      </c>
      <c r="L227" s="37" t="s">
        <v>75</v>
      </c>
      <c r="M227" s="37" t="s">
        <v>35</v>
      </c>
      <c r="N227" s="37" t="s">
        <v>555</v>
      </c>
      <c r="O227" s="42">
        <v>1352.44</v>
      </c>
      <c r="P227" s="43" t="str">
        <f t="shared" si="24"/>
        <v>High</v>
      </c>
      <c r="Q227" s="42">
        <v>2698.01</v>
      </c>
      <c r="R227" s="42">
        <v>0.13100000000000001</v>
      </c>
      <c r="S227" s="42">
        <v>13</v>
      </c>
      <c r="T227" s="42">
        <f t="shared" si="21"/>
        <v>9209.201430000001</v>
      </c>
      <c r="U227" s="37">
        <f t="shared" si="22"/>
        <v>17581.72</v>
      </c>
      <c r="V227" s="42">
        <f t="shared" si="25"/>
        <v>-8372.5185700000002</v>
      </c>
      <c r="W227" s="44">
        <f t="shared" si="26"/>
        <v>-0.90914707791335603</v>
      </c>
    </row>
    <row r="228" spans="1:23" x14ac:dyDescent="0.3">
      <c r="A228" s="45" t="s">
        <v>556</v>
      </c>
      <c r="B228" s="46">
        <v>45203</v>
      </c>
      <c r="C228" s="47">
        <v>45228</v>
      </c>
      <c r="D228" s="48">
        <f t="shared" si="27"/>
        <v>25</v>
      </c>
      <c r="E228" s="48" t="str">
        <f>TEXT(Data!B228,"MMM-YYYY")</f>
        <v>Oct-2023</v>
      </c>
      <c r="F228" s="48" t="str">
        <f t="shared" si="23"/>
        <v>Q4-2023</v>
      </c>
      <c r="G228" s="38" t="s">
        <v>52</v>
      </c>
      <c r="H228" s="38" t="s">
        <v>122</v>
      </c>
      <c r="I228" s="38" t="s">
        <v>167</v>
      </c>
      <c r="J228" s="38" t="s">
        <v>62</v>
      </c>
      <c r="K228" s="38" t="s">
        <v>55</v>
      </c>
      <c r="L228" s="38" t="s">
        <v>68</v>
      </c>
      <c r="M228" s="38" t="s">
        <v>81</v>
      </c>
      <c r="N228" s="38" t="s">
        <v>557</v>
      </c>
      <c r="O228" s="48">
        <v>1239.8399999999999</v>
      </c>
      <c r="P228" s="49" t="str">
        <f t="shared" si="24"/>
        <v>High</v>
      </c>
      <c r="Q228" s="48">
        <v>1482.75</v>
      </c>
      <c r="R228" s="48">
        <v>6.7000000000000004E-2</v>
      </c>
      <c r="S228" s="48">
        <v>4</v>
      </c>
      <c r="T228" s="48">
        <f t="shared" si="21"/>
        <v>6770.0719200000003</v>
      </c>
      <c r="U228" s="38">
        <f t="shared" si="22"/>
        <v>4959.3599999999997</v>
      </c>
      <c r="V228" s="48">
        <f t="shared" si="25"/>
        <v>1810.7119200000006</v>
      </c>
      <c r="W228" s="50">
        <f t="shared" si="26"/>
        <v>0.26745829902498297</v>
      </c>
    </row>
    <row r="229" spans="1:23" x14ac:dyDescent="0.3">
      <c r="A229" s="39" t="s">
        <v>558</v>
      </c>
      <c r="B229" s="40">
        <v>45879</v>
      </c>
      <c r="C229" s="41">
        <v>45899</v>
      </c>
      <c r="D229" s="42">
        <f t="shared" si="27"/>
        <v>20</v>
      </c>
      <c r="E229" s="42" t="str">
        <f>TEXT(Data!B229,"MMM-YYYY")</f>
        <v>Aug-2025</v>
      </c>
      <c r="F229" s="42" t="str">
        <f t="shared" si="23"/>
        <v>Q3-2025</v>
      </c>
      <c r="G229" s="37" t="s">
        <v>52</v>
      </c>
      <c r="H229" s="37" t="s">
        <v>122</v>
      </c>
      <c r="I229" s="37" t="s">
        <v>167</v>
      </c>
      <c r="J229" s="37" t="s">
        <v>19</v>
      </c>
      <c r="K229" s="37" t="s">
        <v>40</v>
      </c>
      <c r="L229" s="37" t="s">
        <v>95</v>
      </c>
      <c r="M229" s="37" t="s">
        <v>30</v>
      </c>
      <c r="N229" s="37" t="s">
        <v>559</v>
      </c>
      <c r="O229" s="42">
        <v>933.29</v>
      </c>
      <c r="P229" s="43" t="str">
        <f t="shared" si="24"/>
        <v>High</v>
      </c>
      <c r="Q229" s="42">
        <v>1456.81</v>
      </c>
      <c r="R229" s="42">
        <v>0.123</v>
      </c>
      <c r="S229" s="42">
        <v>13</v>
      </c>
      <c r="T229" s="42">
        <f t="shared" si="21"/>
        <v>8652.4469199999985</v>
      </c>
      <c r="U229" s="37">
        <f t="shared" si="22"/>
        <v>12132.77</v>
      </c>
      <c r="V229" s="42">
        <f t="shared" si="25"/>
        <v>-3480.3230800000019</v>
      </c>
      <c r="W229" s="44">
        <f t="shared" si="26"/>
        <v>-0.4022357042093247</v>
      </c>
    </row>
    <row r="230" spans="1:23" x14ac:dyDescent="0.3">
      <c r="A230" s="45" t="s">
        <v>560</v>
      </c>
      <c r="B230" s="46">
        <v>44992</v>
      </c>
      <c r="C230" s="47">
        <v>45017</v>
      </c>
      <c r="D230" s="48">
        <f t="shared" si="27"/>
        <v>25</v>
      </c>
      <c r="E230" s="48" t="str">
        <f>TEXT(Data!B230,"MMM-YYYY")</f>
        <v>Mar-2023</v>
      </c>
      <c r="F230" s="48" t="str">
        <f t="shared" si="23"/>
        <v>Q1-2023</v>
      </c>
      <c r="G230" s="38" t="s">
        <v>16</v>
      </c>
      <c r="H230" s="38" t="s">
        <v>17</v>
      </c>
      <c r="I230" s="38" t="s">
        <v>33</v>
      </c>
      <c r="J230" s="38" t="s">
        <v>48</v>
      </c>
      <c r="K230" s="38" t="s">
        <v>40</v>
      </c>
      <c r="L230" s="38" t="s">
        <v>145</v>
      </c>
      <c r="M230" s="38" t="s">
        <v>30</v>
      </c>
      <c r="N230" s="38" t="s">
        <v>561</v>
      </c>
      <c r="O230" s="48">
        <v>1024.0999999999999</v>
      </c>
      <c r="P230" s="49" t="str">
        <f t="shared" si="24"/>
        <v>High</v>
      </c>
      <c r="Q230" s="48">
        <v>918.19</v>
      </c>
      <c r="R230" s="48">
        <v>0.189</v>
      </c>
      <c r="S230" s="48">
        <v>10</v>
      </c>
      <c r="T230" s="48">
        <f t="shared" si="21"/>
        <v>13522.938400000001</v>
      </c>
      <c r="U230" s="38">
        <f t="shared" si="22"/>
        <v>10241</v>
      </c>
      <c r="V230" s="48">
        <f t="shared" si="25"/>
        <v>3281.9384000000009</v>
      </c>
      <c r="W230" s="50">
        <f t="shared" si="26"/>
        <v>0.24269417658517181</v>
      </c>
    </row>
    <row r="231" spans="1:23" x14ac:dyDescent="0.3">
      <c r="A231" s="39" t="s">
        <v>562</v>
      </c>
      <c r="B231" s="40">
        <v>45069</v>
      </c>
      <c r="C231" s="41">
        <v>45087</v>
      </c>
      <c r="D231" s="42">
        <f t="shared" si="27"/>
        <v>18</v>
      </c>
      <c r="E231" s="42" t="str">
        <f>TEXT(Data!B231,"MMM-YYYY")</f>
        <v>May-2023</v>
      </c>
      <c r="F231" s="42" t="str">
        <f t="shared" si="23"/>
        <v>Q2-2023</v>
      </c>
      <c r="G231" s="37" t="s">
        <v>45</v>
      </c>
      <c r="H231" s="37" t="s">
        <v>116</v>
      </c>
      <c r="I231" s="37" t="s">
        <v>162</v>
      </c>
      <c r="J231" s="37" t="s">
        <v>19</v>
      </c>
      <c r="K231" s="37" t="s">
        <v>55</v>
      </c>
      <c r="L231" s="37" t="s">
        <v>63</v>
      </c>
      <c r="M231" s="37" t="s">
        <v>22</v>
      </c>
      <c r="N231" s="37" t="s">
        <v>563</v>
      </c>
      <c r="O231" s="42">
        <v>54.62</v>
      </c>
      <c r="P231" s="43" t="str">
        <f t="shared" si="24"/>
        <v>Low</v>
      </c>
      <c r="Q231" s="42">
        <v>48.94</v>
      </c>
      <c r="R231" s="42">
        <v>0.14799999999999999</v>
      </c>
      <c r="S231" s="42">
        <v>16</v>
      </c>
      <c r="T231" s="42">
        <f t="shared" si="21"/>
        <v>34932.681600000004</v>
      </c>
      <c r="U231" s="37">
        <f t="shared" si="22"/>
        <v>873.92</v>
      </c>
      <c r="V231" s="42">
        <f t="shared" si="25"/>
        <v>34058.761600000005</v>
      </c>
      <c r="W231" s="44">
        <f t="shared" si="26"/>
        <v>0.9749827393726338</v>
      </c>
    </row>
    <row r="232" spans="1:23" x14ac:dyDescent="0.3">
      <c r="A232" s="45" t="s">
        <v>564</v>
      </c>
      <c r="B232" s="46">
        <v>45771</v>
      </c>
      <c r="C232" s="47">
        <v>45783</v>
      </c>
      <c r="D232" s="48">
        <f t="shared" si="27"/>
        <v>12</v>
      </c>
      <c r="E232" s="48" t="str">
        <f>TEXT(Data!B232,"MMM-YYYY")</f>
        <v>Apr-2025</v>
      </c>
      <c r="F232" s="48" t="str">
        <f t="shared" si="23"/>
        <v>Q2-2025</v>
      </c>
      <c r="G232" s="38" t="s">
        <v>52</v>
      </c>
      <c r="H232" s="38" t="s">
        <v>73</v>
      </c>
      <c r="I232" s="38" t="s">
        <v>87</v>
      </c>
      <c r="J232" s="38" t="s">
        <v>48</v>
      </c>
      <c r="K232" s="38" t="s">
        <v>28</v>
      </c>
      <c r="L232" s="38" t="s">
        <v>21</v>
      </c>
      <c r="M232" s="38" t="s">
        <v>42</v>
      </c>
      <c r="N232" s="38" t="s">
        <v>565</v>
      </c>
      <c r="O232" s="48">
        <v>394.13</v>
      </c>
      <c r="P232" s="49" t="str">
        <f t="shared" si="24"/>
        <v>High</v>
      </c>
      <c r="Q232" s="48">
        <v>932.29</v>
      </c>
      <c r="R232" s="48">
        <v>0.109</v>
      </c>
      <c r="S232" s="48">
        <v>7</v>
      </c>
      <c r="T232" s="48">
        <f t="shared" si="21"/>
        <v>4648.9350599999998</v>
      </c>
      <c r="U232" s="38">
        <f t="shared" si="22"/>
        <v>2758.91</v>
      </c>
      <c r="V232" s="48">
        <f t="shared" si="25"/>
        <v>1890.0250599999999</v>
      </c>
      <c r="W232" s="50">
        <f t="shared" si="26"/>
        <v>0.40655010999443819</v>
      </c>
    </row>
    <row r="233" spans="1:23" x14ac:dyDescent="0.3">
      <c r="A233" s="39" t="s">
        <v>566</v>
      </c>
      <c r="B233" s="40">
        <v>45538</v>
      </c>
      <c r="C233" s="41">
        <v>45543</v>
      </c>
      <c r="D233" s="42">
        <f t="shared" si="27"/>
        <v>5</v>
      </c>
      <c r="E233" s="42" t="str">
        <f>TEXT(Data!B233,"MMM-YYYY")</f>
        <v>Sept-2024</v>
      </c>
      <c r="F233" s="42" t="str">
        <f t="shared" si="23"/>
        <v>Q3-2024</v>
      </c>
      <c r="G233" s="37" t="s">
        <v>16</v>
      </c>
      <c r="H233" s="37" t="s">
        <v>25</v>
      </c>
      <c r="I233" s="37" t="s">
        <v>38</v>
      </c>
      <c r="J233" s="37" t="s">
        <v>62</v>
      </c>
      <c r="K233" s="37" t="s">
        <v>98</v>
      </c>
      <c r="L233" s="37" t="s">
        <v>95</v>
      </c>
      <c r="M233" s="37" t="s">
        <v>30</v>
      </c>
      <c r="N233" s="37" t="s">
        <v>567</v>
      </c>
      <c r="O233" s="42">
        <v>197.63</v>
      </c>
      <c r="P233" s="43" t="str">
        <f t="shared" si="24"/>
        <v>High</v>
      </c>
      <c r="Q233" s="42">
        <v>325.79000000000002</v>
      </c>
      <c r="R233" s="42">
        <v>0.11600000000000001</v>
      </c>
      <c r="S233" s="42">
        <v>10</v>
      </c>
      <c r="T233" s="42">
        <f t="shared" si="21"/>
        <v>6081.4780000000001</v>
      </c>
      <c r="U233" s="37">
        <f t="shared" si="22"/>
        <v>1976.3</v>
      </c>
      <c r="V233" s="42">
        <f t="shared" si="25"/>
        <v>4105.1779999999999</v>
      </c>
      <c r="W233" s="44">
        <f t="shared" si="26"/>
        <v>0.67502965561990025</v>
      </c>
    </row>
    <row r="234" spans="1:23" x14ac:dyDescent="0.3">
      <c r="A234" s="45" t="s">
        <v>568</v>
      </c>
      <c r="B234" s="46">
        <v>45540</v>
      </c>
      <c r="C234" s="47">
        <v>45560</v>
      </c>
      <c r="D234" s="48">
        <f t="shared" si="27"/>
        <v>20</v>
      </c>
      <c r="E234" s="48" t="str">
        <f>TEXT(Data!B234,"MMM-YYYY")</f>
        <v>Sept-2024</v>
      </c>
      <c r="F234" s="48" t="str">
        <f t="shared" si="23"/>
        <v>Q3-2024</v>
      </c>
      <c r="G234" s="38" t="s">
        <v>45</v>
      </c>
      <c r="H234" s="38" t="s">
        <v>46</v>
      </c>
      <c r="I234" s="38" t="s">
        <v>47</v>
      </c>
      <c r="J234" s="38" t="s">
        <v>105</v>
      </c>
      <c r="K234" s="38" t="s">
        <v>55</v>
      </c>
      <c r="L234" s="38" t="s">
        <v>145</v>
      </c>
      <c r="M234" s="38" t="s">
        <v>64</v>
      </c>
      <c r="N234" s="38" t="s">
        <v>569</v>
      </c>
      <c r="O234" s="48">
        <v>195.54</v>
      </c>
      <c r="P234" s="49" t="str">
        <f t="shared" si="24"/>
        <v>High</v>
      </c>
      <c r="Q234" s="48">
        <v>405.97</v>
      </c>
      <c r="R234" s="48">
        <v>0.187</v>
      </c>
      <c r="S234" s="48">
        <v>16</v>
      </c>
      <c r="T234" s="48">
        <f t="shared" si="21"/>
        <v>7155.3105599999999</v>
      </c>
      <c r="U234" s="38">
        <f t="shared" si="22"/>
        <v>3128.64</v>
      </c>
      <c r="V234" s="48">
        <f t="shared" si="25"/>
        <v>4026.67056</v>
      </c>
      <c r="W234" s="50">
        <f t="shared" si="26"/>
        <v>0.56275273116866642</v>
      </c>
    </row>
    <row r="235" spans="1:23" x14ac:dyDescent="0.3">
      <c r="A235" s="39" t="s">
        <v>570</v>
      </c>
      <c r="B235" s="40">
        <v>44999</v>
      </c>
      <c r="C235" s="41">
        <v>45015</v>
      </c>
      <c r="D235" s="42">
        <f t="shared" si="27"/>
        <v>16</v>
      </c>
      <c r="E235" s="42" t="str">
        <f>TEXT(Data!B235,"MMM-YYYY")</f>
        <v>Mar-2023</v>
      </c>
      <c r="F235" s="42" t="str">
        <f t="shared" si="23"/>
        <v>Q1-2023</v>
      </c>
      <c r="G235" s="37" t="s">
        <v>16</v>
      </c>
      <c r="H235" s="37" t="s">
        <v>148</v>
      </c>
      <c r="I235" s="37" t="s">
        <v>258</v>
      </c>
      <c r="J235" s="37" t="s">
        <v>48</v>
      </c>
      <c r="K235" s="37" t="s">
        <v>55</v>
      </c>
      <c r="L235" s="37" t="s">
        <v>95</v>
      </c>
      <c r="M235" s="37" t="s">
        <v>22</v>
      </c>
      <c r="N235" s="37" t="s">
        <v>571</v>
      </c>
      <c r="O235" s="42">
        <v>1309.77</v>
      </c>
      <c r="P235" s="43" t="str">
        <f t="shared" si="24"/>
        <v>High</v>
      </c>
      <c r="Q235" s="42">
        <v>1589.07</v>
      </c>
      <c r="R235" s="42">
        <v>0.10199999999999999</v>
      </c>
      <c r="S235" s="42">
        <v>10</v>
      </c>
      <c r="T235" s="42">
        <f t="shared" si="21"/>
        <v>18572.525799999999</v>
      </c>
      <c r="U235" s="37">
        <f t="shared" si="22"/>
        <v>13097.7</v>
      </c>
      <c r="V235" s="42">
        <f t="shared" si="25"/>
        <v>5474.8257999999987</v>
      </c>
      <c r="W235" s="44">
        <f t="shared" si="26"/>
        <v>0.29478089619883574</v>
      </c>
    </row>
    <row r="236" spans="1:23" x14ac:dyDescent="0.3">
      <c r="A236" s="45" t="s">
        <v>572</v>
      </c>
      <c r="B236" s="46">
        <v>45302</v>
      </c>
      <c r="C236" s="47">
        <v>45324</v>
      </c>
      <c r="D236" s="48">
        <f t="shared" si="27"/>
        <v>22</v>
      </c>
      <c r="E236" s="48" t="str">
        <f>TEXT(Data!B236,"MMM-YYYY")</f>
        <v>Jan-2024</v>
      </c>
      <c r="F236" s="48" t="str">
        <f t="shared" si="23"/>
        <v>Q1-2024</v>
      </c>
      <c r="G236" s="38" t="s">
        <v>45</v>
      </c>
      <c r="H236" s="38" t="s">
        <v>46</v>
      </c>
      <c r="I236" s="38" t="s">
        <v>231</v>
      </c>
      <c r="J236" s="38" t="s">
        <v>62</v>
      </c>
      <c r="K236" s="38" t="s">
        <v>28</v>
      </c>
      <c r="L236" s="38" t="s">
        <v>1364</v>
      </c>
      <c r="M236" s="38" t="s">
        <v>30</v>
      </c>
      <c r="N236" s="38" t="s">
        <v>573</v>
      </c>
      <c r="O236" s="48">
        <v>1237.68</v>
      </c>
      <c r="P236" s="49" t="str">
        <f t="shared" si="24"/>
        <v>High</v>
      </c>
      <c r="Q236" s="48">
        <v>1432.8</v>
      </c>
      <c r="R236" s="48">
        <v>6.8000000000000005E-2</v>
      </c>
      <c r="S236" s="48">
        <v>13</v>
      </c>
      <c r="T236" s="48">
        <f t="shared" si="21"/>
        <v>31218.691400000003</v>
      </c>
      <c r="U236" s="38">
        <f t="shared" si="22"/>
        <v>16089.84</v>
      </c>
      <c r="V236" s="48">
        <f t="shared" si="25"/>
        <v>15128.851400000003</v>
      </c>
      <c r="W236" s="50">
        <f t="shared" si="26"/>
        <v>0.48460876230065175</v>
      </c>
    </row>
    <row r="237" spans="1:23" x14ac:dyDescent="0.3">
      <c r="A237" s="39" t="s">
        <v>574</v>
      </c>
      <c r="B237" s="40">
        <v>45548</v>
      </c>
      <c r="C237" s="41">
        <v>45567</v>
      </c>
      <c r="D237" s="42">
        <f t="shared" si="27"/>
        <v>19</v>
      </c>
      <c r="E237" s="42" t="str">
        <f>TEXT(Data!B237,"MMM-YYYY")</f>
        <v>Sept-2024</v>
      </c>
      <c r="F237" s="42" t="str">
        <f t="shared" si="23"/>
        <v>Q3-2024</v>
      </c>
      <c r="G237" s="37" t="s">
        <v>16</v>
      </c>
      <c r="H237" s="37" t="s">
        <v>17</v>
      </c>
      <c r="I237" s="37" t="s">
        <v>113</v>
      </c>
      <c r="J237" s="37" t="s">
        <v>62</v>
      </c>
      <c r="K237" s="37" t="s">
        <v>20</v>
      </c>
      <c r="L237" s="37" t="s">
        <v>110</v>
      </c>
      <c r="M237" s="37" t="s">
        <v>42</v>
      </c>
      <c r="N237" s="37" t="s">
        <v>575</v>
      </c>
      <c r="O237" s="42">
        <v>1338.99</v>
      </c>
      <c r="P237" s="43" t="str">
        <f t="shared" si="24"/>
        <v>High</v>
      </c>
      <c r="Q237" s="42">
        <v>1765.76</v>
      </c>
      <c r="R237" s="42">
        <v>0.126</v>
      </c>
      <c r="S237" s="42">
        <v>24</v>
      </c>
      <c r="T237" s="42">
        <f t="shared" si="21"/>
        <v>21901.880639999999</v>
      </c>
      <c r="U237" s="37">
        <f t="shared" si="22"/>
        <v>32135.760000000002</v>
      </c>
      <c r="V237" s="42">
        <f t="shared" si="25"/>
        <v>-10233.879360000003</v>
      </c>
      <c r="W237" s="44">
        <f t="shared" si="26"/>
        <v>-0.46726030189889678</v>
      </c>
    </row>
    <row r="238" spans="1:23" x14ac:dyDescent="0.3">
      <c r="A238" s="45" t="s">
        <v>576</v>
      </c>
      <c r="B238" s="46">
        <v>45855</v>
      </c>
      <c r="C238" s="47">
        <v>45861</v>
      </c>
      <c r="D238" s="48">
        <f t="shared" si="27"/>
        <v>6</v>
      </c>
      <c r="E238" s="48" t="str">
        <f>TEXT(Data!B238,"MMM-YYYY")</f>
        <v>Jul-2025</v>
      </c>
      <c r="F238" s="48" t="str">
        <f t="shared" si="23"/>
        <v>Q3-2025</v>
      </c>
      <c r="G238" s="38" t="s">
        <v>52</v>
      </c>
      <c r="H238" s="38" t="s">
        <v>53</v>
      </c>
      <c r="I238" s="38" t="s">
        <v>179</v>
      </c>
      <c r="J238" s="38" t="s">
        <v>48</v>
      </c>
      <c r="K238" s="38" t="s">
        <v>28</v>
      </c>
      <c r="L238" s="38" t="s">
        <v>92</v>
      </c>
      <c r="M238" s="38" t="s">
        <v>22</v>
      </c>
      <c r="N238" s="38" t="s">
        <v>577</v>
      </c>
      <c r="O238" s="48">
        <v>1364.89</v>
      </c>
      <c r="P238" s="49" t="str">
        <f t="shared" si="24"/>
        <v>High</v>
      </c>
      <c r="Q238" s="48">
        <v>2757.54</v>
      </c>
      <c r="R238" s="48">
        <v>0.17199999999999999</v>
      </c>
      <c r="S238" s="48">
        <v>61</v>
      </c>
      <c r="T238" s="48">
        <f t="shared" si="21"/>
        <v>5002.3123200000009</v>
      </c>
      <c r="U238" s="38">
        <f t="shared" si="22"/>
        <v>83258.290000000008</v>
      </c>
      <c r="V238" s="48">
        <f t="shared" si="25"/>
        <v>-78255.977680000011</v>
      </c>
      <c r="W238" s="50">
        <f t="shared" si="26"/>
        <v>-15.643960767327698</v>
      </c>
    </row>
    <row r="239" spans="1:23" x14ac:dyDescent="0.3">
      <c r="A239" s="39" t="s">
        <v>578</v>
      </c>
      <c r="B239" s="40">
        <v>45258</v>
      </c>
      <c r="C239" s="41">
        <v>45267</v>
      </c>
      <c r="D239" s="42">
        <f t="shared" si="27"/>
        <v>9</v>
      </c>
      <c r="E239" s="42" t="str">
        <f>TEXT(Data!B239,"MMM-YYYY")</f>
        <v>Nov-2023</v>
      </c>
      <c r="F239" s="42" t="str">
        <f t="shared" si="23"/>
        <v>Q4-2023</v>
      </c>
      <c r="G239" s="37" t="s">
        <v>45</v>
      </c>
      <c r="H239" s="37" t="s">
        <v>60</v>
      </c>
      <c r="I239" s="37" t="s">
        <v>141</v>
      </c>
      <c r="J239" s="37" t="s">
        <v>105</v>
      </c>
      <c r="K239" s="37" t="s">
        <v>40</v>
      </c>
      <c r="L239" s="37" t="s">
        <v>49</v>
      </c>
      <c r="M239" s="37" t="s">
        <v>42</v>
      </c>
      <c r="N239" s="37" t="s">
        <v>579</v>
      </c>
      <c r="O239" s="42">
        <v>699.33</v>
      </c>
      <c r="P239" s="43" t="str">
        <f t="shared" si="24"/>
        <v>High</v>
      </c>
      <c r="Q239" s="42">
        <v>873.75</v>
      </c>
      <c r="R239" s="42">
        <v>0.23499999999999999</v>
      </c>
      <c r="S239" s="42">
        <v>10</v>
      </c>
      <c r="T239" s="42">
        <f t="shared" si="21"/>
        <v>15275.5965</v>
      </c>
      <c r="U239" s="37">
        <f t="shared" si="22"/>
        <v>6993.3</v>
      </c>
      <c r="V239" s="42">
        <f t="shared" si="25"/>
        <v>8282.2965000000004</v>
      </c>
      <c r="W239" s="44">
        <f t="shared" si="26"/>
        <v>0.5421913638527962</v>
      </c>
    </row>
    <row r="240" spans="1:23" x14ac:dyDescent="0.3">
      <c r="A240" s="45" t="s">
        <v>580</v>
      </c>
      <c r="B240" s="46">
        <v>45381</v>
      </c>
      <c r="C240" s="47">
        <v>45406</v>
      </c>
      <c r="D240" s="48">
        <f t="shared" si="27"/>
        <v>25</v>
      </c>
      <c r="E240" s="48" t="str">
        <f>TEXT(Data!B240,"MMM-YYYY")</f>
        <v>Mar-2024</v>
      </c>
      <c r="F240" s="48" t="str">
        <f t="shared" si="23"/>
        <v>Q1-2024</v>
      </c>
      <c r="G240" s="38" t="s">
        <v>52</v>
      </c>
      <c r="H240" s="38" t="s">
        <v>122</v>
      </c>
      <c r="I240" s="38" t="s">
        <v>326</v>
      </c>
      <c r="J240" s="38" t="s">
        <v>39</v>
      </c>
      <c r="K240" s="38" t="s">
        <v>28</v>
      </c>
      <c r="L240" s="38" t="s">
        <v>41</v>
      </c>
      <c r="M240" s="38" t="s">
        <v>57</v>
      </c>
      <c r="N240" s="38" t="s">
        <v>581</v>
      </c>
      <c r="O240" s="48">
        <v>160.82</v>
      </c>
      <c r="P240" s="49" t="str">
        <f t="shared" si="24"/>
        <v>High</v>
      </c>
      <c r="Q240" s="48">
        <v>258.52</v>
      </c>
      <c r="R240" s="48">
        <v>0.13</v>
      </c>
      <c r="S240" s="48">
        <v>17</v>
      </c>
      <c r="T240" s="48">
        <f t="shared" si="21"/>
        <v>13631.647199999999</v>
      </c>
      <c r="U240" s="38">
        <f t="shared" si="22"/>
        <v>2733.94</v>
      </c>
      <c r="V240" s="48">
        <f t="shared" si="25"/>
        <v>10897.707199999999</v>
      </c>
      <c r="W240" s="50">
        <f t="shared" si="26"/>
        <v>0.79944169916604058</v>
      </c>
    </row>
    <row r="241" spans="1:23" x14ac:dyDescent="0.3">
      <c r="A241" s="39" t="s">
        <v>582</v>
      </c>
      <c r="B241" s="40">
        <v>45188</v>
      </c>
      <c r="C241" s="41">
        <v>45207</v>
      </c>
      <c r="D241" s="42">
        <f t="shared" si="27"/>
        <v>19</v>
      </c>
      <c r="E241" s="42" t="str">
        <f>TEXT(Data!B241,"MMM-YYYY")</f>
        <v>Sept-2023</v>
      </c>
      <c r="F241" s="42" t="str">
        <f t="shared" si="23"/>
        <v>Q3-2023</v>
      </c>
      <c r="G241" s="37" t="s">
        <v>45</v>
      </c>
      <c r="H241" s="37" t="s">
        <v>60</v>
      </c>
      <c r="I241" s="37" t="s">
        <v>61</v>
      </c>
      <c r="J241" s="37" t="s">
        <v>27</v>
      </c>
      <c r="K241" s="37" t="s">
        <v>98</v>
      </c>
      <c r="L241" s="37" t="s">
        <v>29</v>
      </c>
      <c r="M241" s="37" t="s">
        <v>30</v>
      </c>
      <c r="N241" s="37" t="s">
        <v>583</v>
      </c>
      <c r="O241" s="42">
        <v>385.32</v>
      </c>
      <c r="P241" s="43" t="str">
        <f t="shared" si="24"/>
        <v>High</v>
      </c>
      <c r="Q241" s="42">
        <v>606.76</v>
      </c>
      <c r="R241" s="42">
        <v>8.5999999999999993E-2</v>
      </c>
      <c r="S241" s="42">
        <v>8</v>
      </c>
      <c r="T241" s="42">
        <f t="shared" si="21"/>
        <v>18307.712480000002</v>
      </c>
      <c r="U241" s="37">
        <f t="shared" si="22"/>
        <v>3082.56</v>
      </c>
      <c r="V241" s="42">
        <f t="shared" si="25"/>
        <v>15225.152480000002</v>
      </c>
      <c r="W241" s="44">
        <f t="shared" si="26"/>
        <v>0.8316250594732959</v>
      </c>
    </row>
    <row r="242" spans="1:23" x14ac:dyDescent="0.3">
      <c r="A242" s="45" t="s">
        <v>584</v>
      </c>
      <c r="B242" s="46">
        <v>45793</v>
      </c>
      <c r="C242" s="47">
        <v>45804</v>
      </c>
      <c r="D242" s="48">
        <f t="shared" si="27"/>
        <v>11</v>
      </c>
      <c r="E242" s="48" t="str">
        <f>TEXT(Data!B242,"MMM-YYYY")</f>
        <v>May-2025</v>
      </c>
      <c r="F242" s="48" t="str">
        <f t="shared" si="23"/>
        <v>Q2-2025</v>
      </c>
      <c r="G242" s="38" t="s">
        <v>45</v>
      </c>
      <c r="H242" s="38" t="s">
        <v>116</v>
      </c>
      <c r="I242" s="38" t="s">
        <v>338</v>
      </c>
      <c r="J242" s="38" t="s">
        <v>105</v>
      </c>
      <c r="K242" s="38" t="s">
        <v>28</v>
      </c>
      <c r="L242" s="38" t="s">
        <v>84</v>
      </c>
      <c r="M242" s="38" t="s">
        <v>42</v>
      </c>
      <c r="N242" s="38" t="s">
        <v>585</v>
      </c>
      <c r="O242" s="48">
        <v>918.12</v>
      </c>
      <c r="P242" s="49" t="str">
        <f t="shared" si="24"/>
        <v>High</v>
      </c>
      <c r="Q242" s="48">
        <v>1337.69</v>
      </c>
      <c r="R242" s="48">
        <v>9.5000000000000001E-2</v>
      </c>
      <c r="S242" s="48">
        <v>8</v>
      </c>
      <c r="T242" s="48">
        <f t="shared" si="21"/>
        <v>17830.4548</v>
      </c>
      <c r="U242" s="38">
        <f t="shared" si="22"/>
        <v>7344.96</v>
      </c>
      <c r="V242" s="48">
        <f t="shared" si="25"/>
        <v>10485.4948</v>
      </c>
      <c r="W242" s="50">
        <f t="shared" si="26"/>
        <v>0.58806659267042372</v>
      </c>
    </row>
    <row r="243" spans="1:23" x14ac:dyDescent="0.3">
      <c r="A243" s="39" t="s">
        <v>586</v>
      </c>
      <c r="B243" s="40">
        <v>45871</v>
      </c>
      <c r="C243" s="41">
        <v>45877</v>
      </c>
      <c r="D243" s="42">
        <f t="shared" si="27"/>
        <v>6</v>
      </c>
      <c r="E243" s="42" t="str">
        <f>TEXT(Data!B243,"MMM-YYYY")</f>
        <v>Aug-2025</v>
      </c>
      <c r="F243" s="42" t="str">
        <f t="shared" si="23"/>
        <v>Q3-2025</v>
      </c>
      <c r="G243" s="37" t="s">
        <v>45</v>
      </c>
      <c r="H243" s="37" t="s">
        <v>46</v>
      </c>
      <c r="I243" s="37" t="s">
        <v>47</v>
      </c>
      <c r="J243" s="37" t="s">
        <v>48</v>
      </c>
      <c r="K243" s="37" t="s">
        <v>98</v>
      </c>
      <c r="L243" s="37" t="s">
        <v>126</v>
      </c>
      <c r="M243" s="37" t="s">
        <v>57</v>
      </c>
      <c r="N243" s="37" t="s">
        <v>587</v>
      </c>
      <c r="O243" s="42">
        <v>1225.94</v>
      </c>
      <c r="P243" s="43" t="str">
        <f t="shared" si="24"/>
        <v>High</v>
      </c>
      <c r="Q243" s="42">
        <v>1793.08</v>
      </c>
      <c r="R243" s="42">
        <v>0.13600000000000001</v>
      </c>
      <c r="S243" s="42">
        <v>22</v>
      </c>
      <c r="T243" s="42">
        <f t="shared" si="21"/>
        <v>9431.7695999999996</v>
      </c>
      <c r="U243" s="37">
        <f t="shared" si="22"/>
        <v>26970.68</v>
      </c>
      <c r="V243" s="42">
        <f t="shared" si="25"/>
        <v>-17538.910400000001</v>
      </c>
      <c r="W243" s="44">
        <f t="shared" si="26"/>
        <v>-1.8595567050323198</v>
      </c>
    </row>
    <row r="244" spans="1:23" x14ac:dyDescent="0.3">
      <c r="A244" s="45" t="s">
        <v>588</v>
      </c>
      <c r="B244" s="46">
        <v>45630</v>
      </c>
      <c r="C244" s="47">
        <v>45638</v>
      </c>
      <c r="D244" s="48">
        <f t="shared" si="27"/>
        <v>8</v>
      </c>
      <c r="E244" s="48" t="str">
        <f>TEXT(Data!B244,"MMM-YYYY")</f>
        <v>Dec-2024</v>
      </c>
      <c r="F244" s="48" t="str">
        <f t="shared" si="23"/>
        <v>Q4-2024</v>
      </c>
      <c r="G244" s="38" t="s">
        <v>78</v>
      </c>
      <c r="H244" s="38" t="s">
        <v>79</v>
      </c>
      <c r="I244" s="38" t="s">
        <v>335</v>
      </c>
      <c r="J244" s="38" t="s">
        <v>105</v>
      </c>
      <c r="K244" s="38" t="s">
        <v>40</v>
      </c>
      <c r="L244" s="38" t="s">
        <v>56</v>
      </c>
      <c r="M244" s="38" t="s">
        <v>30</v>
      </c>
      <c r="N244" s="38" t="s">
        <v>589</v>
      </c>
      <c r="O244" s="48">
        <v>72.06</v>
      </c>
      <c r="P244" s="49" t="str">
        <f t="shared" si="24"/>
        <v>Medium</v>
      </c>
      <c r="Q244" s="48">
        <v>122.74</v>
      </c>
      <c r="R244" s="48">
        <v>0.23799999999999999</v>
      </c>
      <c r="S244" s="48">
        <v>8</v>
      </c>
      <c r="T244" s="48">
        <f t="shared" si="21"/>
        <v>5532.6686399999999</v>
      </c>
      <c r="U244" s="38">
        <f t="shared" si="22"/>
        <v>576.48</v>
      </c>
      <c r="V244" s="48">
        <f t="shared" si="25"/>
        <v>4956.1886400000003</v>
      </c>
      <c r="W244" s="50">
        <f t="shared" si="26"/>
        <v>0.89580435093615152</v>
      </c>
    </row>
    <row r="245" spans="1:23" x14ac:dyDescent="0.3">
      <c r="A245" s="39" t="s">
        <v>590</v>
      </c>
      <c r="B245" s="40">
        <v>45035</v>
      </c>
      <c r="C245" s="41">
        <v>45044</v>
      </c>
      <c r="D245" s="42">
        <f t="shared" si="27"/>
        <v>9</v>
      </c>
      <c r="E245" s="42" t="str">
        <f>TEXT(Data!B245,"MMM-YYYY")</f>
        <v>Apr-2023</v>
      </c>
      <c r="F245" s="42" t="str">
        <f t="shared" si="23"/>
        <v>Q2-2023</v>
      </c>
      <c r="G245" s="37" t="s">
        <v>52</v>
      </c>
      <c r="H245" s="37" t="s">
        <v>73</v>
      </c>
      <c r="I245" s="37" t="s">
        <v>225</v>
      </c>
      <c r="J245" s="37" t="s">
        <v>19</v>
      </c>
      <c r="K245" s="37" t="s">
        <v>55</v>
      </c>
      <c r="L245" s="37" t="s">
        <v>110</v>
      </c>
      <c r="M245" s="37" t="s">
        <v>42</v>
      </c>
      <c r="N245" s="37" t="s">
        <v>591</v>
      </c>
      <c r="O245" s="42">
        <v>1013.54</v>
      </c>
      <c r="P245" s="43" t="str">
        <f t="shared" si="24"/>
        <v>High</v>
      </c>
      <c r="Q245" s="42">
        <v>927.93</v>
      </c>
      <c r="R245" s="42">
        <v>0.17499999999999999</v>
      </c>
      <c r="S245" s="42">
        <v>16</v>
      </c>
      <c r="T245" s="42">
        <f t="shared" si="21"/>
        <v>4411.308</v>
      </c>
      <c r="U245" s="37">
        <f t="shared" si="22"/>
        <v>16216.64</v>
      </c>
      <c r="V245" s="42">
        <f t="shared" si="25"/>
        <v>-11805.331999999999</v>
      </c>
      <c r="W245" s="44">
        <f t="shared" si="26"/>
        <v>-2.6761522886182507</v>
      </c>
    </row>
    <row r="246" spans="1:23" x14ac:dyDescent="0.3">
      <c r="A246" s="45" t="s">
        <v>592</v>
      </c>
      <c r="B246" s="46">
        <v>45357</v>
      </c>
      <c r="C246" s="47">
        <v>45377</v>
      </c>
      <c r="D246" s="48">
        <f t="shared" si="27"/>
        <v>20</v>
      </c>
      <c r="E246" s="48" t="str">
        <f>TEXT(Data!B246,"MMM-YYYY")</f>
        <v>Mar-2024</v>
      </c>
      <c r="F246" s="48" t="str">
        <f t="shared" si="23"/>
        <v>Q1-2024</v>
      </c>
      <c r="G246" s="38" t="s">
        <v>16</v>
      </c>
      <c r="H246" s="38" t="s">
        <v>25</v>
      </c>
      <c r="I246" s="38" t="s">
        <v>26</v>
      </c>
      <c r="J246" s="38" t="s">
        <v>48</v>
      </c>
      <c r="K246" s="38" t="s">
        <v>40</v>
      </c>
      <c r="L246" s="38" t="s">
        <v>34</v>
      </c>
      <c r="M246" s="38" t="s">
        <v>42</v>
      </c>
      <c r="N246" s="38" t="s">
        <v>593</v>
      </c>
      <c r="O246" s="48">
        <v>65.64</v>
      </c>
      <c r="P246" s="49" t="str">
        <f t="shared" si="24"/>
        <v>Medium</v>
      </c>
      <c r="Q246" s="48">
        <v>151.88</v>
      </c>
      <c r="R246" s="48">
        <v>0.16700000000000001</v>
      </c>
      <c r="S246" s="48">
        <v>23</v>
      </c>
      <c r="T246" s="48">
        <f t="shared" si="21"/>
        <v>10322.677609999999</v>
      </c>
      <c r="U246" s="38">
        <f t="shared" si="22"/>
        <v>1509.72</v>
      </c>
      <c r="V246" s="48">
        <f t="shared" si="25"/>
        <v>8812.9576099999995</v>
      </c>
      <c r="W246" s="50">
        <f t="shared" si="26"/>
        <v>0.8537472488206479</v>
      </c>
    </row>
    <row r="247" spans="1:23" x14ac:dyDescent="0.3">
      <c r="A247" s="39" t="s">
        <v>594</v>
      </c>
      <c r="B247" s="40">
        <v>45338</v>
      </c>
      <c r="C247" s="41">
        <v>45355</v>
      </c>
      <c r="D247" s="42">
        <f t="shared" si="27"/>
        <v>17</v>
      </c>
      <c r="E247" s="42" t="str">
        <f>TEXT(Data!B247,"MMM-YYYY")</f>
        <v>Feb-2024</v>
      </c>
      <c r="F247" s="42" t="str">
        <f t="shared" si="23"/>
        <v>Q1-2024</v>
      </c>
      <c r="G247" s="37" t="s">
        <v>52</v>
      </c>
      <c r="H247" s="37" t="s">
        <v>53</v>
      </c>
      <c r="I247" s="37" t="s">
        <v>144</v>
      </c>
      <c r="J247" s="37" t="s">
        <v>39</v>
      </c>
      <c r="K247" s="37" t="s">
        <v>20</v>
      </c>
      <c r="L247" s="37" t="s">
        <v>145</v>
      </c>
      <c r="M247" s="37" t="s">
        <v>57</v>
      </c>
      <c r="N247" s="37" t="s">
        <v>595</v>
      </c>
      <c r="O247" s="42">
        <v>1350.98</v>
      </c>
      <c r="P247" s="43" t="str">
        <f t="shared" si="24"/>
        <v>High</v>
      </c>
      <c r="Q247" s="42">
        <v>2210.4</v>
      </c>
      <c r="R247" s="42">
        <v>0.26300000000000001</v>
      </c>
      <c r="S247" s="42">
        <v>6</v>
      </c>
      <c r="T247" s="42">
        <f t="shared" si="21"/>
        <v>6352.3798799999995</v>
      </c>
      <c r="U247" s="37">
        <f t="shared" si="22"/>
        <v>8105.88</v>
      </c>
      <c r="V247" s="42">
        <f t="shared" si="25"/>
        <v>-1753.5001200000006</v>
      </c>
      <c r="W247" s="44">
        <f t="shared" si="26"/>
        <v>-0.27603829637468102</v>
      </c>
    </row>
    <row r="248" spans="1:23" x14ac:dyDescent="0.3">
      <c r="A248" s="45" t="s">
        <v>596</v>
      </c>
      <c r="B248" s="46">
        <v>45769</v>
      </c>
      <c r="C248" s="47">
        <v>45779</v>
      </c>
      <c r="D248" s="48">
        <f t="shared" si="27"/>
        <v>10</v>
      </c>
      <c r="E248" s="48" t="str">
        <f>TEXT(Data!B248,"MMM-YYYY")</f>
        <v>Apr-2025</v>
      </c>
      <c r="F248" s="48" t="str">
        <f t="shared" si="23"/>
        <v>Q2-2025</v>
      </c>
      <c r="G248" s="38" t="s">
        <v>78</v>
      </c>
      <c r="H248" s="38" t="s">
        <v>79</v>
      </c>
      <c r="I248" s="38" t="s">
        <v>80</v>
      </c>
      <c r="J248" s="38" t="s">
        <v>19</v>
      </c>
      <c r="K248" s="38" t="s">
        <v>40</v>
      </c>
      <c r="L248" s="38" t="s">
        <v>21</v>
      </c>
      <c r="M248" s="38" t="s">
        <v>64</v>
      </c>
      <c r="N248" s="38" t="s">
        <v>597</v>
      </c>
      <c r="O248" s="48">
        <v>20.149999999999999</v>
      </c>
      <c r="P248" s="49" t="str">
        <f t="shared" si="24"/>
        <v>Low</v>
      </c>
      <c r="Q248" s="48">
        <v>39.74</v>
      </c>
      <c r="R248" s="48">
        <v>0.151</v>
      </c>
      <c r="S248" s="48">
        <v>18</v>
      </c>
      <c r="T248" s="48">
        <f t="shared" si="21"/>
        <v>26996.417099999999</v>
      </c>
      <c r="U248" s="38">
        <f t="shared" si="22"/>
        <v>362.7</v>
      </c>
      <c r="V248" s="48">
        <f t="shared" si="25"/>
        <v>26633.717099999998</v>
      </c>
      <c r="W248" s="50">
        <f t="shared" si="26"/>
        <v>0.98656488382675045</v>
      </c>
    </row>
    <row r="249" spans="1:23" x14ac:dyDescent="0.3">
      <c r="A249" s="39" t="s">
        <v>598</v>
      </c>
      <c r="B249" s="40">
        <v>45604</v>
      </c>
      <c r="C249" s="41">
        <v>45604</v>
      </c>
      <c r="D249" s="42">
        <f t="shared" si="27"/>
        <v>0</v>
      </c>
      <c r="E249" s="42" t="str">
        <f>TEXT(Data!B249,"MMM-YYYY")</f>
        <v>Nov-2024</v>
      </c>
      <c r="F249" s="42" t="str">
        <f t="shared" si="23"/>
        <v>Q4-2024</v>
      </c>
      <c r="G249" s="37" t="s">
        <v>16</v>
      </c>
      <c r="H249" s="37" t="s">
        <v>17</v>
      </c>
      <c r="I249" s="37" t="s">
        <v>135</v>
      </c>
      <c r="J249" s="37" t="s">
        <v>105</v>
      </c>
      <c r="K249" s="37" t="s">
        <v>40</v>
      </c>
      <c r="L249" s="37" t="s">
        <v>110</v>
      </c>
      <c r="M249" s="37" t="s">
        <v>35</v>
      </c>
      <c r="N249" s="37" t="s">
        <v>599</v>
      </c>
      <c r="O249" s="42">
        <v>803.28</v>
      </c>
      <c r="P249" s="43" t="str">
        <f t="shared" si="24"/>
        <v>High</v>
      </c>
      <c r="Q249" s="42">
        <v>1009</v>
      </c>
      <c r="R249" s="42">
        <v>0.11</v>
      </c>
      <c r="S249" s="42">
        <v>4</v>
      </c>
      <c r="T249" s="42">
        <f t="shared" si="21"/>
        <v>2237.6023999999998</v>
      </c>
      <c r="U249" s="37">
        <f t="shared" si="22"/>
        <v>3213.12</v>
      </c>
      <c r="V249" s="42">
        <f t="shared" si="25"/>
        <v>-975.51760000000013</v>
      </c>
      <c r="W249" s="44">
        <f t="shared" si="26"/>
        <v>-0.43596556743056775</v>
      </c>
    </row>
    <row r="250" spans="1:23" x14ac:dyDescent="0.3">
      <c r="A250" s="45" t="s">
        <v>600</v>
      </c>
      <c r="B250" s="46">
        <v>45912</v>
      </c>
      <c r="C250" s="47">
        <v>45930</v>
      </c>
      <c r="D250" s="48">
        <f t="shared" si="27"/>
        <v>18</v>
      </c>
      <c r="E250" s="48" t="str">
        <f>TEXT(Data!B250,"MMM-YYYY")</f>
        <v>Sept-2025</v>
      </c>
      <c r="F250" s="48" t="str">
        <f t="shared" si="23"/>
        <v>Q3-2025</v>
      </c>
      <c r="G250" s="38" t="s">
        <v>45</v>
      </c>
      <c r="H250" s="38" t="s">
        <v>46</v>
      </c>
      <c r="I250" s="38" t="s">
        <v>231</v>
      </c>
      <c r="J250" s="38" t="s">
        <v>39</v>
      </c>
      <c r="K250" s="38" t="s">
        <v>40</v>
      </c>
      <c r="L250" s="38" t="s">
        <v>84</v>
      </c>
      <c r="M250" s="38" t="s">
        <v>64</v>
      </c>
      <c r="N250" s="38" t="s">
        <v>601</v>
      </c>
      <c r="O250" s="48">
        <v>1212.99</v>
      </c>
      <c r="P250" s="49" t="str">
        <f t="shared" si="24"/>
        <v>High</v>
      </c>
      <c r="Q250" s="48">
        <v>1653.64</v>
      </c>
      <c r="R250" s="48">
        <v>0.107</v>
      </c>
      <c r="S250" s="48">
        <v>8</v>
      </c>
      <c r="T250" s="48">
        <f t="shared" si="21"/>
        <v>11792.958000000001</v>
      </c>
      <c r="U250" s="38">
        <f t="shared" si="22"/>
        <v>9703.92</v>
      </c>
      <c r="V250" s="48">
        <f t="shared" si="25"/>
        <v>2089.0380000000005</v>
      </c>
      <c r="W250" s="50">
        <f t="shared" si="26"/>
        <v>0.17714283388442495</v>
      </c>
    </row>
    <row r="251" spans="1:23" x14ac:dyDescent="0.3">
      <c r="A251" s="39" t="s">
        <v>602</v>
      </c>
      <c r="B251" s="40">
        <v>45537</v>
      </c>
      <c r="C251" s="41">
        <v>45543</v>
      </c>
      <c r="D251" s="42">
        <f t="shared" si="27"/>
        <v>6</v>
      </c>
      <c r="E251" s="42" t="str">
        <f>TEXT(Data!B251,"MMM-YYYY")</f>
        <v>Sept-2024</v>
      </c>
      <c r="F251" s="42" t="str">
        <f t="shared" si="23"/>
        <v>Q3-2024</v>
      </c>
      <c r="G251" s="37" t="s">
        <v>52</v>
      </c>
      <c r="H251" s="37" t="s">
        <v>122</v>
      </c>
      <c r="I251" s="37" t="s">
        <v>326</v>
      </c>
      <c r="J251" s="37" t="s">
        <v>48</v>
      </c>
      <c r="K251" s="37" t="s">
        <v>98</v>
      </c>
      <c r="L251" s="37" t="s">
        <v>92</v>
      </c>
      <c r="M251" s="37" t="s">
        <v>22</v>
      </c>
      <c r="N251" s="37" t="s">
        <v>603</v>
      </c>
      <c r="O251" s="42">
        <v>462.94</v>
      </c>
      <c r="P251" s="43" t="str">
        <f t="shared" si="24"/>
        <v>High</v>
      </c>
      <c r="Q251" s="42">
        <v>1015.7</v>
      </c>
      <c r="R251" s="42">
        <v>0.14299999999999999</v>
      </c>
      <c r="S251" s="42">
        <v>14</v>
      </c>
      <c r="T251" s="42">
        <f t="shared" si="21"/>
        <v>26961.185719999998</v>
      </c>
      <c r="U251" s="37">
        <f t="shared" si="22"/>
        <v>6481.16</v>
      </c>
      <c r="V251" s="42">
        <f t="shared" si="25"/>
        <v>20480.025719999998</v>
      </c>
      <c r="W251" s="44">
        <f t="shared" si="26"/>
        <v>0.75961146266678359</v>
      </c>
    </row>
    <row r="252" spans="1:23" x14ac:dyDescent="0.3">
      <c r="A252" s="45" t="s">
        <v>604</v>
      </c>
      <c r="B252" s="46">
        <v>44989</v>
      </c>
      <c r="C252" s="47">
        <v>45009</v>
      </c>
      <c r="D252" s="48">
        <f t="shared" si="27"/>
        <v>20</v>
      </c>
      <c r="E252" s="48" t="str">
        <f>TEXT(Data!B252,"MMM-YYYY")</f>
        <v>Mar-2023</v>
      </c>
      <c r="F252" s="48" t="str">
        <f t="shared" si="23"/>
        <v>Q1-2023</v>
      </c>
      <c r="G252" s="38" t="s">
        <v>52</v>
      </c>
      <c r="H252" s="38" t="s">
        <v>53</v>
      </c>
      <c r="I252" s="38" t="s">
        <v>144</v>
      </c>
      <c r="J252" s="38" t="s">
        <v>48</v>
      </c>
      <c r="K252" s="38" t="s">
        <v>55</v>
      </c>
      <c r="L252" s="38" t="s">
        <v>34</v>
      </c>
      <c r="M252" s="38" t="s">
        <v>57</v>
      </c>
      <c r="N252" s="38" t="s">
        <v>605</v>
      </c>
      <c r="O252" s="48">
        <v>481.71</v>
      </c>
      <c r="P252" s="49" t="str">
        <f t="shared" si="24"/>
        <v>High</v>
      </c>
      <c r="Q252" s="48">
        <v>912.45</v>
      </c>
      <c r="R252" s="48">
        <v>0.20300000000000001</v>
      </c>
      <c r="S252" s="48">
        <v>24</v>
      </c>
      <c r="T252" s="48">
        <f t="shared" si="21"/>
        <v>17084.938320000001</v>
      </c>
      <c r="U252" s="38">
        <f t="shared" si="22"/>
        <v>11561.039999999999</v>
      </c>
      <c r="V252" s="48">
        <f t="shared" si="25"/>
        <v>5523.8983200000021</v>
      </c>
      <c r="W252" s="50">
        <f t="shared" si="26"/>
        <v>0.3233197695266834</v>
      </c>
    </row>
    <row r="253" spans="1:23" x14ac:dyDescent="0.3">
      <c r="A253" s="39" t="s">
        <v>606</v>
      </c>
      <c r="B253" s="40">
        <v>45366</v>
      </c>
      <c r="C253" s="41">
        <v>45391</v>
      </c>
      <c r="D253" s="42">
        <f t="shared" si="27"/>
        <v>25</v>
      </c>
      <c r="E253" s="42" t="str">
        <f>TEXT(Data!B253,"MMM-YYYY")</f>
        <v>Mar-2024</v>
      </c>
      <c r="F253" s="42" t="str">
        <f t="shared" si="23"/>
        <v>Q1-2024</v>
      </c>
      <c r="G253" s="37" t="s">
        <v>52</v>
      </c>
      <c r="H253" s="37" t="s">
        <v>53</v>
      </c>
      <c r="I253" s="37" t="s">
        <v>179</v>
      </c>
      <c r="J253" s="37" t="s">
        <v>48</v>
      </c>
      <c r="K253" s="37" t="s">
        <v>28</v>
      </c>
      <c r="L253" s="37" t="s">
        <v>84</v>
      </c>
      <c r="M253" s="37" t="s">
        <v>64</v>
      </c>
      <c r="N253" s="37" t="s">
        <v>607</v>
      </c>
      <c r="O253" s="42">
        <v>648.64</v>
      </c>
      <c r="P253" s="43" t="str">
        <f t="shared" si="24"/>
        <v>High</v>
      </c>
      <c r="Q253" s="42">
        <v>815.19</v>
      </c>
      <c r="R253" s="42">
        <v>0.22500000000000001</v>
      </c>
      <c r="S253" s="42">
        <v>28</v>
      </c>
      <c r="T253" s="42">
        <f t="shared" si="21"/>
        <v>50537.130000000005</v>
      </c>
      <c r="U253" s="37">
        <f t="shared" si="22"/>
        <v>18161.919999999998</v>
      </c>
      <c r="V253" s="42">
        <f t="shared" si="25"/>
        <v>32375.210000000006</v>
      </c>
      <c r="W253" s="44">
        <f t="shared" si="26"/>
        <v>0.64062225140208795</v>
      </c>
    </row>
    <row r="254" spans="1:23" x14ac:dyDescent="0.3">
      <c r="A254" s="45" t="s">
        <v>608</v>
      </c>
      <c r="B254" s="46">
        <v>45502</v>
      </c>
      <c r="C254" s="47">
        <v>45504</v>
      </c>
      <c r="D254" s="48">
        <f t="shared" si="27"/>
        <v>2</v>
      </c>
      <c r="E254" s="48" t="str">
        <f>TEXT(Data!B254,"MMM-YYYY")</f>
        <v>Jul-2024</v>
      </c>
      <c r="F254" s="48" t="str">
        <f t="shared" si="23"/>
        <v>Q3-2024</v>
      </c>
      <c r="G254" s="38" t="s">
        <v>52</v>
      </c>
      <c r="H254" s="38" t="s">
        <v>122</v>
      </c>
      <c r="I254" s="38" t="s">
        <v>387</v>
      </c>
      <c r="J254" s="38" t="s">
        <v>27</v>
      </c>
      <c r="K254" s="38" t="s">
        <v>40</v>
      </c>
      <c r="L254" s="38" t="s">
        <v>34</v>
      </c>
      <c r="M254" s="38" t="s">
        <v>30</v>
      </c>
      <c r="N254" s="38" t="s">
        <v>609</v>
      </c>
      <c r="O254" s="48">
        <v>798.97</v>
      </c>
      <c r="P254" s="49" t="str">
        <f t="shared" si="24"/>
        <v>High</v>
      </c>
      <c r="Q254" s="48">
        <v>1814.06</v>
      </c>
      <c r="R254" s="48">
        <v>0.122</v>
      </c>
      <c r="S254" s="48">
        <v>16</v>
      </c>
      <c r="T254" s="48">
        <f t="shared" si="21"/>
        <v>29033.704000000002</v>
      </c>
      <c r="U254" s="38">
        <f t="shared" si="22"/>
        <v>12783.52</v>
      </c>
      <c r="V254" s="48">
        <f t="shared" si="25"/>
        <v>16250.184000000001</v>
      </c>
      <c r="W254" s="50">
        <f t="shared" si="26"/>
        <v>0.55970068441835741</v>
      </c>
    </row>
    <row r="255" spans="1:23" x14ac:dyDescent="0.3">
      <c r="A255" s="39" t="s">
        <v>610</v>
      </c>
      <c r="B255" s="40">
        <v>45592</v>
      </c>
      <c r="C255" s="41">
        <v>45616</v>
      </c>
      <c r="D255" s="42">
        <f t="shared" si="27"/>
        <v>24</v>
      </c>
      <c r="E255" s="42" t="str">
        <f>TEXT(Data!B255,"MMM-YYYY")</f>
        <v>Oct-2024</v>
      </c>
      <c r="F255" s="42" t="str">
        <f t="shared" si="23"/>
        <v>Q4-2024</v>
      </c>
      <c r="G255" s="37" t="s">
        <v>45</v>
      </c>
      <c r="H255" s="37" t="s">
        <v>46</v>
      </c>
      <c r="I255" s="37" t="s">
        <v>231</v>
      </c>
      <c r="J255" s="37" t="s">
        <v>39</v>
      </c>
      <c r="K255" s="37" t="s">
        <v>28</v>
      </c>
      <c r="L255" s="37" t="s">
        <v>92</v>
      </c>
      <c r="M255" s="37" t="s">
        <v>64</v>
      </c>
      <c r="N255" s="37" t="s">
        <v>611</v>
      </c>
      <c r="O255" s="42">
        <v>317.25</v>
      </c>
      <c r="P255" s="43" t="str">
        <f t="shared" si="24"/>
        <v>High</v>
      </c>
      <c r="Q255" s="42">
        <v>758.92</v>
      </c>
      <c r="R255" s="42">
        <v>5.2999999999999999E-2</v>
      </c>
      <c r="S255" s="42">
        <v>9</v>
      </c>
      <c r="T255" s="42">
        <f t="shared" si="21"/>
        <v>18599.828130000002</v>
      </c>
      <c r="U255" s="37">
        <f t="shared" si="22"/>
        <v>2855.25</v>
      </c>
      <c r="V255" s="42">
        <f t="shared" si="25"/>
        <v>15744.578130000002</v>
      </c>
      <c r="W255" s="44">
        <f t="shared" si="26"/>
        <v>0.84649051700672895</v>
      </c>
    </row>
    <row r="256" spans="1:23" x14ac:dyDescent="0.3">
      <c r="A256" s="45" t="s">
        <v>612</v>
      </c>
      <c r="B256" s="46">
        <v>45411</v>
      </c>
      <c r="C256" s="47">
        <v>45431</v>
      </c>
      <c r="D256" s="48">
        <f t="shared" si="27"/>
        <v>20</v>
      </c>
      <c r="E256" s="48" t="str">
        <f>TEXT(Data!B256,"MMM-YYYY")</f>
        <v>Apr-2024</v>
      </c>
      <c r="F256" s="48" t="str">
        <f t="shared" si="23"/>
        <v>Q2-2024</v>
      </c>
      <c r="G256" s="38" t="s">
        <v>78</v>
      </c>
      <c r="H256" s="38" t="s">
        <v>79</v>
      </c>
      <c r="I256" s="38" t="s">
        <v>335</v>
      </c>
      <c r="J256" s="38" t="s">
        <v>105</v>
      </c>
      <c r="K256" s="38" t="s">
        <v>40</v>
      </c>
      <c r="L256" s="38" t="s">
        <v>21</v>
      </c>
      <c r="M256" s="38" t="s">
        <v>57</v>
      </c>
      <c r="N256" s="38" t="s">
        <v>613</v>
      </c>
      <c r="O256" s="48">
        <v>668.97</v>
      </c>
      <c r="P256" s="49" t="str">
        <f t="shared" si="24"/>
        <v>High</v>
      </c>
      <c r="Q256" s="48">
        <v>1667.44</v>
      </c>
      <c r="R256" s="48">
        <v>3.4000000000000002E-2</v>
      </c>
      <c r="S256" s="48">
        <v>15</v>
      </c>
      <c r="T256" s="48">
        <f t="shared" si="21"/>
        <v>39508.723799999992</v>
      </c>
      <c r="U256" s="38">
        <f t="shared" si="22"/>
        <v>10034.550000000001</v>
      </c>
      <c r="V256" s="48">
        <f t="shared" si="25"/>
        <v>29474.17379999999</v>
      </c>
      <c r="W256" s="50">
        <f t="shared" si="26"/>
        <v>0.74601685311839905</v>
      </c>
    </row>
    <row r="257" spans="1:23" x14ac:dyDescent="0.3">
      <c r="A257" s="39" t="s">
        <v>614</v>
      </c>
      <c r="B257" s="40">
        <v>45204</v>
      </c>
      <c r="C257" s="41">
        <v>45205</v>
      </c>
      <c r="D257" s="42">
        <f t="shared" si="27"/>
        <v>1</v>
      </c>
      <c r="E257" s="42" t="str">
        <f>TEXT(Data!B257,"MMM-YYYY")</f>
        <v>Oct-2023</v>
      </c>
      <c r="F257" s="42" t="str">
        <f t="shared" si="23"/>
        <v>Q4-2023</v>
      </c>
      <c r="G257" s="37" t="s">
        <v>45</v>
      </c>
      <c r="H257" s="37" t="s">
        <v>60</v>
      </c>
      <c r="I257" s="37" t="s">
        <v>61</v>
      </c>
      <c r="J257" s="37" t="s">
        <v>39</v>
      </c>
      <c r="K257" s="37" t="s">
        <v>28</v>
      </c>
      <c r="L257" s="37" t="s">
        <v>34</v>
      </c>
      <c r="M257" s="37" t="s">
        <v>22</v>
      </c>
      <c r="N257" s="37" t="s">
        <v>615</v>
      </c>
      <c r="O257" s="42">
        <v>1470.26</v>
      </c>
      <c r="P257" s="43" t="str">
        <f t="shared" si="24"/>
        <v>High</v>
      </c>
      <c r="Q257" s="42">
        <v>2562.5500000000002</v>
      </c>
      <c r="R257" s="42">
        <v>0.17299999999999999</v>
      </c>
      <c r="S257" s="42">
        <v>9</v>
      </c>
      <c r="T257" s="42">
        <f t="shared" ref="T257:T320" si="28">(Q283*S257)*(1-R257)</f>
        <v>828.33146999999997</v>
      </c>
      <c r="U257" s="37">
        <f t="shared" ref="U257:U320" si="29">(O257*S257)</f>
        <v>13232.34</v>
      </c>
      <c r="V257" s="42">
        <f t="shared" si="25"/>
        <v>-12404.008530000001</v>
      </c>
      <c r="W257" s="44">
        <f t="shared" si="26"/>
        <v>-14.974691870634834</v>
      </c>
    </row>
    <row r="258" spans="1:23" x14ac:dyDescent="0.3">
      <c r="A258" s="45" t="s">
        <v>616</v>
      </c>
      <c r="B258" s="46">
        <v>45035</v>
      </c>
      <c r="C258" s="47">
        <v>45053</v>
      </c>
      <c r="D258" s="48">
        <f t="shared" si="27"/>
        <v>18</v>
      </c>
      <c r="E258" s="48" t="str">
        <f>TEXT(Data!B258,"MMM-YYYY")</f>
        <v>Apr-2023</v>
      </c>
      <c r="F258" s="48" t="str">
        <f t="shared" ref="F258:F321" si="30">"Q"&amp;ROUNDUP(MONTH(B258)/3,0)&amp;"-"&amp;YEAR(B258)</f>
        <v>Q2-2023</v>
      </c>
      <c r="G258" s="38" t="s">
        <v>78</v>
      </c>
      <c r="H258" s="38" t="s">
        <v>108</v>
      </c>
      <c r="I258" s="38" t="s">
        <v>152</v>
      </c>
      <c r="J258" s="38" t="s">
        <v>39</v>
      </c>
      <c r="K258" s="38" t="s">
        <v>98</v>
      </c>
      <c r="L258" s="38" t="s">
        <v>92</v>
      </c>
      <c r="M258" s="38" t="s">
        <v>35</v>
      </c>
      <c r="N258" s="38" t="s">
        <v>617</v>
      </c>
      <c r="O258" s="48">
        <v>516.96</v>
      </c>
      <c r="P258" s="49" t="str">
        <f t="shared" ref="P258:P321" si="31">IF(Q258&lt;50, "Low", IF(Q258&lt;200, "Medium", "High"))</f>
        <v>High</v>
      </c>
      <c r="Q258" s="48">
        <v>745.38</v>
      </c>
      <c r="R258" s="48">
        <v>0.19700000000000001</v>
      </c>
      <c r="S258" s="48">
        <v>4</v>
      </c>
      <c r="T258" s="48">
        <f t="shared" si="28"/>
        <v>3533.4890799999994</v>
      </c>
      <c r="U258" s="38">
        <f t="shared" si="29"/>
        <v>2067.84</v>
      </c>
      <c r="V258" s="48">
        <f t="shared" ref="V258:V321" si="32">(T258-U258)</f>
        <v>1465.6490799999992</v>
      </c>
      <c r="W258" s="50">
        <f t="shared" ref="W258:W321" si="33">IF(T258=0, 0, V258/T258)</f>
        <v>0.41478805985159561</v>
      </c>
    </row>
    <row r="259" spans="1:23" x14ac:dyDescent="0.3">
      <c r="A259" s="39" t="s">
        <v>618</v>
      </c>
      <c r="B259" s="40">
        <v>45835</v>
      </c>
      <c r="C259" s="41">
        <v>45843</v>
      </c>
      <c r="D259" s="42">
        <f t="shared" ref="D259:D321" si="34">DATEDIF(B259,C259, "MD")</f>
        <v>8</v>
      </c>
      <c r="E259" s="42" t="str">
        <f>TEXT(Data!B259,"MMM-YYYY")</f>
        <v>Jun-2025</v>
      </c>
      <c r="F259" s="42" t="str">
        <f t="shared" si="30"/>
        <v>Q2-2025</v>
      </c>
      <c r="G259" s="37" t="s">
        <v>78</v>
      </c>
      <c r="H259" s="37" t="s">
        <v>79</v>
      </c>
      <c r="I259" s="37" t="s">
        <v>159</v>
      </c>
      <c r="J259" s="37" t="s">
        <v>62</v>
      </c>
      <c r="K259" s="37" t="s">
        <v>98</v>
      </c>
      <c r="L259" s="37" t="s">
        <v>41</v>
      </c>
      <c r="M259" s="37" t="s">
        <v>64</v>
      </c>
      <c r="N259" s="37" t="s">
        <v>619</v>
      </c>
      <c r="O259" s="42">
        <v>314.93</v>
      </c>
      <c r="P259" s="43" t="str">
        <f t="shared" si="31"/>
        <v>High</v>
      </c>
      <c r="Q259" s="42">
        <v>687.95</v>
      </c>
      <c r="R259" s="42">
        <v>0.20499999999999999</v>
      </c>
      <c r="S259" s="42">
        <v>8</v>
      </c>
      <c r="T259" s="42">
        <f t="shared" si="28"/>
        <v>9725.3304000000007</v>
      </c>
      <c r="U259" s="37">
        <f t="shared" si="29"/>
        <v>2519.44</v>
      </c>
      <c r="V259" s="42">
        <f t="shared" si="32"/>
        <v>7205.8904000000002</v>
      </c>
      <c r="W259" s="44">
        <f t="shared" si="33"/>
        <v>0.74094042090333501</v>
      </c>
    </row>
    <row r="260" spans="1:23" x14ac:dyDescent="0.3">
      <c r="A260" s="45" t="s">
        <v>620</v>
      </c>
      <c r="B260" s="46">
        <v>45210</v>
      </c>
      <c r="C260" s="47">
        <v>45212</v>
      </c>
      <c r="D260" s="48">
        <f t="shared" si="34"/>
        <v>2</v>
      </c>
      <c r="E260" s="48" t="str">
        <f>TEXT(Data!B260,"MMM-YYYY")</f>
        <v>Oct-2023</v>
      </c>
      <c r="F260" s="48" t="str">
        <f t="shared" si="30"/>
        <v>Q4-2023</v>
      </c>
      <c r="G260" s="38" t="s">
        <v>52</v>
      </c>
      <c r="H260" s="38" t="s">
        <v>73</v>
      </c>
      <c r="I260" s="38" t="s">
        <v>87</v>
      </c>
      <c r="J260" s="38" t="s">
        <v>48</v>
      </c>
      <c r="K260" s="38" t="s">
        <v>55</v>
      </c>
      <c r="L260" s="38" t="s">
        <v>1364</v>
      </c>
      <c r="M260" s="38" t="s">
        <v>81</v>
      </c>
      <c r="N260" s="38" t="s">
        <v>621</v>
      </c>
      <c r="O260" s="48">
        <v>715.94</v>
      </c>
      <c r="P260" s="49" t="str">
        <f t="shared" si="31"/>
        <v>High</v>
      </c>
      <c r="Q260" s="48">
        <v>550.07000000000005</v>
      </c>
      <c r="R260" s="48">
        <v>0.14000000000000001</v>
      </c>
      <c r="S260" s="48">
        <v>16</v>
      </c>
      <c r="T260" s="48">
        <f t="shared" si="28"/>
        <v>10026.7744</v>
      </c>
      <c r="U260" s="38">
        <f t="shared" si="29"/>
        <v>11455.04</v>
      </c>
      <c r="V260" s="48">
        <f t="shared" si="32"/>
        <v>-1428.2656000000006</v>
      </c>
      <c r="W260" s="50">
        <f t="shared" si="33"/>
        <v>-0.14244517159975201</v>
      </c>
    </row>
    <row r="261" spans="1:23" x14ac:dyDescent="0.3">
      <c r="A261" s="39" t="s">
        <v>622</v>
      </c>
      <c r="B261" s="40">
        <v>45066</v>
      </c>
      <c r="C261" s="41">
        <v>45084</v>
      </c>
      <c r="D261" s="42">
        <f t="shared" si="34"/>
        <v>18</v>
      </c>
      <c r="E261" s="42" t="str">
        <f>TEXT(Data!B261,"MMM-YYYY")</f>
        <v>May-2023</v>
      </c>
      <c r="F261" s="42" t="str">
        <f t="shared" si="30"/>
        <v>Q2-2023</v>
      </c>
      <c r="G261" s="37" t="s">
        <v>16</v>
      </c>
      <c r="H261" s="37" t="s">
        <v>25</v>
      </c>
      <c r="I261" s="37" t="s">
        <v>26</v>
      </c>
      <c r="J261" s="37" t="s">
        <v>105</v>
      </c>
      <c r="K261" s="37" t="s">
        <v>55</v>
      </c>
      <c r="L261" s="37" t="s">
        <v>63</v>
      </c>
      <c r="M261" s="37" t="s">
        <v>22</v>
      </c>
      <c r="N261" s="37" t="s">
        <v>623</v>
      </c>
      <c r="O261" s="42">
        <v>1120.06</v>
      </c>
      <c r="P261" s="43" t="str">
        <f t="shared" si="31"/>
        <v>High</v>
      </c>
      <c r="Q261" s="42">
        <v>2068.21</v>
      </c>
      <c r="R261" s="42">
        <v>7.8E-2</v>
      </c>
      <c r="S261" s="42">
        <v>12</v>
      </c>
      <c r="T261" s="42">
        <f t="shared" si="28"/>
        <v>69.481920000000002</v>
      </c>
      <c r="U261" s="37">
        <f t="shared" si="29"/>
        <v>13440.72</v>
      </c>
      <c r="V261" s="42">
        <f t="shared" si="32"/>
        <v>-13371.238079999999</v>
      </c>
      <c r="W261" s="44">
        <f t="shared" si="33"/>
        <v>-192.44197742376721</v>
      </c>
    </row>
    <row r="262" spans="1:23" x14ac:dyDescent="0.3">
      <c r="A262" s="45" t="s">
        <v>624</v>
      </c>
      <c r="B262" s="46">
        <v>45073</v>
      </c>
      <c r="C262" s="47">
        <v>45096</v>
      </c>
      <c r="D262" s="48">
        <f t="shared" si="34"/>
        <v>23</v>
      </c>
      <c r="E262" s="48" t="str">
        <f>TEXT(Data!B262,"MMM-YYYY")</f>
        <v>May-2023</v>
      </c>
      <c r="F262" s="48" t="str">
        <f t="shared" si="30"/>
        <v>Q2-2023</v>
      </c>
      <c r="G262" s="38" t="s">
        <v>78</v>
      </c>
      <c r="H262" s="38" t="s">
        <v>79</v>
      </c>
      <c r="I262" s="38" t="s">
        <v>80</v>
      </c>
      <c r="J262" s="38" t="s">
        <v>27</v>
      </c>
      <c r="K262" s="38" t="s">
        <v>20</v>
      </c>
      <c r="L262" s="38" t="s">
        <v>68</v>
      </c>
      <c r="M262" s="38" t="s">
        <v>81</v>
      </c>
      <c r="N262" s="38" t="s">
        <v>625</v>
      </c>
      <c r="O262" s="48">
        <v>1471.58</v>
      </c>
      <c r="P262" s="49" t="str">
        <f t="shared" si="31"/>
        <v>High</v>
      </c>
      <c r="Q262" s="48">
        <v>2576.65</v>
      </c>
      <c r="R262" s="48">
        <v>4.0000000000000001E-3</v>
      </c>
      <c r="S262" s="48">
        <v>7</v>
      </c>
      <c r="T262" s="48">
        <f t="shared" si="28"/>
        <v>17916.436439999998</v>
      </c>
      <c r="U262" s="38">
        <f t="shared" si="29"/>
        <v>10301.06</v>
      </c>
      <c r="V262" s="48">
        <f t="shared" si="32"/>
        <v>7615.3764399999982</v>
      </c>
      <c r="W262" s="50">
        <f t="shared" si="33"/>
        <v>0.42504972824830334</v>
      </c>
    </row>
    <row r="263" spans="1:23" x14ac:dyDescent="0.3">
      <c r="A263" s="39" t="s">
        <v>626</v>
      </c>
      <c r="B263" s="40">
        <v>45142</v>
      </c>
      <c r="C263" s="41">
        <v>45162</v>
      </c>
      <c r="D263" s="42">
        <f t="shared" si="34"/>
        <v>20</v>
      </c>
      <c r="E263" s="42" t="str">
        <f>TEXT(Data!B263,"MMM-YYYY")</f>
        <v>Aug-2023</v>
      </c>
      <c r="F263" s="42" t="str">
        <f t="shared" si="30"/>
        <v>Q3-2023</v>
      </c>
      <c r="G263" s="37" t="s">
        <v>52</v>
      </c>
      <c r="H263" s="37" t="s">
        <v>73</v>
      </c>
      <c r="I263" s="37" t="s">
        <v>87</v>
      </c>
      <c r="J263" s="37" t="s">
        <v>39</v>
      </c>
      <c r="K263" s="37" t="s">
        <v>98</v>
      </c>
      <c r="L263" s="37" t="s">
        <v>1364</v>
      </c>
      <c r="M263" s="37" t="s">
        <v>35</v>
      </c>
      <c r="N263" s="37" t="s">
        <v>627</v>
      </c>
      <c r="O263" s="42">
        <v>582.88</v>
      </c>
      <c r="P263" s="43" t="str">
        <f t="shared" si="31"/>
        <v>High</v>
      </c>
      <c r="Q263" s="42">
        <v>1044.1400000000001</v>
      </c>
      <c r="R263" s="42">
        <v>0.216</v>
      </c>
      <c r="S263" s="42">
        <v>10</v>
      </c>
      <c r="T263" s="42">
        <f t="shared" si="28"/>
        <v>12481.436800000001</v>
      </c>
      <c r="U263" s="37">
        <f t="shared" si="29"/>
        <v>5828.8</v>
      </c>
      <c r="V263" s="42">
        <f t="shared" si="32"/>
        <v>6652.6368000000011</v>
      </c>
      <c r="W263" s="44">
        <f t="shared" si="33"/>
        <v>0.53300248253470306</v>
      </c>
    </row>
    <row r="264" spans="1:23" x14ac:dyDescent="0.3">
      <c r="A264" s="45" t="s">
        <v>628</v>
      </c>
      <c r="B264" s="46">
        <v>45829</v>
      </c>
      <c r="C264" s="47">
        <v>45835</v>
      </c>
      <c r="D264" s="48">
        <f t="shared" si="34"/>
        <v>6</v>
      </c>
      <c r="E264" s="48" t="str">
        <f>TEXT(Data!B264,"MMM-YYYY")</f>
        <v>Jun-2025</v>
      </c>
      <c r="F264" s="48" t="str">
        <f t="shared" si="30"/>
        <v>Q2-2025</v>
      </c>
      <c r="G264" s="38" t="s">
        <v>16</v>
      </c>
      <c r="H264" s="38" t="s">
        <v>148</v>
      </c>
      <c r="I264" s="38" t="s">
        <v>172</v>
      </c>
      <c r="J264" s="38" t="s">
        <v>105</v>
      </c>
      <c r="K264" s="38" t="s">
        <v>55</v>
      </c>
      <c r="L264" s="38" t="s">
        <v>126</v>
      </c>
      <c r="M264" s="38" t="s">
        <v>42</v>
      </c>
      <c r="N264" s="38" t="s">
        <v>629</v>
      </c>
      <c r="O264" s="48">
        <v>93.91</v>
      </c>
      <c r="P264" s="49" t="str">
        <f t="shared" si="31"/>
        <v>Medium</v>
      </c>
      <c r="Q264" s="48">
        <v>99.04</v>
      </c>
      <c r="R264" s="48">
        <v>5.7000000000000002E-2</v>
      </c>
      <c r="S264" s="48">
        <v>6</v>
      </c>
      <c r="T264" s="48">
        <f t="shared" si="28"/>
        <v>5632.3692599999995</v>
      </c>
      <c r="U264" s="38">
        <f t="shared" si="29"/>
        <v>563.46</v>
      </c>
      <c r="V264" s="48">
        <f t="shared" si="32"/>
        <v>5068.9092599999994</v>
      </c>
      <c r="W264" s="50">
        <f t="shared" si="33"/>
        <v>0.89996039428707486</v>
      </c>
    </row>
    <row r="265" spans="1:23" x14ac:dyDescent="0.3">
      <c r="A265" s="39" t="s">
        <v>630</v>
      </c>
      <c r="B265" s="40">
        <v>45763</v>
      </c>
      <c r="C265" s="41">
        <v>45773</v>
      </c>
      <c r="D265" s="42">
        <f t="shared" si="34"/>
        <v>10</v>
      </c>
      <c r="E265" s="42" t="str">
        <f>TEXT(Data!B265,"MMM-YYYY")</f>
        <v>Apr-2025</v>
      </c>
      <c r="F265" s="42" t="str">
        <f t="shared" si="30"/>
        <v>Q2-2025</v>
      </c>
      <c r="G265" s="37" t="s">
        <v>16</v>
      </c>
      <c r="H265" s="37" t="s">
        <v>25</v>
      </c>
      <c r="I265" s="37" t="s">
        <v>26</v>
      </c>
      <c r="J265" s="37" t="s">
        <v>105</v>
      </c>
      <c r="K265" s="37" t="s">
        <v>40</v>
      </c>
      <c r="L265" s="37" t="s">
        <v>84</v>
      </c>
      <c r="M265" s="37" t="s">
        <v>57</v>
      </c>
      <c r="N265" s="37" t="s">
        <v>631</v>
      </c>
      <c r="O265" s="42">
        <v>1457.44</v>
      </c>
      <c r="P265" s="43" t="str">
        <f t="shared" si="31"/>
        <v>High</v>
      </c>
      <c r="Q265" s="42">
        <v>1996.81</v>
      </c>
      <c r="R265" s="42">
        <v>0.126</v>
      </c>
      <c r="S265" s="42">
        <v>23</v>
      </c>
      <c r="T265" s="42">
        <f t="shared" si="28"/>
        <v>24932.711619999998</v>
      </c>
      <c r="U265" s="37">
        <f t="shared" si="29"/>
        <v>33521.120000000003</v>
      </c>
      <c r="V265" s="42">
        <f t="shared" si="32"/>
        <v>-8588.4083800000044</v>
      </c>
      <c r="W265" s="44">
        <f t="shared" si="33"/>
        <v>-0.3444634707566559</v>
      </c>
    </row>
    <row r="266" spans="1:23" x14ac:dyDescent="0.3">
      <c r="A266" s="45" t="s">
        <v>632</v>
      </c>
      <c r="B266" s="46">
        <v>45902</v>
      </c>
      <c r="C266" s="47">
        <v>45911</v>
      </c>
      <c r="D266" s="48">
        <f t="shared" si="34"/>
        <v>9</v>
      </c>
      <c r="E266" s="48" t="str">
        <f>TEXT(Data!B266,"MMM-YYYY")</f>
        <v>Sept-2025</v>
      </c>
      <c r="F266" s="48" t="str">
        <f t="shared" si="30"/>
        <v>Q3-2025</v>
      </c>
      <c r="G266" s="38" t="s">
        <v>52</v>
      </c>
      <c r="H266" s="38" t="s">
        <v>53</v>
      </c>
      <c r="I266" s="38" t="s">
        <v>54</v>
      </c>
      <c r="J266" s="38" t="s">
        <v>19</v>
      </c>
      <c r="K266" s="38" t="s">
        <v>55</v>
      </c>
      <c r="L266" s="38" t="s">
        <v>110</v>
      </c>
      <c r="M266" s="38" t="s">
        <v>30</v>
      </c>
      <c r="N266" s="38" t="s">
        <v>633</v>
      </c>
      <c r="O266" s="48">
        <v>1207.6300000000001</v>
      </c>
      <c r="P266" s="49" t="str">
        <f t="shared" si="31"/>
        <v>High</v>
      </c>
      <c r="Q266" s="48">
        <v>921.68</v>
      </c>
      <c r="R266" s="48">
        <v>0.19600000000000001</v>
      </c>
      <c r="S266" s="48">
        <v>17</v>
      </c>
      <c r="T266" s="48">
        <f t="shared" si="28"/>
        <v>1617.8811600000001</v>
      </c>
      <c r="U266" s="38">
        <f t="shared" si="29"/>
        <v>20529.710000000003</v>
      </c>
      <c r="V266" s="48">
        <f t="shared" si="32"/>
        <v>-18911.828840000002</v>
      </c>
      <c r="W266" s="50">
        <f t="shared" si="33"/>
        <v>-11.689257102171831</v>
      </c>
    </row>
    <row r="267" spans="1:23" x14ac:dyDescent="0.3">
      <c r="A267" s="39" t="s">
        <v>634</v>
      </c>
      <c r="B267" s="40">
        <v>45573</v>
      </c>
      <c r="C267" s="41">
        <v>45573</v>
      </c>
      <c r="D267" s="42">
        <f t="shared" si="34"/>
        <v>0</v>
      </c>
      <c r="E267" s="42" t="str">
        <f>TEXT(Data!B267,"MMM-YYYY")</f>
        <v>Oct-2024</v>
      </c>
      <c r="F267" s="42" t="str">
        <f t="shared" si="30"/>
        <v>Q4-2024</v>
      </c>
      <c r="G267" s="37" t="s">
        <v>78</v>
      </c>
      <c r="H267" s="37" t="s">
        <v>108</v>
      </c>
      <c r="I267" s="37" t="s">
        <v>152</v>
      </c>
      <c r="J267" s="37" t="s">
        <v>19</v>
      </c>
      <c r="K267" s="37" t="s">
        <v>28</v>
      </c>
      <c r="L267" s="37" t="s">
        <v>63</v>
      </c>
      <c r="M267" s="37" t="s">
        <v>64</v>
      </c>
      <c r="N267" s="37" t="s">
        <v>635</v>
      </c>
      <c r="O267" s="42">
        <v>1108.1099999999999</v>
      </c>
      <c r="P267" s="43" t="str">
        <f t="shared" si="31"/>
        <v>High</v>
      </c>
      <c r="Q267" s="42">
        <v>2503.79</v>
      </c>
      <c r="R267" s="42">
        <v>0.184</v>
      </c>
      <c r="S267" s="42">
        <v>19</v>
      </c>
      <c r="T267" s="42">
        <f t="shared" si="28"/>
        <v>32644.137120000007</v>
      </c>
      <c r="U267" s="37">
        <f t="shared" si="29"/>
        <v>21054.089999999997</v>
      </c>
      <c r="V267" s="42">
        <f t="shared" si="32"/>
        <v>11590.04712000001</v>
      </c>
      <c r="W267" s="44">
        <f t="shared" si="33"/>
        <v>0.35504222633898824</v>
      </c>
    </row>
    <row r="268" spans="1:23" x14ac:dyDescent="0.3">
      <c r="A268" s="45" t="s">
        <v>636</v>
      </c>
      <c r="B268" s="46">
        <v>45053</v>
      </c>
      <c r="C268" s="47">
        <v>45051</v>
      </c>
      <c r="D268" s="48">
        <f>DATEDIF(C268,B268, "MD")</f>
        <v>2</v>
      </c>
      <c r="E268" s="48" t="str">
        <f>TEXT(Data!B268,"MMM-YYYY")</f>
        <v>May-2023</v>
      </c>
      <c r="F268" s="48" t="str">
        <f t="shared" si="30"/>
        <v>Q2-2023</v>
      </c>
      <c r="G268" s="38" t="s">
        <v>16</v>
      </c>
      <c r="H268" s="38" t="s">
        <v>25</v>
      </c>
      <c r="I268" s="38" t="s">
        <v>26</v>
      </c>
      <c r="J268" s="38" t="s">
        <v>39</v>
      </c>
      <c r="K268" s="38" t="s">
        <v>40</v>
      </c>
      <c r="L268" s="38" t="s">
        <v>75</v>
      </c>
      <c r="M268" s="38" t="s">
        <v>22</v>
      </c>
      <c r="N268" s="38" t="s">
        <v>637</v>
      </c>
      <c r="O268" s="48">
        <v>1269.6500000000001</v>
      </c>
      <c r="P268" s="49" t="str">
        <f t="shared" si="31"/>
        <v>High</v>
      </c>
      <c r="Q268" s="48">
        <v>2462.77</v>
      </c>
      <c r="R268" s="48">
        <v>0.107</v>
      </c>
      <c r="S268" s="48">
        <v>8</v>
      </c>
      <c r="T268" s="48">
        <f t="shared" si="28"/>
        <v>3736.3119999999999</v>
      </c>
      <c r="U268" s="38">
        <f t="shared" si="29"/>
        <v>10157.200000000001</v>
      </c>
      <c r="V268" s="48">
        <f t="shared" si="32"/>
        <v>-6420.8880000000008</v>
      </c>
      <c r="W268" s="50">
        <f t="shared" si="33"/>
        <v>-1.7185095891349547</v>
      </c>
    </row>
    <row r="269" spans="1:23" x14ac:dyDescent="0.3">
      <c r="A269" s="39" t="s">
        <v>638</v>
      </c>
      <c r="B269" s="40">
        <v>45284</v>
      </c>
      <c r="C269" s="41">
        <v>45292</v>
      </c>
      <c r="D269" s="42">
        <f t="shared" si="34"/>
        <v>8</v>
      </c>
      <c r="E269" s="42" t="str">
        <f>TEXT(Data!B269,"MMM-YYYY")</f>
        <v>Dec-2023</v>
      </c>
      <c r="F269" s="42" t="str">
        <f t="shared" si="30"/>
        <v>Q4-2023</v>
      </c>
      <c r="G269" s="37" t="s">
        <v>52</v>
      </c>
      <c r="H269" s="37" t="s">
        <v>73</v>
      </c>
      <c r="I269" s="37" t="s">
        <v>74</v>
      </c>
      <c r="J269" s="37" t="s">
        <v>27</v>
      </c>
      <c r="K269" s="37" t="s">
        <v>98</v>
      </c>
      <c r="L269" s="37" t="s">
        <v>21</v>
      </c>
      <c r="M269" s="37" t="s">
        <v>42</v>
      </c>
      <c r="N269" s="37" t="s">
        <v>639</v>
      </c>
      <c r="O269" s="42">
        <v>526.49</v>
      </c>
      <c r="P269" s="43" t="str">
        <f t="shared" si="31"/>
        <v>High</v>
      </c>
      <c r="Q269" s="42">
        <v>496.2</v>
      </c>
      <c r="R269" s="42">
        <v>0</v>
      </c>
      <c r="S269" s="42">
        <v>14</v>
      </c>
      <c r="T269" s="42">
        <f t="shared" si="28"/>
        <v>15054.199999999999</v>
      </c>
      <c r="U269" s="37">
        <f t="shared" si="29"/>
        <v>7370.8600000000006</v>
      </c>
      <c r="V269" s="42">
        <f t="shared" si="32"/>
        <v>7683.3399999999983</v>
      </c>
      <c r="W269" s="44">
        <f t="shared" si="33"/>
        <v>0.51037849902352828</v>
      </c>
    </row>
    <row r="270" spans="1:23" x14ac:dyDescent="0.3">
      <c r="A270" s="45" t="s">
        <v>640</v>
      </c>
      <c r="B270" s="46">
        <v>45301</v>
      </c>
      <c r="C270" s="47">
        <v>45314</v>
      </c>
      <c r="D270" s="48">
        <f t="shared" si="34"/>
        <v>13</v>
      </c>
      <c r="E270" s="48" t="str">
        <f>TEXT(Data!B270,"MMM-YYYY")</f>
        <v>Jan-2024</v>
      </c>
      <c r="F270" s="48" t="str">
        <f t="shared" si="30"/>
        <v>Q1-2024</v>
      </c>
      <c r="G270" s="38" t="s">
        <v>78</v>
      </c>
      <c r="H270" s="38" t="s">
        <v>90</v>
      </c>
      <c r="I270" s="38" t="s">
        <v>91</v>
      </c>
      <c r="J270" s="38" t="s">
        <v>19</v>
      </c>
      <c r="K270" s="38" t="s">
        <v>98</v>
      </c>
      <c r="L270" s="38" t="s">
        <v>75</v>
      </c>
      <c r="M270" s="38" t="s">
        <v>30</v>
      </c>
      <c r="N270" s="38" t="s">
        <v>641</v>
      </c>
      <c r="O270" s="48">
        <v>720</v>
      </c>
      <c r="P270" s="49" t="str">
        <f t="shared" si="31"/>
        <v>High</v>
      </c>
      <c r="Q270" s="48">
        <v>907.59</v>
      </c>
      <c r="R270" s="48">
        <v>0.154</v>
      </c>
      <c r="S270" s="48">
        <v>10</v>
      </c>
      <c r="T270" s="48">
        <f t="shared" si="28"/>
        <v>27872.062200000004</v>
      </c>
      <c r="U270" s="38">
        <f t="shared" si="29"/>
        <v>7200</v>
      </c>
      <c r="V270" s="48">
        <f t="shared" si="32"/>
        <v>20672.062200000004</v>
      </c>
      <c r="W270" s="50">
        <f t="shared" si="33"/>
        <v>0.7416768106954067</v>
      </c>
    </row>
    <row r="271" spans="1:23" x14ac:dyDescent="0.3">
      <c r="A271" s="39" t="s">
        <v>642</v>
      </c>
      <c r="B271" s="40">
        <v>45141</v>
      </c>
      <c r="C271" s="41">
        <v>45152</v>
      </c>
      <c r="D271" s="42">
        <f t="shared" si="34"/>
        <v>11</v>
      </c>
      <c r="E271" s="42" t="str">
        <f>TEXT(Data!B271,"MMM-YYYY")</f>
        <v>Aug-2023</v>
      </c>
      <c r="F271" s="42" t="str">
        <f t="shared" si="30"/>
        <v>Q3-2023</v>
      </c>
      <c r="G271" s="37" t="s">
        <v>52</v>
      </c>
      <c r="H271" s="37" t="s">
        <v>73</v>
      </c>
      <c r="I271" s="37" t="s">
        <v>87</v>
      </c>
      <c r="J271" s="37" t="s">
        <v>19</v>
      </c>
      <c r="K271" s="37" t="s">
        <v>98</v>
      </c>
      <c r="L271" s="37" t="s">
        <v>29</v>
      </c>
      <c r="M271" s="37" t="s">
        <v>81</v>
      </c>
      <c r="N271" s="37" t="s">
        <v>643</v>
      </c>
      <c r="O271" s="42">
        <v>232.73</v>
      </c>
      <c r="P271" s="43" t="str">
        <f t="shared" si="31"/>
        <v>High</v>
      </c>
      <c r="Q271" s="42">
        <v>334.19</v>
      </c>
      <c r="R271" s="42">
        <v>0.13400000000000001</v>
      </c>
      <c r="S271" s="42">
        <v>25</v>
      </c>
      <c r="T271" s="42">
        <f t="shared" si="28"/>
        <v>10046.682500000001</v>
      </c>
      <c r="U271" s="37">
        <f t="shared" si="29"/>
        <v>5818.25</v>
      </c>
      <c r="V271" s="42">
        <f t="shared" si="32"/>
        <v>4228.4325000000008</v>
      </c>
      <c r="W271" s="44">
        <f t="shared" si="33"/>
        <v>0.42087848401698774</v>
      </c>
    </row>
    <row r="272" spans="1:23" x14ac:dyDescent="0.3">
      <c r="A272" s="45" t="s">
        <v>644</v>
      </c>
      <c r="B272" s="46">
        <v>45707</v>
      </c>
      <c r="C272" s="47">
        <v>45725</v>
      </c>
      <c r="D272" s="48">
        <f t="shared" si="34"/>
        <v>18</v>
      </c>
      <c r="E272" s="48" t="str">
        <f>TEXT(Data!B272,"MMM-YYYY")</f>
        <v>Feb-2025</v>
      </c>
      <c r="F272" s="48" t="str">
        <f t="shared" si="30"/>
        <v>Q1-2025</v>
      </c>
      <c r="G272" s="38" t="s">
        <v>45</v>
      </c>
      <c r="H272" s="38" t="s">
        <v>60</v>
      </c>
      <c r="I272" s="38" t="s">
        <v>141</v>
      </c>
      <c r="J272" s="38" t="s">
        <v>62</v>
      </c>
      <c r="K272" s="38" t="s">
        <v>98</v>
      </c>
      <c r="L272" s="38" t="s">
        <v>68</v>
      </c>
      <c r="M272" s="38" t="s">
        <v>64</v>
      </c>
      <c r="N272" s="38" t="s">
        <v>645</v>
      </c>
      <c r="O272" s="48">
        <v>325.87</v>
      </c>
      <c r="P272" s="49" t="str">
        <f t="shared" si="31"/>
        <v>High</v>
      </c>
      <c r="Q272" s="48">
        <v>538.79</v>
      </c>
      <c r="R272" s="48">
        <v>0.17399999999999999</v>
      </c>
      <c r="S272" s="48">
        <v>16</v>
      </c>
      <c r="T272" s="48">
        <f t="shared" si="28"/>
        <v>6753.7724800000005</v>
      </c>
      <c r="U272" s="38">
        <f t="shared" si="29"/>
        <v>5213.92</v>
      </c>
      <c r="V272" s="48">
        <f t="shared" si="32"/>
        <v>1539.8524800000005</v>
      </c>
      <c r="W272" s="50">
        <f t="shared" si="33"/>
        <v>0.22799886797489516</v>
      </c>
    </row>
    <row r="273" spans="1:23" x14ac:dyDescent="0.3">
      <c r="A273" s="39" t="s">
        <v>646</v>
      </c>
      <c r="B273" s="40">
        <v>45382</v>
      </c>
      <c r="C273" s="41">
        <v>45399</v>
      </c>
      <c r="D273" s="42">
        <f t="shared" si="34"/>
        <v>17</v>
      </c>
      <c r="E273" s="42" t="str">
        <f>TEXT(Data!B273,"MMM-YYYY")</f>
        <v>Mar-2024</v>
      </c>
      <c r="F273" s="42" t="str">
        <f t="shared" si="30"/>
        <v>Q1-2024</v>
      </c>
      <c r="G273" s="37" t="s">
        <v>78</v>
      </c>
      <c r="H273" s="37" t="s">
        <v>79</v>
      </c>
      <c r="I273" s="37" t="s">
        <v>335</v>
      </c>
      <c r="J273" s="37" t="s">
        <v>27</v>
      </c>
      <c r="K273" s="37" t="s">
        <v>98</v>
      </c>
      <c r="L273" s="37" t="s">
        <v>92</v>
      </c>
      <c r="M273" s="37" t="s">
        <v>64</v>
      </c>
      <c r="N273" s="37" t="s">
        <v>647</v>
      </c>
      <c r="O273" s="42">
        <v>1025.51</v>
      </c>
      <c r="P273" s="43" t="str">
        <f t="shared" si="31"/>
        <v>High</v>
      </c>
      <c r="Q273" s="42">
        <v>1436.54</v>
      </c>
      <c r="R273" s="42">
        <v>0.13900000000000001</v>
      </c>
      <c r="S273" s="42">
        <v>28</v>
      </c>
      <c r="T273" s="42">
        <f t="shared" si="28"/>
        <v>101.73576</v>
      </c>
      <c r="U273" s="37">
        <f t="shared" si="29"/>
        <v>28714.28</v>
      </c>
      <c r="V273" s="42">
        <f t="shared" si="32"/>
        <v>-28612.544239999999</v>
      </c>
      <c r="W273" s="44">
        <f t="shared" si="33"/>
        <v>-281.24372629643699</v>
      </c>
    </row>
    <row r="274" spans="1:23" x14ac:dyDescent="0.3">
      <c r="A274" s="45" t="s">
        <v>648</v>
      </c>
      <c r="B274" s="46">
        <v>45131</v>
      </c>
      <c r="C274" s="47">
        <v>45151</v>
      </c>
      <c r="D274" s="48">
        <f t="shared" si="34"/>
        <v>20</v>
      </c>
      <c r="E274" s="48" t="str">
        <f>TEXT(Data!B274,"MMM-YYYY")</f>
        <v>Jul-2023</v>
      </c>
      <c r="F274" s="48" t="str">
        <f t="shared" si="30"/>
        <v>Q3-2023</v>
      </c>
      <c r="G274" s="38" t="s">
        <v>52</v>
      </c>
      <c r="H274" s="38" t="s">
        <v>53</v>
      </c>
      <c r="I274" s="38" t="s">
        <v>144</v>
      </c>
      <c r="J274" s="38" t="s">
        <v>27</v>
      </c>
      <c r="K274" s="38" t="s">
        <v>98</v>
      </c>
      <c r="L274" s="38" t="s">
        <v>21</v>
      </c>
      <c r="M274" s="38" t="s">
        <v>64</v>
      </c>
      <c r="N274" s="38" t="s">
        <v>649</v>
      </c>
      <c r="O274" s="48">
        <v>1082.3800000000001</v>
      </c>
      <c r="P274" s="49" t="str">
        <f t="shared" si="31"/>
        <v>High</v>
      </c>
      <c r="Q274" s="48">
        <v>1766.55</v>
      </c>
      <c r="R274" s="48">
        <v>0.16400000000000001</v>
      </c>
      <c r="S274" s="48">
        <v>20</v>
      </c>
      <c r="T274" s="48">
        <f t="shared" si="28"/>
        <v>9651.4527999999991</v>
      </c>
      <c r="U274" s="38">
        <f t="shared" si="29"/>
        <v>21647.600000000002</v>
      </c>
      <c r="V274" s="48">
        <f t="shared" si="32"/>
        <v>-11996.147200000003</v>
      </c>
      <c r="W274" s="50">
        <f t="shared" si="33"/>
        <v>-1.242936938986015</v>
      </c>
    </row>
    <row r="275" spans="1:23" x14ac:dyDescent="0.3">
      <c r="A275" s="39" t="s">
        <v>650</v>
      </c>
      <c r="B275" s="40">
        <v>45367</v>
      </c>
      <c r="C275" s="41">
        <v>45395</v>
      </c>
      <c r="D275" s="42">
        <f t="shared" si="34"/>
        <v>28</v>
      </c>
      <c r="E275" s="42" t="str">
        <f>TEXT(Data!B275,"MMM-YYYY")</f>
        <v>Mar-2024</v>
      </c>
      <c r="F275" s="42" t="str">
        <f t="shared" si="30"/>
        <v>Q1-2024</v>
      </c>
      <c r="G275" s="37" t="s">
        <v>78</v>
      </c>
      <c r="H275" s="37" t="s">
        <v>90</v>
      </c>
      <c r="I275" s="37" t="s">
        <v>217</v>
      </c>
      <c r="J275" s="37" t="s">
        <v>62</v>
      </c>
      <c r="K275" s="37" t="s">
        <v>28</v>
      </c>
      <c r="L275" s="37" t="s">
        <v>95</v>
      </c>
      <c r="M275" s="37" t="s">
        <v>30</v>
      </c>
      <c r="N275" s="37" t="s">
        <v>651</v>
      </c>
      <c r="O275" s="42">
        <v>287.61</v>
      </c>
      <c r="P275" s="43" t="str">
        <f t="shared" si="31"/>
        <v>High</v>
      </c>
      <c r="Q275" s="42">
        <v>628.54</v>
      </c>
      <c r="R275" s="42">
        <v>0.13500000000000001</v>
      </c>
      <c r="S275" s="42">
        <v>21</v>
      </c>
      <c r="T275" s="42">
        <f t="shared" si="28"/>
        <v>25903.83495</v>
      </c>
      <c r="U275" s="37">
        <f t="shared" si="29"/>
        <v>6039.81</v>
      </c>
      <c r="V275" s="42">
        <f t="shared" si="32"/>
        <v>19864.024949999999</v>
      </c>
      <c r="W275" s="44">
        <f t="shared" si="33"/>
        <v>0.76683722654741504</v>
      </c>
    </row>
    <row r="276" spans="1:23" x14ac:dyDescent="0.3">
      <c r="A276" s="45" t="s">
        <v>652</v>
      </c>
      <c r="B276" s="46">
        <v>45316</v>
      </c>
      <c r="C276" s="47">
        <v>45318</v>
      </c>
      <c r="D276" s="48">
        <f t="shared" si="34"/>
        <v>2</v>
      </c>
      <c r="E276" s="48" t="str">
        <f>TEXT(Data!B276,"MMM-YYYY")</f>
        <v>Jan-2024</v>
      </c>
      <c r="F276" s="48" t="str">
        <f t="shared" si="30"/>
        <v>Q1-2024</v>
      </c>
      <c r="G276" s="38" t="s">
        <v>52</v>
      </c>
      <c r="H276" s="38" t="s">
        <v>73</v>
      </c>
      <c r="I276" s="38" t="s">
        <v>74</v>
      </c>
      <c r="J276" s="38" t="s">
        <v>39</v>
      </c>
      <c r="K276" s="38" t="s">
        <v>40</v>
      </c>
      <c r="L276" s="38" t="s">
        <v>126</v>
      </c>
      <c r="M276" s="38" t="s">
        <v>57</v>
      </c>
      <c r="N276" s="38" t="s">
        <v>653</v>
      </c>
      <c r="O276" s="48">
        <v>1410.97</v>
      </c>
      <c r="P276" s="49" t="str">
        <f t="shared" si="31"/>
        <v>High</v>
      </c>
      <c r="Q276" s="48">
        <v>1650.75</v>
      </c>
      <c r="R276" s="48">
        <v>0.13500000000000001</v>
      </c>
      <c r="S276" s="48">
        <v>6</v>
      </c>
      <c r="T276" s="48">
        <f t="shared" si="28"/>
        <v>7059.0227999999997</v>
      </c>
      <c r="U276" s="38">
        <f t="shared" si="29"/>
        <v>8465.82</v>
      </c>
      <c r="V276" s="48">
        <f t="shared" si="32"/>
        <v>-1406.7972</v>
      </c>
      <c r="W276" s="50">
        <f t="shared" si="33"/>
        <v>-0.19929064402511917</v>
      </c>
    </row>
    <row r="277" spans="1:23" x14ac:dyDescent="0.3">
      <c r="A277" s="39" t="s">
        <v>654</v>
      </c>
      <c r="B277" s="40">
        <v>45378</v>
      </c>
      <c r="C277" s="41">
        <v>45393</v>
      </c>
      <c r="D277" s="42">
        <f t="shared" si="34"/>
        <v>15</v>
      </c>
      <c r="E277" s="42" t="str">
        <f>TEXT(Data!B277,"MMM-YYYY")</f>
        <v>Mar-2024</v>
      </c>
      <c r="F277" s="42" t="str">
        <f t="shared" si="30"/>
        <v>Q1-2024</v>
      </c>
      <c r="G277" s="37" t="s">
        <v>52</v>
      </c>
      <c r="H277" s="37" t="s">
        <v>122</v>
      </c>
      <c r="I277" s="37" t="s">
        <v>167</v>
      </c>
      <c r="J277" s="37" t="s">
        <v>62</v>
      </c>
      <c r="K277" s="37" t="s">
        <v>98</v>
      </c>
      <c r="L277" s="37" t="s">
        <v>68</v>
      </c>
      <c r="M277" s="37" t="s">
        <v>35</v>
      </c>
      <c r="N277" s="37" t="s">
        <v>655</v>
      </c>
      <c r="O277" s="42">
        <v>1338.35</v>
      </c>
      <c r="P277" s="43" t="str">
        <f t="shared" si="31"/>
        <v>High</v>
      </c>
      <c r="Q277" s="42">
        <v>2247.14</v>
      </c>
      <c r="R277" s="42">
        <v>0.115</v>
      </c>
      <c r="S277" s="42">
        <v>40</v>
      </c>
      <c r="T277" s="42">
        <f t="shared" si="28"/>
        <v>73316.94</v>
      </c>
      <c r="U277" s="37">
        <f t="shared" si="29"/>
        <v>53534</v>
      </c>
      <c r="V277" s="42">
        <f t="shared" si="32"/>
        <v>19782.940000000002</v>
      </c>
      <c r="W277" s="44">
        <f t="shared" si="33"/>
        <v>0.26982768238827209</v>
      </c>
    </row>
    <row r="278" spans="1:23" x14ac:dyDescent="0.3">
      <c r="A278" s="45" t="s">
        <v>656</v>
      </c>
      <c r="B278" s="46">
        <v>45832</v>
      </c>
      <c r="C278" s="47">
        <v>45852</v>
      </c>
      <c r="D278" s="48">
        <f t="shared" si="34"/>
        <v>20</v>
      </c>
      <c r="E278" s="48" t="str">
        <f>TEXT(Data!B278,"MMM-YYYY")</f>
        <v>Jun-2025</v>
      </c>
      <c r="F278" s="48" t="str">
        <f t="shared" si="30"/>
        <v>Q2-2025</v>
      </c>
      <c r="G278" s="38" t="s">
        <v>78</v>
      </c>
      <c r="H278" s="38" t="s">
        <v>79</v>
      </c>
      <c r="I278" s="38" t="s">
        <v>80</v>
      </c>
      <c r="J278" s="38" t="s">
        <v>19</v>
      </c>
      <c r="K278" s="38" t="s">
        <v>98</v>
      </c>
      <c r="L278" s="38" t="s">
        <v>68</v>
      </c>
      <c r="M278" s="38" t="s">
        <v>81</v>
      </c>
      <c r="N278" s="38" t="s">
        <v>657</v>
      </c>
      <c r="O278" s="48">
        <v>385.08</v>
      </c>
      <c r="P278" s="49" t="str">
        <f t="shared" si="31"/>
        <v>High</v>
      </c>
      <c r="Q278" s="48">
        <v>893.19</v>
      </c>
      <c r="R278" s="48">
        <v>0.151</v>
      </c>
      <c r="S278" s="48">
        <v>8</v>
      </c>
      <c r="T278" s="48">
        <f t="shared" si="28"/>
        <v>6655.0732799999996</v>
      </c>
      <c r="U278" s="38">
        <f t="shared" si="29"/>
        <v>3080.64</v>
      </c>
      <c r="V278" s="48">
        <f t="shared" si="32"/>
        <v>3574.4332799999997</v>
      </c>
      <c r="W278" s="50">
        <f t="shared" si="33"/>
        <v>0.53709901147775185</v>
      </c>
    </row>
    <row r="279" spans="1:23" x14ac:dyDescent="0.3">
      <c r="A279" s="39" t="s">
        <v>658</v>
      </c>
      <c r="B279" s="40">
        <v>45459</v>
      </c>
      <c r="C279" s="41">
        <v>45476</v>
      </c>
      <c r="D279" s="42">
        <f t="shared" si="34"/>
        <v>17</v>
      </c>
      <c r="E279" s="42" t="str">
        <f>TEXT(Data!B279,"MMM-YYYY")</f>
        <v>Jun-2024</v>
      </c>
      <c r="F279" s="42" t="str">
        <f t="shared" si="30"/>
        <v>Q2-2024</v>
      </c>
      <c r="G279" s="37" t="s">
        <v>16</v>
      </c>
      <c r="H279" s="37" t="s">
        <v>148</v>
      </c>
      <c r="I279" s="37" t="s">
        <v>149</v>
      </c>
      <c r="J279" s="37" t="s">
        <v>105</v>
      </c>
      <c r="K279" s="37" t="s">
        <v>40</v>
      </c>
      <c r="L279" s="37" t="s">
        <v>84</v>
      </c>
      <c r="M279" s="37" t="s">
        <v>42</v>
      </c>
      <c r="N279" s="37" t="s">
        <v>659</v>
      </c>
      <c r="O279" s="42">
        <v>1173.83</v>
      </c>
      <c r="P279" s="43" t="str">
        <f t="shared" si="31"/>
        <v>High</v>
      </c>
      <c r="Q279" s="42">
        <v>2328.9</v>
      </c>
      <c r="R279" s="42">
        <v>0.12</v>
      </c>
      <c r="S279" s="42">
        <v>17</v>
      </c>
      <c r="T279" s="42">
        <f t="shared" si="28"/>
        <v>8039.3543999999993</v>
      </c>
      <c r="U279" s="37">
        <f t="shared" si="29"/>
        <v>19955.11</v>
      </c>
      <c r="V279" s="42">
        <f t="shared" si="32"/>
        <v>-11915.7556</v>
      </c>
      <c r="W279" s="44">
        <f t="shared" si="33"/>
        <v>-1.4821781709237749</v>
      </c>
    </row>
    <row r="280" spans="1:23" x14ac:dyDescent="0.3">
      <c r="A280" s="45" t="s">
        <v>660</v>
      </c>
      <c r="B280" s="46">
        <v>45229</v>
      </c>
      <c r="C280" s="47">
        <v>45244</v>
      </c>
      <c r="D280" s="48">
        <f t="shared" si="34"/>
        <v>15</v>
      </c>
      <c r="E280" s="48" t="str">
        <f>TEXT(Data!B280,"MMM-YYYY")</f>
        <v>Oct-2023</v>
      </c>
      <c r="F280" s="48" t="str">
        <f t="shared" si="30"/>
        <v>Q4-2023</v>
      </c>
      <c r="G280" s="38" t="s">
        <v>45</v>
      </c>
      <c r="H280" s="38" t="s">
        <v>60</v>
      </c>
      <c r="I280" s="38" t="s">
        <v>61</v>
      </c>
      <c r="J280" s="38" t="s">
        <v>19</v>
      </c>
      <c r="K280" s="38" t="s">
        <v>28</v>
      </c>
      <c r="L280" s="38" t="s">
        <v>84</v>
      </c>
      <c r="M280" s="38" t="s">
        <v>57</v>
      </c>
      <c r="N280" s="38" t="s">
        <v>661</v>
      </c>
      <c r="O280" s="48">
        <v>953.46</v>
      </c>
      <c r="P280" s="49" t="str">
        <f t="shared" si="31"/>
        <v>High</v>
      </c>
      <c r="Q280" s="48">
        <v>2066.75</v>
      </c>
      <c r="R280" s="48">
        <v>0.13800000000000001</v>
      </c>
      <c r="S280" s="48">
        <v>5</v>
      </c>
      <c r="T280" s="48">
        <f t="shared" si="28"/>
        <v>919.40919999999994</v>
      </c>
      <c r="U280" s="38">
        <f t="shared" si="29"/>
        <v>4767.3</v>
      </c>
      <c r="V280" s="48">
        <f t="shared" si="32"/>
        <v>-3847.8908000000001</v>
      </c>
      <c r="W280" s="50">
        <f t="shared" si="33"/>
        <v>-4.1851776118838062</v>
      </c>
    </row>
    <row r="281" spans="1:23" x14ac:dyDescent="0.3">
      <c r="A281" s="39" t="s">
        <v>662</v>
      </c>
      <c r="B281" s="40">
        <v>45092</v>
      </c>
      <c r="C281" s="41">
        <v>45100</v>
      </c>
      <c r="D281" s="42">
        <f t="shared" si="34"/>
        <v>8</v>
      </c>
      <c r="E281" s="42" t="str">
        <f>TEXT(Data!B281,"MMM-YYYY")</f>
        <v>Jun-2023</v>
      </c>
      <c r="F281" s="42" t="str">
        <f t="shared" si="30"/>
        <v>Q2-2023</v>
      </c>
      <c r="G281" s="37" t="s">
        <v>52</v>
      </c>
      <c r="H281" s="37" t="s">
        <v>122</v>
      </c>
      <c r="I281" s="37" t="s">
        <v>167</v>
      </c>
      <c r="J281" s="37" t="s">
        <v>48</v>
      </c>
      <c r="K281" s="37" t="s">
        <v>55</v>
      </c>
      <c r="L281" s="37" t="s">
        <v>68</v>
      </c>
      <c r="M281" s="37" t="s">
        <v>64</v>
      </c>
      <c r="N281" s="37" t="s">
        <v>663</v>
      </c>
      <c r="O281" s="42">
        <v>1097.0899999999999</v>
      </c>
      <c r="P281" s="43" t="str">
        <f t="shared" si="31"/>
        <v>High</v>
      </c>
      <c r="Q281" s="42">
        <v>2182.31</v>
      </c>
      <c r="R281" s="42">
        <v>0.112</v>
      </c>
      <c r="S281" s="42">
        <v>9</v>
      </c>
      <c r="T281" s="42">
        <f t="shared" si="28"/>
        <v>15941.402639999998</v>
      </c>
      <c r="U281" s="37">
        <f t="shared" si="29"/>
        <v>9873.81</v>
      </c>
      <c r="V281" s="42">
        <f t="shared" si="32"/>
        <v>6067.5926399999989</v>
      </c>
      <c r="W281" s="44">
        <f t="shared" si="33"/>
        <v>0.38061849242646062</v>
      </c>
    </row>
    <row r="282" spans="1:23" x14ac:dyDescent="0.3">
      <c r="A282" s="45" t="s">
        <v>664</v>
      </c>
      <c r="B282" s="46">
        <v>45730</v>
      </c>
      <c r="C282" s="47">
        <v>45745</v>
      </c>
      <c r="D282" s="48">
        <f t="shared" si="34"/>
        <v>15</v>
      </c>
      <c r="E282" s="48" t="str">
        <f>TEXT(Data!B282,"MMM-YYYY")</f>
        <v>Mar-2025</v>
      </c>
      <c r="F282" s="48" t="str">
        <f t="shared" si="30"/>
        <v>Q1-2025</v>
      </c>
      <c r="G282" s="38" t="s">
        <v>45</v>
      </c>
      <c r="H282" s="38" t="s">
        <v>46</v>
      </c>
      <c r="I282" s="38" t="s">
        <v>214</v>
      </c>
      <c r="J282" s="38" t="s">
        <v>39</v>
      </c>
      <c r="K282" s="38" t="s">
        <v>98</v>
      </c>
      <c r="L282" s="38" t="s">
        <v>92</v>
      </c>
      <c r="M282" s="38" t="s">
        <v>35</v>
      </c>
      <c r="N282" s="38" t="s">
        <v>665</v>
      </c>
      <c r="O282" s="48">
        <v>1106.96</v>
      </c>
      <c r="P282" s="49" t="str">
        <f t="shared" si="31"/>
        <v>High</v>
      </c>
      <c r="Q282" s="48">
        <v>2726.62</v>
      </c>
      <c r="R282" s="48">
        <v>0.317</v>
      </c>
      <c r="S282" s="48">
        <v>7</v>
      </c>
      <c r="T282" s="48">
        <f t="shared" si="28"/>
        <v>2643.1280400000001</v>
      </c>
      <c r="U282" s="38">
        <f t="shared" si="29"/>
        <v>7748.72</v>
      </c>
      <c r="V282" s="48">
        <f t="shared" si="32"/>
        <v>-5105.5919599999997</v>
      </c>
      <c r="W282" s="50">
        <f t="shared" si="33"/>
        <v>-1.9316476094741137</v>
      </c>
    </row>
    <row r="283" spans="1:23" x14ac:dyDescent="0.3">
      <c r="A283" s="39" t="s">
        <v>666</v>
      </c>
      <c r="B283" s="40">
        <v>45153</v>
      </c>
      <c r="C283" s="41">
        <v>45163</v>
      </c>
      <c r="D283" s="42">
        <f t="shared" si="34"/>
        <v>10</v>
      </c>
      <c r="E283" s="42" t="str">
        <f>TEXT(Data!B283,"MMM-YYYY")</f>
        <v>Aug-2023</v>
      </c>
      <c r="F283" s="42" t="str">
        <f t="shared" si="30"/>
        <v>Q3-2023</v>
      </c>
      <c r="G283" s="37" t="s">
        <v>16</v>
      </c>
      <c r="H283" s="37" t="s">
        <v>17</v>
      </c>
      <c r="I283" s="37" t="s">
        <v>33</v>
      </c>
      <c r="J283" s="37" t="s">
        <v>62</v>
      </c>
      <c r="K283" s="37" t="s">
        <v>20</v>
      </c>
      <c r="L283" s="37" t="s">
        <v>126</v>
      </c>
      <c r="M283" s="37" t="s">
        <v>42</v>
      </c>
      <c r="N283" s="37" t="s">
        <v>667</v>
      </c>
      <c r="O283" s="42">
        <v>91.85</v>
      </c>
      <c r="P283" s="43" t="str">
        <f t="shared" si="31"/>
        <v>Medium</v>
      </c>
      <c r="Q283" s="42">
        <v>111.29</v>
      </c>
      <c r="R283" s="42">
        <v>0</v>
      </c>
      <c r="S283" s="42">
        <v>6</v>
      </c>
      <c r="T283" s="42">
        <f t="shared" si="28"/>
        <v>1349.6999999999998</v>
      </c>
      <c r="U283" s="37">
        <f t="shared" si="29"/>
        <v>551.09999999999991</v>
      </c>
      <c r="V283" s="42">
        <f t="shared" si="32"/>
        <v>798.59999999999991</v>
      </c>
      <c r="W283" s="44">
        <f t="shared" si="33"/>
        <v>0.59168704156479224</v>
      </c>
    </row>
    <row r="284" spans="1:23" x14ac:dyDescent="0.3">
      <c r="A284" s="45" t="s">
        <v>668</v>
      </c>
      <c r="B284" s="46">
        <v>45794</v>
      </c>
      <c r="C284" s="47">
        <v>45805</v>
      </c>
      <c r="D284" s="48">
        <f t="shared" si="34"/>
        <v>11</v>
      </c>
      <c r="E284" s="48" t="str">
        <f>TEXT(Data!B284,"MMM-YYYY")</f>
        <v>May-2025</v>
      </c>
      <c r="F284" s="48" t="str">
        <f t="shared" si="30"/>
        <v>Q2-2025</v>
      </c>
      <c r="G284" s="38" t="s">
        <v>45</v>
      </c>
      <c r="H284" s="38" t="s">
        <v>60</v>
      </c>
      <c r="I284" s="38" t="s">
        <v>61</v>
      </c>
      <c r="J284" s="38" t="s">
        <v>19</v>
      </c>
      <c r="K284" s="38" t="s">
        <v>55</v>
      </c>
      <c r="L284" s="38" t="s">
        <v>56</v>
      </c>
      <c r="M284" s="38" t="s">
        <v>57</v>
      </c>
      <c r="N284" s="38" t="s">
        <v>669</v>
      </c>
      <c r="O284" s="48">
        <v>623.4</v>
      </c>
      <c r="P284" s="49" t="str">
        <f t="shared" si="31"/>
        <v>High</v>
      </c>
      <c r="Q284" s="48">
        <v>1100.0899999999999</v>
      </c>
      <c r="R284" s="48">
        <v>0.114</v>
      </c>
      <c r="S284" s="48">
        <v>12</v>
      </c>
      <c r="T284" s="48">
        <f t="shared" si="28"/>
        <v>8208.8608800000002</v>
      </c>
      <c r="U284" s="38">
        <f t="shared" si="29"/>
        <v>7480.7999999999993</v>
      </c>
      <c r="V284" s="48">
        <f t="shared" si="32"/>
        <v>728.06088000000091</v>
      </c>
      <c r="W284" s="50">
        <f t="shared" si="33"/>
        <v>8.8692071974790357E-2</v>
      </c>
    </row>
    <row r="285" spans="1:23" x14ac:dyDescent="0.3">
      <c r="A285" s="39" t="s">
        <v>670</v>
      </c>
      <c r="B285" s="40">
        <v>45304</v>
      </c>
      <c r="C285" s="41">
        <v>45327</v>
      </c>
      <c r="D285" s="42">
        <f t="shared" si="34"/>
        <v>23</v>
      </c>
      <c r="E285" s="42" t="str">
        <f>TEXT(Data!B285,"MMM-YYYY")</f>
        <v>Jan-2024</v>
      </c>
      <c r="F285" s="42" t="str">
        <f t="shared" si="30"/>
        <v>Q1-2024</v>
      </c>
      <c r="G285" s="37" t="s">
        <v>78</v>
      </c>
      <c r="H285" s="37" t="s">
        <v>79</v>
      </c>
      <c r="I285" s="37" t="s">
        <v>335</v>
      </c>
      <c r="J285" s="37" t="s">
        <v>27</v>
      </c>
      <c r="K285" s="37" t="s">
        <v>98</v>
      </c>
      <c r="L285" s="37" t="s">
        <v>56</v>
      </c>
      <c r="M285" s="37" t="s">
        <v>57</v>
      </c>
      <c r="N285" s="37" t="s">
        <v>671</v>
      </c>
      <c r="O285" s="42">
        <v>1017.93</v>
      </c>
      <c r="P285" s="43" t="str">
        <f t="shared" si="31"/>
        <v>High</v>
      </c>
      <c r="Q285" s="42">
        <v>1529.14</v>
      </c>
      <c r="R285" s="42">
        <v>0.155</v>
      </c>
      <c r="S285" s="42">
        <v>12</v>
      </c>
      <c r="T285" s="42">
        <f t="shared" si="28"/>
        <v>31932.989400000002</v>
      </c>
      <c r="U285" s="37">
        <f t="shared" si="29"/>
        <v>12215.16</v>
      </c>
      <c r="V285" s="42">
        <f t="shared" si="32"/>
        <v>19717.829400000002</v>
      </c>
      <c r="W285" s="44">
        <f t="shared" si="33"/>
        <v>0.61747521201381794</v>
      </c>
    </row>
    <row r="286" spans="1:23" x14ac:dyDescent="0.3">
      <c r="A286" s="45" t="s">
        <v>672</v>
      </c>
      <c r="B286" s="46">
        <v>45101</v>
      </c>
      <c r="C286" s="47">
        <v>45128</v>
      </c>
      <c r="D286" s="48">
        <f t="shared" si="34"/>
        <v>27</v>
      </c>
      <c r="E286" s="48" t="str">
        <f>TEXT(Data!B286,"MMM-YYYY")</f>
        <v>Jun-2023</v>
      </c>
      <c r="F286" s="48" t="str">
        <f t="shared" si="30"/>
        <v>Q2-2023</v>
      </c>
      <c r="G286" s="38" t="s">
        <v>45</v>
      </c>
      <c r="H286" s="38" t="s">
        <v>46</v>
      </c>
      <c r="I286" s="38" t="s">
        <v>231</v>
      </c>
      <c r="J286" s="38" t="s">
        <v>48</v>
      </c>
      <c r="K286" s="38" t="s">
        <v>40</v>
      </c>
      <c r="L286" s="38" t="s">
        <v>29</v>
      </c>
      <c r="M286" s="38" t="s">
        <v>42</v>
      </c>
      <c r="N286" s="38" t="s">
        <v>673</v>
      </c>
      <c r="O286" s="48">
        <v>554.76</v>
      </c>
      <c r="P286" s="49" t="str">
        <f t="shared" si="31"/>
        <v>High</v>
      </c>
      <c r="Q286" s="48">
        <v>728.69</v>
      </c>
      <c r="R286" s="48">
        <v>0.22</v>
      </c>
      <c r="S286" s="48">
        <v>7</v>
      </c>
      <c r="T286" s="48">
        <f t="shared" si="28"/>
        <v>314.11380000000003</v>
      </c>
      <c r="U286" s="38">
        <f t="shared" si="29"/>
        <v>3883.3199999999997</v>
      </c>
      <c r="V286" s="48">
        <f t="shared" si="32"/>
        <v>-3569.2061999999996</v>
      </c>
      <c r="W286" s="50">
        <f t="shared" si="33"/>
        <v>-11.362780622818862</v>
      </c>
    </row>
    <row r="287" spans="1:23" x14ac:dyDescent="0.3">
      <c r="A287" s="39" t="s">
        <v>674</v>
      </c>
      <c r="B287" s="40">
        <v>45751</v>
      </c>
      <c r="C287" s="41">
        <v>45760</v>
      </c>
      <c r="D287" s="42">
        <f t="shared" si="34"/>
        <v>9</v>
      </c>
      <c r="E287" s="42" t="str">
        <f>TEXT(Data!B287,"MMM-YYYY")</f>
        <v>Apr-2025</v>
      </c>
      <c r="F287" s="42" t="str">
        <f t="shared" si="30"/>
        <v>Q2-2025</v>
      </c>
      <c r="G287" s="37" t="s">
        <v>78</v>
      </c>
      <c r="H287" s="37" t="s">
        <v>79</v>
      </c>
      <c r="I287" s="37" t="s">
        <v>159</v>
      </c>
      <c r="J287" s="37" t="s">
        <v>48</v>
      </c>
      <c r="K287" s="37" t="s">
        <v>40</v>
      </c>
      <c r="L287" s="37" t="s">
        <v>84</v>
      </c>
      <c r="M287" s="37" t="s">
        <v>42</v>
      </c>
      <c r="N287" s="37" t="s">
        <v>675</v>
      </c>
      <c r="O287" s="42">
        <v>7.02</v>
      </c>
      <c r="P287" s="43" t="str">
        <f t="shared" si="31"/>
        <v>Low</v>
      </c>
      <c r="Q287" s="42">
        <v>6.28</v>
      </c>
      <c r="R287" s="42">
        <v>0.13400000000000001</v>
      </c>
      <c r="S287" s="42">
        <v>14</v>
      </c>
      <c r="T287" s="42">
        <f t="shared" si="28"/>
        <v>9999.9964400000008</v>
      </c>
      <c r="U287" s="37">
        <f t="shared" si="29"/>
        <v>98.28</v>
      </c>
      <c r="V287" s="42">
        <f t="shared" si="32"/>
        <v>9901.7164400000001</v>
      </c>
      <c r="W287" s="44">
        <f t="shared" si="33"/>
        <v>0.99017199650123067</v>
      </c>
    </row>
    <row r="288" spans="1:23" x14ac:dyDescent="0.3">
      <c r="A288" s="45" t="s">
        <v>676</v>
      </c>
      <c r="B288" s="46">
        <v>45542</v>
      </c>
      <c r="C288" s="47">
        <v>45542</v>
      </c>
      <c r="D288" s="48">
        <f t="shared" si="34"/>
        <v>0</v>
      </c>
      <c r="E288" s="48" t="str">
        <f>TEXT(Data!B288,"MMM-YYYY")</f>
        <v>Sept-2024</v>
      </c>
      <c r="F288" s="48" t="str">
        <f t="shared" si="30"/>
        <v>Q3-2024</v>
      </c>
      <c r="G288" s="38" t="s">
        <v>45</v>
      </c>
      <c r="H288" s="38" t="s">
        <v>60</v>
      </c>
      <c r="I288" s="38" t="s">
        <v>220</v>
      </c>
      <c r="J288" s="38" t="s">
        <v>27</v>
      </c>
      <c r="K288" s="38" t="s">
        <v>55</v>
      </c>
      <c r="L288" s="38" t="s">
        <v>56</v>
      </c>
      <c r="M288" s="38" t="s">
        <v>35</v>
      </c>
      <c r="N288" s="38" t="s">
        <v>677</v>
      </c>
      <c r="O288" s="48">
        <v>1066.6500000000001</v>
      </c>
      <c r="P288" s="49" t="str">
        <f t="shared" si="31"/>
        <v>High</v>
      </c>
      <c r="Q288" s="48">
        <v>2569.77</v>
      </c>
      <c r="R288" s="48">
        <v>0.13400000000000001</v>
      </c>
      <c r="S288" s="48">
        <v>9</v>
      </c>
      <c r="T288" s="48">
        <f t="shared" si="28"/>
        <v>11640.572819999999</v>
      </c>
      <c r="U288" s="38">
        <f t="shared" si="29"/>
        <v>9599.85</v>
      </c>
      <c r="V288" s="48">
        <f t="shared" si="32"/>
        <v>2040.722819999999</v>
      </c>
      <c r="W288" s="50">
        <f t="shared" si="33"/>
        <v>0.17531120259767416</v>
      </c>
    </row>
    <row r="289" spans="1:23" x14ac:dyDescent="0.3">
      <c r="A289" s="39" t="s">
        <v>678</v>
      </c>
      <c r="B289" s="40">
        <v>45319</v>
      </c>
      <c r="C289" s="41">
        <v>45321</v>
      </c>
      <c r="D289" s="42">
        <f t="shared" si="34"/>
        <v>2</v>
      </c>
      <c r="E289" s="42" t="str">
        <f>TEXT(Data!B289,"MMM-YYYY")</f>
        <v>Jan-2024</v>
      </c>
      <c r="F289" s="42" t="str">
        <f t="shared" si="30"/>
        <v>Q1-2024</v>
      </c>
      <c r="G289" s="37" t="s">
        <v>16</v>
      </c>
      <c r="H289" s="37" t="s">
        <v>148</v>
      </c>
      <c r="I289" s="37" t="s">
        <v>258</v>
      </c>
      <c r="J289" s="37" t="s">
        <v>48</v>
      </c>
      <c r="K289" s="37" t="s">
        <v>98</v>
      </c>
      <c r="L289" s="37" t="s">
        <v>84</v>
      </c>
      <c r="M289" s="37" t="s">
        <v>81</v>
      </c>
      <c r="N289" s="37" t="s">
        <v>679</v>
      </c>
      <c r="O289" s="42">
        <v>798.45</v>
      </c>
      <c r="P289" s="43" t="str">
        <f t="shared" si="31"/>
        <v>High</v>
      </c>
      <c r="Q289" s="42">
        <v>1592.02</v>
      </c>
      <c r="R289" s="42">
        <v>6.6000000000000003E-2</v>
      </c>
      <c r="S289" s="42">
        <v>18</v>
      </c>
      <c r="T289" s="42">
        <f t="shared" si="28"/>
        <v>12473.159039999999</v>
      </c>
      <c r="U289" s="37">
        <f t="shared" si="29"/>
        <v>14372.1</v>
      </c>
      <c r="V289" s="42">
        <f t="shared" si="32"/>
        <v>-1898.9409600000017</v>
      </c>
      <c r="W289" s="44">
        <f t="shared" si="33"/>
        <v>-0.15224218290733843</v>
      </c>
    </row>
    <row r="290" spans="1:23" x14ac:dyDescent="0.3">
      <c r="A290" s="45" t="s">
        <v>680</v>
      </c>
      <c r="B290" s="46">
        <v>45125</v>
      </c>
      <c r="C290" s="47">
        <v>45148</v>
      </c>
      <c r="D290" s="48">
        <f t="shared" si="34"/>
        <v>23</v>
      </c>
      <c r="E290" s="48" t="str">
        <f>TEXT(Data!B290,"MMM-YYYY")</f>
        <v>Jul-2023</v>
      </c>
      <c r="F290" s="48" t="str">
        <f t="shared" si="30"/>
        <v>Q3-2023</v>
      </c>
      <c r="G290" s="38" t="s">
        <v>16</v>
      </c>
      <c r="H290" s="38" t="s">
        <v>148</v>
      </c>
      <c r="I290" s="38" t="s">
        <v>149</v>
      </c>
      <c r="J290" s="38" t="s">
        <v>62</v>
      </c>
      <c r="K290" s="38" t="s">
        <v>20</v>
      </c>
      <c r="L290" s="38" t="s">
        <v>49</v>
      </c>
      <c r="M290" s="38" t="s">
        <v>22</v>
      </c>
      <c r="N290" s="38" t="s">
        <v>681</v>
      </c>
      <c r="O290" s="48">
        <v>1271.56</v>
      </c>
      <c r="P290" s="49" t="str">
        <f t="shared" si="31"/>
        <v>High</v>
      </c>
      <c r="Q290" s="48">
        <v>995.47</v>
      </c>
      <c r="R290" s="48">
        <v>0.192</v>
      </c>
      <c r="S290" s="48">
        <v>13</v>
      </c>
      <c r="T290" s="48">
        <f t="shared" si="28"/>
        <v>7796.3839200000002</v>
      </c>
      <c r="U290" s="38">
        <f t="shared" si="29"/>
        <v>16530.28</v>
      </c>
      <c r="V290" s="48">
        <f t="shared" si="32"/>
        <v>-8733.8960799999986</v>
      </c>
      <c r="W290" s="50">
        <f t="shared" si="33"/>
        <v>-1.1202496143878966</v>
      </c>
    </row>
    <row r="291" spans="1:23" x14ac:dyDescent="0.3">
      <c r="A291" s="39" t="s">
        <v>682</v>
      </c>
      <c r="B291" s="40">
        <v>45897</v>
      </c>
      <c r="C291" s="41">
        <v>45895</v>
      </c>
      <c r="D291" s="42">
        <f>DATEDIF(C291,B291, "MD")</f>
        <v>2</v>
      </c>
      <c r="E291" s="42" t="str">
        <f>TEXT(Data!B291,"MMM-YYYY")</f>
        <v>Aug-2025</v>
      </c>
      <c r="F291" s="42" t="str">
        <f t="shared" si="30"/>
        <v>Q3-2025</v>
      </c>
      <c r="G291" s="37" t="s">
        <v>16</v>
      </c>
      <c r="H291" s="37" t="s">
        <v>25</v>
      </c>
      <c r="I291" s="37" t="s">
        <v>26</v>
      </c>
      <c r="J291" s="37" t="s">
        <v>62</v>
      </c>
      <c r="K291" s="37" t="s">
        <v>20</v>
      </c>
      <c r="L291" s="37" t="s">
        <v>75</v>
      </c>
      <c r="M291" s="37" t="s">
        <v>81</v>
      </c>
      <c r="N291" s="37" t="s">
        <v>683</v>
      </c>
      <c r="O291" s="42">
        <v>521.05999999999995</v>
      </c>
      <c r="P291" s="43" t="str">
        <f t="shared" si="31"/>
        <v>High</v>
      </c>
      <c r="Q291" s="42">
        <v>1240.31</v>
      </c>
      <c r="R291" s="42">
        <v>0.14599999999999999</v>
      </c>
      <c r="S291" s="42">
        <v>18</v>
      </c>
      <c r="T291" s="42">
        <f t="shared" si="28"/>
        <v>7371.4888800000008</v>
      </c>
      <c r="U291" s="37">
        <f t="shared" si="29"/>
        <v>9379.0799999999981</v>
      </c>
      <c r="V291" s="42">
        <f t="shared" si="32"/>
        <v>-2007.5911199999973</v>
      </c>
      <c r="W291" s="44">
        <f t="shared" si="33"/>
        <v>-0.27234540439271437</v>
      </c>
    </row>
    <row r="292" spans="1:23" x14ac:dyDescent="0.3">
      <c r="A292" s="45" t="s">
        <v>684</v>
      </c>
      <c r="B292" s="46">
        <v>45746</v>
      </c>
      <c r="C292" s="47">
        <v>45754</v>
      </c>
      <c r="D292" s="48">
        <f t="shared" si="34"/>
        <v>8</v>
      </c>
      <c r="E292" s="48" t="str">
        <f>TEXT(Data!B292,"MMM-YYYY")</f>
        <v>Mar-2025</v>
      </c>
      <c r="F292" s="48" t="str">
        <f t="shared" si="30"/>
        <v>Q1-2025</v>
      </c>
      <c r="G292" s="38" t="s">
        <v>52</v>
      </c>
      <c r="H292" s="38" t="s">
        <v>73</v>
      </c>
      <c r="I292" s="38" t="s">
        <v>74</v>
      </c>
      <c r="J292" s="38" t="s">
        <v>39</v>
      </c>
      <c r="K292" s="38" t="s">
        <v>98</v>
      </c>
      <c r="L292" s="38" t="s">
        <v>49</v>
      </c>
      <c r="M292" s="38" t="s">
        <v>30</v>
      </c>
      <c r="N292" s="38" t="s">
        <v>685</v>
      </c>
      <c r="O292" s="48">
        <v>71.62</v>
      </c>
      <c r="P292" s="49" t="str">
        <f t="shared" si="31"/>
        <v>Medium</v>
      </c>
      <c r="Q292" s="48">
        <v>118.37</v>
      </c>
      <c r="R292" s="48">
        <v>0.156</v>
      </c>
      <c r="S292" s="48">
        <v>11</v>
      </c>
      <c r="T292" s="48">
        <f t="shared" si="28"/>
        <v>10911.020999999999</v>
      </c>
      <c r="U292" s="38">
        <f t="shared" si="29"/>
        <v>787.82</v>
      </c>
      <c r="V292" s="48">
        <f t="shared" si="32"/>
        <v>10123.200999999999</v>
      </c>
      <c r="W292" s="50">
        <f t="shared" si="33"/>
        <v>0.92779594136973986</v>
      </c>
    </row>
    <row r="293" spans="1:23" x14ac:dyDescent="0.3">
      <c r="A293" s="39" t="s">
        <v>686</v>
      </c>
      <c r="B293" s="40">
        <v>45220</v>
      </c>
      <c r="C293" s="41">
        <v>45239</v>
      </c>
      <c r="D293" s="42">
        <f t="shared" si="34"/>
        <v>19</v>
      </c>
      <c r="E293" s="42" t="str">
        <f>TEXT(Data!B293,"MMM-YYYY")</f>
        <v>Oct-2023</v>
      </c>
      <c r="F293" s="42" t="str">
        <f t="shared" si="30"/>
        <v>Q4-2023</v>
      </c>
      <c r="G293" s="37" t="s">
        <v>78</v>
      </c>
      <c r="H293" s="37" t="s">
        <v>108</v>
      </c>
      <c r="I293" s="37" t="s">
        <v>152</v>
      </c>
      <c r="J293" s="37" t="s">
        <v>39</v>
      </c>
      <c r="K293" s="37" t="s">
        <v>98</v>
      </c>
      <c r="L293" s="37" t="s">
        <v>75</v>
      </c>
      <c r="M293" s="37" t="s">
        <v>81</v>
      </c>
      <c r="N293" s="37" t="s">
        <v>687</v>
      </c>
      <c r="O293" s="42">
        <v>1142.48</v>
      </c>
      <c r="P293" s="43" t="str">
        <f t="shared" si="31"/>
        <v>High</v>
      </c>
      <c r="Q293" s="42">
        <v>2105.5300000000002</v>
      </c>
      <c r="R293" s="42">
        <v>0.20699999999999999</v>
      </c>
      <c r="S293" s="42">
        <v>14</v>
      </c>
      <c r="T293" s="42">
        <f t="shared" si="28"/>
        <v>2525.1498999999999</v>
      </c>
      <c r="U293" s="37">
        <f t="shared" si="29"/>
        <v>15994.720000000001</v>
      </c>
      <c r="V293" s="42">
        <f t="shared" si="32"/>
        <v>-13469.570100000001</v>
      </c>
      <c r="W293" s="44">
        <f t="shared" si="33"/>
        <v>-5.3341665379944381</v>
      </c>
    </row>
    <row r="294" spans="1:23" x14ac:dyDescent="0.3">
      <c r="A294" s="45" t="s">
        <v>688</v>
      </c>
      <c r="B294" s="46">
        <v>45161</v>
      </c>
      <c r="C294" s="47">
        <v>45191</v>
      </c>
      <c r="D294" s="48">
        <f t="shared" si="34"/>
        <v>30</v>
      </c>
      <c r="E294" s="48" t="str">
        <f>TEXT(Data!B294,"MMM-YYYY")</f>
        <v>Aug-2023</v>
      </c>
      <c r="F294" s="48" t="str">
        <f t="shared" si="30"/>
        <v>Q3-2023</v>
      </c>
      <c r="G294" s="38" t="s">
        <v>78</v>
      </c>
      <c r="H294" s="38" t="s">
        <v>108</v>
      </c>
      <c r="I294" s="38" t="s">
        <v>152</v>
      </c>
      <c r="J294" s="38" t="s">
        <v>48</v>
      </c>
      <c r="K294" s="38" t="s">
        <v>55</v>
      </c>
      <c r="L294" s="38" t="s">
        <v>68</v>
      </c>
      <c r="M294" s="38" t="s">
        <v>81</v>
      </c>
      <c r="N294" s="38" t="s">
        <v>689</v>
      </c>
      <c r="O294" s="48">
        <v>209.81</v>
      </c>
      <c r="P294" s="49" t="str">
        <f t="shared" si="31"/>
        <v>High</v>
      </c>
      <c r="Q294" s="48">
        <v>523</v>
      </c>
      <c r="R294" s="48">
        <v>5.8999999999999997E-2</v>
      </c>
      <c r="S294" s="48">
        <v>15</v>
      </c>
      <c r="T294" s="48">
        <f t="shared" si="28"/>
        <v>16636.221300000001</v>
      </c>
      <c r="U294" s="38">
        <f t="shared" si="29"/>
        <v>3147.15</v>
      </c>
      <c r="V294" s="48">
        <f t="shared" si="32"/>
        <v>13489.071300000001</v>
      </c>
      <c r="W294" s="50">
        <f t="shared" si="33"/>
        <v>0.81082543065233215</v>
      </c>
    </row>
    <row r="295" spans="1:23" x14ac:dyDescent="0.3">
      <c r="A295" s="39" t="s">
        <v>690</v>
      </c>
      <c r="B295" s="40">
        <v>45758</v>
      </c>
      <c r="C295" s="41">
        <v>45781</v>
      </c>
      <c r="D295" s="42">
        <f t="shared" si="34"/>
        <v>23</v>
      </c>
      <c r="E295" s="42" t="str">
        <f>TEXT(Data!B295,"MMM-YYYY")</f>
        <v>Apr-2025</v>
      </c>
      <c r="F295" s="42" t="str">
        <f t="shared" si="30"/>
        <v>Q2-2025</v>
      </c>
      <c r="G295" s="37" t="s">
        <v>45</v>
      </c>
      <c r="H295" s="37" t="s">
        <v>46</v>
      </c>
      <c r="I295" s="37" t="s">
        <v>47</v>
      </c>
      <c r="J295" s="37" t="s">
        <v>62</v>
      </c>
      <c r="K295" s="37" t="s">
        <v>28</v>
      </c>
      <c r="L295" s="37" t="s">
        <v>110</v>
      </c>
      <c r="M295" s="37" t="s">
        <v>22</v>
      </c>
      <c r="N295" s="37" t="s">
        <v>691</v>
      </c>
      <c r="O295" s="42">
        <v>786.2</v>
      </c>
      <c r="P295" s="43" t="str">
        <f t="shared" si="31"/>
        <v>High</v>
      </c>
      <c r="Q295" s="42">
        <v>1075.3</v>
      </c>
      <c r="R295" s="42">
        <v>0.08</v>
      </c>
      <c r="S295" s="42">
        <v>9</v>
      </c>
      <c r="T295" s="42">
        <f t="shared" si="28"/>
        <v>20054.987999999998</v>
      </c>
      <c r="U295" s="37">
        <f t="shared" si="29"/>
        <v>7075.8</v>
      </c>
      <c r="V295" s="42">
        <f t="shared" si="32"/>
        <v>12979.187999999998</v>
      </c>
      <c r="W295" s="44">
        <f t="shared" si="33"/>
        <v>0.64718004318925548</v>
      </c>
    </row>
    <row r="296" spans="1:23" x14ac:dyDescent="0.3">
      <c r="A296" s="45" t="s">
        <v>692</v>
      </c>
      <c r="B296" s="46">
        <v>45809</v>
      </c>
      <c r="C296" s="47">
        <v>45835</v>
      </c>
      <c r="D296" s="48">
        <f t="shared" si="34"/>
        <v>26</v>
      </c>
      <c r="E296" s="48" t="str">
        <f>TEXT(Data!B296,"MMM-YYYY")</f>
        <v>Jun-2025</v>
      </c>
      <c r="F296" s="48" t="str">
        <f t="shared" si="30"/>
        <v>Q2-2025</v>
      </c>
      <c r="G296" s="38" t="s">
        <v>78</v>
      </c>
      <c r="H296" s="38" t="s">
        <v>79</v>
      </c>
      <c r="I296" s="38" t="s">
        <v>159</v>
      </c>
      <c r="J296" s="38" t="s">
        <v>48</v>
      </c>
      <c r="K296" s="38" t="s">
        <v>55</v>
      </c>
      <c r="L296" s="38" t="s">
        <v>63</v>
      </c>
      <c r="M296" s="38" t="s">
        <v>57</v>
      </c>
      <c r="N296" s="38" t="s">
        <v>693</v>
      </c>
      <c r="O296" s="48">
        <v>1362.31</v>
      </c>
      <c r="P296" s="49" t="str">
        <f t="shared" si="31"/>
        <v>High</v>
      </c>
      <c r="Q296" s="48">
        <v>3294.57</v>
      </c>
      <c r="R296" s="48">
        <v>0.113</v>
      </c>
      <c r="S296" s="48">
        <v>7</v>
      </c>
      <c r="T296" s="48">
        <f t="shared" si="28"/>
        <v>2693.96092</v>
      </c>
      <c r="U296" s="38">
        <f t="shared" si="29"/>
        <v>9536.17</v>
      </c>
      <c r="V296" s="48">
        <f t="shared" si="32"/>
        <v>-6842.2090800000005</v>
      </c>
      <c r="W296" s="50">
        <f t="shared" si="33"/>
        <v>-2.5398323447097373</v>
      </c>
    </row>
    <row r="297" spans="1:23" x14ac:dyDescent="0.3">
      <c r="A297" s="39" t="s">
        <v>694</v>
      </c>
      <c r="B297" s="40">
        <v>45353</v>
      </c>
      <c r="C297" s="41">
        <v>45367</v>
      </c>
      <c r="D297" s="42">
        <f t="shared" si="34"/>
        <v>14</v>
      </c>
      <c r="E297" s="42" t="str">
        <f>TEXT(Data!B297,"MMM-YYYY")</f>
        <v>Mar-2024</v>
      </c>
      <c r="F297" s="42" t="str">
        <f t="shared" si="30"/>
        <v>Q1-2024</v>
      </c>
      <c r="G297" s="37" t="s">
        <v>52</v>
      </c>
      <c r="H297" s="37" t="s">
        <v>53</v>
      </c>
      <c r="I297" s="37" t="s">
        <v>179</v>
      </c>
      <c r="J297" s="37" t="s">
        <v>39</v>
      </c>
      <c r="K297" s="37" t="s">
        <v>98</v>
      </c>
      <c r="L297" s="37" t="s">
        <v>68</v>
      </c>
      <c r="M297" s="37" t="s">
        <v>30</v>
      </c>
      <c r="N297" s="37" t="s">
        <v>695</v>
      </c>
      <c r="O297" s="42">
        <v>248.24</v>
      </c>
      <c r="P297" s="43" t="str">
        <f t="shared" si="31"/>
        <v>High</v>
      </c>
      <c r="Q297" s="42">
        <v>464.05</v>
      </c>
      <c r="R297" s="42">
        <v>0.16900000000000001</v>
      </c>
      <c r="S297" s="42">
        <v>11</v>
      </c>
      <c r="T297" s="42">
        <f t="shared" si="28"/>
        <v>28786.197329999999</v>
      </c>
      <c r="U297" s="37">
        <f t="shared" si="29"/>
        <v>2730.6400000000003</v>
      </c>
      <c r="V297" s="42">
        <f t="shared" si="32"/>
        <v>26055.55733</v>
      </c>
      <c r="W297" s="44">
        <f t="shared" si="33"/>
        <v>0.90514064887777934</v>
      </c>
    </row>
    <row r="298" spans="1:23" x14ac:dyDescent="0.3">
      <c r="A298" s="45" t="s">
        <v>696</v>
      </c>
      <c r="B298" s="46">
        <v>45097</v>
      </c>
      <c r="C298" s="47">
        <v>45115</v>
      </c>
      <c r="D298" s="48">
        <f t="shared" si="34"/>
        <v>18</v>
      </c>
      <c r="E298" s="48" t="str">
        <f>TEXT(Data!B298,"MMM-YYYY")</f>
        <v>Jun-2023</v>
      </c>
      <c r="F298" s="48" t="str">
        <f t="shared" si="30"/>
        <v>Q2-2023</v>
      </c>
      <c r="G298" s="38" t="s">
        <v>52</v>
      </c>
      <c r="H298" s="38" t="s">
        <v>122</v>
      </c>
      <c r="I298" s="38" t="s">
        <v>326</v>
      </c>
      <c r="J298" s="38" t="s">
        <v>39</v>
      </c>
      <c r="K298" s="38" t="s">
        <v>98</v>
      </c>
      <c r="L298" s="38" t="s">
        <v>84</v>
      </c>
      <c r="M298" s="38" t="s">
        <v>64</v>
      </c>
      <c r="N298" s="38" t="s">
        <v>697</v>
      </c>
      <c r="O298" s="48">
        <v>337</v>
      </c>
      <c r="P298" s="49" t="str">
        <f t="shared" si="31"/>
        <v>High</v>
      </c>
      <c r="Q298" s="48">
        <v>511.03</v>
      </c>
      <c r="R298" s="48">
        <v>0.108</v>
      </c>
      <c r="S298" s="48">
        <v>7</v>
      </c>
      <c r="T298" s="48">
        <f t="shared" si="28"/>
        <v>409.91860000000008</v>
      </c>
      <c r="U298" s="38">
        <f t="shared" si="29"/>
        <v>2359</v>
      </c>
      <c r="V298" s="48">
        <f t="shared" si="32"/>
        <v>-1949.0814</v>
      </c>
      <c r="W298" s="50">
        <f t="shared" si="33"/>
        <v>-4.7548010751402829</v>
      </c>
    </row>
    <row r="299" spans="1:23" x14ac:dyDescent="0.3">
      <c r="A299" s="39" t="s">
        <v>698</v>
      </c>
      <c r="B299" s="40">
        <v>45377</v>
      </c>
      <c r="C299" s="41">
        <v>45387</v>
      </c>
      <c r="D299" s="42">
        <f t="shared" si="34"/>
        <v>10</v>
      </c>
      <c r="E299" s="42" t="str">
        <f>TEXT(Data!B299,"MMM-YYYY")</f>
        <v>Mar-2024</v>
      </c>
      <c r="F299" s="42" t="str">
        <f t="shared" si="30"/>
        <v>Q1-2024</v>
      </c>
      <c r="G299" s="37" t="s">
        <v>52</v>
      </c>
      <c r="H299" s="37" t="s">
        <v>122</v>
      </c>
      <c r="I299" s="37" t="s">
        <v>326</v>
      </c>
      <c r="J299" s="37" t="s">
        <v>48</v>
      </c>
      <c r="K299" s="37" t="s">
        <v>98</v>
      </c>
      <c r="L299" s="37" t="s">
        <v>29</v>
      </c>
      <c r="M299" s="37" t="s">
        <v>64</v>
      </c>
      <c r="N299" s="37" t="s">
        <v>699</v>
      </c>
      <c r="O299" s="42">
        <v>5.66</v>
      </c>
      <c r="P299" s="43" t="str">
        <f t="shared" si="31"/>
        <v>Low</v>
      </c>
      <c r="Q299" s="42">
        <v>4.22</v>
      </c>
      <c r="R299" s="42">
        <v>0.11899999999999999</v>
      </c>
      <c r="S299" s="42">
        <v>18</v>
      </c>
      <c r="T299" s="42">
        <f t="shared" si="28"/>
        <v>39520.356119999997</v>
      </c>
      <c r="U299" s="37">
        <f t="shared" si="29"/>
        <v>101.88</v>
      </c>
      <c r="V299" s="42">
        <f t="shared" si="32"/>
        <v>39418.476119999999</v>
      </c>
      <c r="W299" s="44">
        <f t="shared" si="33"/>
        <v>0.99742208800723742</v>
      </c>
    </row>
    <row r="300" spans="1:23" x14ac:dyDescent="0.3">
      <c r="A300" s="45" t="s">
        <v>700</v>
      </c>
      <c r="B300" s="46">
        <v>45679</v>
      </c>
      <c r="C300" s="47">
        <v>45679</v>
      </c>
      <c r="D300" s="48">
        <f t="shared" si="34"/>
        <v>0</v>
      </c>
      <c r="E300" s="48" t="str">
        <f>TEXT(Data!B300,"MMM-YYYY")</f>
        <v>Jan-2025</v>
      </c>
      <c r="F300" s="48" t="str">
        <f t="shared" si="30"/>
        <v>Q1-2025</v>
      </c>
      <c r="G300" s="38" t="s">
        <v>78</v>
      </c>
      <c r="H300" s="38" t="s">
        <v>90</v>
      </c>
      <c r="I300" s="38" t="s">
        <v>138</v>
      </c>
      <c r="J300" s="38" t="s">
        <v>62</v>
      </c>
      <c r="K300" s="38" t="s">
        <v>28</v>
      </c>
      <c r="L300" s="38" t="s">
        <v>56</v>
      </c>
      <c r="M300" s="38" t="s">
        <v>81</v>
      </c>
      <c r="N300" s="38" t="s">
        <v>701</v>
      </c>
      <c r="O300" s="48">
        <v>591.72</v>
      </c>
      <c r="P300" s="49" t="str">
        <f t="shared" si="31"/>
        <v>High</v>
      </c>
      <c r="Q300" s="48">
        <v>577.24</v>
      </c>
      <c r="R300" s="48">
        <v>0</v>
      </c>
      <c r="S300" s="48">
        <v>22</v>
      </c>
      <c r="T300" s="48">
        <f t="shared" si="28"/>
        <v>20500.48</v>
      </c>
      <c r="U300" s="38">
        <f t="shared" si="29"/>
        <v>13017.84</v>
      </c>
      <c r="V300" s="48">
        <f t="shared" si="32"/>
        <v>7482.6399999999994</v>
      </c>
      <c r="W300" s="50">
        <f t="shared" si="33"/>
        <v>0.36499828296703296</v>
      </c>
    </row>
    <row r="301" spans="1:23" x14ac:dyDescent="0.3">
      <c r="A301" s="39" t="s">
        <v>702</v>
      </c>
      <c r="B301" s="40">
        <v>45787</v>
      </c>
      <c r="C301" s="41">
        <v>45804</v>
      </c>
      <c r="D301" s="42">
        <f t="shared" si="34"/>
        <v>17</v>
      </c>
      <c r="E301" s="42" t="str">
        <f>TEXT(Data!B301,"MMM-YYYY")</f>
        <v>May-2025</v>
      </c>
      <c r="F301" s="42" t="str">
        <f t="shared" si="30"/>
        <v>Q2-2025</v>
      </c>
      <c r="G301" s="37" t="s">
        <v>52</v>
      </c>
      <c r="H301" s="37" t="s">
        <v>53</v>
      </c>
      <c r="I301" s="37" t="s">
        <v>179</v>
      </c>
      <c r="J301" s="37" t="s">
        <v>27</v>
      </c>
      <c r="K301" s="37" t="s">
        <v>98</v>
      </c>
      <c r="L301" s="37" t="s">
        <v>21</v>
      </c>
      <c r="M301" s="37" t="s">
        <v>22</v>
      </c>
      <c r="N301" s="37" t="s">
        <v>703</v>
      </c>
      <c r="O301" s="42">
        <v>862.89</v>
      </c>
      <c r="P301" s="43" t="str">
        <f t="shared" si="31"/>
        <v>High</v>
      </c>
      <c r="Q301" s="42">
        <v>1426.03</v>
      </c>
      <c r="R301" s="42">
        <v>5.6000000000000001E-2</v>
      </c>
      <c r="S301" s="42">
        <v>19</v>
      </c>
      <c r="T301" s="42">
        <f t="shared" si="28"/>
        <v>11111.531359999999</v>
      </c>
      <c r="U301" s="37">
        <f t="shared" si="29"/>
        <v>16394.91</v>
      </c>
      <c r="V301" s="42">
        <f t="shared" si="32"/>
        <v>-5283.3786400000008</v>
      </c>
      <c r="W301" s="44">
        <f t="shared" si="33"/>
        <v>-0.4754860935747745</v>
      </c>
    </row>
    <row r="302" spans="1:23" x14ac:dyDescent="0.3">
      <c r="A302" s="45" t="s">
        <v>704</v>
      </c>
      <c r="B302" s="46">
        <v>45204</v>
      </c>
      <c r="C302" s="47">
        <v>45230</v>
      </c>
      <c r="D302" s="48">
        <f t="shared" si="34"/>
        <v>26</v>
      </c>
      <c r="E302" s="48" t="str">
        <f>TEXT(Data!B302,"MMM-YYYY")</f>
        <v>Oct-2023</v>
      </c>
      <c r="F302" s="48" t="str">
        <f t="shared" si="30"/>
        <v>Q4-2023</v>
      </c>
      <c r="G302" s="38" t="s">
        <v>45</v>
      </c>
      <c r="H302" s="38" t="s">
        <v>116</v>
      </c>
      <c r="I302" s="38" t="s">
        <v>162</v>
      </c>
      <c r="J302" s="38" t="s">
        <v>48</v>
      </c>
      <c r="K302" s="38" t="s">
        <v>1364</v>
      </c>
      <c r="L302" s="38" t="s">
        <v>29</v>
      </c>
      <c r="M302" s="38" t="s">
        <v>30</v>
      </c>
      <c r="N302" s="38" t="s">
        <v>705</v>
      </c>
      <c r="O302" s="48">
        <v>649.91</v>
      </c>
      <c r="P302" s="49" t="str">
        <f t="shared" si="31"/>
        <v>High</v>
      </c>
      <c r="Q302" s="48">
        <v>1360.12</v>
      </c>
      <c r="R302" s="48">
        <v>0.19400000000000001</v>
      </c>
      <c r="S302" s="48">
        <v>9</v>
      </c>
      <c r="T302" s="48">
        <f t="shared" si="28"/>
        <v>10311.923699999999</v>
      </c>
      <c r="U302" s="38">
        <f t="shared" si="29"/>
        <v>5849.19</v>
      </c>
      <c r="V302" s="48">
        <f t="shared" si="32"/>
        <v>4462.7336999999998</v>
      </c>
      <c r="W302" s="50">
        <f t="shared" si="33"/>
        <v>0.43277411953697836</v>
      </c>
    </row>
    <row r="303" spans="1:23" x14ac:dyDescent="0.3">
      <c r="A303" s="39" t="s">
        <v>706</v>
      </c>
      <c r="B303" s="40">
        <v>45125</v>
      </c>
      <c r="C303" s="41">
        <v>45129</v>
      </c>
      <c r="D303" s="42">
        <f t="shared" si="34"/>
        <v>4</v>
      </c>
      <c r="E303" s="42" t="str">
        <f>TEXT(Data!B303,"MMM-YYYY")</f>
        <v>Jul-2023</v>
      </c>
      <c r="F303" s="42" t="str">
        <f t="shared" si="30"/>
        <v>Q3-2023</v>
      </c>
      <c r="G303" s="37" t="s">
        <v>52</v>
      </c>
      <c r="H303" s="37" t="s">
        <v>73</v>
      </c>
      <c r="I303" s="37" t="s">
        <v>74</v>
      </c>
      <c r="J303" s="37" t="s">
        <v>48</v>
      </c>
      <c r="K303" s="37" t="s">
        <v>98</v>
      </c>
      <c r="L303" s="37" t="s">
        <v>84</v>
      </c>
      <c r="M303" s="37" t="s">
        <v>35</v>
      </c>
      <c r="N303" s="37" t="s">
        <v>707</v>
      </c>
      <c r="O303" s="42">
        <v>1269.55</v>
      </c>
      <c r="P303" s="43" t="str">
        <f t="shared" si="31"/>
        <v>High</v>
      </c>
      <c r="Q303" s="42">
        <v>2071.1</v>
      </c>
      <c r="R303" s="42">
        <v>0.129</v>
      </c>
      <c r="S303" s="42">
        <v>22</v>
      </c>
      <c r="T303" s="42">
        <f t="shared" si="28"/>
        <v>18252.954719999998</v>
      </c>
      <c r="U303" s="37">
        <f t="shared" si="29"/>
        <v>27930.1</v>
      </c>
      <c r="V303" s="42">
        <f t="shared" si="32"/>
        <v>-9677.1452800000006</v>
      </c>
      <c r="W303" s="44">
        <f t="shared" si="33"/>
        <v>-0.53016870027057195</v>
      </c>
    </row>
    <row r="304" spans="1:23" x14ac:dyDescent="0.3">
      <c r="A304" s="45" t="s">
        <v>708</v>
      </c>
      <c r="B304" s="46">
        <v>45830</v>
      </c>
      <c r="C304" s="47">
        <v>45846</v>
      </c>
      <c r="D304" s="48">
        <f t="shared" si="34"/>
        <v>16</v>
      </c>
      <c r="E304" s="48" t="str">
        <f>TEXT(Data!B304,"MMM-YYYY")</f>
        <v>Jun-2025</v>
      </c>
      <c r="F304" s="48" t="str">
        <f t="shared" si="30"/>
        <v>Q2-2025</v>
      </c>
      <c r="G304" s="38" t="s">
        <v>78</v>
      </c>
      <c r="H304" s="38" t="s">
        <v>108</v>
      </c>
      <c r="I304" s="38" t="s">
        <v>152</v>
      </c>
      <c r="J304" s="38" t="s">
        <v>27</v>
      </c>
      <c r="K304" s="38" t="s">
        <v>98</v>
      </c>
      <c r="L304" s="38" t="s">
        <v>75</v>
      </c>
      <c r="M304" s="38" t="s">
        <v>42</v>
      </c>
      <c r="N304" s="38" t="s">
        <v>709</v>
      </c>
      <c r="O304" s="48">
        <v>892.73</v>
      </c>
      <c r="P304" s="49" t="str">
        <f t="shared" si="31"/>
        <v>High</v>
      </c>
      <c r="Q304" s="48">
        <v>979.84</v>
      </c>
      <c r="R304" s="48">
        <v>0.17399999999999999</v>
      </c>
      <c r="S304" s="48">
        <v>10</v>
      </c>
      <c r="T304" s="48">
        <f t="shared" si="28"/>
        <v>26053.196400000001</v>
      </c>
      <c r="U304" s="38">
        <f t="shared" si="29"/>
        <v>8927.2999999999993</v>
      </c>
      <c r="V304" s="48">
        <f t="shared" si="32"/>
        <v>17125.896400000001</v>
      </c>
      <c r="W304" s="50">
        <f t="shared" si="33"/>
        <v>0.65734338839129935</v>
      </c>
    </row>
    <row r="305" spans="1:23" x14ac:dyDescent="0.3">
      <c r="A305" s="39" t="s">
        <v>710</v>
      </c>
      <c r="B305" s="40">
        <v>45462</v>
      </c>
      <c r="C305" s="41">
        <v>45463</v>
      </c>
      <c r="D305" s="42">
        <f t="shared" si="34"/>
        <v>1</v>
      </c>
      <c r="E305" s="42" t="str">
        <f>TEXT(Data!B305,"MMM-YYYY")</f>
        <v>Jun-2024</v>
      </c>
      <c r="F305" s="42" t="str">
        <f t="shared" si="30"/>
        <v>Q2-2024</v>
      </c>
      <c r="G305" s="37" t="s">
        <v>16</v>
      </c>
      <c r="H305" s="37" t="s">
        <v>17</v>
      </c>
      <c r="I305" s="37" t="s">
        <v>18</v>
      </c>
      <c r="J305" s="37" t="s">
        <v>62</v>
      </c>
      <c r="K305" s="37" t="s">
        <v>98</v>
      </c>
      <c r="L305" s="37" t="s">
        <v>29</v>
      </c>
      <c r="M305" s="37" t="s">
        <v>57</v>
      </c>
      <c r="N305" s="37" t="s">
        <v>711</v>
      </c>
      <c r="O305" s="42">
        <v>231.63</v>
      </c>
      <c r="P305" s="43" t="str">
        <f t="shared" si="31"/>
        <v>High</v>
      </c>
      <c r="Q305" s="42">
        <v>537.39</v>
      </c>
      <c r="R305" s="42">
        <v>0.08</v>
      </c>
      <c r="S305" s="42">
        <v>12</v>
      </c>
      <c r="T305" s="42">
        <f t="shared" si="28"/>
        <v>2496.5855999999999</v>
      </c>
      <c r="U305" s="37">
        <f t="shared" si="29"/>
        <v>2779.56</v>
      </c>
      <c r="V305" s="42">
        <f t="shared" si="32"/>
        <v>-282.97440000000006</v>
      </c>
      <c r="W305" s="44">
        <f t="shared" si="33"/>
        <v>-0.11334456146827093</v>
      </c>
    </row>
    <row r="306" spans="1:23" x14ac:dyDescent="0.3">
      <c r="A306" s="45" t="s">
        <v>712</v>
      </c>
      <c r="B306" s="46">
        <v>45756</v>
      </c>
      <c r="C306" s="47">
        <v>45759</v>
      </c>
      <c r="D306" s="48">
        <f t="shared" si="34"/>
        <v>3</v>
      </c>
      <c r="E306" s="48" t="str">
        <f>TEXT(Data!B306,"MMM-YYYY")</f>
        <v>Apr-2025</v>
      </c>
      <c r="F306" s="48" t="str">
        <f t="shared" si="30"/>
        <v>Q2-2025</v>
      </c>
      <c r="G306" s="38" t="s">
        <v>78</v>
      </c>
      <c r="H306" s="38" t="s">
        <v>90</v>
      </c>
      <c r="I306" s="38" t="s">
        <v>138</v>
      </c>
      <c r="J306" s="38" t="s">
        <v>62</v>
      </c>
      <c r="K306" s="38" t="s">
        <v>55</v>
      </c>
      <c r="L306" s="38" t="s">
        <v>92</v>
      </c>
      <c r="M306" s="38" t="s">
        <v>64</v>
      </c>
      <c r="N306" s="38" t="s">
        <v>713</v>
      </c>
      <c r="O306" s="48">
        <v>86.68</v>
      </c>
      <c r="P306" s="49" t="str">
        <f t="shared" si="31"/>
        <v>High</v>
      </c>
      <c r="Q306" s="48">
        <v>213.32</v>
      </c>
      <c r="R306" s="48">
        <v>3.7999999999999999E-2</v>
      </c>
      <c r="S306" s="48">
        <v>8</v>
      </c>
      <c r="T306" s="48">
        <f t="shared" si="28"/>
        <v>6818.0403199999992</v>
      </c>
      <c r="U306" s="38">
        <f t="shared" si="29"/>
        <v>693.44</v>
      </c>
      <c r="V306" s="48">
        <f t="shared" si="32"/>
        <v>6124.6003199999996</v>
      </c>
      <c r="W306" s="50">
        <f t="shared" si="33"/>
        <v>0.89829335594190218</v>
      </c>
    </row>
    <row r="307" spans="1:23" x14ac:dyDescent="0.3">
      <c r="A307" s="39" t="s">
        <v>714</v>
      </c>
      <c r="B307" s="40">
        <v>45741</v>
      </c>
      <c r="C307" s="41">
        <v>45742</v>
      </c>
      <c r="D307" s="42">
        <f t="shared" si="34"/>
        <v>1</v>
      </c>
      <c r="E307" s="42" t="str">
        <f>TEXT(Data!B307,"MMM-YYYY")</f>
        <v>Mar-2025</v>
      </c>
      <c r="F307" s="42" t="str">
        <f t="shared" si="30"/>
        <v>Q1-2025</v>
      </c>
      <c r="G307" s="37" t="s">
        <v>16</v>
      </c>
      <c r="H307" s="37" t="s">
        <v>25</v>
      </c>
      <c r="I307" s="37" t="s">
        <v>38</v>
      </c>
      <c r="J307" s="37" t="s">
        <v>27</v>
      </c>
      <c r="K307" s="37" t="s">
        <v>55</v>
      </c>
      <c r="L307" s="37" t="s">
        <v>41</v>
      </c>
      <c r="M307" s="37" t="s">
        <v>81</v>
      </c>
      <c r="N307" s="37" t="s">
        <v>715</v>
      </c>
      <c r="O307" s="42">
        <v>1450.43</v>
      </c>
      <c r="P307" s="43" t="str">
        <f t="shared" si="31"/>
        <v>High</v>
      </c>
      <c r="Q307" s="42">
        <v>1994.67</v>
      </c>
      <c r="R307" s="42">
        <v>0.1</v>
      </c>
      <c r="S307" s="42">
        <v>24</v>
      </c>
      <c r="T307" s="42">
        <f t="shared" si="28"/>
        <v>52560.144000000008</v>
      </c>
      <c r="U307" s="37">
        <f t="shared" si="29"/>
        <v>34810.32</v>
      </c>
      <c r="V307" s="42">
        <f t="shared" si="32"/>
        <v>17749.824000000008</v>
      </c>
      <c r="W307" s="44">
        <f t="shared" si="33"/>
        <v>0.33770501085385163</v>
      </c>
    </row>
    <row r="308" spans="1:23" x14ac:dyDescent="0.3">
      <c r="A308" s="45" t="s">
        <v>716</v>
      </c>
      <c r="B308" s="46">
        <v>45795</v>
      </c>
      <c r="C308" s="47">
        <v>45817</v>
      </c>
      <c r="D308" s="48">
        <f t="shared" si="34"/>
        <v>22</v>
      </c>
      <c r="E308" s="48" t="str">
        <f>TEXT(Data!B308,"MMM-YYYY")</f>
        <v>May-2025</v>
      </c>
      <c r="F308" s="48" t="str">
        <f t="shared" si="30"/>
        <v>Q2-2025</v>
      </c>
      <c r="G308" s="38" t="s">
        <v>52</v>
      </c>
      <c r="H308" s="38" t="s">
        <v>122</v>
      </c>
      <c r="I308" s="38" t="s">
        <v>387</v>
      </c>
      <c r="J308" s="38" t="s">
        <v>48</v>
      </c>
      <c r="K308" s="38" t="s">
        <v>20</v>
      </c>
      <c r="L308" s="38" t="s">
        <v>92</v>
      </c>
      <c r="M308" s="38" t="s">
        <v>35</v>
      </c>
      <c r="N308" s="38" t="s">
        <v>717</v>
      </c>
      <c r="O308" s="48">
        <v>382.96</v>
      </c>
      <c r="P308" s="49" t="str">
        <f t="shared" si="31"/>
        <v>High</v>
      </c>
      <c r="Q308" s="48">
        <v>552.84</v>
      </c>
      <c r="R308" s="48">
        <v>0.17599999999999999</v>
      </c>
      <c r="S308" s="48">
        <v>8</v>
      </c>
      <c r="T308" s="48">
        <f t="shared" si="28"/>
        <v>7609.4092799999999</v>
      </c>
      <c r="U308" s="38">
        <f t="shared" si="29"/>
        <v>3063.68</v>
      </c>
      <c r="V308" s="48">
        <f t="shared" si="32"/>
        <v>4545.7292799999996</v>
      </c>
      <c r="W308" s="50">
        <f t="shared" si="33"/>
        <v>0.59738267620164065</v>
      </c>
    </row>
    <row r="309" spans="1:23" x14ac:dyDescent="0.3">
      <c r="A309" s="39" t="s">
        <v>718</v>
      </c>
      <c r="B309" s="40">
        <v>45679</v>
      </c>
      <c r="C309" s="41">
        <v>45692</v>
      </c>
      <c r="D309" s="42">
        <f t="shared" si="34"/>
        <v>13</v>
      </c>
      <c r="E309" s="42" t="str">
        <f>TEXT(Data!B309,"MMM-YYYY")</f>
        <v>Jan-2025</v>
      </c>
      <c r="F309" s="42" t="str">
        <f t="shared" si="30"/>
        <v>Q1-2025</v>
      </c>
      <c r="G309" s="37" t="s">
        <v>45</v>
      </c>
      <c r="H309" s="37" t="s">
        <v>46</v>
      </c>
      <c r="I309" s="37" t="s">
        <v>214</v>
      </c>
      <c r="J309" s="37" t="s">
        <v>62</v>
      </c>
      <c r="K309" s="37" t="s">
        <v>55</v>
      </c>
      <c r="L309" s="37" t="s">
        <v>49</v>
      </c>
      <c r="M309" s="37" t="s">
        <v>30</v>
      </c>
      <c r="N309" s="37" t="s">
        <v>719</v>
      </c>
      <c r="O309" s="42">
        <v>122.29</v>
      </c>
      <c r="P309" s="43" t="str">
        <f t="shared" si="31"/>
        <v>High</v>
      </c>
      <c r="Q309" s="42">
        <v>224.95</v>
      </c>
      <c r="R309" s="42">
        <v>0.153</v>
      </c>
      <c r="S309" s="42">
        <v>28</v>
      </c>
      <c r="T309" s="42">
        <f t="shared" si="28"/>
        <v>26941.13884</v>
      </c>
      <c r="U309" s="37">
        <f t="shared" si="29"/>
        <v>3424.1200000000003</v>
      </c>
      <c r="V309" s="42">
        <f t="shared" si="32"/>
        <v>23517.018840000001</v>
      </c>
      <c r="W309" s="44">
        <f t="shared" si="33"/>
        <v>0.8729036652705956</v>
      </c>
    </row>
    <row r="310" spans="1:23" x14ac:dyDescent="0.3">
      <c r="A310" s="45" t="s">
        <v>720</v>
      </c>
      <c r="B310" s="46">
        <v>44936</v>
      </c>
      <c r="C310" s="47">
        <v>44955</v>
      </c>
      <c r="D310" s="48">
        <f t="shared" si="34"/>
        <v>19</v>
      </c>
      <c r="E310" s="48" t="str">
        <f>TEXT(Data!B310,"MMM-YYYY")</f>
        <v>Jan-2023</v>
      </c>
      <c r="F310" s="48" t="str">
        <f t="shared" si="30"/>
        <v>Q1-2023</v>
      </c>
      <c r="G310" s="38" t="s">
        <v>78</v>
      </c>
      <c r="H310" s="38" t="s">
        <v>90</v>
      </c>
      <c r="I310" s="38" t="s">
        <v>138</v>
      </c>
      <c r="J310" s="38" t="s">
        <v>39</v>
      </c>
      <c r="K310" s="38" t="s">
        <v>98</v>
      </c>
      <c r="L310" s="38" t="s">
        <v>145</v>
      </c>
      <c r="M310" s="38" t="s">
        <v>57</v>
      </c>
      <c r="N310" s="38" t="s">
        <v>721</v>
      </c>
      <c r="O310" s="48">
        <v>401.66</v>
      </c>
      <c r="P310" s="49" t="str">
        <f t="shared" si="31"/>
        <v>High</v>
      </c>
      <c r="Q310" s="48">
        <v>772.09</v>
      </c>
      <c r="R310" s="48">
        <v>8.8999999999999996E-2</v>
      </c>
      <c r="S310" s="48">
        <v>14</v>
      </c>
      <c r="T310" s="48">
        <f t="shared" si="28"/>
        <v>35096.967360000002</v>
      </c>
      <c r="U310" s="38">
        <f t="shared" si="29"/>
        <v>5623.2400000000007</v>
      </c>
      <c r="V310" s="48">
        <f t="shared" si="32"/>
        <v>29473.727360000001</v>
      </c>
      <c r="W310" s="50">
        <f t="shared" si="33"/>
        <v>0.83977988917615698</v>
      </c>
    </row>
    <row r="311" spans="1:23" x14ac:dyDescent="0.3">
      <c r="A311" s="39" t="s">
        <v>722</v>
      </c>
      <c r="B311" s="40">
        <v>45655</v>
      </c>
      <c r="C311" s="41">
        <v>45669</v>
      </c>
      <c r="D311" s="42">
        <f t="shared" si="34"/>
        <v>14</v>
      </c>
      <c r="E311" s="42" t="str">
        <f>TEXT(Data!B311,"MMM-YYYY")</f>
        <v>Dec-2024</v>
      </c>
      <c r="F311" s="42" t="str">
        <f t="shared" si="30"/>
        <v>Q4-2024</v>
      </c>
      <c r="G311" s="37" t="s">
        <v>78</v>
      </c>
      <c r="H311" s="37" t="s">
        <v>108</v>
      </c>
      <c r="I311" s="37" t="s">
        <v>228</v>
      </c>
      <c r="J311" s="37" t="s">
        <v>19</v>
      </c>
      <c r="K311" s="37" t="s">
        <v>98</v>
      </c>
      <c r="L311" s="37" t="s">
        <v>56</v>
      </c>
      <c r="M311" s="37" t="s">
        <v>64</v>
      </c>
      <c r="N311" s="37" t="s">
        <v>723</v>
      </c>
      <c r="O311" s="42">
        <v>1399.72</v>
      </c>
      <c r="P311" s="43" t="str">
        <f t="shared" si="31"/>
        <v>High</v>
      </c>
      <c r="Q311" s="42">
        <v>3149.21</v>
      </c>
      <c r="R311" s="42">
        <v>0.185</v>
      </c>
      <c r="S311" s="42">
        <v>12</v>
      </c>
      <c r="T311" s="42">
        <f t="shared" si="28"/>
        <v>13444.761599999998</v>
      </c>
      <c r="U311" s="37">
        <f t="shared" si="29"/>
        <v>16796.64</v>
      </c>
      <c r="V311" s="42">
        <f t="shared" si="32"/>
        <v>-3351.8784000000014</v>
      </c>
      <c r="W311" s="44">
        <f t="shared" si="33"/>
        <v>-0.24930738823959525</v>
      </c>
    </row>
    <row r="312" spans="1:23" x14ac:dyDescent="0.3">
      <c r="A312" s="45" t="s">
        <v>724</v>
      </c>
      <c r="B312" s="46">
        <v>45435</v>
      </c>
      <c r="C312" s="47">
        <v>45449</v>
      </c>
      <c r="D312" s="48">
        <f t="shared" si="34"/>
        <v>14</v>
      </c>
      <c r="E312" s="48" t="str">
        <f>TEXT(Data!B312,"MMM-YYYY")</f>
        <v>May-2024</v>
      </c>
      <c r="F312" s="48" t="str">
        <f t="shared" si="30"/>
        <v>Q2-2024</v>
      </c>
      <c r="G312" s="38" t="s">
        <v>52</v>
      </c>
      <c r="H312" s="38" t="s">
        <v>73</v>
      </c>
      <c r="I312" s="38" t="s">
        <v>225</v>
      </c>
      <c r="J312" s="38" t="s">
        <v>39</v>
      </c>
      <c r="K312" s="38" t="s">
        <v>28</v>
      </c>
      <c r="L312" s="38" t="s">
        <v>34</v>
      </c>
      <c r="M312" s="38" t="s">
        <v>35</v>
      </c>
      <c r="N312" s="38" t="s">
        <v>725</v>
      </c>
      <c r="O312" s="48">
        <v>51.13</v>
      </c>
      <c r="P312" s="49" t="str">
        <f t="shared" si="31"/>
        <v>Medium</v>
      </c>
      <c r="Q312" s="48">
        <v>57.53</v>
      </c>
      <c r="R312" s="48">
        <v>4.4999999999999998E-2</v>
      </c>
      <c r="S312" s="48">
        <v>16</v>
      </c>
      <c r="T312" s="48">
        <f t="shared" si="28"/>
        <v>20144.693599999999</v>
      </c>
      <c r="U312" s="38">
        <f t="shared" si="29"/>
        <v>818.08</v>
      </c>
      <c r="V312" s="48">
        <f t="shared" si="32"/>
        <v>19326.613599999997</v>
      </c>
      <c r="W312" s="50">
        <f t="shared" si="33"/>
        <v>0.95938980178879452</v>
      </c>
    </row>
    <row r="313" spans="1:23" x14ac:dyDescent="0.3">
      <c r="A313" s="39" t="s">
        <v>726</v>
      </c>
      <c r="B313" s="40">
        <v>45101</v>
      </c>
      <c r="C313" s="41">
        <v>45099</v>
      </c>
      <c r="D313" s="42">
        <f>DATEDIF(C313,B313, "MD")</f>
        <v>2</v>
      </c>
      <c r="E313" s="42" t="str">
        <f>TEXT(Data!B313,"MMM-YYYY")</f>
        <v>Jun-2023</v>
      </c>
      <c r="F313" s="42" t="str">
        <f t="shared" si="30"/>
        <v>Q2-2023</v>
      </c>
      <c r="G313" s="37" t="s">
        <v>52</v>
      </c>
      <c r="H313" s="37" t="s">
        <v>53</v>
      </c>
      <c r="I313" s="37" t="s">
        <v>54</v>
      </c>
      <c r="J313" s="37" t="s">
        <v>39</v>
      </c>
      <c r="K313" s="37" t="s">
        <v>20</v>
      </c>
      <c r="L313" s="37" t="s">
        <v>110</v>
      </c>
      <c r="M313" s="37" t="s">
        <v>81</v>
      </c>
      <c r="N313" s="37" t="s">
        <v>727</v>
      </c>
      <c r="O313" s="42">
        <v>471.42</v>
      </c>
      <c r="P313" s="43" t="str">
        <f t="shared" si="31"/>
        <v>High</v>
      </c>
      <c r="Q313" s="42">
        <v>824.81</v>
      </c>
      <c r="R313" s="42">
        <v>8.7999999999999995E-2</v>
      </c>
      <c r="S313" s="42">
        <v>15</v>
      </c>
      <c r="T313" s="42">
        <f t="shared" si="28"/>
        <v>6043.0032000000001</v>
      </c>
      <c r="U313" s="37">
        <f t="shared" si="29"/>
        <v>7071.3</v>
      </c>
      <c r="V313" s="42">
        <f t="shared" si="32"/>
        <v>-1028.2968000000001</v>
      </c>
      <c r="W313" s="44">
        <f t="shared" si="33"/>
        <v>-0.17016320626803574</v>
      </c>
    </row>
    <row r="314" spans="1:23" x14ac:dyDescent="0.3">
      <c r="A314" s="45" t="s">
        <v>728</v>
      </c>
      <c r="B314" s="46">
        <v>45600</v>
      </c>
      <c r="C314" s="47">
        <v>45601</v>
      </c>
      <c r="D314" s="48">
        <f t="shared" si="34"/>
        <v>1</v>
      </c>
      <c r="E314" s="48" t="str">
        <f>TEXT(Data!B314,"MMM-YYYY")</f>
        <v>Nov-2024</v>
      </c>
      <c r="F314" s="48" t="str">
        <f t="shared" si="30"/>
        <v>Q4-2024</v>
      </c>
      <c r="G314" s="38" t="s">
        <v>78</v>
      </c>
      <c r="H314" s="38" t="s">
        <v>108</v>
      </c>
      <c r="I314" s="38" t="s">
        <v>152</v>
      </c>
      <c r="J314" s="38" t="s">
        <v>19</v>
      </c>
      <c r="K314" s="38" t="s">
        <v>20</v>
      </c>
      <c r="L314" s="38" t="s">
        <v>110</v>
      </c>
      <c r="M314" s="38" t="s">
        <v>30</v>
      </c>
      <c r="N314" s="38" t="s">
        <v>729</v>
      </c>
      <c r="O314" s="48">
        <v>840.68</v>
      </c>
      <c r="P314" s="49" t="str">
        <f t="shared" si="31"/>
        <v>High</v>
      </c>
      <c r="Q314" s="48">
        <v>1493.53</v>
      </c>
      <c r="R314" s="48">
        <v>0</v>
      </c>
      <c r="S314" s="48">
        <v>27</v>
      </c>
      <c r="T314" s="48">
        <f t="shared" si="28"/>
        <v>35911.89</v>
      </c>
      <c r="U314" s="38">
        <f t="shared" si="29"/>
        <v>22698.359999999997</v>
      </c>
      <c r="V314" s="48">
        <f t="shared" si="32"/>
        <v>13213.530000000002</v>
      </c>
      <c r="W314" s="50">
        <f t="shared" si="33"/>
        <v>0.36794304059184862</v>
      </c>
    </row>
    <row r="315" spans="1:23" x14ac:dyDescent="0.3">
      <c r="A315" s="39" t="s">
        <v>730</v>
      </c>
      <c r="B315" s="40">
        <v>45451</v>
      </c>
      <c r="C315" s="41">
        <v>45467</v>
      </c>
      <c r="D315" s="42">
        <f t="shared" si="34"/>
        <v>16</v>
      </c>
      <c r="E315" s="42" t="str">
        <f>TEXT(Data!B315,"MMM-YYYY")</f>
        <v>Jun-2024</v>
      </c>
      <c r="F315" s="42" t="str">
        <f t="shared" si="30"/>
        <v>Q2-2024</v>
      </c>
      <c r="G315" s="37" t="s">
        <v>16</v>
      </c>
      <c r="H315" s="37" t="s">
        <v>148</v>
      </c>
      <c r="I315" s="37" t="s">
        <v>172</v>
      </c>
      <c r="J315" s="37" t="s">
        <v>27</v>
      </c>
      <c r="K315" s="37" t="s">
        <v>55</v>
      </c>
      <c r="L315" s="37" t="s">
        <v>92</v>
      </c>
      <c r="M315" s="37" t="s">
        <v>64</v>
      </c>
      <c r="N315" s="37" t="s">
        <v>731</v>
      </c>
      <c r="O315" s="42">
        <v>597.85</v>
      </c>
      <c r="P315" s="43" t="str">
        <f t="shared" si="31"/>
        <v>High</v>
      </c>
      <c r="Q315" s="42">
        <v>741.92</v>
      </c>
      <c r="R315" s="42">
        <v>3.1E-2</v>
      </c>
      <c r="S315" s="42">
        <v>7</v>
      </c>
      <c r="T315" s="42">
        <f t="shared" si="28"/>
        <v>11089.255379999999</v>
      </c>
      <c r="U315" s="37">
        <f t="shared" si="29"/>
        <v>4184.95</v>
      </c>
      <c r="V315" s="42">
        <f t="shared" si="32"/>
        <v>6904.3053799999989</v>
      </c>
      <c r="W315" s="44">
        <f t="shared" si="33"/>
        <v>0.62261217217995024</v>
      </c>
    </row>
    <row r="316" spans="1:23" x14ac:dyDescent="0.3">
      <c r="A316" s="45" t="s">
        <v>732</v>
      </c>
      <c r="B316" s="46">
        <v>45809</v>
      </c>
      <c r="C316" s="47">
        <v>45814</v>
      </c>
      <c r="D316" s="48">
        <f t="shared" si="34"/>
        <v>5</v>
      </c>
      <c r="E316" s="48" t="str">
        <f>TEXT(Data!B316,"MMM-YYYY")</f>
        <v>Jun-2025</v>
      </c>
      <c r="F316" s="48" t="str">
        <f t="shared" si="30"/>
        <v>Q2-2025</v>
      </c>
      <c r="G316" s="38" t="s">
        <v>78</v>
      </c>
      <c r="H316" s="38" t="s">
        <v>90</v>
      </c>
      <c r="I316" s="38" t="s">
        <v>217</v>
      </c>
      <c r="J316" s="38" t="s">
        <v>48</v>
      </c>
      <c r="K316" s="38" t="s">
        <v>55</v>
      </c>
      <c r="L316" s="38" t="s">
        <v>41</v>
      </c>
      <c r="M316" s="38" t="s">
        <v>22</v>
      </c>
      <c r="N316" s="38" t="s">
        <v>733</v>
      </c>
      <c r="O316" s="48">
        <v>379.45</v>
      </c>
      <c r="P316" s="49" t="str">
        <f t="shared" si="31"/>
        <v>High</v>
      </c>
      <c r="Q316" s="48">
        <v>742.23</v>
      </c>
      <c r="R316" s="48">
        <v>0.09</v>
      </c>
      <c r="S316" s="48">
        <v>13</v>
      </c>
      <c r="T316" s="48">
        <f t="shared" si="28"/>
        <v>835.19799999999998</v>
      </c>
      <c r="U316" s="38">
        <f t="shared" si="29"/>
        <v>4932.8499999999995</v>
      </c>
      <c r="V316" s="48">
        <f t="shared" si="32"/>
        <v>-4097.6519999999991</v>
      </c>
      <c r="W316" s="50">
        <f t="shared" si="33"/>
        <v>-4.9062042773090919</v>
      </c>
    </row>
    <row r="317" spans="1:23" x14ac:dyDescent="0.3">
      <c r="A317" s="39" t="s">
        <v>734</v>
      </c>
      <c r="B317" s="40">
        <v>45052</v>
      </c>
      <c r="C317" s="41">
        <v>45060</v>
      </c>
      <c r="D317" s="42">
        <f t="shared" si="34"/>
        <v>8</v>
      </c>
      <c r="E317" s="42" t="str">
        <f>TEXT(Data!B317,"MMM-YYYY")</f>
        <v>May-2023</v>
      </c>
      <c r="F317" s="42" t="str">
        <f t="shared" si="30"/>
        <v>Q2-2023</v>
      </c>
      <c r="G317" s="37" t="s">
        <v>45</v>
      </c>
      <c r="H317" s="37" t="s">
        <v>46</v>
      </c>
      <c r="I317" s="37" t="s">
        <v>47</v>
      </c>
      <c r="J317" s="37" t="s">
        <v>105</v>
      </c>
      <c r="K317" s="37" t="s">
        <v>40</v>
      </c>
      <c r="L317" s="37" t="s">
        <v>56</v>
      </c>
      <c r="M317" s="37" t="s">
        <v>42</v>
      </c>
      <c r="N317" s="37" t="s">
        <v>735</v>
      </c>
      <c r="O317" s="42">
        <v>291.18</v>
      </c>
      <c r="P317" s="43" t="str">
        <f t="shared" si="31"/>
        <v>High</v>
      </c>
      <c r="Q317" s="42">
        <v>479.54</v>
      </c>
      <c r="R317" s="42">
        <v>0.14099999999999999</v>
      </c>
      <c r="S317" s="42">
        <v>22</v>
      </c>
      <c r="T317" s="42">
        <f t="shared" si="28"/>
        <v>34451.80992</v>
      </c>
      <c r="U317" s="37">
        <f t="shared" si="29"/>
        <v>6405.96</v>
      </c>
      <c r="V317" s="42">
        <f t="shared" si="32"/>
        <v>28045.849920000001</v>
      </c>
      <c r="W317" s="44">
        <f t="shared" si="33"/>
        <v>0.81406027680765747</v>
      </c>
    </row>
    <row r="318" spans="1:23" x14ac:dyDescent="0.3">
      <c r="A318" s="45" t="s">
        <v>736</v>
      </c>
      <c r="B318" s="46">
        <v>45244</v>
      </c>
      <c r="C318" s="47">
        <v>45260</v>
      </c>
      <c r="D318" s="48">
        <f t="shared" si="34"/>
        <v>16</v>
      </c>
      <c r="E318" s="48" t="str">
        <f>TEXT(Data!B318,"MMM-YYYY")</f>
        <v>Nov-2023</v>
      </c>
      <c r="F318" s="48" t="str">
        <f t="shared" si="30"/>
        <v>Q4-2023</v>
      </c>
      <c r="G318" s="38" t="s">
        <v>52</v>
      </c>
      <c r="H318" s="38" t="s">
        <v>73</v>
      </c>
      <c r="I318" s="38" t="s">
        <v>74</v>
      </c>
      <c r="J318" s="38" t="s">
        <v>105</v>
      </c>
      <c r="K318" s="38" t="s">
        <v>98</v>
      </c>
      <c r="L318" s="38" t="s">
        <v>95</v>
      </c>
      <c r="M318" s="38" t="s">
        <v>35</v>
      </c>
      <c r="N318" s="38" t="s">
        <v>737</v>
      </c>
      <c r="O318" s="48">
        <v>1017.92</v>
      </c>
      <c r="P318" s="49" t="str">
        <f t="shared" si="31"/>
        <v>High</v>
      </c>
      <c r="Q318" s="48">
        <v>1175.25</v>
      </c>
      <c r="R318" s="48">
        <v>7.4999999999999997E-2</v>
      </c>
      <c r="S318" s="48">
        <v>15</v>
      </c>
      <c r="T318" s="48">
        <f t="shared" si="28"/>
        <v>27971.861250000002</v>
      </c>
      <c r="U318" s="38">
        <f t="shared" si="29"/>
        <v>15268.8</v>
      </c>
      <c r="V318" s="48">
        <f t="shared" si="32"/>
        <v>12703.061250000002</v>
      </c>
      <c r="W318" s="50">
        <f t="shared" si="33"/>
        <v>0.45413714648681097</v>
      </c>
    </row>
    <row r="319" spans="1:23" x14ac:dyDescent="0.3">
      <c r="A319" s="39" t="s">
        <v>738</v>
      </c>
      <c r="B319" s="40">
        <v>45748</v>
      </c>
      <c r="C319" s="41">
        <v>45774</v>
      </c>
      <c r="D319" s="42">
        <f t="shared" si="34"/>
        <v>26</v>
      </c>
      <c r="E319" s="42" t="str">
        <f>TEXT(Data!B319,"MMM-YYYY")</f>
        <v>Apr-2025</v>
      </c>
      <c r="F319" s="42" t="str">
        <f t="shared" si="30"/>
        <v>Q2-2025</v>
      </c>
      <c r="G319" s="37" t="s">
        <v>52</v>
      </c>
      <c r="H319" s="37" t="s">
        <v>122</v>
      </c>
      <c r="I319" s="37" t="s">
        <v>167</v>
      </c>
      <c r="J319" s="37" t="s">
        <v>19</v>
      </c>
      <c r="K319" s="37" t="s">
        <v>98</v>
      </c>
      <c r="L319" s="37" t="s">
        <v>34</v>
      </c>
      <c r="M319" s="37" t="s">
        <v>64</v>
      </c>
      <c r="N319" s="37" t="s">
        <v>739</v>
      </c>
      <c r="O319" s="42">
        <v>156.55000000000001</v>
      </c>
      <c r="P319" s="43" t="str">
        <f t="shared" si="31"/>
        <v>High</v>
      </c>
      <c r="Q319" s="42">
        <v>227.45</v>
      </c>
      <c r="R319" s="42">
        <v>1.4E-2</v>
      </c>
      <c r="S319" s="42">
        <v>13</v>
      </c>
      <c r="T319" s="42">
        <f t="shared" si="28"/>
        <v>3129.2583399999999</v>
      </c>
      <c r="U319" s="37">
        <f t="shared" si="29"/>
        <v>2035.15</v>
      </c>
      <c r="V319" s="42">
        <f t="shared" si="32"/>
        <v>1094.1083399999998</v>
      </c>
      <c r="W319" s="44">
        <f t="shared" si="33"/>
        <v>0.34963822769583153</v>
      </c>
    </row>
    <row r="320" spans="1:23" x14ac:dyDescent="0.3">
      <c r="A320" s="45" t="s">
        <v>740</v>
      </c>
      <c r="B320" s="46">
        <v>45008</v>
      </c>
      <c r="C320" s="47">
        <v>45031</v>
      </c>
      <c r="D320" s="48">
        <f t="shared" si="34"/>
        <v>23</v>
      </c>
      <c r="E320" s="48" t="str">
        <f>TEXT(Data!B320,"MMM-YYYY")</f>
        <v>Mar-2023</v>
      </c>
      <c r="F320" s="48" t="str">
        <f t="shared" si="30"/>
        <v>Q1-2023</v>
      </c>
      <c r="G320" s="38" t="s">
        <v>16</v>
      </c>
      <c r="H320" s="38" t="s">
        <v>17</v>
      </c>
      <c r="I320" s="38" t="s">
        <v>113</v>
      </c>
      <c r="J320" s="38" t="s">
        <v>62</v>
      </c>
      <c r="K320" s="38" t="s">
        <v>20</v>
      </c>
      <c r="L320" s="38" t="s">
        <v>21</v>
      </c>
      <c r="M320" s="38" t="s">
        <v>81</v>
      </c>
      <c r="N320" s="38" t="s">
        <v>741</v>
      </c>
      <c r="O320" s="48">
        <v>875.36</v>
      </c>
      <c r="P320" s="49" t="str">
        <f t="shared" si="31"/>
        <v>High</v>
      </c>
      <c r="Q320" s="48">
        <v>1178.6199999999999</v>
      </c>
      <c r="R320" s="48">
        <v>0.151</v>
      </c>
      <c r="S320" s="48">
        <v>53</v>
      </c>
      <c r="T320" s="48">
        <f t="shared" si="28"/>
        <v>125232.05063999999</v>
      </c>
      <c r="U320" s="38">
        <f t="shared" si="29"/>
        <v>46394.080000000002</v>
      </c>
      <c r="V320" s="48">
        <f t="shared" si="32"/>
        <v>78837.970639999985</v>
      </c>
      <c r="W320" s="50">
        <f t="shared" si="33"/>
        <v>0.62953509295022747</v>
      </c>
    </row>
    <row r="321" spans="1:23" x14ac:dyDescent="0.3">
      <c r="A321" s="39" t="s">
        <v>742</v>
      </c>
      <c r="B321" s="40">
        <v>45440</v>
      </c>
      <c r="C321" s="41">
        <v>45461</v>
      </c>
      <c r="D321" s="42">
        <f t="shared" si="34"/>
        <v>21</v>
      </c>
      <c r="E321" s="42" t="str">
        <f>TEXT(Data!B321,"MMM-YYYY")</f>
        <v>May-2024</v>
      </c>
      <c r="F321" s="42" t="str">
        <f t="shared" si="30"/>
        <v>Q2-2024</v>
      </c>
      <c r="G321" s="37" t="s">
        <v>78</v>
      </c>
      <c r="H321" s="37" t="s">
        <v>79</v>
      </c>
      <c r="I321" s="37" t="s">
        <v>335</v>
      </c>
      <c r="J321" s="37" t="s">
        <v>62</v>
      </c>
      <c r="K321" s="37" t="s">
        <v>28</v>
      </c>
      <c r="L321" s="37" t="s">
        <v>63</v>
      </c>
      <c r="M321" s="37" t="s">
        <v>42</v>
      </c>
      <c r="N321" s="37" t="s">
        <v>743</v>
      </c>
      <c r="O321" s="42">
        <v>986.85</v>
      </c>
      <c r="P321" s="43" t="str">
        <f t="shared" si="31"/>
        <v>High</v>
      </c>
      <c r="Q321" s="42">
        <v>2422.1</v>
      </c>
      <c r="R321" s="42">
        <v>7.5999999999999998E-2</v>
      </c>
      <c r="S321" s="42">
        <v>10</v>
      </c>
      <c r="T321" s="42">
        <f t="shared" ref="T321:T384" si="35">(Q347*S321)*(1-R321)</f>
        <v>18944.864399999999</v>
      </c>
      <c r="U321" s="37">
        <f t="shared" ref="U321:U384" si="36">(O321*S321)</f>
        <v>9868.5</v>
      </c>
      <c r="V321" s="42">
        <f t="shared" si="32"/>
        <v>9076.3643999999986</v>
      </c>
      <c r="W321" s="44">
        <f t="shared" si="33"/>
        <v>0.47909365875429538</v>
      </c>
    </row>
    <row r="322" spans="1:23" x14ac:dyDescent="0.3">
      <c r="A322" s="45" t="s">
        <v>744</v>
      </c>
      <c r="B322" s="46">
        <v>45293</v>
      </c>
      <c r="C322" s="47">
        <v>45292</v>
      </c>
      <c r="D322" s="48">
        <f>DATEDIF(C322,B322, "MD")</f>
        <v>1</v>
      </c>
      <c r="E322" s="48" t="str">
        <f>TEXT(Data!B322,"MMM-YYYY")</f>
        <v>Jan-2024</v>
      </c>
      <c r="F322" s="48" t="str">
        <f t="shared" ref="F322:F385" si="37">"Q"&amp;ROUNDUP(MONTH(B322)/3,0)&amp;"-"&amp;YEAR(B322)</f>
        <v>Q1-2024</v>
      </c>
      <c r="G322" s="38" t="s">
        <v>52</v>
      </c>
      <c r="H322" s="38" t="s">
        <v>122</v>
      </c>
      <c r="I322" s="38" t="s">
        <v>123</v>
      </c>
      <c r="J322" s="38" t="s">
        <v>27</v>
      </c>
      <c r="K322" s="38" t="s">
        <v>40</v>
      </c>
      <c r="L322" s="38" t="s">
        <v>56</v>
      </c>
      <c r="M322" s="38" t="s">
        <v>35</v>
      </c>
      <c r="N322" s="38" t="s">
        <v>745</v>
      </c>
      <c r="O322" s="48">
        <v>404.77</v>
      </c>
      <c r="P322" s="49" t="str">
        <f t="shared" ref="P322:P385" si="38">IF(Q322&lt;50, "Low", IF(Q322&lt;200, "Medium", "High"))</f>
        <v>High</v>
      </c>
      <c r="Q322" s="48">
        <v>433.88</v>
      </c>
      <c r="R322" s="48">
        <v>0.215</v>
      </c>
      <c r="S322" s="48">
        <v>22</v>
      </c>
      <c r="T322" s="48">
        <f t="shared" si="35"/>
        <v>2540.7624000000005</v>
      </c>
      <c r="U322" s="38">
        <f t="shared" si="36"/>
        <v>8904.9399999999987</v>
      </c>
      <c r="V322" s="48">
        <f t="shared" ref="V322:V385" si="39">(T322-U322)</f>
        <v>-6364.1775999999982</v>
      </c>
      <c r="W322" s="50">
        <f t="shared" ref="W322:W385" si="40">IF(T322=0, 0, V322/T322)</f>
        <v>-2.504829888855407</v>
      </c>
    </row>
    <row r="323" spans="1:23" x14ac:dyDescent="0.3">
      <c r="A323" s="39" t="s">
        <v>746</v>
      </c>
      <c r="B323" s="40">
        <v>44985</v>
      </c>
      <c r="C323" s="41">
        <v>44984</v>
      </c>
      <c r="D323" s="42">
        <f>DATEDIF(C323,B323, "MD")</f>
        <v>1</v>
      </c>
      <c r="E323" s="42" t="str">
        <f>TEXT(Data!B323,"MMM-YYYY")</f>
        <v>Feb-2023</v>
      </c>
      <c r="F323" s="42" t="str">
        <f t="shared" si="37"/>
        <v>Q1-2023</v>
      </c>
      <c r="G323" s="37" t="s">
        <v>78</v>
      </c>
      <c r="H323" s="37" t="s">
        <v>90</v>
      </c>
      <c r="I323" s="37" t="s">
        <v>91</v>
      </c>
      <c r="J323" s="37" t="s">
        <v>19</v>
      </c>
      <c r="K323" s="37" t="s">
        <v>20</v>
      </c>
      <c r="L323" s="37" t="s">
        <v>95</v>
      </c>
      <c r="M323" s="37" t="s">
        <v>35</v>
      </c>
      <c r="N323" s="37" t="s">
        <v>747</v>
      </c>
      <c r="O323" s="42">
        <v>1299.81</v>
      </c>
      <c r="P323" s="43" t="str">
        <f t="shared" si="38"/>
        <v>High</v>
      </c>
      <c r="Q323" s="42">
        <v>3149.13</v>
      </c>
      <c r="R323" s="42">
        <v>0.10299999999999999</v>
      </c>
      <c r="S323" s="42">
        <v>14</v>
      </c>
      <c r="T323" s="42">
        <f t="shared" si="35"/>
        <v>24902.262840000003</v>
      </c>
      <c r="U323" s="37">
        <f t="shared" si="36"/>
        <v>18197.34</v>
      </c>
      <c r="V323" s="42">
        <f t="shared" si="39"/>
        <v>6704.9228400000029</v>
      </c>
      <c r="W323" s="44">
        <f t="shared" si="40"/>
        <v>0.26924954101881943</v>
      </c>
    </row>
    <row r="324" spans="1:23" x14ac:dyDescent="0.3">
      <c r="A324" s="45" t="s">
        <v>748</v>
      </c>
      <c r="B324" s="46">
        <v>45340</v>
      </c>
      <c r="C324" s="47">
        <v>45362</v>
      </c>
      <c r="D324" s="48">
        <f t="shared" ref="D324:D387" si="41">DATEDIF(B324,C324, "MD")</f>
        <v>22</v>
      </c>
      <c r="E324" s="48" t="str">
        <f>TEXT(Data!B324,"MMM-YYYY")</f>
        <v>Feb-2024</v>
      </c>
      <c r="F324" s="48" t="str">
        <f t="shared" si="37"/>
        <v>Q1-2024</v>
      </c>
      <c r="G324" s="38" t="s">
        <v>52</v>
      </c>
      <c r="H324" s="38" t="s">
        <v>73</v>
      </c>
      <c r="I324" s="38" t="s">
        <v>74</v>
      </c>
      <c r="J324" s="38" t="s">
        <v>48</v>
      </c>
      <c r="K324" s="38" t="s">
        <v>28</v>
      </c>
      <c r="L324" s="38" t="s">
        <v>75</v>
      </c>
      <c r="M324" s="38" t="s">
        <v>22</v>
      </c>
      <c r="N324" s="38" t="s">
        <v>749</v>
      </c>
      <c r="O324" s="48">
        <v>80.48</v>
      </c>
      <c r="P324" s="49" t="str">
        <f t="shared" si="38"/>
        <v>Medium</v>
      </c>
      <c r="Q324" s="48">
        <v>65.650000000000006</v>
      </c>
      <c r="R324" s="48">
        <v>0.17599999999999999</v>
      </c>
      <c r="S324" s="48">
        <v>13</v>
      </c>
      <c r="T324" s="48">
        <f t="shared" si="35"/>
        <v>24630.101600000002</v>
      </c>
      <c r="U324" s="38">
        <f t="shared" si="36"/>
        <v>1046.24</v>
      </c>
      <c r="V324" s="48">
        <f t="shared" si="39"/>
        <v>23583.8616</v>
      </c>
      <c r="W324" s="50">
        <f t="shared" si="40"/>
        <v>0.95752189670220433</v>
      </c>
    </row>
    <row r="325" spans="1:23" x14ac:dyDescent="0.3">
      <c r="A325" s="39" t="s">
        <v>750</v>
      </c>
      <c r="B325" s="40">
        <v>45544</v>
      </c>
      <c r="C325" s="41">
        <v>45573</v>
      </c>
      <c r="D325" s="42">
        <f t="shared" si="41"/>
        <v>29</v>
      </c>
      <c r="E325" s="42" t="str">
        <f>TEXT(Data!B325,"MMM-YYYY")</f>
        <v>Sept-2024</v>
      </c>
      <c r="F325" s="42" t="str">
        <f t="shared" si="37"/>
        <v>Q3-2024</v>
      </c>
      <c r="G325" s="37" t="s">
        <v>52</v>
      </c>
      <c r="H325" s="37" t="s">
        <v>73</v>
      </c>
      <c r="I325" s="37" t="s">
        <v>74</v>
      </c>
      <c r="J325" s="37" t="s">
        <v>27</v>
      </c>
      <c r="K325" s="37" t="s">
        <v>98</v>
      </c>
      <c r="L325" s="37" t="s">
        <v>29</v>
      </c>
      <c r="M325" s="37" t="s">
        <v>22</v>
      </c>
      <c r="N325" s="37" t="s">
        <v>751</v>
      </c>
      <c r="O325" s="42">
        <v>1010.33</v>
      </c>
      <c r="P325" s="43" t="str">
        <f t="shared" si="38"/>
        <v>High</v>
      </c>
      <c r="Q325" s="42">
        <v>2492.14</v>
      </c>
      <c r="R325" s="42">
        <v>5.0999999999999997E-2</v>
      </c>
      <c r="S325" s="42">
        <v>11</v>
      </c>
      <c r="T325" s="42">
        <f t="shared" si="35"/>
        <v>4829.1857899999995</v>
      </c>
      <c r="U325" s="37">
        <f t="shared" si="36"/>
        <v>11113.630000000001</v>
      </c>
      <c r="V325" s="42">
        <f t="shared" si="39"/>
        <v>-6284.4442100000015</v>
      </c>
      <c r="W325" s="44">
        <f t="shared" si="40"/>
        <v>-1.3013465381707756</v>
      </c>
    </row>
    <row r="326" spans="1:23" x14ac:dyDescent="0.3">
      <c r="A326" s="45" t="s">
        <v>752</v>
      </c>
      <c r="B326" s="46">
        <v>45053</v>
      </c>
      <c r="C326" s="47">
        <v>45075</v>
      </c>
      <c r="D326" s="48">
        <f t="shared" si="41"/>
        <v>22</v>
      </c>
      <c r="E326" s="48" t="str">
        <f>TEXT(Data!B326,"MMM-YYYY")</f>
        <v>May-2023</v>
      </c>
      <c r="F326" s="48" t="str">
        <f t="shared" si="37"/>
        <v>Q2-2023</v>
      </c>
      <c r="G326" s="38" t="s">
        <v>16</v>
      </c>
      <c r="H326" s="38" t="s">
        <v>148</v>
      </c>
      <c r="I326" s="38" t="s">
        <v>172</v>
      </c>
      <c r="J326" s="38" t="s">
        <v>27</v>
      </c>
      <c r="K326" s="38" t="s">
        <v>55</v>
      </c>
      <c r="L326" s="38" t="s">
        <v>95</v>
      </c>
      <c r="M326" s="38" t="s">
        <v>81</v>
      </c>
      <c r="N326" s="38" t="s">
        <v>753</v>
      </c>
      <c r="O326" s="48">
        <v>653.86</v>
      </c>
      <c r="P326" s="49" t="str">
        <f t="shared" si="38"/>
        <v>High</v>
      </c>
      <c r="Q326" s="48">
        <v>931.84</v>
      </c>
      <c r="R326" s="48">
        <v>0.121</v>
      </c>
      <c r="S326" s="48">
        <v>12</v>
      </c>
      <c r="T326" s="48">
        <f t="shared" si="35"/>
        <v>11533.077720000001</v>
      </c>
      <c r="U326" s="38">
        <f t="shared" si="36"/>
        <v>7846.32</v>
      </c>
      <c r="V326" s="48">
        <f t="shared" si="39"/>
        <v>3686.7577200000014</v>
      </c>
      <c r="W326" s="50">
        <f t="shared" si="40"/>
        <v>0.3196681587956906</v>
      </c>
    </row>
    <row r="327" spans="1:23" x14ac:dyDescent="0.3">
      <c r="A327" s="39" t="s">
        <v>754</v>
      </c>
      <c r="B327" s="40">
        <v>45303</v>
      </c>
      <c r="C327" s="41">
        <v>45320</v>
      </c>
      <c r="D327" s="42">
        <f t="shared" si="41"/>
        <v>17</v>
      </c>
      <c r="E327" s="42" t="str">
        <f>TEXT(Data!B327,"MMM-YYYY")</f>
        <v>Jan-2024</v>
      </c>
      <c r="F327" s="42" t="str">
        <f t="shared" si="37"/>
        <v>Q1-2024</v>
      </c>
      <c r="G327" s="37" t="s">
        <v>45</v>
      </c>
      <c r="H327" s="37" t="s">
        <v>60</v>
      </c>
      <c r="I327" s="37" t="s">
        <v>281</v>
      </c>
      <c r="J327" s="37" t="s">
        <v>62</v>
      </c>
      <c r="K327" s="37" t="s">
        <v>98</v>
      </c>
      <c r="L327" s="37" t="s">
        <v>56</v>
      </c>
      <c r="M327" s="37" t="s">
        <v>22</v>
      </c>
      <c r="N327" s="37" t="s">
        <v>755</v>
      </c>
      <c r="O327" s="42">
        <v>310.02</v>
      </c>
      <c r="P327" s="43" t="str">
        <f t="shared" si="38"/>
        <v>High</v>
      </c>
      <c r="Q327" s="42">
        <v>619.51</v>
      </c>
      <c r="R327" s="42">
        <v>4.2000000000000003E-2</v>
      </c>
      <c r="S327" s="42">
        <v>4</v>
      </c>
      <c r="T327" s="42">
        <f t="shared" si="35"/>
        <v>5572.5710399999998</v>
      </c>
      <c r="U327" s="37">
        <f t="shared" si="36"/>
        <v>1240.08</v>
      </c>
      <c r="V327" s="42">
        <f t="shared" si="39"/>
        <v>4332.4910399999999</v>
      </c>
      <c r="W327" s="44">
        <f t="shared" si="40"/>
        <v>0.77746717070115634</v>
      </c>
    </row>
    <row r="328" spans="1:23" x14ac:dyDescent="0.3">
      <c r="A328" s="45" t="s">
        <v>756</v>
      </c>
      <c r="B328" s="46">
        <v>45087</v>
      </c>
      <c r="C328" s="47">
        <v>45095</v>
      </c>
      <c r="D328" s="48">
        <f t="shared" si="41"/>
        <v>8</v>
      </c>
      <c r="E328" s="48" t="str">
        <f>TEXT(Data!B328,"MMM-YYYY")</f>
        <v>Jun-2023</v>
      </c>
      <c r="F328" s="48" t="str">
        <f t="shared" si="37"/>
        <v>Q2-2023</v>
      </c>
      <c r="G328" s="38" t="s">
        <v>16</v>
      </c>
      <c r="H328" s="38" t="s">
        <v>17</v>
      </c>
      <c r="I328" s="38" t="s">
        <v>135</v>
      </c>
      <c r="J328" s="38" t="s">
        <v>105</v>
      </c>
      <c r="K328" s="38" t="s">
        <v>98</v>
      </c>
      <c r="L328" s="38" t="s">
        <v>92</v>
      </c>
      <c r="M328" s="38" t="s">
        <v>42</v>
      </c>
      <c r="N328" s="38" t="s">
        <v>757</v>
      </c>
      <c r="O328" s="48">
        <v>894.23</v>
      </c>
      <c r="P328" s="49" t="str">
        <f t="shared" si="38"/>
        <v>High</v>
      </c>
      <c r="Q328" s="48">
        <v>1421.55</v>
      </c>
      <c r="R328" s="48">
        <v>0.109</v>
      </c>
      <c r="S328" s="48">
        <v>3</v>
      </c>
      <c r="T328" s="48">
        <f t="shared" si="35"/>
        <v>5667.829200000001</v>
      </c>
      <c r="U328" s="38">
        <f t="shared" si="36"/>
        <v>2682.69</v>
      </c>
      <c r="V328" s="48">
        <f t="shared" si="39"/>
        <v>2985.139200000001</v>
      </c>
      <c r="W328" s="50">
        <f t="shared" si="40"/>
        <v>0.52668122038681064</v>
      </c>
    </row>
    <row r="329" spans="1:23" x14ac:dyDescent="0.3">
      <c r="A329" s="39" t="s">
        <v>758</v>
      </c>
      <c r="B329" s="40">
        <v>45796</v>
      </c>
      <c r="C329" s="41">
        <v>45794</v>
      </c>
      <c r="D329" s="42">
        <f>DATEDIF(C329,B329, "MD")</f>
        <v>2</v>
      </c>
      <c r="E329" s="42" t="str">
        <f>TEXT(Data!B329,"MMM-YYYY")</f>
        <v>May-2025</v>
      </c>
      <c r="F329" s="42" t="str">
        <f t="shared" si="37"/>
        <v>Q2-2025</v>
      </c>
      <c r="G329" s="37" t="s">
        <v>52</v>
      </c>
      <c r="H329" s="37" t="s">
        <v>73</v>
      </c>
      <c r="I329" s="37" t="s">
        <v>74</v>
      </c>
      <c r="J329" s="37" t="s">
        <v>62</v>
      </c>
      <c r="K329" s="37" t="s">
        <v>55</v>
      </c>
      <c r="L329" s="37" t="s">
        <v>49</v>
      </c>
      <c r="M329" s="37" t="s">
        <v>64</v>
      </c>
      <c r="N329" s="37" t="s">
        <v>759</v>
      </c>
      <c r="O329" s="42">
        <v>383.77</v>
      </c>
      <c r="P329" s="43" t="str">
        <f t="shared" si="38"/>
        <v>High</v>
      </c>
      <c r="Q329" s="42">
        <v>952.56</v>
      </c>
      <c r="R329" s="42">
        <v>0.34599999999999997</v>
      </c>
      <c r="S329" s="42">
        <v>10</v>
      </c>
      <c r="T329" s="42">
        <f t="shared" si="35"/>
        <v>841.56720000000018</v>
      </c>
      <c r="U329" s="37">
        <f t="shared" si="36"/>
        <v>3837.7</v>
      </c>
      <c r="V329" s="42">
        <f t="shared" si="39"/>
        <v>-2996.1327999999994</v>
      </c>
      <c r="W329" s="44">
        <f t="shared" si="40"/>
        <v>-3.5601824785946965</v>
      </c>
    </row>
    <row r="330" spans="1:23" x14ac:dyDescent="0.3">
      <c r="A330" s="45" t="s">
        <v>760</v>
      </c>
      <c r="B330" s="46">
        <v>45221</v>
      </c>
      <c r="C330" s="47">
        <v>45246</v>
      </c>
      <c r="D330" s="48">
        <f t="shared" si="41"/>
        <v>25</v>
      </c>
      <c r="E330" s="48" t="str">
        <f>TEXT(Data!B330,"MMM-YYYY")</f>
        <v>Oct-2023</v>
      </c>
      <c r="F330" s="48" t="str">
        <f t="shared" si="37"/>
        <v>Q4-2023</v>
      </c>
      <c r="G330" s="38" t="s">
        <v>52</v>
      </c>
      <c r="H330" s="38" t="s">
        <v>53</v>
      </c>
      <c r="I330" s="38" t="s">
        <v>54</v>
      </c>
      <c r="J330" s="38" t="s">
        <v>62</v>
      </c>
      <c r="K330" s="38" t="s">
        <v>40</v>
      </c>
      <c r="L330" s="38" t="s">
        <v>34</v>
      </c>
      <c r="M330" s="38" t="s">
        <v>57</v>
      </c>
      <c r="N330" s="38" t="s">
        <v>761</v>
      </c>
      <c r="O330" s="48">
        <v>1373.31</v>
      </c>
      <c r="P330" s="49" t="str">
        <f t="shared" si="38"/>
        <v>High</v>
      </c>
      <c r="Q330" s="48">
        <v>3154.14</v>
      </c>
      <c r="R330" s="48">
        <v>0.2</v>
      </c>
      <c r="S330" s="48">
        <v>11</v>
      </c>
      <c r="T330" s="48">
        <f t="shared" si="35"/>
        <v>11668.448000000002</v>
      </c>
      <c r="U330" s="38">
        <f t="shared" si="36"/>
        <v>15106.41</v>
      </c>
      <c r="V330" s="48">
        <f t="shared" si="39"/>
        <v>-3437.9619999999977</v>
      </c>
      <c r="W330" s="50">
        <f t="shared" si="40"/>
        <v>-0.29463747021026249</v>
      </c>
    </row>
    <row r="331" spans="1:23" x14ac:dyDescent="0.3">
      <c r="A331" s="39" t="s">
        <v>762</v>
      </c>
      <c r="B331" s="40">
        <v>45668</v>
      </c>
      <c r="C331" s="41">
        <v>45680</v>
      </c>
      <c r="D331" s="42">
        <f t="shared" si="41"/>
        <v>12</v>
      </c>
      <c r="E331" s="42" t="str">
        <f>TEXT(Data!B331,"MMM-YYYY")</f>
        <v>Jan-2025</v>
      </c>
      <c r="F331" s="42" t="str">
        <f t="shared" si="37"/>
        <v>Q1-2025</v>
      </c>
      <c r="G331" s="37" t="s">
        <v>52</v>
      </c>
      <c r="H331" s="37" t="s">
        <v>122</v>
      </c>
      <c r="I331" s="37" t="s">
        <v>326</v>
      </c>
      <c r="J331" s="37" t="s">
        <v>48</v>
      </c>
      <c r="K331" s="37" t="s">
        <v>55</v>
      </c>
      <c r="L331" s="37" t="s">
        <v>92</v>
      </c>
      <c r="M331" s="37" t="s">
        <v>42</v>
      </c>
      <c r="N331" s="37" t="s">
        <v>763</v>
      </c>
      <c r="O331" s="42">
        <v>100.69</v>
      </c>
      <c r="P331" s="43" t="str">
        <f t="shared" si="38"/>
        <v>High</v>
      </c>
      <c r="Q331" s="42">
        <v>226.14</v>
      </c>
      <c r="R331" s="42">
        <v>6.5000000000000002E-2</v>
      </c>
      <c r="S331" s="42">
        <v>12</v>
      </c>
      <c r="T331" s="42">
        <f t="shared" si="35"/>
        <v>27369.282600000002</v>
      </c>
      <c r="U331" s="37">
        <f t="shared" si="36"/>
        <v>1208.28</v>
      </c>
      <c r="V331" s="42">
        <f t="shared" si="39"/>
        <v>26161.002600000003</v>
      </c>
      <c r="W331" s="44">
        <f t="shared" si="40"/>
        <v>0.95585269743241286</v>
      </c>
    </row>
    <row r="332" spans="1:23" x14ac:dyDescent="0.3">
      <c r="A332" s="45" t="s">
        <v>764</v>
      </c>
      <c r="B332" s="46">
        <v>45914</v>
      </c>
      <c r="C332" s="47">
        <v>45926</v>
      </c>
      <c r="D332" s="48">
        <f t="shared" si="41"/>
        <v>12</v>
      </c>
      <c r="E332" s="48" t="str">
        <f>TEXT(Data!B332,"MMM-YYYY")</f>
        <v>Sept-2025</v>
      </c>
      <c r="F332" s="48" t="str">
        <f t="shared" si="37"/>
        <v>Q3-2025</v>
      </c>
      <c r="G332" s="38" t="s">
        <v>78</v>
      </c>
      <c r="H332" s="38" t="s">
        <v>108</v>
      </c>
      <c r="I332" s="38" t="s">
        <v>152</v>
      </c>
      <c r="J332" s="38" t="s">
        <v>62</v>
      </c>
      <c r="K332" s="38" t="s">
        <v>98</v>
      </c>
      <c r="L332" s="38" t="s">
        <v>126</v>
      </c>
      <c r="M332" s="38" t="s">
        <v>35</v>
      </c>
      <c r="N332" s="38" t="s">
        <v>765</v>
      </c>
      <c r="O332" s="48">
        <v>425.15</v>
      </c>
      <c r="P332" s="49" t="str">
        <f t="shared" si="38"/>
        <v>High</v>
      </c>
      <c r="Q332" s="48">
        <v>885.92</v>
      </c>
      <c r="R332" s="48">
        <v>0.23899999999999999</v>
      </c>
      <c r="S332" s="48">
        <v>13</v>
      </c>
      <c r="T332" s="48">
        <f t="shared" si="35"/>
        <v>21779.835220000001</v>
      </c>
      <c r="U332" s="38">
        <f t="shared" si="36"/>
        <v>5526.95</v>
      </c>
      <c r="V332" s="48">
        <f t="shared" si="39"/>
        <v>16252.88522</v>
      </c>
      <c r="W332" s="50">
        <f t="shared" si="40"/>
        <v>0.74623545384196899</v>
      </c>
    </row>
    <row r="333" spans="1:23" x14ac:dyDescent="0.3">
      <c r="A333" s="39" t="s">
        <v>766</v>
      </c>
      <c r="B333" s="40">
        <v>45168</v>
      </c>
      <c r="C333" s="41">
        <v>45172</v>
      </c>
      <c r="D333" s="42">
        <f t="shared" si="41"/>
        <v>4</v>
      </c>
      <c r="E333" s="42" t="str">
        <f>TEXT(Data!B333,"MMM-YYYY")</f>
        <v>Aug-2023</v>
      </c>
      <c r="F333" s="42" t="str">
        <f t="shared" si="37"/>
        <v>Q3-2023</v>
      </c>
      <c r="G333" s="37" t="s">
        <v>45</v>
      </c>
      <c r="H333" s="37" t="s">
        <v>60</v>
      </c>
      <c r="I333" s="37" t="s">
        <v>141</v>
      </c>
      <c r="J333" s="37" t="s">
        <v>62</v>
      </c>
      <c r="K333" s="37" t="s">
        <v>40</v>
      </c>
      <c r="L333" s="37" t="s">
        <v>49</v>
      </c>
      <c r="M333" s="37" t="s">
        <v>81</v>
      </c>
      <c r="N333" s="37" t="s">
        <v>767</v>
      </c>
      <c r="O333" s="42">
        <v>1082.25</v>
      </c>
      <c r="P333" s="43" t="str">
        <f t="shared" si="38"/>
        <v>High</v>
      </c>
      <c r="Q333" s="42">
        <v>2433.34</v>
      </c>
      <c r="R333" s="42">
        <v>0.27</v>
      </c>
      <c r="S333" s="42">
        <v>4</v>
      </c>
      <c r="T333" s="42">
        <f t="shared" si="35"/>
        <v>2377.9312</v>
      </c>
      <c r="U333" s="37">
        <f t="shared" si="36"/>
        <v>4329</v>
      </c>
      <c r="V333" s="42">
        <f t="shared" si="39"/>
        <v>-1951.0688</v>
      </c>
      <c r="W333" s="44">
        <f t="shared" si="40"/>
        <v>-0.82049001249489473</v>
      </c>
    </row>
    <row r="334" spans="1:23" x14ac:dyDescent="0.3">
      <c r="A334" s="45" t="s">
        <v>768</v>
      </c>
      <c r="B334" s="46">
        <v>45245</v>
      </c>
      <c r="C334" s="47">
        <v>45266</v>
      </c>
      <c r="D334" s="48">
        <f t="shared" si="41"/>
        <v>21</v>
      </c>
      <c r="E334" s="48" t="str">
        <f>TEXT(Data!B334,"MMM-YYYY")</f>
        <v>Nov-2023</v>
      </c>
      <c r="F334" s="48" t="str">
        <f t="shared" si="37"/>
        <v>Q4-2023</v>
      </c>
      <c r="G334" s="38" t="s">
        <v>78</v>
      </c>
      <c r="H334" s="38" t="s">
        <v>108</v>
      </c>
      <c r="I334" s="38" t="s">
        <v>228</v>
      </c>
      <c r="J334" s="38" t="s">
        <v>27</v>
      </c>
      <c r="K334" s="38" t="s">
        <v>98</v>
      </c>
      <c r="L334" s="38" t="s">
        <v>92</v>
      </c>
      <c r="M334" s="38" t="s">
        <v>81</v>
      </c>
      <c r="N334" s="38" t="s">
        <v>769</v>
      </c>
      <c r="O334" s="48">
        <v>1184.99</v>
      </c>
      <c r="P334" s="49" t="str">
        <f t="shared" si="38"/>
        <v>High</v>
      </c>
      <c r="Q334" s="48">
        <v>1154.3399999999999</v>
      </c>
      <c r="R334" s="48">
        <v>2.8000000000000001E-2</v>
      </c>
      <c r="S334" s="48">
        <v>5</v>
      </c>
      <c r="T334" s="48">
        <f t="shared" si="35"/>
        <v>6720.9426000000003</v>
      </c>
      <c r="U334" s="38">
        <f t="shared" si="36"/>
        <v>5924.95</v>
      </c>
      <c r="V334" s="48">
        <f t="shared" si="39"/>
        <v>795.99260000000049</v>
      </c>
      <c r="W334" s="50">
        <f t="shared" si="40"/>
        <v>0.11843466718492737</v>
      </c>
    </row>
    <row r="335" spans="1:23" x14ac:dyDescent="0.3">
      <c r="A335" s="39" t="s">
        <v>770</v>
      </c>
      <c r="B335" s="40">
        <v>45774</v>
      </c>
      <c r="C335" s="41">
        <v>45804</v>
      </c>
      <c r="D335" s="42">
        <f t="shared" si="41"/>
        <v>0</v>
      </c>
      <c r="E335" s="42" t="str">
        <f>TEXT(Data!B335,"MMM-YYYY")</f>
        <v>Apr-2025</v>
      </c>
      <c r="F335" s="42" t="str">
        <f t="shared" si="37"/>
        <v>Q2-2025</v>
      </c>
      <c r="G335" s="37" t="s">
        <v>45</v>
      </c>
      <c r="H335" s="37" t="s">
        <v>60</v>
      </c>
      <c r="I335" s="37" t="s">
        <v>1364</v>
      </c>
      <c r="J335" s="37" t="s">
        <v>105</v>
      </c>
      <c r="K335" s="37" t="s">
        <v>40</v>
      </c>
      <c r="L335" s="37" t="s">
        <v>92</v>
      </c>
      <c r="M335" s="37" t="s">
        <v>42</v>
      </c>
      <c r="N335" s="37" t="s">
        <v>771</v>
      </c>
      <c r="O335" s="42">
        <v>481.32</v>
      </c>
      <c r="P335" s="43" t="str">
        <f t="shared" si="38"/>
        <v>High</v>
      </c>
      <c r="Q335" s="42">
        <v>1135.99</v>
      </c>
      <c r="R335" s="42">
        <v>0.14499999999999999</v>
      </c>
      <c r="S335" s="42">
        <v>5</v>
      </c>
      <c r="T335" s="42">
        <f t="shared" si="35"/>
        <v>7038.4882499999994</v>
      </c>
      <c r="U335" s="37">
        <f t="shared" si="36"/>
        <v>2406.6</v>
      </c>
      <c r="V335" s="42">
        <f t="shared" si="39"/>
        <v>4631.88825</v>
      </c>
      <c r="W335" s="44">
        <f t="shared" si="40"/>
        <v>0.65807998613906904</v>
      </c>
    </row>
    <row r="336" spans="1:23" x14ac:dyDescent="0.3">
      <c r="A336" s="45" t="s">
        <v>772</v>
      </c>
      <c r="B336" s="46">
        <v>45391</v>
      </c>
      <c r="C336" s="47">
        <v>45400</v>
      </c>
      <c r="D336" s="48">
        <f t="shared" si="41"/>
        <v>9</v>
      </c>
      <c r="E336" s="48" t="str">
        <f>TEXT(Data!B336,"MMM-YYYY")</f>
        <v>Apr-2024</v>
      </c>
      <c r="F336" s="48" t="str">
        <f t="shared" si="37"/>
        <v>Q2-2024</v>
      </c>
      <c r="G336" s="38" t="s">
        <v>78</v>
      </c>
      <c r="H336" s="38" t="s">
        <v>90</v>
      </c>
      <c r="I336" s="38" t="s">
        <v>138</v>
      </c>
      <c r="J336" s="38" t="s">
        <v>48</v>
      </c>
      <c r="K336" s="38" t="s">
        <v>28</v>
      </c>
      <c r="L336" s="38" t="s">
        <v>63</v>
      </c>
      <c r="M336" s="38" t="s">
        <v>30</v>
      </c>
      <c r="N336" s="38" t="s">
        <v>773</v>
      </c>
      <c r="O336" s="48">
        <v>1288.8499999999999</v>
      </c>
      <c r="P336" s="49" t="str">
        <f t="shared" si="38"/>
        <v>High</v>
      </c>
      <c r="Q336" s="48">
        <v>2751.84</v>
      </c>
      <c r="R336" s="48">
        <v>0.158</v>
      </c>
      <c r="S336" s="48">
        <v>7</v>
      </c>
      <c r="T336" s="48">
        <f t="shared" si="35"/>
        <v>2362.5509599999996</v>
      </c>
      <c r="U336" s="38">
        <f t="shared" si="36"/>
        <v>9021.9499999999989</v>
      </c>
      <c r="V336" s="48">
        <f t="shared" si="39"/>
        <v>-6659.3990399999993</v>
      </c>
      <c r="W336" s="50">
        <f t="shared" si="40"/>
        <v>-2.8187324433416667</v>
      </c>
    </row>
    <row r="337" spans="1:23" x14ac:dyDescent="0.3">
      <c r="A337" s="39" t="s">
        <v>774</v>
      </c>
      <c r="B337" s="40">
        <v>45484</v>
      </c>
      <c r="C337" s="41">
        <v>45504</v>
      </c>
      <c r="D337" s="42">
        <f t="shared" si="41"/>
        <v>20</v>
      </c>
      <c r="E337" s="42" t="str">
        <f>TEXT(Data!B337,"MMM-YYYY")</f>
        <v>Jul-2024</v>
      </c>
      <c r="F337" s="42" t="str">
        <f t="shared" si="37"/>
        <v>Q3-2024</v>
      </c>
      <c r="G337" s="37" t="s">
        <v>45</v>
      </c>
      <c r="H337" s="37" t="s">
        <v>116</v>
      </c>
      <c r="I337" s="37" t="s">
        <v>117</v>
      </c>
      <c r="J337" s="37" t="s">
        <v>48</v>
      </c>
      <c r="K337" s="37" t="s">
        <v>28</v>
      </c>
      <c r="L337" s="37" t="s">
        <v>41</v>
      </c>
      <c r="M337" s="37" t="s">
        <v>42</v>
      </c>
      <c r="N337" s="37" t="s">
        <v>775</v>
      </c>
      <c r="O337" s="42">
        <v>647.26</v>
      </c>
      <c r="P337" s="43" t="str">
        <f t="shared" si="38"/>
        <v>High</v>
      </c>
      <c r="Q337" s="42">
        <v>1374.72</v>
      </c>
      <c r="R337" s="42">
        <v>6.6000000000000003E-2</v>
      </c>
      <c r="S337" s="42">
        <v>22</v>
      </c>
      <c r="T337" s="42">
        <f t="shared" si="35"/>
        <v>36586.946879999996</v>
      </c>
      <c r="U337" s="37">
        <f t="shared" si="36"/>
        <v>14239.72</v>
      </c>
      <c r="V337" s="42">
        <f t="shared" si="39"/>
        <v>22347.226879999995</v>
      </c>
      <c r="W337" s="44">
        <f t="shared" si="40"/>
        <v>0.6107978059305067</v>
      </c>
    </row>
    <row r="338" spans="1:23" x14ac:dyDescent="0.3">
      <c r="A338" s="45" t="s">
        <v>776</v>
      </c>
      <c r="B338" s="46">
        <v>45340</v>
      </c>
      <c r="C338" s="47">
        <v>45354</v>
      </c>
      <c r="D338" s="48">
        <f t="shared" si="41"/>
        <v>14</v>
      </c>
      <c r="E338" s="48" t="str">
        <f>TEXT(Data!B338,"MMM-YYYY")</f>
        <v>Feb-2024</v>
      </c>
      <c r="F338" s="48" t="str">
        <f t="shared" si="37"/>
        <v>Q1-2024</v>
      </c>
      <c r="G338" s="38" t="s">
        <v>52</v>
      </c>
      <c r="H338" s="38" t="s">
        <v>73</v>
      </c>
      <c r="I338" s="38" t="s">
        <v>1364</v>
      </c>
      <c r="J338" s="38" t="s">
        <v>105</v>
      </c>
      <c r="K338" s="38" t="s">
        <v>55</v>
      </c>
      <c r="L338" s="38" t="s">
        <v>75</v>
      </c>
      <c r="M338" s="38" t="s">
        <v>30</v>
      </c>
      <c r="N338" s="38" t="s">
        <v>777</v>
      </c>
      <c r="O338" s="48">
        <v>624.23</v>
      </c>
      <c r="P338" s="49" t="str">
        <f t="shared" si="38"/>
        <v>High</v>
      </c>
      <c r="Q338" s="48">
        <v>1318.37</v>
      </c>
      <c r="R338" s="48">
        <v>0.21</v>
      </c>
      <c r="S338" s="48">
        <v>37</v>
      </c>
      <c r="T338" s="48">
        <f t="shared" si="35"/>
        <v>32691.708900000005</v>
      </c>
      <c r="U338" s="38">
        <f t="shared" si="36"/>
        <v>23096.510000000002</v>
      </c>
      <c r="V338" s="48">
        <f t="shared" si="39"/>
        <v>9595.1989000000031</v>
      </c>
      <c r="W338" s="50">
        <f t="shared" si="40"/>
        <v>0.29350557749521627</v>
      </c>
    </row>
    <row r="339" spans="1:23" x14ac:dyDescent="0.3">
      <c r="A339" s="39" t="s">
        <v>778</v>
      </c>
      <c r="B339" s="40">
        <v>45132</v>
      </c>
      <c r="C339" s="41">
        <v>45148</v>
      </c>
      <c r="D339" s="42">
        <f t="shared" si="41"/>
        <v>16</v>
      </c>
      <c r="E339" s="42" t="str">
        <f>TEXT(Data!B339,"MMM-YYYY")</f>
        <v>Jul-2023</v>
      </c>
      <c r="F339" s="42" t="str">
        <f t="shared" si="37"/>
        <v>Q3-2023</v>
      </c>
      <c r="G339" s="37" t="s">
        <v>16</v>
      </c>
      <c r="H339" s="37" t="s">
        <v>25</v>
      </c>
      <c r="I339" s="37" t="s">
        <v>26</v>
      </c>
      <c r="J339" s="37" t="s">
        <v>19</v>
      </c>
      <c r="K339" s="37" t="s">
        <v>55</v>
      </c>
      <c r="L339" s="37" t="s">
        <v>34</v>
      </c>
      <c r="M339" s="37" t="s">
        <v>81</v>
      </c>
      <c r="N339" s="37" t="s">
        <v>779</v>
      </c>
      <c r="O339" s="42">
        <v>506.83</v>
      </c>
      <c r="P339" s="43" t="str">
        <f t="shared" si="38"/>
        <v>High</v>
      </c>
      <c r="Q339" s="42">
        <v>441.74</v>
      </c>
      <c r="R339" s="42">
        <v>0.24</v>
      </c>
      <c r="S339" s="42">
        <v>9</v>
      </c>
      <c r="T339" s="42">
        <f t="shared" si="35"/>
        <v>5274.4607999999998</v>
      </c>
      <c r="U339" s="37">
        <f t="shared" si="36"/>
        <v>4561.47</v>
      </c>
      <c r="V339" s="42">
        <f t="shared" si="39"/>
        <v>712.99079999999958</v>
      </c>
      <c r="W339" s="44">
        <f t="shared" si="40"/>
        <v>0.1351779503224291</v>
      </c>
    </row>
    <row r="340" spans="1:23" x14ac:dyDescent="0.3">
      <c r="A340" s="45" t="s">
        <v>780</v>
      </c>
      <c r="B340" s="46">
        <v>45121</v>
      </c>
      <c r="C340" s="47">
        <v>45128</v>
      </c>
      <c r="D340" s="48">
        <f t="shared" si="41"/>
        <v>7</v>
      </c>
      <c r="E340" s="48" t="str">
        <f>TEXT(Data!B340,"MMM-YYYY")</f>
        <v>Jul-2023</v>
      </c>
      <c r="F340" s="48" t="str">
        <f t="shared" si="37"/>
        <v>Q3-2023</v>
      </c>
      <c r="G340" s="38" t="s">
        <v>16</v>
      </c>
      <c r="H340" s="38" t="s">
        <v>148</v>
      </c>
      <c r="I340" s="38" t="s">
        <v>172</v>
      </c>
      <c r="J340" s="38" t="s">
        <v>105</v>
      </c>
      <c r="K340" s="38" t="s">
        <v>40</v>
      </c>
      <c r="L340" s="38" t="s">
        <v>1364</v>
      </c>
      <c r="M340" s="38" t="s">
        <v>64</v>
      </c>
      <c r="N340" s="38" t="s">
        <v>781</v>
      </c>
      <c r="O340" s="48">
        <v>620.74</v>
      </c>
      <c r="P340" s="49" t="str">
        <f t="shared" si="38"/>
        <v>High</v>
      </c>
      <c r="Q340" s="48">
        <v>1330.07</v>
      </c>
      <c r="R340" s="48">
        <v>0.29899999999999999</v>
      </c>
      <c r="S340" s="48">
        <v>28</v>
      </c>
      <c r="T340" s="48">
        <f t="shared" si="35"/>
        <v>23750.665119999998</v>
      </c>
      <c r="U340" s="38">
        <f t="shared" si="36"/>
        <v>17380.72</v>
      </c>
      <c r="V340" s="48">
        <f t="shared" si="39"/>
        <v>6369.9451199999967</v>
      </c>
      <c r="W340" s="50">
        <f t="shared" si="40"/>
        <v>0.26820070460409901</v>
      </c>
    </row>
    <row r="341" spans="1:23" x14ac:dyDescent="0.3">
      <c r="A341" s="39" t="s">
        <v>782</v>
      </c>
      <c r="B341" s="40">
        <v>45131</v>
      </c>
      <c r="C341" s="41">
        <v>45157</v>
      </c>
      <c r="D341" s="42">
        <f t="shared" si="41"/>
        <v>26</v>
      </c>
      <c r="E341" s="42" t="str">
        <f>TEXT(Data!B341,"MMM-YYYY")</f>
        <v>Jul-2023</v>
      </c>
      <c r="F341" s="42" t="str">
        <f t="shared" si="37"/>
        <v>Q3-2023</v>
      </c>
      <c r="G341" s="37" t="s">
        <v>16</v>
      </c>
      <c r="H341" s="37" t="s">
        <v>17</v>
      </c>
      <c r="I341" s="37" t="s">
        <v>33</v>
      </c>
      <c r="J341" s="37" t="s">
        <v>105</v>
      </c>
      <c r="K341" s="37" t="s">
        <v>55</v>
      </c>
      <c r="L341" s="37" t="s">
        <v>110</v>
      </c>
      <c r="M341" s="37" t="s">
        <v>81</v>
      </c>
      <c r="N341" s="37" t="s">
        <v>783</v>
      </c>
      <c r="O341" s="42">
        <v>661.45</v>
      </c>
      <c r="P341" s="43" t="str">
        <f t="shared" si="38"/>
        <v>High</v>
      </c>
      <c r="Q341" s="42">
        <v>1634.86</v>
      </c>
      <c r="R341" s="42">
        <v>0.56499999999999995</v>
      </c>
      <c r="S341" s="42">
        <v>24</v>
      </c>
      <c r="T341" s="42">
        <f t="shared" si="35"/>
        <v>31570.873200000005</v>
      </c>
      <c r="U341" s="37">
        <f t="shared" si="36"/>
        <v>15874.800000000001</v>
      </c>
      <c r="V341" s="42">
        <f t="shared" si="39"/>
        <v>15696.073200000004</v>
      </c>
      <c r="W341" s="44">
        <f t="shared" si="40"/>
        <v>0.49716943527555019</v>
      </c>
    </row>
    <row r="342" spans="1:23" x14ac:dyDescent="0.3">
      <c r="A342" s="45" t="s">
        <v>784</v>
      </c>
      <c r="B342" s="46">
        <v>45029</v>
      </c>
      <c r="C342" s="47">
        <v>45027</v>
      </c>
      <c r="D342" s="48">
        <f>DATEDIF(C342,B342, "MD")</f>
        <v>2</v>
      </c>
      <c r="E342" s="48" t="str">
        <f>TEXT(Data!B342,"MMM-YYYY")</f>
        <v>Apr-2023</v>
      </c>
      <c r="F342" s="48" t="str">
        <f t="shared" si="37"/>
        <v>Q2-2023</v>
      </c>
      <c r="G342" s="38" t="s">
        <v>52</v>
      </c>
      <c r="H342" s="38" t="s">
        <v>122</v>
      </c>
      <c r="I342" s="38" t="s">
        <v>167</v>
      </c>
      <c r="J342" s="38" t="s">
        <v>27</v>
      </c>
      <c r="K342" s="38" t="s">
        <v>40</v>
      </c>
      <c r="L342" s="38" t="s">
        <v>41</v>
      </c>
      <c r="M342" s="38" t="s">
        <v>35</v>
      </c>
      <c r="N342" s="38" t="s">
        <v>785</v>
      </c>
      <c r="O342" s="48">
        <v>32.1</v>
      </c>
      <c r="P342" s="49" t="str">
        <f t="shared" si="38"/>
        <v>Medium</v>
      </c>
      <c r="Q342" s="48">
        <v>70.599999999999994</v>
      </c>
      <c r="R342" s="48">
        <v>0.28199999999999997</v>
      </c>
      <c r="S342" s="48">
        <v>22</v>
      </c>
      <c r="T342" s="48">
        <f t="shared" si="35"/>
        <v>36385.454160000001</v>
      </c>
      <c r="U342" s="38">
        <f t="shared" si="36"/>
        <v>706.2</v>
      </c>
      <c r="V342" s="48">
        <f t="shared" si="39"/>
        <v>35679.254160000004</v>
      </c>
      <c r="W342" s="50">
        <f t="shared" si="40"/>
        <v>0.98059114510720191</v>
      </c>
    </row>
    <row r="343" spans="1:23" x14ac:dyDescent="0.3">
      <c r="A343" s="39" t="s">
        <v>786</v>
      </c>
      <c r="B343" s="40">
        <v>45594</v>
      </c>
      <c r="C343" s="41">
        <v>45600</v>
      </c>
      <c r="D343" s="42">
        <f t="shared" si="41"/>
        <v>6</v>
      </c>
      <c r="E343" s="42" t="str">
        <f>TEXT(Data!B343,"MMM-YYYY")</f>
        <v>Oct-2024</v>
      </c>
      <c r="F343" s="42" t="str">
        <f t="shared" si="37"/>
        <v>Q4-2024</v>
      </c>
      <c r="G343" s="37" t="s">
        <v>16</v>
      </c>
      <c r="H343" s="37" t="s">
        <v>17</v>
      </c>
      <c r="I343" s="37" t="s">
        <v>33</v>
      </c>
      <c r="J343" s="37" t="s">
        <v>19</v>
      </c>
      <c r="K343" s="37" t="s">
        <v>55</v>
      </c>
      <c r="L343" s="37" t="s">
        <v>110</v>
      </c>
      <c r="M343" s="37" t="s">
        <v>30</v>
      </c>
      <c r="N343" s="37" t="s">
        <v>787</v>
      </c>
      <c r="O343" s="42">
        <v>805.81</v>
      </c>
      <c r="P343" s="43" t="str">
        <f t="shared" si="38"/>
        <v>High</v>
      </c>
      <c r="Q343" s="42">
        <v>1823.04</v>
      </c>
      <c r="R343" s="42">
        <v>0</v>
      </c>
      <c r="S343" s="42">
        <v>11</v>
      </c>
      <c r="T343" s="42">
        <f t="shared" si="35"/>
        <v>33921.800000000003</v>
      </c>
      <c r="U343" s="37">
        <f t="shared" si="36"/>
        <v>8863.91</v>
      </c>
      <c r="V343" s="42">
        <f t="shared" si="39"/>
        <v>25057.890000000003</v>
      </c>
      <c r="W343" s="44">
        <f t="shared" si="40"/>
        <v>0.73869576496530254</v>
      </c>
    </row>
    <row r="344" spans="1:23" x14ac:dyDescent="0.3">
      <c r="A344" s="45" t="s">
        <v>788</v>
      </c>
      <c r="B344" s="46">
        <v>45339</v>
      </c>
      <c r="C344" s="47">
        <v>45355</v>
      </c>
      <c r="D344" s="48">
        <f t="shared" si="41"/>
        <v>16</v>
      </c>
      <c r="E344" s="48" t="str">
        <f>TEXT(Data!B344,"MMM-YYYY")</f>
        <v>Feb-2024</v>
      </c>
      <c r="F344" s="48" t="str">
        <f t="shared" si="37"/>
        <v>Q1-2024</v>
      </c>
      <c r="G344" s="38" t="s">
        <v>45</v>
      </c>
      <c r="H344" s="38" t="s">
        <v>60</v>
      </c>
      <c r="I344" s="38" t="s">
        <v>141</v>
      </c>
      <c r="J344" s="38" t="s">
        <v>62</v>
      </c>
      <c r="K344" s="38" t="s">
        <v>40</v>
      </c>
      <c r="L344" s="38" t="s">
        <v>84</v>
      </c>
      <c r="M344" s="38" t="s">
        <v>42</v>
      </c>
      <c r="N344" s="38" t="s">
        <v>789</v>
      </c>
      <c r="O344" s="48">
        <v>1231.8</v>
      </c>
      <c r="P344" s="49" t="str">
        <f t="shared" si="38"/>
        <v>High</v>
      </c>
      <c r="Q344" s="48">
        <v>2015.99</v>
      </c>
      <c r="R344" s="48">
        <v>0.26100000000000001</v>
      </c>
      <c r="S344" s="48">
        <v>6</v>
      </c>
      <c r="T344" s="48">
        <f t="shared" si="35"/>
        <v>1430.8961399999998</v>
      </c>
      <c r="U344" s="38">
        <f t="shared" si="36"/>
        <v>7390.7999999999993</v>
      </c>
      <c r="V344" s="48">
        <f t="shared" si="39"/>
        <v>-5959.9038599999994</v>
      </c>
      <c r="W344" s="50">
        <f t="shared" si="40"/>
        <v>-4.1651547539991265</v>
      </c>
    </row>
    <row r="345" spans="1:23" x14ac:dyDescent="0.3">
      <c r="A345" s="39" t="s">
        <v>790</v>
      </c>
      <c r="B345" s="40">
        <v>45486</v>
      </c>
      <c r="C345" s="41">
        <v>45485</v>
      </c>
      <c r="D345" s="42">
        <f>DATEDIF(C345,B345, "MD")</f>
        <v>1</v>
      </c>
      <c r="E345" s="42" t="str">
        <f>TEXT(Data!B345,"MMM-YYYY")</f>
        <v>Jul-2024</v>
      </c>
      <c r="F345" s="42" t="str">
        <f t="shared" si="37"/>
        <v>Q3-2024</v>
      </c>
      <c r="G345" s="37" t="s">
        <v>45</v>
      </c>
      <c r="H345" s="37" t="s">
        <v>46</v>
      </c>
      <c r="I345" s="37" t="s">
        <v>231</v>
      </c>
      <c r="J345" s="37" t="s">
        <v>62</v>
      </c>
      <c r="K345" s="37" t="s">
        <v>40</v>
      </c>
      <c r="L345" s="37" t="s">
        <v>84</v>
      </c>
      <c r="M345" s="37" t="s">
        <v>35</v>
      </c>
      <c r="N345" s="37" t="s">
        <v>791</v>
      </c>
      <c r="O345" s="42">
        <v>105.13</v>
      </c>
      <c r="P345" s="43" t="str">
        <f t="shared" si="38"/>
        <v>High</v>
      </c>
      <c r="Q345" s="42">
        <v>244.13</v>
      </c>
      <c r="R345" s="42">
        <v>7.0999999999999994E-2</v>
      </c>
      <c r="S345" s="42">
        <v>14</v>
      </c>
      <c r="T345" s="42">
        <f t="shared" si="35"/>
        <v>9511.1577400000006</v>
      </c>
      <c r="U345" s="37">
        <f t="shared" si="36"/>
        <v>1471.82</v>
      </c>
      <c r="V345" s="42">
        <f t="shared" si="39"/>
        <v>8039.3377400000008</v>
      </c>
      <c r="W345" s="44">
        <f t="shared" si="40"/>
        <v>0.84525332874986048</v>
      </c>
    </row>
    <row r="346" spans="1:23" x14ac:dyDescent="0.3">
      <c r="A346" s="45" t="s">
        <v>792</v>
      </c>
      <c r="B346" s="46">
        <v>45261</v>
      </c>
      <c r="C346" s="47">
        <v>45278</v>
      </c>
      <c r="D346" s="48">
        <f t="shared" si="41"/>
        <v>17</v>
      </c>
      <c r="E346" s="48" t="str">
        <f>TEXT(Data!B346,"MMM-YYYY")</f>
        <v>Dec-2023</v>
      </c>
      <c r="F346" s="48" t="str">
        <f t="shared" si="37"/>
        <v>Q4-2023</v>
      </c>
      <c r="G346" s="38" t="s">
        <v>45</v>
      </c>
      <c r="H346" s="38" t="s">
        <v>46</v>
      </c>
      <c r="I346" s="38" t="s">
        <v>231</v>
      </c>
      <c r="J346" s="38" t="s">
        <v>62</v>
      </c>
      <c r="K346" s="38" t="s">
        <v>98</v>
      </c>
      <c r="L346" s="38" t="s">
        <v>126</v>
      </c>
      <c r="M346" s="38" t="s">
        <v>57</v>
      </c>
      <c r="N346" s="38" t="s">
        <v>793</v>
      </c>
      <c r="O346" s="48">
        <v>1495.79</v>
      </c>
      <c r="P346" s="49" t="str">
        <f t="shared" si="38"/>
        <v>High</v>
      </c>
      <c r="Q346" s="48">
        <v>2783.12</v>
      </c>
      <c r="R346" s="48">
        <v>0.02</v>
      </c>
      <c r="S346" s="48">
        <v>5</v>
      </c>
      <c r="T346" s="48">
        <f t="shared" si="35"/>
        <v>7516.3549999999996</v>
      </c>
      <c r="U346" s="38">
        <f t="shared" si="36"/>
        <v>7478.95</v>
      </c>
      <c r="V346" s="48">
        <f t="shared" si="39"/>
        <v>37.404999999999745</v>
      </c>
      <c r="W346" s="50">
        <f t="shared" si="40"/>
        <v>4.9764812864745937E-3</v>
      </c>
    </row>
    <row r="347" spans="1:23" x14ac:dyDescent="0.3">
      <c r="A347" s="39" t="s">
        <v>794</v>
      </c>
      <c r="B347" s="40">
        <v>45498</v>
      </c>
      <c r="C347" s="41">
        <v>45506</v>
      </c>
      <c r="D347" s="42">
        <f t="shared" si="41"/>
        <v>8</v>
      </c>
      <c r="E347" s="42" t="str">
        <f>TEXT(Data!B347,"MMM-YYYY")</f>
        <v>Jul-2024</v>
      </c>
      <c r="F347" s="42" t="str">
        <f t="shared" si="37"/>
        <v>Q3-2024</v>
      </c>
      <c r="G347" s="37" t="s">
        <v>52</v>
      </c>
      <c r="H347" s="37" t="s">
        <v>53</v>
      </c>
      <c r="I347" s="37" t="s">
        <v>144</v>
      </c>
      <c r="J347" s="37" t="s">
        <v>48</v>
      </c>
      <c r="K347" s="37" t="s">
        <v>98</v>
      </c>
      <c r="L347" s="37" t="s">
        <v>29</v>
      </c>
      <c r="M347" s="37" t="s">
        <v>81</v>
      </c>
      <c r="N347" s="37" t="s">
        <v>795</v>
      </c>
      <c r="O347" s="42">
        <v>986.81</v>
      </c>
      <c r="P347" s="43" t="str">
        <f t="shared" si="38"/>
        <v>High</v>
      </c>
      <c r="Q347" s="42">
        <v>2050.31</v>
      </c>
      <c r="R347" s="42">
        <v>0.10299999999999999</v>
      </c>
      <c r="S347" s="42">
        <v>43</v>
      </c>
      <c r="T347" s="42">
        <f t="shared" si="35"/>
        <v>60620.497860000003</v>
      </c>
      <c r="U347" s="37">
        <f t="shared" si="36"/>
        <v>42432.829999999994</v>
      </c>
      <c r="V347" s="42">
        <f t="shared" si="39"/>
        <v>18187.667860000009</v>
      </c>
      <c r="W347" s="44">
        <f t="shared" si="40"/>
        <v>0.30002504931588508</v>
      </c>
    </row>
    <row r="348" spans="1:23" x14ac:dyDescent="0.3">
      <c r="A348" s="45" t="s">
        <v>796</v>
      </c>
      <c r="B348" s="46">
        <v>45050</v>
      </c>
      <c r="C348" s="47">
        <v>45062</v>
      </c>
      <c r="D348" s="48">
        <f t="shared" si="41"/>
        <v>12</v>
      </c>
      <c r="E348" s="48" t="str">
        <f>TEXT(Data!B348,"MMM-YYYY")</f>
        <v>May-2023</v>
      </c>
      <c r="F348" s="48" t="str">
        <f t="shared" si="37"/>
        <v>Q2-2023</v>
      </c>
      <c r="G348" s="38" t="s">
        <v>16</v>
      </c>
      <c r="H348" s="38" t="s">
        <v>25</v>
      </c>
      <c r="I348" s="38" t="s">
        <v>67</v>
      </c>
      <c r="J348" s="38" t="s">
        <v>62</v>
      </c>
      <c r="K348" s="38" t="s">
        <v>40</v>
      </c>
      <c r="L348" s="38" t="s">
        <v>29</v>
      </c>
      <c r="M348" s="38" t="s">
        <v>42</v>
      </c>
      <c r="N348" s="38" t="s">
        <v>797</v>
      </c>
      <c r="O348" s="48">
        <v>77.739999999999995</v>
      </c>
      <c r="P348" s="49" t="str">
        <f t="shared" si="38"/>
        <v>Medium</v>
      </c>
      <c r="Q348" s="48">
        <v>147.12</v>
      </c>
      <c r="R348" s="48">
        <v>0</v>
      </c>
      <c r="S348" s="48">
        <v>15</v>
      </c>
      <c r="T348" s="48">
        <f t="shared" si="35"/>
        <v>3760.95</v>
      </c>
      <c r="U348" s="38">
        <f t="shared" si="36"/>
        <v>1166.0999999999999</v>
      </c>
      <c r="V348" s="48">
        <f t="shared" si="39"/>
        <v>2594.85</v>
      </c>
      <c r="W348" s="50">
        <f t="shared" si="40"/>
        <v>0.68994535955011371</v>
      </c>
    </row>
    <row r="349" spans="1:23" x14ac:dyDescent="0.3">
      <c r="A349" s="39" t="s">
        <v>798</v>
      </c>
      <c r="B349" s="40">
        <v>45281</v>
      </c>
      <c r="C349" s="41">
        <v>45297</v>
      </c>
      <c r="D349" s="42">
        <f t="shared" si="41"/>
        <v>16</v>
      </c>
      <c r="E349" s="42" t="str">
        <f>TEXT(Data!B349,"MMM-YYYY")</f>
        <v>Dec-2023</v>
      </c>
      <c r="F349" s="42" t="str">
        <f t="shared" si="37"/>
        <v>Q4-2023</v>
      </c>
      <c r="G349" s="37" t="s">
        <v>16</v>
      </c>
      <c r="H349" s="37" t="s">
        <v>25</v>
      </c>
      <c r="I349" s="37" t="s">
        <v>1364</v>
      </c>
      <c r="J349" s="37" t="s">
        <v>19</v>
      </c>
      <c r="K349" s="37" t="s">
        <v>40</v>
      </c>
      <c r="L349" s="37" t="s">
        <v>95</v>
      </c>
      <c r="M349" s="37" t="s">
        <v>22</v>
      </c>
      <c r="N349" s="37" t="s">
        <v>799</v>
      </c>
      <c r="O349" s="42">
        <v>932.61</v>
      </c>
      <c r="P349" s="43" t="str">
        <f t="shared" si="38"/>
        <v>High</v>
      </c>
      <c r="Q349" s="42">
        <v>1982.98</v>
      </c>
      <c r="R349" s="42">
        <v>0.14399999999999999</v>
      </c>
      <c r="S349" s="42">
        <v>16</v>
      </c>
      <c r="T349" s="42">
        <f t="shared" si="35"/>
        <v>47563.605759999999</v>
      </c>
      <c r="U349" s="37">
        <f t="shared" si="36"/>
        <v>14921.76</v>
      </c>
      <c r="V349" s="42">
        <f t="shared" si="39"/>
        <v>32641.845759999997</v>
      </c>
      <c r="W349" s="44">
        <f t="shared" si="40"/>
        <v>0.68627777979463256</v>
      </c>
    </row>
    <row r="350" spans="1:23" x14ac:dyDescent="0.3">
      <c r="A350" s="45" t="s">
        <v>800</v>
      </c>
      <c r="B350" s="46">
        <v>45825</v>
      </c>
      <c r="C350" s="47">
        <v>45843</v>
      </c>
      <c r="D350" s="48">
        <f t="shared" si="41"/>
        <v>18</v>
      </c>
      <c r="E350" s="48" t="str">
        <f>TEXT(Data!B350,"MMM-YYYY")</f>
        <v>Jun-2025</v>
      </c>
      <c r="F350" s="48" t="str">
        <f t="shared" si="37"/>
        <v>Q2-2025</v>
      </c>
      <c r="G350" s="38" t="s">
        <v>45</v>
      </c>
      <c r="H350" s="38" t="s">
        <v>60</v>
      </c>
      <c r="I350" s="38" t="s">
        <v>141</v>
      </c>
      <c r="J350" s="38" t="s">
        <v>48</v>
      </c>
      <c r="K350" s="38" t="s">
        <v>40</v>
      </c>
      <c r="L350" s="38" t="s">
        <v>49</v>
      </c>
      <c r="M350" s="38" t="s">
        <v>57</v>
      </c>
      <c r="N350" s="38" t="s">
        <v>801</v>
      </c>
      <c r="O350" s="48">
        <v>982.93</v>
      </c>
      <c r="P350" s="49" t="str">
        <f t="shared" si="38"/>
        <v>High</v>
      </c>
      <c r="Q350" s="48">
        <v>2299.3000000000002</v>
      </c>
      <c r="R350" s="48">
        <v>0.113</v>
      </c>
      <c r="S350" s="48">
        <v>6</v>
      </c>
      <c r="T350" s="48">
        <f t="shared" si="35"/>
        <v>6418.5448799999995</v>
      </c>
      <c r="U350" s="38">
        <f t="shared" si="36"/>
        <v>5897.58</v>
      </c>
      <c r="V350" s="48">
        <f t="shared" si="39"/>
        <v>520.96487999999954</v>
      </c>
      <c r="W350" s="50">
        <f t="shared" si="40"/>
        <v>8.1165574088811171E-2</v>
      </c>
    </row>
    <row r="351" spans="1:23" x14ac:dyDescent="0.3">
      <c r="A351" s="39" t="s">
        <v>802</v>
      </c>
      <c r="B351" s="40">
        <v>44980</v>
      </c>
      <c r="C351" s="41">
        <v>44993</v>
      </c>
      <c r="D351" s="42">
        <f t="shared" si="41"/>
        <v>13</v>
      </c>
      <c r="E351" s="42" t="str">
        <f>TEXT(Data!B351,"MMM-YYYY")</f>
        <v>Feb-2023</v>
      </c>
      <c r="F351" s="42" t="str">
        <f t="shared" si="37"/>
        <v>Q1-2023</v>
      </c>
      <c r="G351" s="37" t="s">
        <v>78</v>
      </c>
      <c r="H351" s="37" t="s">
        <v>108</v>
      </c>
      <c r="I351" s="37" t="s">
        <v>228</v>
      </c>
      <c r="J351" s="37" t="s">
        <v>62</v>
      </c>
      <c r="K351" s="37" t="s">
        <v>98</v>
      </c>
      <c r="L351" s="37" t="s">
        <v>21</v>
      </c>
      <c r="M351" s="37" t="s">
        <v>30</v>
      </c>
      <c r="N351" s="37" t="s">
        <v>803</v>
      </c>
      <c r="O351" s="42">
        <v>307.37</v>
      </c>
      <c r="P351" s="43" t="str">
        <f t="shared" si="38"/>
        <v>High</v>
      </c>
      <c r="Q351" s="42">
        <v>462.61</v>
      </c>
      <c r="R351" s="42">
        <v>0.188</v>
      </c>
      <c r="S351" s="42">
        <v>11</v>
      </c>
      <c r="T351" s="42">
        <f t="shared" si="35"/>
        <v>19625.658360000001</v>
      </c>
      <c r="U351" s="37">
        <f t="shared" si="36"/>
        <v>3381.07</v>
      </c>
      <c r="V351" s="42">
        <f t="shared" si="39"/>
        <v>16244.588360000002</v>
      </c>
      <c r="W351" s="44">
        <f t="shared" si="40"/>
        <v>0.82772195775652957</v>
      </c>
    </row>
    <row r="352" spans="1:23" x14ac:dyDescent="0.3">
      <c r="A352" s="45" t="s">
        <v>804</v>
      </c>
      <c r="B352" s="46">
        <v>45262</v>
      </c>
      <c r="C352" s="47">
        <v>45276</v>
      </c>
      <c r="D352" s="48">
        <f t="shared" si="41"/>
        <v>14</v>
      </c>
      <c r="E352" s="48" t="str">
        <f>TEXT(Data!B352,"MMM-YYYY")</f>
        <v>Dec-2023</v>
      </c>
      <c r="F352" s="48" t="str">
        <f t="shared" si="37"/>
        <v>Q4-2023</v>
      </c>
      <c r="G352" s="38" t="s">
        <v>78</v>
      </c>
      <c r="H352" s="38" t="s">
        <v>79</v>
      </c>
      <c r="I352" s="38" t="s">
        <v>335</v>
      </c>
      <c r="J352" s="38" t="s">
        <v>27</v>
      </c>
      <c r="K352" s="38" t="s">
        <v>98</v>
      </c>
      <c r="L352" s="38" t="s">
        <v>126</v>
      </c>
      <c r="M352" s="38" t="s">
        <v>64</v>
      </c>
      <c r="N352" s="38" t="s">
        <v>805</v>
      </c>
      <c r="O352" s="48">
        <v>879.08</v>
      </c>
      <c r="P352" s="49" t="str">
        <f t="shared" si="38"/>
        <v>High</v>
      </c>
      <c r="Q352" s="48">
        <v>1093.3900000000001</v>
      </c>
      <c r="R352" s="48">
        <v>0.113</v>
      </c>
      <c r="S352" s="48">
        <v>17</v>
      </c>
      <c r="T352" s="48">
        <f t="shared" si="35"/>
        <v>24437.027399999999</v>
      </c>
      <c r="U352" s="38">
        <f t="shared" si="36"/>
        <v>14944.36</v>
      </c>
      <c r="V352" s="48">
        <f t="shared" si="39"/>
        <v>9492.6673999999985</v>
      </c>
      <c r="W352" s="50">
        <f t="shared" si="40"/>
        <v>0.38845426019369272</v>
      </c>
    </row>
    <row r="353" spans="1:23" x14ac:dyDescent="0.3">
      <c r="A353" s="39" t="s">
        <v>806</v>
      </c>
      <c r="B353" s="40">
        <v>45121</v>
      </c>
      <c r="C353" s="41">
        <v>45121</v>
      </c>
      <c r="D353" s="42">
        <f t="shared" si="41"/>
        <v>0</v>
      </c>
      <c r="E353" s="42" t="str">
        <f>TEXT(Data!B353,"MMM-YYYY")</f>
        <v>Jul-2023</v>
      </c>
      <c r="F353" s="42" t="str">
        <f t="shared" si="37"/>
        <v>Q3-2023</v>
      </c>
      <c r="G353" s="37" t="s">
        <v>16</v>
      </c>
      <c r="H353" s="37" t="s">
        <v>25</v>
      </c>
      <c r="I353" s="37" t="s">
        <v>38</v>
      </c>
      <c r="J353" s="37" t="s">
        <v>27</v>
      </c>
      <c r="K353" s="37" t="s">
        <v>20</v>
      </c>
      <c r="L353" s="37" t="s">
        <v>34</v>
      </c>
      <c r="M353" s="37" t="s">
        <v>81</v>
      </c>
      <c r="N353" s="37" t="s">
        <v>807</v>
      </c>
      <c r="O353" s="42">
        <v>956.38</v>
      </c>
      <c r="P353" s="43" t="str">
        <f t="shared" si="38"/>
        <v>High</v>
      </c>
      <c r="Q353" s="42">
        <v>1454.22</v>
      </c>
      <c r="R353" s="42">
        <v>3.9E-2</v>
      </c>
      <c r="S353" s="42">
        <v>19</v>
      </c>
      <c r="T353" s="42">
        <f t="shared" si="35"/>
        <v>18891.856940000001</v>
      </c>
      <c r="U353" s="37">
        <f t="shared" si="36"/>
        <v>18171.22</v>
      </c>
      <c r="V353" s="42">
        <f t="shared" si="39"/>
        <v>720.63694000000032</v>
      </c>
      <c r="W353" s="44">
        <f t="shared" si="40"/>
        <v>3.8145373548440616E-2</v>
      </c>
    </row>
    <row r="354" spans="1:23" x14ac:dyDescent="0.3">
      <c r="A354" s="45" t="s">
        <v>808</v>
      </c>
      <c r="B354" s="46">
        <v>45512</v>
      </c>
      <c r="C354" s="47">
        <v>45524</v>
      </c>
      <c r="D354" s="48">
        <f t="shared" si="41"/>
        <v>12</v>
      </c>
      <c r="E354" s="48" t="str">
        <f>TEXT(Data!B354,"MMM-YYYY")</f>
        <v>Aug-2024</v>
      </c>
      <c r="F354" s="48" t="str">
        <f t="shared" si="37"/>
        <v>Q3-2024</v>
      </c>
      <c r="G354" s="38" t="s">
        <v>45</v>
      </c>
      <c r="H354" s="38" t="s">
        <v>46</v>
      </c>
      <c r="I354" s="38" t="s">
        <v>47</v>
      </c>
      <c r="J354" s="38" t="s">
        <v>62</v>
      </c>
      <c r="K354" s="38" t="s">
        <v>20</v>
      </c>
      <c r="L354" s="38" t="s">
        <v>92</v>
      </c>
      <c r="M354" s="38" t="s">
        <v>35</v>
      </c>
      <c r="N354" s="38" t="s">
        <v>809</v>
      </c>
      <c r="O354" s="48">
        <v>1233.3599999999999</v>
      </c>
      <c r="P354" s="49" t="str">
        <f t="shared" si="38"/>
        <v>High</v>
      </c>
      <c r="Q354" s="48">
        <v>2120.4</v>
      </c>
      <c r="R354" s="48">
        <v>0.17899999999999999</v>
      </c>
      <c r="S354" s="48">
        <v>20</v>
      </c>
      <c r="T354" s="48">
        <f t="shared" si="35"/>
        <v>31286.9964</v>
      </c>
      <c r="U354" s="38">
        <f t="shared" si="36"/>
        <v>24667.199999999997</v>
      </c>
      <c r="V354" s="48">
        <f t="shared" si="39"/>
        <v>6619.7964000000029</v>
      </c>
      <c r="W354" s="50">
        <f t="shared" si="40"/>
        <v>0.21158299490838958</v>
      </c>
    </row>
    <row r="355" spans="1:23" x14ac:dyDescent="0.3">
      <c r="A355" s="39" t="s">
        <v>810</v>
      </c>
      <c r="B355" s="40">
        <v>45603</v>
      </c>
      <c r="C355" s="41">
        <v>45622</v>
      </c>
      <c r="D355" s="42">
        <f t="shared" si="41"/>
        <v>19</v>
      </c>
      <c r="E355" s="42" t="str">
        <f>TEXT(Data!B355,"MMM-YYYY")</f>
        <v>Nov-2024</v>
      </c>
      <c r="F355" s="42" t="str">
        <f t="shared" si="37"/>
        <v>Q4-2024</v>
      </c>
      <c r="G355" s="37" t="s">
        <v>52</v>
      </c>
      <c r="H355" s="37" t="s">
        <v>73</v>
      </c>
      <c r="I355" s="37" t="s">
        <v>225</v>
      </c>
      <c r="J355" s="37" t="s">
        <v>39</v>
      </c>
      <c r="K355" s="37" t="s">
        <v>55</v>
      </c>
      <c r="L355" s="37" t="s">
        <v>29</v>
      </c>
      <c r="M355" s="37" t="s">
        <v>30</v>
      </c>
      <c r="N355" s="37" t="s">
        <v>811</v>
      </c>
      <c r="O355" s="42">
        <v>55.35</v>
      </c>
      <c r="P355" s="43" t="str">
        <f t="shared" si="38"/>
        <v>Medium</v>
      </c>
      <c r="Q355" s="42">
        <v>128.68</v>
      </c>
      <c r="R355" s="42">
        <v>0.128</v>
      </c>
      <c r="S355" s="42">
        <v>10</v>
      </c>
      <c r="T355" s="42">
        <f t="shared" si="35"/>
        <v>4722.4031999999997</v>
      </c>
      <c r="U355" s="37">
        <f t="shared" si="36"/>
        <v>553.5</v>
      </c>
      <c r="V355" s="42">
        <f t="shared" si="39"/>
        <v>4168.9031999999997</v>
      </c>
      <c r="W355" s="44">
        <f t="shared" si="40"/>
        <v>0.88279272722837387</v>
      </c>
    </row>
    <row r="356" spans="1:23" x14ac:dyDescent="0.3">
      <c r="A356" s="45" t="s">
        <v>812</v>
      </c>
      <c r="B356" s="46">
        <v>45292</v>
      </c>
      <c r="C356" s="47">
        <v>45318</v>
      </c>
      <c r="D356" s="48">
        <f t="shared" si="41"/>
        <v>26</v>
      </c>
      <c r="E356" s="48" t="str">
        <f>TEXT(Data!B356,"MMM-YYYY")</f>
        <v>Jan-2024</v>
      </c>
      <c r="F356" s="48" t="str">
        <f t="shared" si="37"/>
        <v>Q1-2024</v>
      </c>
      <c r="G356" s="38" t="s">
        <v>78</v>
      </c>
      <c r="H356" s="38" t="s">
        <v>108</v>
      </c>
      <c r="I356" s="38" t="s">
        <v>228</v>
      </c>
      <c r="J356" s="38" t="s">
        <v>27</v>
      </c>
      <c r="K356" s="38" t="s">
        <v>55</v>
      </c>
      <c r="L356" s="38" t="s">
        <v>145</v>
      </c>
      <c r="M356" s="38" t="s">
        <v>81</v>
      </c>
      <c r="N356" s="38" t="s">
        <v>813</v>
      </c>
      <c r="O356" s="48">
        <v>657.45</v>
      </c>
      <c r="P356" s="49" t="str">
        <f t="shared" si="38"/>
        <v>High</v>
      </c>
      <c r="Q356" s="48">
        <v>1325.96</v>
      </c>
      <c r="R356" s="48">
        <v>0.16700000000000001</v>
      </c>
      <c r="S356" s="48">
        <v>21</v>
      </c>
      <c r="T356" s="48">
        <f t="shared" si="35"/>
        <v>19532.683799999999</v>
      </c>
      <c r="U356" s="38">
        <f t="shared" si="36"/>
        <v>13806.45</v>
      </c>
      <c r="V356" s="48">
        <f t="shared" si="39"/>
        <v>5726.2337999999982</v>
      </c>
      <c r="W356" s="50">
        <f t="shared" si="40"/>
        <v>0.29316164939914702</v>
      </c>
    </row>
    <row r="357" spans="1:23" x14ac:dyDescent="0.3">
      <c r="A357" s="39" t="s">
        <v>814</v>
      </c>
      <c r="B357" s="40">
        <v>45883</v>
      </c>
      <c r="C357" s="41">
        <v>45911</v>
      </c>
      <c r="D357" s="42">
        <f t="shared" si="41"/>
        <v>28</v>
      </c>
      <c r="E357" s="42" t="str">
        <f>TEXT(Data!B357,"MMM-YYYY")</f>
        <v>Aug-2025</v>
      </c>
      <c r="F357" s="42" t="str">
        <f t="shared" si="37"/>
        <v>Q3-2025</v>
      </c>
      <c r="G357" s="37" t="s">
        <v>52</v>
      </c>
      <c r="H357" s="37" t="s">
        <v>73</v>
      </c>
      <c r="I357" s="37" t="s">
        <v>74</v>
      </c>
      <c r="J357" s="37" t="s">
        <v>39</v>
      </c>
      <c r="K357" s="37" t="s">
        <v>98</v>
      </c>
      <c r="L357" s="37" t="s">
        <v>84</v>
      </c>
      <c r="M357" s="37" t="s">
        <v>30</v>
      </c>
      <c r="N357" s="37" t="s">
        <v>815</v>
      </c>
      <c r="O357" s="42">
        <v>1203.02</v>
      </c>
      <c r="P357" s="43" t="str">
        <f t="shared" si="38"/>
        <v>High</v>
      </c>
      <c r="Q357" s="42">
        <v>2439.33</v>
      </c>
      <c r="R357" s="42">
        <v>0</v>
      </c>
      <c r="S357" s="42">
        <v>18</v>
      </c>
      <c r="T357" s="42">
        <f t="shared" si="35"/>
        <v>26190</v>
      </c>
      <c r="U357" s="37">
        <f t="shared" si="36"/>
        <v>21654.36</v>
      </c>
      <c r="V357" s="42">
        <f t="shared" si="39"/>
        <v>4535.6399999999994</v>
      </c>
      <c r="W357" s="44">
        <f t="shared" si="40"/>
        <v>0.17318213058419241</v>
      </c>
    </row>
    <row r="358" spans="1:23" x14ac:dyDescent="0.3">
      <c r="A358" s="45" t="s">
        <v>816</v>
      </c>
      <c r="B358" s="46">
        <v>45385</v>
      </c>
      <c r="C358" s="47">
        <v>45403</v>
      </c>
      <c r="D358" s="48">
        <f t="shared" si="41"/>
        <v>18</v>
      </c>
      <c r="E358" s="48" t="str">
        <f>TEXT(Data!B358,"MMM-YYYY")</f>
        <v>Apr-2024</v>
      </c>
      <c r="F358" s="48" t="str">
        <f t="shared" si="37"/>
        <v>Q2-2024</v>
      </c>
      <c r="G358" s="38" t="s">
        <v>52</v>
      </c>
      <c r="H358" s="38" t="s">
        <v>73</v>
      </c>
      <c r="I358" s="38" t="s">
        <v>87</v>
      </c>
      <c r="J358" s="38" t="s">
        <v>62</v>
      </c>
      <c r="K358" s="38" t="s">
        <v>55</v>
      </c>
      <c r="L358" s="38" t="s">
        <v>56</v>
      </c>
      <c r="M358" s="38" t="s">
        <v>35</v>
      </c>
      <c r="N358" s="38" t="s">
        <v>817</v>
      </c>
      <c r="O358" s="48">
        <v>1176.69</v>
      </c>
      <c r="P358" s="49" t="str">
        <f t="shared" si="38"/>
        <v>High</v>
      </c>
      <c r="Q358" s="48">
        <v>2201.54</v>
      </c>
      <c r="R358" s="48">
        <v>0.17</v>
      </c>
      <c r="S358" s="48">
        <v>27</v>
      </c>
      <c r="T358" s="48">
        <f t="shared" si="35"/>
        <v>28646.702999999998</v>
      </c>
      <c r="U358" s="38">
        <f t="shared" si="36"/>
        <v>31770.63</v>
      </c>
      <c r="V358" s="48">
        <f t="shared" si="39"/>
        <v>-3123.9270000000033</v>
      </c>
      <c r="W358" s="50">
        <f t="shared" si="40"/>
        <v>-0.1090501409533936</v>
      </c>
    </row>
    <row r="359" spans="1:23" x14ac:dyDescent="0.3">
      <c r="A359" s="39" t="s">
        <v>818</v>
      </c>
      <c r="B359" s="40">
        <v>45621</v>
      </c>
      <c r="C359" s="41">
        <v>45633</v>
      </c>
      <c r="D359" s="42">
        <f t="shared" si="41"/>
        <v>12</v>
      </c>
      <c r="E359" s="42" t="str">
        <f>TEXT(Data!B359,"MMM-YYYY")</f>
        <v>Nov-2024</v>
      </c>
      <c r="F359" s="42" t="str">
        <f t="shared" si="37"/>
        <v>Q4-2024</v>
      </c>
      <c r="G359" s="37" t="s">
        <v>45</v>
      </c>
      <c r="H359" s="37" t="s">
        <v>116</v>
      </c>
      <c r="I359" s="37" t="s">
        <v>162</v>
      </c>
      <c r="J359" s="37" t="s">
        <v>19</v>
      </c>
      <c r="K359" s="37" t="s">
        <v>55</v>
      </c>
      <c r="L359" s="37" t="s">
        <v>75</v>
      </c>
      <c r="M359" s="37" t="s">
        <v>81</v>
      </c>
      <c r="N359" s="37" t="s">
        <v>819</v>
      </c>
      <c r="O359" s="42">
        <v>769.9</v>
      </c>
      <c r="P359" s="43" t="str">
        <f t="shared" si="38"/>
        <v>High</v>
      </c>
      <c r="Q359" s="42">
        <v>814.36</v>
      </c>
      <c r="R359" s="42">
        <v>0</v>
      </c>
      <c r="S359" s="42">
        <v>5</v>
      </c>
      <c r="T359" s="42">
        <f t="shared" si="35"/>
        <v>4499.1500000000005</v>
      </c>
      <c r="U359" s="37">
        <f t="shared" si="36"/>
        <v>3849.5</v>
      </c>
      <c r="V359" s="42">
        <f t="shared" si="39"/>
        <v>649.65000000000055</v>
      </c>
      <c r="W359" s="44">
        <f t="shared" si="40"/>
        <v>0.14439394107775924</v>
      </c>
    </row>
    <row r="360" spans="1:23" x14ac:dyDescent="0.3">
      <c r="A360" s="45" t="s">
        <v>820</v>
      </c>
      <c r="B360" s="46">
        <v>45309</v>
      </c>
      <c r="C360" s="47">
        <v>45325</v>
      </c>
      <c r="D360" s="48">
        <f t="shared" si="41"/>
        <v>16</v>
      </c>
      <c r="E360" s="48" t="str">
        <f>TEXT(Data!B360,"MMM-YYYY")</f>
        <v>Jan-2024</v>
      </c>
      <c r="F360" s="48" t="str">
        <f t="shared" si="37"/>
        <v>Q1-2024</v>
      </c>
      <c r="G360" s="38" t="s">
        <v>16</v>
      </c>
      <c r="H360" s="38" t="s">
        <v>148</v>
      </c>
      <c r="I360" s="38" t="s">
        <v>258</v>
      </c>
      <c r="J360" s="38" t="s">
        <v>39</v>
      </c>
      <c r="K360" s="38" t="s">
        <v>55</v>
      </c>
      <c r="L360" s="38" t="s">
        <v>49</v>
      </c>
      <c r="M360" s="38" t="s">
        <v>30</v>
      </c>
      <c r="N360" s="38" t="s">
        <v>821</v>
      </c>
      <c r="O360" s="48">
        <v>666.23</v>
      </c>
      <c r="P360" s="49" t="str">
        <f t="shared" si="38"/>
        <v>High</v>
      </c>
      <c r="Q360" s="48">
        <v>1382.91</v>
      </c>
      <c r="R360" s="48">
        <v>0.17599999999999999</v>
      </c>
      <c r="S360" s="48">
        <v>13</v>
      </c>
      <c r="T360" s="48">
        <f t="shared" si="35"/>
        <v>9412.9557600000007</v>
      </c>
      <c r="U360" s="38">
        <f t="shared" si="36"/>
        <v>8660.99</v>
      </c>
      <c r="V360" s="48">
        <f t="shared" si="39"/>
        <v>751.96576000000096</v>
      </c>
      <c r="W360" s="50">
        <f t="shared" si="40"/>
        <v>7.9886252434697616E-2</v>
      </c>
    </row>
    <row r="361" spans="1:23" x14ac:dyDescent="0.3">
      <c r="A361" s="39" t="s">
        <v>822</v>
      </c>
      <c r="B361" s="40">
        <v>45466</v>
      </c>
      <c r="C361" s="41">
        <v>45468</v>
      </c>
      <c r="D361" s="42">
        <f t="shared" si="41"/>
        <v>2</v>
      </c>
      <c r="E361" s="42" t="str">
        <f>TEXT(Data!B361,"MMM-YYYY")</f>
        <v>Jun-2024</v>
      </c>
      <c r="F361" s="42" t="str">
        <f t="shared" si="37"/>
        <v>Q2-2024</v>
      </c>
      <c r="G361" s="37" t="s">
        <v>78</v>
      </c>
      <c r="H361" s="37" t="s">
        <v>108</v>
      </c>
      <c r="I361" s="37" t="s">
        <v>109</v>
      </c>
      <c r="J361" s="37" t="s">
        <v>62</v>
      </c>
      <c r="K361" s="37" t="s">
        <v>40</v>
      </c>
      <c r="L361" s="37" t="s">
        <v>49</v>
      </c>
      <c r="M361" s="37" t="s">
        <v>81</v>
      </c>
      <c r="N361" s="37" t="s">
        <v>823</v>
      </c>
      <c r="O361" s="42">
        <v>951.44</v>
      </c>
      <c r="P361" s="43" t="str">
        <f t="shared" si="38"/>
        <v>High</v>
      </c>
      <c r="Q361" s="42">
        <v>1646.43</v>
      </c>
      <c r="R361" s="42">
        <v>0.11</v>
      </c>
      <c r="S361" s="42">
        <v>24</v>
      </c>
      <c r="T361" s="42">
        <f t="shared" si="35"/>
        <v>12696.811199999998</v>
      </c>
      <c r="U361" s="37">
        <f t="shared" si="36"/>
        <v>22834.560000000001</v>
      </c>
      <c r="V361" s="42">
        <f t="shared" si="39"/>
        <v>-10137.748800000003</v>
      </c>
      <c r="W361" s="44">
        <f t="shared" si="40"/>
        <v>-0.79844841671741995</v>
      </c>
    </row>
    <row r="362" spans="1:23" x14ac:dyDescent="0.3">
      <c r="A362" s="45" t="s">
        <v>824</v>
      </c>
      <c r="B362" s="46">
        <v>45833</v>
      </c>
      <c r="C362" s="47">
        <v>45848</v>
      </c>
      <c r="D362" s="48">
        <f t="shared" si="41"/>
        <v>15</v>
      </c>
      <c r="E362" s="48" t="str">
        <f>TEXT(Data!B362,"MMM-YYYY")</f>
        <v>Jun-2025</v>
      </c>
      <c r="F362" s="48" t="str">
        <f t="shared" si="37"/>
        <v>Q2-2025</v>
      </c>
      <c r="G362" s="38" t="s">
        <v>78</v>
      </c>
      <c r="H362" s="38" t="s">
        <v>108</v>
      </c>
      <c r="I362" s="38" t="s">
        <v>109</v>
      </c>
      <c r="J362" s="38" t="s">
        <v>39</v>
      </c>
      <c r="K362" s="38" t="s">
        <v>40</v>
      </c>
      <c r="L362" s="38" t="s">
        <v>145</v>
      </c>
      <c r="M362" s="38" t="s">
        <v>42</v>
      </c>
      <c r="N362" s="38" t="s">
        <v>825</v>
      </c>
      <c r="O362" s="48">
        <v>546.83000000000004</v>
      </c>
      <c r="P362" s="49" t="str">
        <f t="shared" si="38"/>
        <v>High</v>
      </c>
      <c r="Q362" s="48">
        <v>400.84</v>
      </c>
      <c r="R362" s="48">
        <v>7.8E-2</v>
      </c>
      <c r="S362" s="48">
        <v>13</v>
      </c>
      <c r="T362" s="48">
        <f t="shared" si="35"/>
        <v>19391.5501</v>
      </c>
      <c r="U362" s="38">
        <f t="shared" si="36"/>
        <v>7108.7900000000009</v>
      </c>
      <c r="V362" s="48">
        <f t="shared" si="39"/>
        <v>12282.7601</v>
      </c>
      <c r="W362" s="50">
        <f t="shared" si="40"/>
        <v>0.63340785221703344</v>
      </c>
    </row>
    <row r="363" spans="1:23" x14ac:dyDescent="0.3">
      <c r="A363" s="39" t="s">
        <v>826</v>
      </c>
      <c r="B363" s="40">
        <v>45108</v>
      </c>
      <c r="C363" s="41">
        <v>45115</v>
      </c>
      <c r="D363" s="42">
        <f t="shared" si="41"/>
        <v>7</v>
      </c>
      <c r="E363" s="42" t="str">
        <f>TEXT(Data!B363,"MMM-YYYY")</f>
        <v>Jul-2023</v>
      </c>
      <c r="F363" s="42" t="str">
        <f t="shared" si="37"/>
        <v>Q3-2023</v>
      </c>
      <c r="G363" s="37" t="s">
        <v>16</v>
      </c>
      <c r="H363" s="37" t="s">
        <v>25</v>
      </c>
      <c r="I363" s="37" t="s">
        <v>26</v>
      </c>
      <c r="J363" s="37" t="s">
        <v>19</v>
      </c>
      <c r="K363" s="37" t="s">
        <v>20</v>
      </c>
      <c r="L363" s="37" t="s">
        <v>75</v>
      </c>
      <c r="M363" s="37" t="s">
        <v>57</v>
      </c>
      <c r="N363" s="37" t="s">
        <v>827</v>
      </c>
      <c r="O363" s="42">
        <v>834.26</v>
      </c>
      <c r="P363" s="43" t="str">
        <f t="shared" si="38"/>
        <v>High</v>
      </c>
      <c r="Q363" s="42">
        <v>1780.56</v>
      </c>
      <c r="R363" s="42">
        <v>1.4E-2</v>
      </c>
      <c r="S363" s="42">
        <v>47</v>
      </c>
      <c r="T363" s="42">
        <f t="shared" si="35"/>
        <v>45086.595219999996</v>
      </c>
      <c r="U363" s="37">
        <f t="shared" si="36"/>
        <v>39210.22</v>
      </c>
      <c r="V363" s="42">
        <f t="shared" si="39"/>
        <v>5876.3752199999944</v>
      </c>
      <c r="W363" s="44">
        <f t="shared" si="40"/>
        <v>0.13033530678744376</v>
      </c>
    </row>
    <row r="364" spans="1:23" x14ac:dyDescent="0.3">
      <c r="A364" s="45" t="s">
        <v>828</v>
      </c>
      <c r="B364" s="46">
        <v>45360</v>
      </c>
      <c r="C364" s="47">
        <v>45377</v>
      </c>
      <c r="D364" s="48">
        <f t="shared" si="41"/>
        <v>17</v>
      </c>
      <c r="E364" s="48" t="str">
        <f>TEXT(Data!B364,"MMM-YYYY")</f>
        <v>Mar-2024</v>
      </c>
      <c r="F364" s="48" t="str">
        <f t="shared" si="37"/>
        <v>Q1-2024</v>
      </c>
      <c r="G364" s="38" t="s">
        <v>45</v>
      </c>
      <c r="H364" s="38" t="s">
        <v>116</v>
      </c>
      <c r="I364" s="38" t="s">
        <v>117</v>
      </c>
      <c r="J364" s="38" t="s">
        <v>105</v>
      </c>
      <c r="K364" s="38" t="s">
        <v>28</v>
      </c>
      <c r="L364" s="38" t="s">
        <v>95</v>
      </c>
      <c r="M364" s="38" t="s">
        <v>64</v>
      </c>
      <c r="N364" s="38" t="s">
        <v>829</v>
      </c>
      <c r="O364" s="48">
        <v>1029.67</v>
      </c>
      <c r="P364" s="49" t="str">
        <f t="shared" si="38"/>
        <v>High</v>
      </c>
      <c r="Q364" s="48">
        <v>1118.43</v>
      </c>
      <c r="R364" s="48">
        <v>0.27200000000000002</v>
      </c>
      <c r="S364" s="48">
        <v>9</v>
      </c>
      <c r="T364" s="48">
        <f t="shared" si="35"/>
        <v>278.85311999999999</v>
      </c>
      <c r="U364" s="38">
        <f t="shared" si="36"/>
        <v>9267.0300000000007</v>
      </c>
      <c r="V364" s="48">
        <f t="shared" si="39"/>
        <v>-8988.1768800000009</v>
      </c>
      <c r="W364" s="50">
        <f t="shared" si="40"/>
        <v>-32.232656676030743</v>
      </c>
    </row>
    <row r="365" spans="1:23" x14ac:dyDescent="0.3">
      <c r="A365" s="39" t="s">
        <v>830</v>
      </c>
      <c r="B365" s="40">
        <v>45082</v>
      </c>
      <c r="C365" s="41">
        <v>45105</v>
      </c>
      <c r="D365" s="42">
        <f t="shared" si="41"/>
        <v>23</v>
      </c>
      <c r="E365" s="42" t="str">
        <f>TEXT(Data!B365,"MMM-YYYY")</f>
        <v>Jun-2023</v>
      </c>
      <c r="F365" s="42" t="str">
        <f t="shared" si="37"/>
        <v>Q2-2023</v>
      </c>
      <c r="G365" s="37" t="s">
        <v>78</v>
      </c>
      <c r="H365" s="37" t="s">
        <v>108</v>
      </c>
      <c r="I365" s="37" t="s">
        <v>109</v>
      </c>
      <c r="J365" s="37" t="s">
        <v>19</v>
      </c>
      <c r="K365" s="37" t="s">
        <v>98</v>
      </c>
      <c r="L365" s="37" t="s">
        <v>95</v>
      </c>
      <c r="M365" s="37" t="s">
        <v>30</v>
      </c>
      <c r="N365" s="37" t="s">
        <v>831</v>
      </c>
      <c r="O365" s="42">
        <v>605.82000000000005</v>
      </c>
      <c r="P365" s="43" t="str">
        <f t="shared" si="38"/>
        <v>High</v>
      </c>
      <c r="Q365" s="42">
        <v>771.12</v>
      </c>
      <c r="R365" s="42">
        <v>0.13200000000000001</v>
      </c>
      <c r="S365" s="42">
        <v>19</v>
      </c>
      <c r="T365" s="42">
        <f t="shared" si="35"/>
        <v>24421.848359999996</v>
      </c>
      <c r="U365" s="37">
        <f t="shared" si="36"/>
        <v>11510.580000000002</v>
      </c>
      <c r="V365" s="42">
        <f t="shared" si="39"/>
        <v>12911.268359999995</v>
      </c>
      <c r="W365" s="44">
        <f t="shared" si="40"/>
        <v>0.52867695227962652</v>
      </c>
    </row>
    <row r="366" spans="1:23" x14ac:dyDescent="0.3">
      <c r="A366" s="45" t="s">
        <v>832</v>
      </c>
      <c r="B366" s="46">
        <v>45737</v>
      </c>
      <c r="C366" s="47">
        <v>45756</v>
      </c>
      <c r="D366" s="48">
        <f t="shared" si="41"/>
        <v>19</v>
      </c>
      <c r="E366" s="48" t="str">
        <f>TEXT(Data!B366,"MMM-YYYY")</f>
        <v>Mar-2025</v>
      </c>
      <c r="F366" s="48" t="str">
        <f t="shared" si="37"/>
        <v>Q1-2025</v>
      </c>
      <c r="G366" s="38" t="s">
        <v>45</v>
      </c>
      <c r="H366" s="38" t="s">
        <v>46</v>
      </c>
      <c r="I366" s="38" t="s">
        <v>214</v>
      </c>
      <c r="J366" s="38" t="s">
        <v>62</v>
      </c>
      <c r="K366" s="38" t="s">
        <v>55</v>
      </c>
      <c r="L366" s="38" t="s">
        <v>63</v>
      </c>
      <c r="M366" s="38" t="s">
        <v>22</v>
      </c>
      <c r="N366" s="38" t="s">
        <v>833</v>
      </c>
      <c r="O366" s="48">
        <v>1055.45</v>
      </c>
      <c r="P366" s="49" t="str">
        <f t="shared" si="38"/>
        <v>High</v>
      </c>
      <c r="Q366" s="48">
        <v>1210.04</v>
      </c>
      <c r="R366" s="48">
        <v>8.9999999999999993E-3</v>
      </c>
      <c r="S366" s="48">
        <v>18</v>
      </c>
      <c r="T366" s="48">
        <f t="shared" si="35"/>
        <v>10065.26988</v>
      </c>
      <c r="U366" s="38">
        <f t="shared" si="36"/>
        <v>18998.100000000002</v>
      </c>
      <c r="V366" s="48">
        <f t="shared" si="39"/>
        <v>-8932.8301200000024</v>
      </c>
      <c r="W366" s="50">
        <f t="shared" si="40"/>
        <v>-0.887490372985409</v>
      </c>
    </row>
    <row r="367" spans="1:23" x14ac:dyDescent="0.3">
      <c r="A367" s="39" t="s">
        <v>834</v>
      </c>
      <c r="B367" s="40">
        <v>45445</v>
      </c>
      <c r="C367" s="41">
        <v>45458</v>
      </c>
      <c r="D367" s="42">
        <f t="shared" si="41"/>
        <v>13</v>
      </c>
      <c r="E367" s="42" t="str">
        <f>TEXT(Data!B367,"MMM-YYYY")</f>
        <v>Jun-2024</v>
      </c>
      <c r="F367" s="42" t="str">
        <f t="shared" si="37"/>
        <v>Q2-2024</v>
      </c>
      <c r="G367" s="37" t="s">
        <v>16</v>
      </c>
      <c r="H367" s="37" t="s">
        <v>17</v>
      </c>
      <c r="I367" s="37" t="s">
        <v>113</v>
      </c>
      <c r="J367" s="37" t="s">
        <v>27</v>
      </c>
      <c r="K367" s="37" t="s">
        <v>28</v>
      </c>
      <c r="L367" s="37" t="s">
        <v>68</v>
      </c>
      <c r="M367" s="37" t="s">
        <v>42</v>
      </c>
      <c r="N367" s="37" t="s">
        <v>835</v>
      </c>
      <c r="O367" s="42">
        <v>1295.18</v>
      </c>
      <c r="P367" s="43" t="str">
        <f t="shared" si="38"/>
        <v>High</v>
      </c>
      <c r="Q367" s="42">
        <v>3024.03</v>
      </c>
      <c r="R367" s="42">
        <v>0.192</v>
      </c>
      <c r="S367" s="42">
        <v>8</v>
      </c>
      <c r="T367" s="42">
        <f t="shared" si="35"/>
        <v>13814.925440000001</v>
      </c>
      <c r="U367" s="37">
        <f t="shared" si="36"/>
        <v>10361.44</v>
      </c>
      <c r="V367" s="42">
        <f t="shared" si="39"/>
        <v>3453.4854400000004</v>
      </c>
      <c r="W367" s="44">
        <f t="shared" si="40"/>
        <v>0.24998219896292109</v>
      </c>
    </row>
    <row r="368" spans="1:23" x14ac:dyDescent="0.3">
      <c r="A368" s="45" t="s">
        <v>836</v>
      </c>
      <c r="B368" s="46">
        <v>45731</v>
      </c>
      <c r="C368" s="47">
        <v>45745</v>
      </c>
      <c r="D368" s="48">
        <f t="shared" si="41"/>
        <v>14</v>
      </c>
      <c r="E368" s="48" t="str">
        <f>TEXT(Data!B368,"MMM-YYYY")</f>
        <v>Mar-2025</v>
      </c>
      <c r="F368" s="48" t="str">
        <f t="shared" si="37"/>
        <v>Q1-2025</v>
      </c>
      <c r="G368" s="38" t="s">
        <v>45</v>
      </c>
      <c r="H368" s="38" t="s">
        <v>60</v>
      </c>
      <c r="I368" s="38" t="s">
        <v>220</v>
      </c>
      <c r="J368" s="38" t="s">
        <v>105</v>
      </c>
      <c r="K368" s="38" t="s">
        <v>98</v>
      </c>
      <c r="L368" s="38" t="s">
        <v>21</v>
      </c>
      <c r="M368" s="38" t="s">
        <v>22</v>
      </c>
      <c r="N368" s="38" t="s">
        <v>837</v>
      </c>
      <c r="O368" s="48">
        <v>935.83</v>
      </c>
      <c r="P368" s="49" t="str">
        <f t="shared" si="38"/>
        <v>High</v>
      </c>
      <c r="Q368" s="48">
        <v>2303.46</v>
      </c>
      <c r="R368" s="48">
        <v>0.105</v>
      </c>
      <c r="S368" s="48">
        <v>9</v>
      </c>
      <c r="T368" s="48">
        <f t="shared" si="35"/>
        <v>13539.891150000001</v>
      </c>
      <c r="U368" s="38">
        <f t="shared" si="36"/>
        <v>8422.4700000000012</v>
      </c>
      <c r="V368" s="48">
        <f t="shared" si="39"/>
        <v>5117.4211500000001</v>
      </c>
      <c r="W368" s="50">
        <f t="shared" si="40"/>
        <v>0.37795142466858012</v>
      </c>
    </row>
    <row r="369" spans="1:23" x14ac:dyDescent="0.3">
      <c r="A369" s="39" t="s">
        <v>838</v>
      </c>
      <c r="B369" s="40">
        <v>45194</v>
      </c>
      <c r="C369" s="41">
        <v>45208</v>
      </c>
      <c r="D369" s="42">
        <f t="shared" si="41"/>
        <v>14</v>
      </c>
      <c r="E369" s="42" t="str">
        <f>TEXT(Data!B369,"MMM-YYYY")</f>
        <v>Sept-2023</v>
      </c>
      <c r="F369" s="42" t="str">
        <f t="shared" si="37"/>
        <v>Q3-2023</v>
      </c>
      <c r="G369" s="37" t="s">
        <v>52</v>
      </c>
      <c r="H369" s="37" t="s">
        <v>122</v>
      </c>
      <c r="I369" s="37" t="s">
        <v>387</v>
      </c>
      <c r="J369" s="37" t="s">
        <v>62</v>
      </c>
      <c r="K369" s="37" t="s">
        <v>40</v>
      </c>
      <c r="L369" s="37" t="s">
        <v>29</v>
      </c>
      <c r="M369" s="37" t="s">
        <v>57</v>
      </c>
      <c r="N369" s="37" t="s">
        <v>839</v>
      </c>
      <c r="O369" s="42">
        <v>1279.56</v>
      </c>
      <c r="P369" s="43" t="str">
        <f t="shared" si="38"/>
        <v>High</v>
      </c>
      <c r="Q369" s="42">
        <v>3083.8</v>
      </c>
      <c r="R369" s="42">
        <v>0.106</v>
      </c>
      <c r="S369" s="42">
        <v>5</v>
      </c>
      <c r="T369" s="42">
        <f t="shared" si="35"/>
        <v>12985.618199999999</v>
      </c>
      <c r="U369" s="37">
        <f t="shared" si="36"/>
        <v>6397.7999999999993</v>
      </c>
      <c r="V369" s="42">
        <f t="shared" si="39"/>
        <v>6587.8181999999997</v>
      </c>
      <c r="W369" s="44">
        <f t="shared" si="40"/>
        <v>0.50731648648040495</v>
      </c>
    </row>
    <row r="370" spans="1:23" x14ac:dyDescent="0.3">
      <c r="A370" s="45" t="s">
        <v>840</v>
      </c>
      <c r="B370" s="46">
        <v>45832</v>
      </c>
      <c r="C370" s="47">
        <v>45861</v>
      </c>
      <c r="D370" s="48">
        <f t="shared" si="41"/>
        <v>29</v>
      </c>
      <c r="E370" s="48" t="str">
        <f>TEXT(Data!B370,"MMM-YYYY")</f>
        <v>Jun-2025</v>
      </c>
      <c r="F370" s="48" t="str">
        <f t="shared" si="37"/>
        <v>Q2-2025</v>
      </c>
      <c r="G370" s="38" t="s">
        <v>52</v>
      </c>
      <c r="H370" s="38" t="s">
        <v>53</v>
      </c>
      <c r="I370" s="38" t="s">
        <v>179</v>
      </c>
      <c r="J370" s="38" t="s">
        <v>39</v>
      </c>
      <c r="K370" s="38" t="s">
        <v>40</v>
      </c>
      <c r="L370" s="38" t="s">
        <v>34</v>
      </c>
      <c r="M370" s="38" t="s">
        <v>30</v>
      </c>
      <c r="N370" s="38" t="s">
        <v>841</v>
      </c>
      <c r="O370" s="48">
        <v>255.4</v>
      </c>
      <c r="P370" s="49" t="str">
        <f t="shared" si="38"/>
        <v>High</v>
      </c>
      <c r="Q370" s="48">
        <v>322.70999999999998</v>
      </c>
      <c r="R370" s="48">
        <v>0.115</v>
      </c>
      <c r="S370" s="48">
        <v>16</v>
      </c>
      <c r="T370" s="48">
        <f t="shared" si="35"/>
        <v>11923.994400000001</v>
      </c>
      <c r="U370" s="38">
        <f t="shared" si="36"/>
        <v>4086.4</v>
      </c>
      <c r="V370" s="48">
        <f t="shared" si="39"/>
        <v>7837.5944000000018</v>
      </c>
      <c r="W370" s="50">
        <f t="shared" si="40"/>
        <v>0.65729604837788258</v>
      </c>
    </row>
    <row r="371" spans="1:23" x14ac:dyDescent="0.3">
      <c r="A371" s="39" t="s">
        <v>842</v>
      </c>
      <c r="B371" s="40">
        <v>45286</v>
      </c>
      <c r="C371" s="41">
        <v>45294</v>
      </c>
      <c r="D371" s="42">
        <f t="shared" si="41"/>
        <v>8</v>
      </c>
      <c r="E371" s="42" t="str">
        <f>TEXT(Data!B371,"MMM-YYYY")</f>
        <v>Dec-2023</v>
      </c>
      <c r="F371" s="42" t="str">
        <f t="shared" si="37"/>
        <v>Q4-2023</v>
      </c>
      <c r="G371" s="37" t="s">
        <v>78</v>
      </c>
      <c r="H371" s="37" t="s">
        <v>90</v>
      </c>
      <c r="I371" s="37" t="s">
        <v>138</v>
      </c>
      <c r="J371" s="37" t="s">
        <v>62</v>
      </c>
      <c r="K371" s="37" t="s">
        <v>20</v>
      </c>
      <c r="L371" s="37" t="s">
        <v>110</v>
      </c>
      <c r="M371" s="37" t="s">
        <v>57</v>
      </c>
      <c r="N371" s="37" t="s">
        <v>843</v>
      </c>
      <c r="O371" s="42">
        <v>492.75</v>
      </c>
      <c r="P371" s="43" t="str">
        <f t="shared" si="38"/>
        <v>High</v>
      </c>
      <c r="Q371" s="42">
        <v>731.29</v>
      </c>
      <c r="R371" s="42">
        <v>5.8000000000000003E-2</v>
      </c>
      <c r="S371" s="42">
        <v>6</v>
      </c>
      <c r="T371" s="42">
        <f t="shared" si="35"/>
        <v>17698.503240000002</v>
      </c>
      <c r="U371" s="37">
        <f t="shared" si="36"/>
        <v>2956.5</v>
      </c>
      <c r="V371" s="42">
        <f t="shared" si="39"/>
        <v>14742.003240000002</v>
      </c>
      <c r="W371" s="44">
        <f t="shared" si="40"/>
        <v>0.83295197566096557</v>
      </c>
    </row>
    <row r="372" spans="1:23" x14ac:dyDescent="0.3">
      <c r="A372" s="45" t="s">
        <v>844</v>
      </c>
      <c r="B372" s="46">
        <v>44962</v>
      </c>
      <c r="C372" s="47">
        <v>44985</v>
      </c>
      <c r="D372" s="48">
        <f t="shared" si="41"/>
        <v>23</v>
      </c>
      <c r="E372" s="48" t="str">
        <f>TEXT(Data!B372,"MMM-YYYY")</f>
        <v>Feb-2023</v>
      </c>
      <c r="F372" s="48" t="str">
        <f t="shared" si="37"/>
        <v>Q1-2023</v>
      </c>
      <c r="G372" s="38" t="s">
        <v>52</v>
      </c>
      <c r="H372" s="38" t="s">
        <v>122</v>
      </c>
      <c r="I372" s="38" t="s">
        <v>326</v>
      </c>
      <c r="J372" s="38" t="s">
        <v>39</v>
      </c>
      <c r="K372" s="38" t="s">
        <v>55</v>
      </c>
      <c r="L372" s="38" t="s">
        <v>49</v>
      </c>
      <c r="M372" s="38" t="s">
        <v>42</v>
      </c>
      <c r="N372" s="38" t="s">
        <v>845</v>
      </c>
      <c r="O372" s="48">
        <v>1214.49</v>
      </c>
      <c r="P372" s="49" t="str">
        <f t="shared" si="38"/>
        <v>High</v>
      </c>
      <c r="Q372" s="48">
        <v>1533.95</v>
      </c>
      <c r="R372" s="48">
        <v>0</v>
      </c>
      <c r="S372" s="48">
        <v>11</v>
      </c>
      <c r="T372" s="48">
        <f t="shared" si="35"/>
        <v>15891.92</v>
      </c>
      <c r="U372" s="38">
        <f t="shared" si="36"/>
        <v>13359.39</v>
      </c>
      <c r="V372" s="48">
        <f t="shared" si="39"/>
        <v>2532.5300000000007</v>
      </c>
      <c r="W372" s="50">
        <f t="shared" si="40"/>
        <v>0.15935959909186559</v>
      </c>
    </row>
    <row r="373" spans="1:23" x14ac:dyDescent="0.3">
      <c r="A373" s="39" t="s">
        <v>846</v>
      </c>
      <c r="B373" s="40">
        <v>45022</v>
      </c>
      <c r="C373" s="41">
        <v>45024</v>
      </c>
      <c r="D373" s="42">
        <f t="shared" si="41"/>
        <v>2</v>
      </c>
      <c r="E373" s="42" t="str">
        <f>TEXT(Data!B373,"MMM-YYYY")</f>
        <v>Apr-2023</v>
      </c>
      <c r="F373" s="42" t="str">
        <f t="shared" si="37"/>
        <v>Q2-2023</v>
      </c>
      <c r="G373" s="37" t="s">
        <v>16</v>
      </c>
      <c r="H373" s="37" t="s">
        <v>25</v>
      </c>
      <c r="I373" s="37" t="s">
        <v>67</v>
      </c>
      <c r="J373" s="37" t="s">
        <v>62</v>
      </c>
      <c r="K373" s="37" t="s">
        <v>40</v>
      </c>
      <c r="L373" s="37" t="s">
        <v>95</v>
      </c>
      <c r="M373" s="37" t="s">
        <v>64</v>
      </c>
      <c r="N373" s="37" t="s">
        <v>847</v>
      </c>
      <c r="O373" s="42">
        <v>720.35</v>
      </c>
      <c r="P373" s="43" t="str">
        <f t="shared" si="38"/>
        <v>High</v>
      </c>
      <c r="Q373" s="42">
        <v>1571.66</v>
      </c>
      <c r="R373" s="42">
        <v>0.107</v>
      </c>
      <c r="S373" s="42">
        <v>23</v>
      </c>
      <c r="T373" s="42">
        <f t="shared" si="35"/>
        <v>59066.056200000006</v>
      </c>
      <c r="U373" s="37">
        <f t="shared" si="36"/>
        <v>16568.05</v>
      </c>
      <c r="V373" s="42">
        <f t="shared" si="39"/>
        <v>42498.006200000003</v>
      </c>
      <c r="W373" s="44">
        <f t="shared" si="40"/>
        <v>0.71949964047201787</v>
      </c>
    </row>
    <row r="374" spans="1:23" x14ac:dyDescent="0.3">
      <c r="A374" s="45" t="s">
        <v>848</v>
      </c>
      <c r="B374" s="46">
        <v>45751</v>
      </c>
      <c r="C374" s="47">
        <v>45757</v>
      </c>
      <c r="D374" s="48">
        <f t="shared" si="41"/>
        <v>6</v>
      </c>
      <c r="E374" s="48" t="str">
        <f>TEXT(Data!B374,"MMM-YYYY")</f>
        <v>Apr-2025</v>
      </c>
      <c r="F374" s="48" t="str">
        <f t="shared" si="37"/>
        <v>Q2-2025</v>
      </c>
      <c r="G374" s="38" t="s">
        <v>78</v>
      </c>
      <c r="H374" s="38" t="s">
        <v>108</v>
      </c>
      <c r="I374" s="38" t="s">
        <v>109</v>
      </c>
      <c r="J374" s="38" t="s">
        <v>39</v>
      </c>
      <c r="K374" s="38" t="s">
        <v>98</v>
      </c>
      <c r="L374" s="38" t="s">
        <v>126</v>
      </c>
      <c r="M374" s="38" t="s">
        <v>30</v>
      </c>
      <c r="N374" s="38" t="s">
        <v>849</v>
      </c>
      <c r="O374" s="48">
        <v>290.14</v>
      </c>
      <c r="P374" s="49" t="str">
        <f t="shared" si="38"/>
        <v>High</v>
      </c>
      <c r="Q374" s="48">
        <v>250.73</v>
      </c>
      <c r="R374" s="48">
        <v>3.4000000000000002E-2</v>
      </c>
      <c r="S374" s="48">
        <v>17</v>
      </c>
      <c r="T374" s="48">
        <f t="shared" si="35"/>
        <v>26958.519419999997</v>
      </c>
      <c r="U374" s="38">
        <f t="shared" si="36"/>
        <v>4932.38</v>
      </c>
      <c r="V374" s="48">
        <f t="shared" si="39"/>
        <v>22026.139419999996</v>
      </c>
      <c r="W374" s="50">
        <f t="shared" si="40"/>
        <v>0.81703817174986382</v>
      </c>
    </row>
    <row r="375" spans="1:23" x14ac:dyDescent="0.3">
      <c r="A375" s="39" t="s">
        <v>850</v>
      </c>
      <c r="B375" s="40">
        <v>45429</v>
      </c>
      <c r="C375" s="41">
        <v>45439</v>
      </c>
      <c r="D375" s="42">
        <f t="shared" si="41"/>
        <v>10</v>
      </c>
      <c r="E375" s="42" t="str">
        <f>TEXT(Data!B375,"MMM-YYYY")</f>
        <v>May-2024</v>
      </c>
      <c r="F375" s="42" t="str">
        <f t="shared" si="37"/>
        <v>Q2-2024</v>
      </c>
      <c r="G375" s="37" t="s">
        <v>52</v>
      </c>
      <c r="H375" s="37" t="s">
        <v>122</v>
      </c>
      <c r="I375" s="37" t="s">
        <v>326</v>
      </c>
      <c r="J375" s="37" t="s">
        <v>39</v>
      </c>
      <c r="K375" s="37" t="s">
        <v>28</v>
      </c>
      <c r="L375" s="37" t="s">
        <v>21</v>
      </c>
      <c r="M375" s="37" t="s">
        <v>42</v>
      </c>
      <c r="N375" s="37" t="s">
        <v>851</v>
      </c>
      <c r="O375" s="42">
        <v>1484.23</v>
      </c>
      <c r="P375" s="43" t="str">
        <f t="shared" si="38"/>
        <v>High</v>
      </c>
      <c r="Q375" s="42">
        <v>3472.81</v>
      </c>
      <c r="R375" s="42">
        <v>0.25600000000000001</v>
      </c>
      <c r="S375" s="42">
        <v>12</v>
      </c>
      <c r="T375" s="42">
        <f t="shared" si="35"/>
        <v>11597.65056</v>
      </c>
      <c r="U375" s="37">
        <f t="shared" si="36"/>
        <v>17810.760000000002</v>
      </c>
      <c r="V375" s="42">
        <f t="shared" si="39"/>
        <v>-6213.109440000002</v>
      </c>
      <c r="W375" s="44">
        <f t="shared" si="40"/>
        <v>-0.53572138665988589</v>
      </c>
    </row>
    <row r="376" spans="1:23" x14ac:dyDescent="0.3">
      <c r="A376" s="45" t="s">
        <v>852</v>
      </c>
      <c r="B376" s="46">
        <v>45354</v>
      </c>
      <c r="C376" s="47">
        <v>45370</v>
      </c>
      <c r="D376" s="48">
        <f t="shared" si="41"/>
        <v>16</v>
      </c>
      <c r="E376" s="48" t="str">
        <f>TEXT(Data!B376,"MMM-YYYY")</f>
        <v>Mar-2024</v>
      </c>
      <c r="F376" s="48" t="str">
        <f t="shared" si="37"/>
        <v>Q1-2024</v>
      </c>
      <c r="G376" s="38" t="s">
        <v>45</v>
      </c>
      <c r="H376" s="38" t="s">
        <v>116</v>
      </c>
      <c r="I376" s="38" t="s">
        <v>338</v>
      </c>
      <c r="J376" s="38" t="s">
        <v>48</v>
      </c>
      <c r="K376" s="38" t="s">
        <v>55</v>
      </c>
      <c r="L376" s="38" t="s">
        <v>41</v>
      </c>
      <c r="M376" s="38" t="s">
        <v>42</v>
      </c>
      <c r="N376" s="38" t="s">
        <v>853</v>
      </c>
      <c r="O376" s="48">
        <v>988.83</v>
      </c>
      <c r="P376" s="49" t="str">
        <f t="shared" si="38"/>
        <v>High</v>
      </c>
      <c r="Q376" s="48">
        <v>1206.04</v>
      </c>
      <c r="R376" s="48">
        <v>6.3E-2</v>
      </c>
      <c r="S376" s="48">
        <v>34</v>
      </c>
      <c r="T376" s="48">
        <f t="shared" si="35"/>
        <v>35635.084480000005</v>
      </c>
      <c r="U376" s="38">
        <f t="shared" si="36"/>
        <v>33620.22</v>
      </c>
      <c r="V376" s="48">
        <f t="shared" si="39"/>
        <v>2014.8644800000038</v>
      </c>
      <c r="W376" s="50">
        <f t="shared" si="40"/>
        <v>5.6541594033005182E-2</v>
      </c>
    </row>
    <row r="377" spans="1:23" x14ac:dyDescent="0.3">
      <c r="A377" s="39" t="s">
        <v>854</v>
      </c>
      <c r="B377" s="40">
        <v>45835</v>
      </c>
      <c r="C377" s="41">
        <v>45849</v>
      </c>
      <c r="D377" s="42">
        <f t="shared" si="41"/>
        <v>14</v>
      </c>
      <c r="E377" s="42" t="str">
        <f>TEXT(Data!B377,"MMM-YYYY")</f>
        <v>Jun-2025</v>
      </c>
      <c r="F377" s="42" t="str">
        <f t="shared" si="37"/>
        <v>Q2-2025</v>
      </c>
      <c r="G377" s="37" t="s">
        <v>45</v>
      </c>
      <c r="H377" s="37" t="s">
        <v>116</v>
      </c>
      <c r="I377" s="37" t="s">
        <v>162</v>
      </c>
      <c r="J377" s="37" t="s">
        <v>62</v>
      </c>
      <c r="K377" s="37" t="s">
        <v>40</v>
      </c>
      <c r="L377" s="37" t="s">
        <v>49</v>
      </c>
      <c r="M377" s="37" t="s">
        <v>35</v>
      </c>
      <c r="N377" s="37" t="s">
        <v>855</v>
      </c>
      <c r="O377" s="42">
        <v>1227.7</v>
      </c>
      <c r="P377" s="43" t="str">
        <f t="shared" si="38"/>
        <v>High</v>
      </c>
      <c r="Q377" s="42">
        <v>2197.23</v>
      </c>
      <c r="R377" s="42">
        <v>9.9000000000000005E-2</v>
      </c>
      <c r="S377" s="42">
        <v>22</v>
      </c>
      <c r="T377" s="42">
        <f t="shared" si="35"/>
        <v>23483.321620000002</v>
      </c>
      <c r="U377" s="37">
        <f t="shared" si="36"/>
        <v>27009.4</v>
      </c>
      <c r="V377" s="42">
        <f t="shared" si="39"/>
        <v>-3526.078379999999</v>
      </c>
      <c r="W377" s="44">
        <f t="shared" si="40"/>
        <v>-0.15015245445503542</v>
      </c>
    </row>
    <row r="378" spans="1:23" x14ac:dyDescent="0.3">
      <c r="A378" s="45" t="s">
        <v>856</v>
      </c>
      <c r="B378" s="46">
        <v>44998</v>
      </c>
      <c r="C378" s="47">
        <v>45020</v>
      </c>
      <c r="D378" s="48">
        <f t="shared" si="41"/>
        <v>22</v>
      </c>
      <c r="E378" s="48" t="str">
        <f>TEXT(Data!B378,"MMM-YYYY")</f>
        <v>Mar-2023</v>
      </c>
      <c r="F378" s="48" t="str">
        <f t="shared" si="37"/>
        <v>Q1-2023</v>
      </c>
      <c r="G378" s="38" t="s">
        <v>16</v>
      </c>
      <c r="H378" s="38" t="s">
        <v>148</v>
      </c>
      <c r="I378" s="38" t="s">
        <v>172</v>
      </c>
      <c r="J378" s="38" t="s">
        <v>62</v>
      </c>
      <c r="K378" s="38" t="s">
        <v>20</v>
      </c>
      <c r="L378" s="38" t="s">
        <v>75</v>
      </c>
      <c r="M378" s="38" t="s">
        <v>22</v>
      </c>
      <c r="N378" s="38" t="s">
        <v>857</v>
      </c>
      <c r="O378" s="48">
        <v>1113.7</v>
      </c>
      <c r="P378" s="49" t="str">
        <f t="shared" si="38"/>
        <v>High</v>
      </c>
      <c r="Q378" s="48">
        <v>1620.6</v>
      </c>
      <c r="R378" s="48">
        <v>0.13900000000000001</v>
      </c>
      <c r="S378" s="48">
        <v>11</v>
      </c>
      <c r="T378" s="48">
        <f t="shared" si="35"/>
        <v>11379.122369999999</v>
      </c>
      <c r="U378" s="38">
        <f t="shared" si="36"/>
        <v>12250.7</v>
      </c>
      <c r="V378" s="48">
        <f t="shared" si="39"/>
        <v>-871.57763000000159</v>
      </c>
      <c r="W378" s="50">
        <f t="shared" si="40"/>
        <v>-7.6594450930401736E-2</v>
      </c>
    </row>
    <row r="379" spans="1:23" x14ac:dyDescent="0.3">
      <c r="A379" s="39" t="s">
        <v>858</v>
      </c>
      <c r="B379" s="40">
        <v>45664</v>
      </c>
      <c r="C379" s="41">
        <v>45677</v>
      </c>
      <c r="D379" s="42">
        <f t="shared" si="41"/>
        <v>13</v>
      </c>
      <c r="E379" s="42" t="str">
        <f>TEXT(Data!B379,"MMM-YYYY")</f>
        <v>Jan-2025</v>
      </c>
      <c r="F379" s="42" t="str">
        <f t="shared" si="37"/>
        <v>Q1-2025</v>
      </c>
      <c r="G379" s="37" t="s">
        <v>16</v>
      </c>
      <c r="H379" s="37" t="s">
        <v>148</v>
      </c>
      <c r="I379" s="37" t="s">
        <v>258</v>
      </c>
      <c r="J379" s="37" t="s">
        <v>19</v>
      </c>
      <c r="K379" s="37" t="s">
        <v>98</v>
      </c>
      <c r="L379" s="37" t="s">
        <v>95</v>
      </c>
      <c r="M379" s="37" t="s">
        <v>35</v>
      </c>
      <c r="N379" s="37" t="s">
        <v>859</v>
      </c>
      <c r="O379" s="42">
        <v>432.13</v>
      </c>
      <c r="P379" s="43" t="str">
        <f t="shared" si="38"/>
        <v>High</v>
      </c>
      <c r="Q379" s="42">
        <v>1034.6600000000001</v>
      </c>
      <c r="R379" s="42">
        <v>9.1999999999999998E-2</v>
      </c>
      <c r="S379" s="42">
        <v>7</v>
      </c>
      <c r="T379" s="42">
        <f t="shared" si="35"/>
        <v>5599.5724400000008</v>
      </c>
      <c r="U379" s="37">
        <f t="shared" si="36"/>
        <v>3024.91</v>
      </c>
      <c r="V379" s="42">
        <f t="shared" si="39"/>
        <v>2574.662440000001</v>
      </c>
      <c r="W379" s="44">
        <f t="shared" si="40"/>
        <v>0.45979625544410324</v>
      </c>
    </row>
    <row r="380" spans="1:23" x14ac:dyDescent="0.3">
      <c r="A380" s="45" t="s">
        <v>860</v>
      </c>
      <c r="B380" s="46">
        <v>45694</v>
      </c>
      <c r="C380" s="47">
        <v>45703</v>
      </c>
      <c r="D380" s="48">
        <f t="shared" si="41"/>
        <v>9</v>
      </c>
      <c r="E380" s="48" t="str">
        <f>TEXT(Data!B380,"MMM-YYYY")</f>
        <v>Feb-2025</v>
      </c>
      <c r="F380" s="48" t="str">
        <f t="shared" si="37"/>
        <v>Q1-2025</v>
      </c>
      <c r="G380" s="38" t="s">
        <v>52</v>
      </c>
      <c r="H380" s="38" t="s">
        <v>73</v>
      </c>
      <c r="I380" s="38" t="s">
        <v>74</v>
      </c>
      <c r="J380" s="38" t="s">
        <v>39</v>
      </c>
      <c r="K380" s="38" t="s">
        <v>55</v>
      </c>
      <c r="L380" s="38" t="s">
        <v>84</v>
      </c>
      <c r="M380" s="38" t="s">
        <v>35</v>
      </c>
      <c r="N380" s="38" t="s">
        <v>861</v>
      </c>
      <c r="O380" s="48">
        <v>837.39</v>
      </c>
      <c r="P380" s="49" t="str">
        <f t="shared" si="38"/>
        <v>High</v>
      </c>
      <c r="Q380" s="48">
        <v>1905.42</v>
      </c>
      <c r="R380" s="48">
        <v>3.2000000000000001E-2</v>
      </c>
      <c r="S380" s="48">
        <v>18</v>
      </c>
      <c r="T380" s="48">
        <f t="shared" si="35"/>
        <v>35734.358879999992</v>
      </c>
      <c r="U380" s="38">
        <f t="shared" si="36"/>
        <v>15073.02</v>
      </c>
      <c r="V380" s="48">
        <f t="shared" si="39"/>
        <v>20661.338879999992</v>
      </c>
      <c r="W380" s="50">
        <f t="shared" si="40"/>
        <v>0.57819251632254265</v>
      </c>
    </row>
    <row r="381" spans="1:23" x14ac:dyDescent="0.3">
      <c r="A381" s="39" t="s">
        <v>862</v>
      </c>
      <c r="B381" s="40">
        <v>45688</v>
      </c>
      <c r="C381" s="41">
        <v>45705</v>
      </c>
      <c r="D381" s="42">
        <f t="shared" si="41"/>
        <v>17</v>
      </c>
      <c r="E381" s="42" t="str">
        <f>TEXT(Data!B381,"MMM-YYYY")</f>
        <v>Jan-2025</v>
      </c>
      <c r="F381" s="42" t="str">
        <f t="shared" si="37"/>
        <v>Q1-2025</v>
      </c>
      <c r="G381" s="37" t="s">
        <v>78</v>
      </c>
      <c r="H381" s="37" t="s">
        <v>108</v>
      </c>
      <c r="I381" s="37" t="s">
        <v>152</v>
      </c>
      <c r="J381" s="37" t="s">
        <v>105</v>
      </c>
      <c r="K381" s="37" t="s">
        <v>20</v>
      </c>
      <c r="L381" s="37" t="s">
        <v>92</v>
      </c>
      <c r="M381" s="37" t="s">
        <v>22</v>
      </c>
      <c r="N381" s="37" t="s">
        <v>254</v>
      </c>
      <c r="O381" s="42">
        <v>378.26</v>
      </c>
      <c r="P381" s="43" t="str">
        <f t="shared" si="38"/>
        <v>High</v>
      </c>
      <c r="Q381" s="42">
        <v>541.55999999999995</v>
      </c>
      <c r="R381" s="42">
        <v>0.16300000000000001</v>
      </c>
      <c r="S381" s="42">
        <v>25</v>
      </c>
      <c r="T381" s="42">
        <f t="shared" si="35"/>
        <v>36365.557499999995</v>
      </c>
      <c r="U381" s="37">
        <f t="shared" si="36"/>
        <v>9456.5</v>
      </c>
      <c r="V381" s="42">
        <f t="shared" si="39"/>
        <v>26909.057499999995</v>
      </c>
      <c r="W381" s="44">
        <f t="shared" si="40"/>
        <v>0.73995998823887132</v>
      </c>
    </row>
    <row r="382" spans="1:23" x14ac:dyDescent="0.3">
      <c r="A382" s="45" t="s">
        <v>863</v>
      </c>
      <c r="B382" s="46">
        <v>45876</v>
      </c>
      <c r="C382" s="47">
        <v>45906</v>
      </c>
      <c r="D382" s="48">
        <f t="shared" si="41"/>
        <v>30</v>
      </c>
      <c r="E382" s="48" t="str">
        <f>TEXT(Data!B382,"MMM-YYYY")</f>
        <v>Aug-2025</v>
      </c>
      <c r="F382" s="48" t="str">
        <f t="shared" si="37"/>
        <v>Q3-2025</v>
      </c>
      <c r="G382" s="38" t="s">
        <v>52</v>
      </c>
      <c r="H382" s="38" t="s">
        <v>53</v>
      </c>
      <c r="I382" s="38" t="s">
        <v>144</v>
      </c>
      <c r="J382" s="38" t="s">
        <v>27</v>
      </c>
      <c r="K382" s="38" t="s">
        <v>98</v>
      </c>
      <c r="L382" s="38" t="s">
        <v>110</v>
      </c>
      <c r="M382" s="38" t="s">
        <v>35</v>
      </c>
      <c r="N382" s="38" t="s">
        <v>864</v>
      </c>
      <c r="O382" s="48">
        <v>833.73</v>
      </c>
      <c r="P382" s="49" t="str">
        <f t="shared" si="38"/>
        <v>High</v>
      </c>
      <c r="Q382" s="48">
        <v>1116.5999999999999</v>
      </c>
      <c r="R382" s="48">
        <v>0.17599999999999999</v>
      </c>
      <c r="S382" s="48">
        <v>14</v>
      </c>
      <c r="T382" s="48">
        <f t="shared" si="35"/>
        <v>16015.544160000001</v>
      </c>
      <c r="U382" s="38">
        <f t="shared" si="36"/>
        <v>11672.220000000001</v>
      </c>
      <c r="V382" s="48">
        <f t="shared" si="39"/>
        <v>4343.3241600000001</v>
      </c>
      <c r="W382" s="50">
        <f t="shared" si="40"/>
        <v>0.27119429203334666</v>
      </c>
    </row>
    <row r="383" spans="1:23" x14ac:dyDescent="0.3">
      <c r="A383" s="39" t="s">
        <v>865</v>
      </c>
      <c r="B383" s="40">
        <v>45861</v>
      </c>
      <c r="C383" s="41">
        <v>45886</v>
      </c>
      <c r="D383" s="42">
        <f t="shared" si="41"/>
        <v>25</v>
      </c>
      <c r="E383" s="42" t="str">
        <f>TEXT(Data!B383,"MMM-YYYY")</f>
        <v>Jul-2025</v>
      </c>
      <c r="F383" s="42" t="str">
        <f t="shared" si="37"/>
        <v>Q3-2025</v>
      </c>
      <c r="G383" s="37" t="s">
        <v>78</v>
      </c>
      <c r="H383" s="37" t="s">
        <v>108</v>
      </c>
      <c r="I383" s="37" t="s">
        <v>109</v>
      </c>
      <c r="J383" s="37" t="s">
        <v>27</v>
      </c>
      <c r="K383" s="37" t="s">
        <v>28</v>
      </c>
      <c r="L383" s="37" t="s">
        <v>34</v>
      </c>
      <c r="M383" s="37" t="s">
        <v>30</v>
      </c>
      <c r="N383" s="37" t="s">
        <v>866</v>
      </c>
      <c r="O383" s="42">
        <v>1142.06</v>
      </c>
      <c r="P383" s="43" t="str">
        <f t="shared" si="38"/>
        <v>High</v>
      </c>
      <c r="Q383" s="42">
        <v>1455</v>
      </c>
      <c r="R383" s="42">
        <v>7.8E-2</v>
      </c>
      <c r="S383" s="42">
        <v>28</v>
      </c>
      <c r="T383" s="42">
        <f t="shared" si="35"/>
        <v>13660.278240000001</v>
      </c>
      <c r="U383" s="37">
        <f t="shared" si="36"/>
        <v>31977.68</v>
      </c>
      <c r="V383" s="42">
        <f t="shared" si="39"/>
        <v>-18317.401760000001</v>
      </c>
      <c r="W383" s="44">
        <f t="shared" si="40"/>
        <v>-1.3409244993533893</v>
      </c>
    </row>
    <row r="384" spans="1:23" x14ac:dyDescent="0.3">
      <c r="A384" s="45" t="s">
        <v>867</v>
      </c>
      <c r="B384" s="46">
        <v>45097</v>
      </c>
      <c r="C384" s="47">
        <v>45115</v>
      </c>
      <c r="D384" s="48">
        <f t="shared" si="41"/>
        <v>18</v>
      </c>
      <c r="E384" s="48" t="str">
        <f>TEXT(Data!B384,"MMM-YYYY")</f>
        <v>Jun-2023</v>
      </c>
      <c r="F384" s="48" t="str">
        <f t="shared" si="37"/>
        <v>Q2-2023</v>
      </c>
      <c r="G384" s="38" t="s">
        <v>52</v>
      </c>
      <c r="H384" s="38" t="s">
        <v>122</v>
      </c>
      <c r="I384" s="38" t="s">
        <v>387</v>
      </c>
      <c r="J384" s="38" t="s">
        <v>48</v>
      </c>
      <c r="K384" s="38" t="s">
        <v>40</v>
      </c>
      <c r="L384" s="38" t="s">
        <v>68</v>
      </c>
      <c r="M384" s="38" t="s">
        <v>35</v>
      </c>
      <c r="N384" s="38" t="s">
        <v>868</v>
      </c>
      <c r="O384" s="48">
        <v>1145.53</v>
      </c>
      <c r="P384" s="49" t="str">
        <f t="shared" si="38"/>
        <v>High</v>
      </c>
      <c r="Q384" s="48">
        <v>1278.3</v>
      </c>
      <c r="R384" s="48">
        <v>0.09</v>
      </c>
      <c r="S384" s="48">
        <v>41</v>
      </c>
      <c r="T384" s="48">
        <f t="shared" si="35"/>
        <v>73589.497799999997</v>
      </c>
      <c r="U384" s="38">
        <f t="shared" si="36"/>
        <v>46966.729999999996</v>
      </c>
      <c r="V384" s="48">
        <f t="shared" si="39"/>
        <v>26622.767800000001</v>
      </c>
      <c r="W384" s="50">
        <f t="shared" si="40"/>
        <v>0.36177401118234026</v>
      </c>
    </row>
    <row r="385" spans="1:23" x14ac:dyDescent="0.3">
      <c r="A385" s="39" t="s">
        <v>869</v>
      </c>
      <c r="B385" s="40">
        <v>45491</v>
      </c>
      <c r="C385" s="41">
        <v>45511</v>
      </c>
      <c r="D385" s="42">
        <f t="shared" si="41"/>
        <v>20</v>
      </c>
      <c r="E385" s="42" t="str">
        <f>TEXT(Data!B385,"MMM-YYYY")</f>
        <v>Jul-2024</v>
      </c>
      <c r="F385" s="42" t="str">
        <f t="shared" si="37"/>
        <v>Q3-2024</v>
      </c>
      <c r="G385" s="37" t="s">
        <v>78</v>
      </c>
      <c r="H385" s="37" t="s">
        <v>90</v>
      </c>
      <c r="I385" s="37" t="s">
        <v>91</v>
      </c>
      <c r="J385" s="37" t="s">
        <v>19</v>
      </c>
      <c r="K385" s="37" t="s">
        <v>20</v>
      </c>
      <c r="L385" s="37" t="s">
        <v>84</v>
      </c>
      <c r="M385" s="37" t="s">
        <v>64</v>
      </c>
      <c r="N385" s="37" t="s">
        <v>870</v>
      </c>
      <c r="O385" s="42">
        <v>941.35</v>
      </c>
      <c r="P385" s="43" t="str">
        <f t="shared" si="38"/>
        <v>High</v>
      </c>
      <c r="Q385" s="42">
        <v>899.83</v>
      </c>
      <c r="R385" s="42">
        <v>5.8000000000000003E-2</v>
      </c>
      <c r="S385" s="42">
        <v>18</v>
      </c>
      <c r="T385" s="42">
        <f t="shared" ref="T385:T448" si="42">(Q411*S385)*(1-R385)</f>
        <v>14867.190359999997</v>
      </c>
      <c r="U385" s="37">
        <f t="shared" ref="U385:U448" si="43">(O385*S385)</f>
        <v>16944.3</v>
      </c>
      <c r="V385" s="42">
        <f t="shared" si="39"/>
        <v>-2077.1096400000024</v>
      </c>
      <c r="W385" s="44">
        <f t="shared" si="40"/>
        <v>-0.13971097360725546</v>
      </c>
    </row>
    <row r="386" spans="1:23" x14ac:dyDescent="0.3">
      <c r="A386" s="45" t="s">
        <v>871</v>
      </c>
      <c r="B386" s="46">
        <v>45066</v>
      </c>
      <c r="C386" s="47">
        <v>45096</v>
      </c>
      <c r="D386" s="48">
        <f t="shared" si="41"/>
        <v>30</v>
      </c>
      <c r="E386" s="48" t="str">
        <f>TEXT(Data!B386,"MMM-YYYY")</f>
        <v>May-2023</v>
      </c>
      <c r="F386" s="48" t="str">
        <f t="shared" ref="F386:F449" si="44">"Q"&amp;ROUNDUP(MONTH(B386)/3,0)&amp;"-"&amp;YEAR(B386)</f>
        <v>Q2-2023</v>
      </c>
      <c r="G386" s="38" t="s">
        <v>45</v>
      </c>
      <c r="H386" s="38" t="s">
        <v>60</v>
      </c>
      <c r="I386" s="38" t="s">
        <v>141</v>
      </c>
      <c r="J386" s="38" t="s">
        <v>39</v>
      </c>
      <c r="K386" s="38" t="s">
        <v>40</v>
      </c>
      <c r="L386" s="38" t="s">
        <v>92</v>
      </c>
      <c r="M386" s="38" t="s">
        <v>57</v>
      </c>
      <c r="N386" s="38" t="s">
        <v>872</v>
      </c>
      <c r="O386" s="48">
        <v>1161.2</v>
      </c>
      <c r="P386" s="49" t="str">
        <f t="shared" ref="P386:P449" si="45">IF(Q386&lt;50, "Low", IF(Q386&lt;200, "Medium", "High"))</f>
        <v>High</v>
      </c>
      <c r="Q386" s="48">
        <v>878.73</v>
      </c>
      <c r="R386" s="48">
        <v>0.19</v>
      </c>
      <c r="S386" s="48">
        <v>31</v>
      </c>
      <c r="T386" s="48">
        <f t="shared" si="42"/>
        <v>20697.168600000001</v>
      </c>
      <c r="U386" s="38">
        <f t="shared" si="43"/>
        <v>35997.200000000004</v>
      </c>
      <c r="V386" s="48">
        <f t="shared" ref="V386:V449" si="46">(T386-U386)</f>
        <v>-15300.031400000003</v>
      </c>
      <c r="W386" s="50">
        <f t="shared" ref="W386:W449" si="47">IF(T386=0, 0, V386/T386)</f>
        <v>-0.73923306591801174</v>
      </c>
    </row>
    <row r="387" spans="1:23" x14ac:dyDescent="0.3">
      <c r="A387" s="39" t="s">
        <v>873</v>
      </c>
      <c r="B387" s="40">
        <v>45789</v>
      </c>
      <c r="C387" s="41">
        <v>45803</v>
      </c>
      <c r="D387" s="42">
        <f t="shared" si="41"/>
        <v>14</v>
      </c>
      <c r="E387" s="42" t="str">
        <f>TEXT(Data!B387,"MMM-YYYY")</f>
        <v>May-2025</v>
      </c>
      <c r="F387" s="42" t="str">
        <f t="shared" si="44"/>
        <v>Q2-2025</v>
      </c>
      <c r="G387" s="37" t="s">
        <v>45</v>
      </c>
      <c r="H387" s="37" t="s">
        <v>60</v>
      </c>
      <c r="I387" s="37" t="s">
        <v>281</v>
      </c>
      <c r="J387" s="37" t="s">
        <v>19</v>
      </c>
      <c r="K387" s="37" t="s">
        <v>40</v>
      </c>
      <c r="L387" s="37" t="s">
        <v>41</v>
      </c>
      <c r="M387" s="37" t="s">
        <v>30</v>
      </c>
      <c r="N387" s="37" t="s">
        <v>874</v>
      </c>
      <c r="O387" s="42">
        <v>320.12</v>
      </c>
      <c r="P387" s="43" t="str">
        <f t="shared" si="45"/>
        <v>High</v>
      </c>
      <c r="Q387" s="42">
        <v>594.41999999999996</v>
      </c>
      <c r="R387" s="42">
        <v>0.104</v>
      </c>
      <c r="S387" s="42">
        <v>18</v>
      </c>
      <c r="T387" s="42">
        <f t="shared" si="42"/>
        <v>18697.996800000001</v>
      </c>
      <c r="U387" s="37">
        <f t="shared" si="43"/>
        <v>5762.16</v>
      </c>
      <c r="V387" s="42">
        <f t="shared" si="46"/>
        <v>12935.836800000001</v>
      </c>
      <c r="W387" s="44">
        <f t="shared" si="47"/>
        <v>0.69183008952060576</v>
      </c>
    </row>
    <row r="388" spans="1:23" x14ac:dyDescent="0.3">
      <c r="A388" s="45" t="s">
        <v>875</v>
      </c>
      <c r="B388" s="46">
        <v>45419</v>
      </c>
      <c r="C388" s="47">
        <v>45424</v>
      </c>
      <c r="D388" s="48">
        <f t="shared" ref="D388:D450" si="48">DATEDIF(B388,C388, "MD")</f>
        <v>5</v>
      </c>
      <c r="E388" s="48" t="str">
        <f>TEXT(Data!B388,"MMM-YYYY")</f>
        <v>May-2024</v>
      </c>
      <c r="F388" s="48" t="str">
        <f t="shared" si="44"/>
        <v>Q2-2024</v>
      </c>
      <c r="G388" s="38" t="s">
        <v>16</v>
      </c>
      <c r="H388" s="38" t="s">
        <v>25</v>
      </c>
      <c r="I388" s="38" t="s">
        <v>67</v>
      </c>
      <c r="J388" s="38" t="s">
        <v>39</v>
      </c>
      <c r="K388" s="38" t="s">
        <v>55</v>
      </c>
      <c r="L388" s="38" t="s">
        <v>49</v>
      </c>
      <c r="M388" s="38" t="s">
        <v>57</v>
      </c>
      <c r="N388" s="38" t="s">
        <v>876</v>
      </c>
      <c r="O388" s="48">
        <v>1163.99</v>
      </c>
      <c r="P388" s="49" t="str">
        <f t="shared" si="45"/>
        <v>High</v>
      </c>
      <c r="Q388" s="48">
        <v>1617.85</v>
      </c>
      <c r="R388" s="48">
        <v>0.127</v>
      </c>
      <c r="S388" s="48">
        <v>14</v>
      </c>
      <c r="T388" s="48">
        <f t="shared" si="42"/>
        <v>30720.11922</v>
      </c>
      <c r="U388" s="38">
        <f t="shared" si="43"/>
        <v>16295.86</v>
      </c>
      <c r="V388" s="48">
        <f t="shared" si="46"/>
        <v>14424.25922</v>
      </c>
      <c r="W388" s="50">
        <f t="shared" si="47"/>
        <v>0.4695378659406127</v>
      </c>
    </row>
    <row r="389" spans="1:23" x14ac:dyDescent="0.3">
      <c r="A389" s="39" t="s">
        <v>877</v>
      </c>
      <c r="B389" s="40">
        <v>45199</v>
      </c>
      <c r="C389" s="41">
        <v>45202</v>
      </c>
      <c r="D389" s="42">
        <f t="shared" si="48"/>
        <v>3</v>
      </c>
      <c r="E389" s="42" t="str">
        <f>TEXT(Data!B389,"MMM-YYYY")</f>
        <v>Sept-2023</v>
      </c>
      <c r="F389" s="42" t="str">
        <f t="shared" si="44"/>
        <v>Q3-2023</v>
      </c>
      <c r="G389" s="37" t="s">
        <v>45</v>
      </c>
      <c r="H389" s="37" t="s">
        <v>116</v>
      </c>
      <c r="I389" s="37" t="s">
        <v>338</v>
      </c>
      <c r="J389" s="37" t="s">
        <v>39</v>
      </c>
      <c r="K389" s="37" t="s">
        <v>20</v>
      </c>
      <c r="L389" s="37" t="s">
        <v>29</v>
      </c>
      <c r="M389" s="37" t="s">
        <v>57</v>
      </c>
      <c r="N389" s="37" t="s">
        <v>878</v>
      </c>
      <c r="O389" s="42">
        <v>1019.36</v>
      </c>
      <c r="P389" s="43" t="str">
        <f t="shared" si="45"/>
        <v>High</v>
      </c>
      <c r="Q389" s="42">
        <v>972.91</v>
      </c>
      <c r="R389" s="42">
        <v>0.14699999999999999</v>
      </c>
      <c r="S389" s="42">
        <v>17</v>
      </c>
      <c r="T389" s="42">
        <f t="shared" si="42"/>
        <v>44766.472129999995</v>
      </c>
      <c r="U389" s="37">
        <f t="shared" si="43"/>
        <v>17329.12</v>
      </c>
      <c r="V389" s="42">
        <f t="shared" si="46"/>
        <v>27437.352129999996</v>
      </c>
      <c r="W389" s="44">
        <f t="shared" si="47"/>
        <v>0.61289958365097552</v>
      </c>
    </row>
    <row r="390" spans="1:23" x14ac:dyDescent="0.3">
      <c r="A390" s="45" t="s">
        <v>879</v>
      </c>
      <c r="B390" s="46">
        <v>45225</v>
      </c>
      <c r="C390" s="47">
        <v>45235</v>
      </c>
      <c r="D390" s="48">
        <f t="shared" si="48"/>
        <v>10</v>
      </c>
      <c r="E390" s="48" t="str">
        <f>TEXT(Data!B390,"MMM-YYYY")</f>
        <v>Oct-2023</v>
      </c>
      <c r="F390" s="48" t="str">
        <f t="shared" si="44"/>
        <v>Q4-2023</v>
      </c>
      <c r="G390" s="38" t="s">
        <v>16</v>
      </c>
      <c r="H390" s="38" t="s">
        <v>148</v>
      </c>
      <c r="I390" s="38" t="s">
        <v>258</v>
      </c>
      <c r="J390" s="38" t="s">
        <v>39</v>
      </c>
      <c r="K390" s="38" t="s">
        <v>28</v>
      </c>
      <c r="L390" s="38" t="s">
        <v>34</v>
      </c>
      <c r="M390" s="38" t="s">
        <v>57</v>
      </c>
      <c r="N390" s="38" t="s">
        <v>880</v>
      </c>
      <c r="O390" s="48">
        <v>20.38</v>
      </c>
      <c r="P390" s="49" t="str">
        <f t="shared" si="45"/>
        <v>Low</v>
      </c>
      <c r="Q390" s="48">
        <v>42.56</v>
      </c>
      <c r="R390" s="48">
        <v>7.1999999999999995E-2</v>
      </c>
      <c r="S390" s="48">
        <v>11</v>
      </c>
      <c r="T390" s="48">
        <f t="shared" si="42"/>
        <v>27736.667200000004</v>
      </c>
      <c r="U390" s="38">
        <f t="shared" si="43"/>
        <v>224.17999999999998</v>
      </c>
      <c r="V390" s="48">
        <f t="shared" si="46"/>
        <v>27512.487200000003</v>
      </c>
      <c r="W390" s="50">
        <f t="shared" si="47"/>
        <v>0.99191755814123195</v>
      </c>
    </row>
    <row r="391" spans="1:23" x14ac:dyDescent="0.3">
      <c r="A391" s="39" t="s">
        <v>881</v>
      </c>
      <c r="B391" s="40">
        <v>45823</v>
      </c>
      <c r="C391" s="41">
        <v>45838</v>
      </c>
      <c r="D391" s="42">
        <f t="shared" si="48"/>
        <v>15</v>
      </c>
      <c r="E391" s="42" t="str">
        <f>TEXT(Data!B391,"MMM-YYYY")</f>
        <v>Jun-2025</v>
      </c>
      <c r="F391" s="42" t="str">
        <f t="shared" si="44"/>
        <v>Q2-2025</v>
      </c>
      <c r="G391" s="37" t="s">
        <v>16</v>
      </c>
      <c r="H391" s="37" t="s">
        <v>148</v>
      </c>
      <c r="I391" s="37" t="s">
        <v>149</v>
      </c>
      <c r="J391" s="37" t="s">
        <v>62</v>
      </c>
      <c r="K391" s="37" t="s">
        <v>98</v>
      </c>
      <c r="L391" s="37" t="s">
        <v>21</v>
      </c>
      <c r="M391" s="37" t="s">
        <v>64</v>
      </c>
      <c r="N391" s="37" t="s">
        <v>882</v>
      </c>
      <c r="O391" s="42">
        <v>1487.59</v>
      </c>
      <c r="P391" s="43" t="str">
        <f t="shared" si="45"/>
        <v>High</v>
      </c>
      <c r="Q391" s="42">
        <v>1480.83</v>
      </c>
      <c r="R391" s="42">
        <v>8.9999999999999993E-3</v>
      </c>
      <c r="S391" s="42">
        <v>11</v>
      </c>
      <c r="T391" s="42">
        <f t="shared" si="42"/>
        <v>9830.4127899999985</v>
      </c>
      <c r="U391" s="37">
        <f t="shared" si="43"/>
        <v>16363.49</v>
      </c>
      <c r="V391" s="42">
        <f t="shared" si="46"/>
        <v>-6533.0772100000013</v>
      </c>
      <c r="W391" s="44">
        <f t="shared" si="47"/>
        <v>-0.66457811584939586</v>
      </c>
    </row>
    <row r="392" spans="1:23" x14ac:dyDescent="0.3">
      <c r="A392" s="45" t="s">
        <v>883</v>
      </c>
      <c r="B392" s="46">
        <v>45514</v>
      </c>
      <c r="C392" s="47">
        <v>45542</v>
      </c>
      <c r="D392" s="48">
        <f t="shared" si="48"/>
        <v>28</v>
      </c>
      <c r="E392" s="48" t="str">
        <f>TEXT(Data!B392,"MMM-YYYY")</f>
        <v>Aug-2024</v>
      </c>
      <c r="F392" s="48" t="str">
        <f t="shared" si="44"/>
        <v>Q3-2024</v>
      </c>
      <c r="G392" s="38" t="s">
        <v>78</v>
      </c>
      <c r="H392" s="38" t="s">
        <v>90</v>
      </c>
      <c r="I392" s="38" t="s">
        <v>91</v>
      </c>
      <c r="J392" s="38" t="s">
        <v>39</v>
      </c>
      <c r="K392" s="38" t="s">
        <v>98</v>
      </c>
      <c r="L392" s="38" t="s">
        <v>84</v>
      </c>
      <c r="M392" s="38" t="s">
        <v>30</v>
      </c>
      <c r="N392" s="38" t="s">
        <v>884</v>
      </c>
      <c r="O392" s="48">
        <v>229.96</v>
      </c>
      <c r="P392" s="49" t="str">
        <f t="shared" si="45"/>
        <v>High</v>
      </c>
      <c r="Q392" s="48">
        <v>564.26</v>
      </c>
      <c r="R392" s="48">
        <v>0.105</v>
      </c>
      <c r="S392" s="48">
        <v>5</v>
      </c>
      <c r="T392" s="48">
        <f t="shared" si="42"/>
        <v>3562.7712500000002</v>
      </c>
      <c r="U392" s="38">
        <f t="shared" si="43"/>
        <v>1149.8</v>
      </c>
      <c r="V392" s="48">
        <f t="shared" si="46"/>
        <v>2412.9712500000005</v>
      </c>
      <c r="W392" s="50">
        <f t="shared" si="47"/>
        <v>0.67727369530109471</v>
      </c>
    </row>
    <row r="393" spans="1:23" x14ac:dyDescent="0.3">
      <c r="A393" s="39" t="s">
        <v>885</v>
      </c>
      <c r="B393" s="40">
        <v>45208</v>
      </c>
      <c r="C393" s="41">
        <v>45225</v>
      </c>
      <c r="D393" s="42">
        <f t="shared" si="48"/>
        <v>17</v>
      </c>
      <c r="E393" s="42" t="str">
        <f>TEXT(Data!B393,"MMM-YYYY")</f>
        <v>Oct-2023</v>
      </c>
      <c r="F393" s="42" t="str">
        <f t="shared" si="44"/>
        <v>Q4-2023</v>
      </c>
      <c r="G393" s="37" t="s">
        <v>45</v>
      </c>
      <c r="H393" s="37" t="s">
        <v>116</v>
      </c>
      <c r="I393" s="37" t="s">
        <v>162</v>
      </c>
      <c r="J393" s="37" t="s">
        <v>48</v>
      </c>
      <c r="K393" s="37" t="s">
        <v>40</v>
      </c>
      <c r="L393" s="37" t="s">
        <v>21</v>
      </c>
      <c r="M393" s="37" t="s">
        <v>22</v>
      </c>
      <c r="N393" s="37" t="s">
        <v>886</v>
      </c>
      <c r="O393" s="42">
        <v>1132.03</v>
      </c>
      <c r="P393" s="43" t="str">
        <f t="shared" si="45"/>
        <v>High</v>
      </c>
      <c r="Q393" s="42">
        <v>2137.21</v>
      </c>
      <c r="R393" s="42">
        <v>0.35699999999999998</v>
      </c>
      <c r="S393" s="42">
        <v>35</v>
      </c>
      <c r="T393" s="42">
        <f t="shared" si="42"/>
        <v>3551.7390999999998</v>
      </c>
      <c r="U393" s="37">
        <f t="shared" si="43"/>
        <v>39621.049999999996</v>
      </c>
      <c r="V393" s="42">
        <f t="shared" si="46"/>
        <v>-36069.310899999997</v>
      </c>
      <c r="W393" s="44">
        <f t="shared" si="47"/>
        <v>-10.155394268683755</v>
      </c>
    </row>
    <row r="394" spans="1:23" x14ac:dyDescent="0.3">
      <c r="A394" s="45" t="s">
        <v>887</v>
      </c>
      <c r="B394" s="46">
        <v>45360</v>
      </c>
      <c r="C394" s="47">
        <v>45377</v>
      </c>
      <c r="D394" s="48">
        <f t="shared" si="48"/>
        <v>17</v>
      </c>
      <c r="E394" s="48" t="str">
        <f>TEXT(Data!B394,"MMM-YYYY")</f>
        <v>Mar-2024</v>
      </c>
      <c r="F394" s="48" t="str">
        <f t="shared" si="44"/>
        <v>Q1-2024</v>
      </c>
      <c r="G394" s="38" t="s">
        <v>52</v>
      </c>
      <c r="H394" s="38" t="s">
        <v>122</v>
      </c>
      <c r="I394" s="38" t="s">
        <v>167</v>
      </c>
      <c r="J394" s="38" t="s">
        <v>27</v>
      </c>
      <c r="K394" s="38" t="s">
        <v>98</v>
      </c>
      <c r="L394" s="38" t="s">
        <v>34</v>
      </c>
      <c r="M394" s="38" t="s">
        <v>42</v>
      </c>
      <c r="N394" s="38" t="s">
        <v>888</v>
      </c>
      <c r="O394" s="48">
        <v>1137.4100000000001</v>
      </c>
      <c r="P394" s="49" t="str">
        <f t="shared" si="45"/>
        <v>High</v>
      </c>
      <c r="Q394" s="48">
        <v>1680.93</v>
      </c>
      <c r="R394" s="48">
        <v>0.254</v>
      </c>
      <c r="S394" s="48">
        <v>9</v>
      </c>
      <c r="T394" s="48">
        <f t="shared" si="42"/>
        <v>5499.1688399999994</v>
      </c>
      <c r="U394" s="38">
        <f t="shared" si="43"/>
        <v>10236.69</v>
      </c>
      <c r="V394" s="48">
        <f t="shared" si="46"/>
        <v>-4737.5211600000011</v>
      </c>
      <c r="W394" s="50">
        <f t="shared" si="47"/>
        <v>-0.86149767316473258</v>
      </c>
    </row>
    <row r="395" spans="1:23" x14ac:dyDescent="0.3">
      <c r="A395" s="39" t="s">
        <v>889</v>
      </c>
      <c r="B395" s="40">
        <v>45075</v>
      </c>
      <c r="C395" s="41">
        <v>45097</v>
      </c>
      <c r="D395" s="42">
        <f t="shared" si="48"/>
        <v>22</v>
      </c>
      <c r="E395" s="42" t="str">
        <f>TEXT(Data!B395,"MMM-YYYY")</f>
        <v>May-2023</v>
      </c>
      <c r="F395" s="42" t="str">
        <f t="shared" si="44"/>
        <v>Q2-2023</v>
      </c>
      <c r="G395" s="37" t="s">
        <v>78</v>
      </c>
      <c r="H395" s="37" t="s">
        <v>108</v>
      </c>
      <c r="I395" s="37" t="s">
        <v>152</v>
      </c>
      <c r="J395" s="37" t="s">
        <v>62</v>
      </c>
      <c r="K395" s="37" t="s">
        <v>98</v>
      </c>
      <c r="L395" s="37" t="s">
        <v>95</v>
      </c>
      <c r="M395" s="37" t="s">
        <v>22</v>
      </c>
      <c r="N395" s="37" t="s">
        <v>890</v>
      </c>
      <c r="O395" s="42">
        <v>1295.3900000000001</v>
      </c>
      <c r="P395" s="43" t="str">
        <f t="shared" si="45"/>
        <v>High</v>
      </c>
      <c r="Q395" s="42">
        <v>2905.06</v>
      </c>
      <c r="R395" s="42">
        <v>0.14799999999999999</v>
      </c>
      <c r="S395" s="42">
        <v>8</v>
      </c>
      <c r="T395" s="42">
        <f t="shared" si="42"/>
        <v>11663.26656</v>
      </c>
      <c r="U395" s="37">
        <f t="shared" si="43"/>
        <v>10363.120000000001</v>
      </c>
      <c r="V395" s="42">
        <f t="shared" si="46"/>
        <v>1300.1465599999992</v>
      </c>
      <c r="W395" s="44">
        <f t="shared" si="47"/>
        <v>0.11147362133168971</v>
      </c>
    </row>
    <row r="396" spans="1:23" x14ac:dyDescent="0.3">
      <c r="A396" s="45" t="s">
        <v>891</v>
      </c>
      <c r="B396" s="46">
        <v>45804</v>
      </c>
      <c r="C396" s="47">
        <v>45816</v>
      </c>
      <c r="D396" s="48">
        <f t="shared" si="48"/>
        <v>12</v>
      </c>
      <c r="E396" s="48" t="str">
        <f>TEXT(Data!B396,"MMM-YYYY")</f>
        <v>May-2025</v>
      </c>
      <c r="F396" s="48" t="str">
        <f t="shared" si="44"/>
        <v>Q2-2025</v>
      </c>
      <c r="G396" s="38" t="s">
        <v>45</v>
      </c>
      <c r="H396" s="38" t="s">
        <v>46</v>
      </c>
      <c r="I396" s="38" t="s">
        <v>47</v>
      </c>
      <c r="J396" s="38" t="s">
        <v>19</v>
      </c>
      <c r="K396" s="38" t="s">
        <v>20</v>
      </c>
      <c r="L396" s="38" t="s">
        <v>92</v>
      </c>
      <c r="M396" s="38" t="s">
        <v>81</v>
      </c>
      <c r="N396" s="38" t="s">
        <v>892</v>
      </c>
      <c r="O396" s="48">
        <v>653.6</v>
      </c>
      <c r="P396" s="49" t="str">
        <f t="shared" si="45"/>
        <v>High</v>
      </c>
      <c r="Q396" s="48">
        <v>842.09</v>
      </c>
      <c r="R396" s="48">
        <v>9.8000000000000004E-2</v>
      </c>
      <c r="S396" s="48">
        <v>19</v>
      </c>
      <c r="T396" s="48">
        <f t="shared" si="42"/>
        <v>29072.046299999998</v>
      </c>
      <c r="U396" s="38">
        <f t="shared" si="43"/>
        <v>12418.4</v>
      </c>
      <c r="V396" s="48">
        <f t="shared" si="46"/>
        <v>16653.6463</v>
      </c>
      <c r="W396" s="50">
        <f t="shared" si="47"/>
        <v>0.5728405261930255</v>
      </c>
    </row>
    <row r="397" spans="1:23" x14ac:dyDescent="0.3">
      <c r="A397" s="39" t="s">
        <v>893</v>
      </c>
      <c r="B397" s="40">
        <v>45890</v>
      </c>
      <c r="C397" s="41">
        <v>45914</v>
      </c>
      <c r="D397" s="42">
        <f t="shared" si="48"/>
        <v>24</v>
      </c>
      <c r="E397" s="42" t="str">
        <f>TEXT(Data!B397,"MMM-YYYY")</f>
        <v>Aug-2025</v>
      </c>
      <c r="F397" s="42" t="str">
        <f t="shared" si="44"/>
        <v>Q3-2025</v>
      </c>
      <c r="G397" s="37" t="s">
        <v>78</v>
      </c>
      <c r="H397" s="37" t="s">
        <v>79</v>
      </c>
      <c r="I397" s="37" t="s">
        <v>80</v>
      </c>
      <c r="J397" s="37" t="s">
        <v>39</v>
      </c>
      <c r="K397" s="37" t="s">
        <v>28</v>
      </c>
      <c r="L397" s="37" t="s">
        <v>75</v>
      </c>
      <c r="M397" s="37" t="s">
        <v>64</v>
      </c>
      <c r="N397" s="37" t="s">
        <v>894</v>
      </c>
      <c r="O397" s="42">
        <v>1397.67</v>
      </c>
      <c r="P397" s="43" t="str">
        <f t="shared" si="45"/>
        <v>High</v>
      </c>
      <c r="Q397" s="42">
        <v>3131.37</v>
      </c>
      <c r="R397" s="42">
        <v>0.10299999999999999</v>
      </c>
      <c r="S397" s="42">
        <v>20</v>
      </c>
      <c r="T397" s="42">
        <f t="shared" si="42"/>
        <v>51745.059600000001</v>
      </c>
      <c r="U397" s="37">
        <f t="shared" si="43"/>
        <v>27953.4</v>
      </c>
      <c r="V397" s="42">
        <f t="shared" si="46"/>
        <v>23791.659599999999</v>
      </c>
      <c r="W397" s="44">
        <f t="shared" si="47"/>
        <v>0.45978610873993464</v>
      </c>
    </row>
    <row r="398" spans="1:23" x14ac:dyDescent="0.3">
      <c r="A398" s="45" t="s">
        <v>895</v>
      </c>
      <c r="B398" s="46">
        <v>45638</v>
      </c>
      <c r="C398" s="47">
        <v>45646</v>
      </c>
      <c r="D398" s="48">
        <f t="shared" si="48"/>
        <v>8</v>
      </c>
      <c r="E398" s="48" t="str">
        <f>TEXT(Data!B398,"MMM-YYYY")</f>
        <v>Dec-2024</v>
      </c>
      <c r="F398" s="48" t="str">
        <f t="shared" si="44"/>
        <v>Q4-2024</v>
      </c>
      <c r="G398" s="38" t="s">
        <v>45</v>
      </c>
      <c r="H398" s="38" t="s">
        <v>46</v>
      </c>
      <c r="I398" s="38" t="s">
        <v>214</v>
      </c>
      <c r="J398" s="38" t="s">
        <v>19</v>
      </c>
      <c r="K398" s="38" t="s">
        <v>20</v>
      </c>
      <c r="L398" s="38" t="s">
        <v>56</v>
      </c>
      <c r="M398" s="38" t="s">
        <v>57</v>
      </c>
      <c r="N398" s="38" t="s">
        <v>896</v>
      </c>
      <c r="O398" s="48">
        <v>1202.47</v>
      </c>
      <c r="P398" s="49" t="str">
        <f t="shared" si="45"/>
        <v>High</v>
      </c>
      <c r="Q398" s="48">
        <v>1444.72</v>
      </c>
      <c r="R398" s="48">
        <v>0.24099999999999999</v>
      </c>
      <c r="S398" s="48">
        <v>17</v>
      </c>
      <c r="T398" s="48">
        <f t="shared" si="42"/>
        <v>19144.697220000002</v>
      </c>
      <c r="U398" s="38">
        <f t="shared" si="43"/>
        <v>20441.990000000002</v>
      </c>
      <c r="V398" s="48">
        <f t="shared" si="46"/>
        <v>-1297.2927799999998</v>
      </c>
      <c r="W398" s="50">
        <f t="shared" si="47"/>
        <v>-6.7762512255599913E-2</v>
      </c>
    </row>
    <row r="399" spans="1:23" x14ac:dyDescent="0.3">
      <c r="A399" s="39" t="s">
        <v>897</v>
      </c>
      <c r="B399" s="40">
        <v>45914</v>
      </c>
      <c r="C399" s="41">
        <v>45923</v>
      </c>
      <c r="D399" s="42">
        <f t="shared" si="48"/>
        <v>9</v>
      </c>
      <c r="E399" s="42" t="str">
        <f>TEXT(Data!B399,"MMM-YYYY")</f>
        <v>Sept-2025</v>
      </c>
      <c r="F399" s="42" t="str">
        <f t="shared" si="44"/>
        <v>Q3-2025</v>
      </c>
      <c r="G399" s="37" t="s">
        <v>16</v>
      </c>
      <c r="H399" s="37" t="s">
        <v>148</v>
      </c>
      <c r="I399" s="37" t="s">
        <v>172</v>
      </c>
      <c r="J399" s="37" t="s">
        <v>39</v>
      </c>
      <c r="K399" s="37" t="s">
        <v>28</v>
      </c>
      <c r="L399" s="37" t="s">
        <v>145</v>
      </c>
      <c r="M399" s="37" t="s">
        <v>22</v>
      </c>
      <c r="N399" s="37" t="s">
        <v>898</v>
      </c>
      <c r="O399" s="42">
        <v>1310.3</v>
      </c>
      <c r="P399" s="43" t="str">
        <f t="shared" si="45"/>
        <v>High</v>
      </c>
      <c r="Q399" s="42">
        <v>2875.8</v>
      </c>
      <c r="R399" s="42">
        <v>8.3000000000000004E-2</v>
      </c>
      <c r="S399" s="42">
        <v>5</v>
      </c>
      <c r="T399" s="42">
        <f t="shared" si="42"/>
        <v>14660.399949999999</v>
      </c>
      <c r="U399" s="37">
        <f t="shared" si="43"/>
        <v>6551.5</v>
      </c>
      <c r="V399" s="42">
        <f t="shared" si="46"/>
        <v>8108.8999499999991</v>
      </c>
      <c r="W399" s="44">
        <f t="shared" si="47"/>
        <v>0.55311587525959682</v>
      </c>
    </row>
    <row r="400" spans="1:23" x14ac:dyDescent="0.3">
      <c r="A400" s="45" t="s">
        <v>899</v>
      </c>
      <c r="B400" s="46">
        <v>45541</v>
      </c>
      <c r="C400" s="47">
        <v>45569</v>
      </c>
      <c r="D400" s="48">
        <f t="shared" si="48"/>
        <v>28</v>
      </c>
      <c r="E400" s="48" t="str">
        <f>TEXT(Data!B400,"MMM-YYYY")</f>
        <v>Sept-2024</v>
      </c>
      <c r="F400" s="48" t="str">
        <f t="shared" si="44"/>
        <v>Q3-2024</v>
      </c>
      <c r="G400" s="38" t="s">
        <v>16</v>
      </c>
      <c r="H400" s="38" t="s">
        <v>148</v>
      </c>
      <c r="I400" s="38" t="s">
        <v>258</v>
      </c>
      <c r="J400" s="38" t="s">
        <v>19</v>
      </c>
      <c r="K400" s="38" t="s">
        <v>40</v>
      </c>
      <c r="L400" s="38" t="s">
        <v>145</v>
      </c>
      <c r="M400" s="38" t="s">
        <v>64</v>
      </c>
      <c r="N400" s="38" t="s">
        <v>900</v>
      </c>
      <c r="O400" s="48">
        <v>1174.17</v>
      </c>
      <c r="P400" s="49" t="str">
        <f t="shared" si="45"/>
        <v>High</v>
      </c>
      <c r="Q400" s="48">
        <v>1641.61</v>
      </c>
      <c r="R400" s="48">
        <v>0.122</v>
      </c>
      <c r="S400" s="48">
        <v>9</v>
      </c>
      <c r="T400" s="48">
        <f t="shared" si="42"/>
        <v>18353.975399999999</v>
      </c>
      <c r="U400" s="38">
        <f t="shared" si="43"/>
        <v>10567.53</v>
      </c>
      <c r="V400" s="48">
        <f t="shared" si="46"/>
        <v>7786.4453999999987</v>
      </c>
      <c r="W400" s="50">
        <f t="shared" si="47"/>
        <v>0.42423754147561943</v>
      </c>
    </row>
    <row r="401" spans="1:23" x14ac:dyDescent="0.3">
      <c r="A401" s="39" t="s">
        <v>901</v>
      </c>
      <c r="B401" s="40">
        <v>45759</v>
      </c>
      <c r="C401" s="41">
        <v>45777</v>
      </c>
      <c r="D401" s="42">
        <f t="shared" si="48"/>
        <v>18</v>
      </c>
      <c r="E401" s="42" t="str">
        <f>TEXT(Data!B401,"MMM-YYYY")</f>
        <v>Apr-2025</v>
      </c>
      <c r="F401" s="42" t="str">
        <f t="shared" si="44"/>
        <v>Q2-2025</v>
      </c>
      <c r="G401" s="37" t="s">
        <v>16</v>
      </c>
      <c r="H401" s="37" t="s">
        <v>17</v>
      </c>
      <c r="I401" s="37" t="s">
        <v>18</v>
      </c>
      <c r="J401" s="37" t="s">
        <v>19</v>
      </c>
      <c r="K401" s="37" t="s">
        <v>40</v>
      </c>
      <c r="L401" s="37" t="s">
        <v>84</v>
      </c>
      <c r="M401" s="37" t="s">
        <v>35</v>
      </c>
      <c r="N401" s="37" t="s">
        <v>902</v>
      </c>
      <c r="O401" s="42">
        <v>1119.04</v>
      </c>
      <c r="P401" s="43" t="str">
        <f t="shared" si="45"/>
        <v>High</v>
      </c>
      <c r="Q401" s="42">
        <v>1299.02</v>
      </c>
      <c r="R401" s="42">
        <v>2.5000000000000001E-2</v>
      </c>
      <c r="S401" s="42">
        <v>14</v>
      </c>
      <c r="T401" s="42">
        <f t="shared" si="42"/>
        <v>26377.532999999999</v>
      </c>
      <c r="U401" s="37">
        <f t="shared" si="43"/>
        <v>15666.56</v>
      </c>
      <c r="V401" s="42">
        <f t="shared" si="46"/>
        <v>10710.973</v>
      </c>
      <c r="W401" s="44">
        <f t="shared" si="47"/>
        <v>0.40606424414292269</v>
      </c>
    </row>
    <row r="402" spans="1:23" x14ac:dyDescent="0.3">
      <c r="A402" s="45" t="s">
        <v>903</v>
      </c>
      <c r="B402" s="46">
        <v>45516</v>
      </c>
      <c r="C402" s="47">
        <v>45519</v>
      </c>
      <c r="D402" s="48">
        <f t="shared" si="48"/>
        <v>3</v>
      </c>
      <c r="E402" s="48" t="str">
        <f>TEXT(Data!B402,"MMM-YYYY")</f>
        <v>Aug-2024</v>
      </c>
      <c r="F402" s="48" t="str">
        <f t="shared" si="44"/>
        <v>Q3-2024</v>
      </c>
      <c r="G402" s="38" t="s">
        <v>52</v>
      </c>
      <c r="H402" s="38" t="s">
        <v>122</v>
      </c>
      <c r="I402" s="38" t="s">
        <v>123</v>
      </c>
      <c r="J402" s="38" t="s">
        <v>19</v>
      </c>
      <c r="K402" s="38" t="s">
        <v>40</v>
      </c>
      <c r="L402" s="38" t="s">
        <v>145</v>
      </c>
      <c r="M402" s="38" t="s">
        <v>30</v>
      </c>
      <c r="N402" s="38" t="s">
        <v>904</v>
      </c>
      <c r="O402" s="48">
        <v>850.7</v>
      </c>
      <c r="P402" s="49" t="str">
        <f t="shared" si="45"/>
        <v>High</v>
      </c>
      <c r="Q402" s="48">
        <v>1118.56</v>
      </c>
      <c r="R402" s="48">
        <v>0.18</v>
      </c>
      <c r="S402" s="48">
        <v>19</v>
      </c>
      <c r="T402" s="48">
        <f t="shared" si="42"/>
        <v>24777.808799999999</v>
      </c>
      <c r="U402" s="38">
        <f t="shared" si="43"/>
        <v>16163.300000000001</v>
      </c>
      <c r="V402" s="48">
        <f t="shared" si="46"/>
        <v>8614.5087999999978</v>
      </c>
      <c r="W402" s="50">
        <f t="shared" si="47"/>
        <v>0.34767032345491333</v>
      </c>
    </row>
    <row r="403" spans="1:23" x14ac:dyDescent="0.3">
      <c r="A403" s="39" t="s">
        <v>905</v>
      </c>
      <c r="B403" s="40">
        <v>45601</v>
      </c>
      <c r="C403" s="41">
        <v>45604</v>
      </c>
      <c r="D403" s="42">
        <f t="shared" si="48"/>
        <v>3</v>
      </c>
      <c r="E403" s="42" t="str">
        <f>TEXT(Data!B403,"MMM-YYYY")</f>
        <v>Nov-2024</v>
      </c>
      <c r="F403" s="42" t="str">
        <f t="shared" si="44"/>
        <v>Q4-2024</v>
      </c>
      <c r="G403" s="37" t="s">
        <v>52</v>
      </c>
      <c r="H403" s="37" t="s">
        <v>53</v>
      </c>
      <c r="I403" s="37" t="s">
        <v>54</v>
      </c>
      <c r="J403" s="37" t="s">
        <v>27</v>
      </c>
      <c r="K403" s="37" t="s">
        <v>40</v>
      </c>
      <c r="L403" s="37" t="s">
        <v>68</v>
      </c>
      <c r="M403" s="37" t="s">
        <v>22</v>
      </c>
      <c r="N403" s="37" t="s">
        <v>906</v>
      </c>
      <c r="O403" s="42">
        <v>1020.4</v>
      </c>
      <c r="P403" s="43" t="str">
        <f t="shared" si="45"/>
        <v>High</v>
      </c>
      <c r="Q403" s="42">
        <v>1184.71</v>
      </c>
      <c r="R403" s="42">
        <v>0.106</v>
      </c>
      <c r="S403" s="42">
        <v>16</v>
      </c>
      <c r="T403" s="42">
        <f t="shared" si="42"/>
        <v>5658.8054400000001</v>
      </c>
      <c r="U403" s="37">
        <f t="shared" si="43"/>
        <v>16326.4</v>
      </c>
      <c r="V403" s="42">
        <f t="shared" si="46"/>
        <v>-10667.59456</v>
      </c>
      <c r="W403" s="44">
        <f t="shared" si="47"/>
        <v>-1.8851318839475772</v>
      </c>
    </row>
    <row r="404" spans="1:23" x14ac:dyDescent="0.3">
      <c r="A404" s="45" t="s">
        <v>907</v>
      </c>
      <c r="B404" s="46">
        <v>45497</v>
      </c>
      <c r="C404" s="47">
        <v>45512</v>
      </c>
      <c r="D404" s="48">
        <f t="shared" si="48"/>
        <v>15</v>
      </c>
      <c r="E404" s="48" t="str">
        <f>TEXT(Data!B404,"MMM-YYYY")</f>
        <v>Jul-2024</v>
      </c>
      <c r="F404" s="48" t="str">
        <f t="shared" si="44"/>
        <v>Q3-2024</v>
      </c>
      <c r="G404" s="38" t="s">
        <v>78</v>
      </c>
      <c r="H404" s="38" t="s">
        <v>90</v>
      </c>
      <c r="I404" s="38" t="s">
        <v>91</v>
      </c>
      <c r="J404" s="38" t="s">
        <v>105</v>
      </c>
      <c r="K404" s="38" t="s">
        <v>40</v>
      </c>
      <c r="L404" s="38" t="s">
        <v>92</v>
      </c>
      <c r="M404" s="38" t="s">
        <v>57</v>
      </c>
      <c r="N404" s="38" t="s">
        <v>908</v>
      </c>
      <c r="O404" s="48">
        <v>501.5</v>
      </c>
      <c r="P404" s="49" t="str">
        <f t="shared" si="45"/>
        <v>High</v>
      </c>
      <c r="Q404" s="48">
        <v>1201.47</v>
      </c>
      <c r="R404" s="48">
        <v>0.126</v>
      </c>
      <c r="S404" s="48">
        <v>5</v>
      </c>
      <c r="T404" s="48">
        <f t="shared" si="42"/>
        <v>9079.5053000000007</v>
      </c>
      <c r="U404" s="38">
        <f t="shared" si="43"/>
        <v>2507.5</v>
      </c>
      <c r="V404" s="48">
        <f t="shared" si="46"/>
        <v>6572.0053000000007</v>
      </c>
      <c r="W404" s="50">
        <f t="shared" si="47"/>
        <v>0.72382856585809807</v>
      </c>
    </row>
    <row r="405" spans="1:23" x14ac:dyDescent="0.3">
      <c r="A405" s="39" t="s">
        <v>909</v>
      </c>
      <c r="B405" s="40">
        <v>45677</v>
      </c>
      <c r="C405" s="41">
        <v>45691</v>
      </c>
      <c r="D405" s="42">
        <f t="shared" si="48"/>
        <v>14</v>
      </c>
      <c r="E405" s="42" t="str">
        <f>TEXT(Data!B405,"MMM-YYYY")</f>
        <v>Jan-2025</v>
      </c>
      <c r="F405" s="42" t="str">
        <f t="shared" si="44"/>
        <v>Q1-2025</v>
      </c>
      <c r="G405" s="37" t="s">
        <v>52</v>
      </c>
      <c r="H405" s="37" t="s">
        <v>73</v>
      </c>
      <c r="I405" s="37" t="s">
        <v>87</v>
      </c>
      <c r="J405" s="37" t="s">
        <v>105</v>
      </c>
      <c r="K405" s="37" t="s">
        <v>40</v>
      </c>
      <c r="L405" s="37" t="s">
        <v>84</v>
      </c>
      <c r="M405" s="37" t="s">
        <v>22</v>
      </c>
      <c r="N405" s="37" t="s">
        <v>910</v>
      </c>
      <c r="O405" s="42">
        <v>974.11</v>
      </c>
      <c r="P405" s="43" t="str">
        <f t="shared" si="45"/>
        <v>High</v>
      </c>
      <c r="Q405" s="42">
        <v>880.99</v>
      </c>
      <c r="R405" s="42">
        <v>0.111</v>
      </c>
      <c r="S405" s="42">
        <v>10</v>
      </c>
      <c r="T405" s="42">
        <f t="shared" si="42"/>
        <v>11831.2565</v>
      </c>
      <c r="U405" s="37">
        <f t="shared" si="43"/>
        <v>9741.1</v>
      </c>
      <c r="V405" s="42">
        <f t="shared" si="46"/>
        <v>2090.1564999999991</v>
      </c>
      <c r="W405" s="44">
        <f t="shared" si="47"/>
        <v>0.17666394942920891</v>
      </c>
    </row>
    <row r="406" spans="1:23" x14ac:dyDescent="0.3">
      <c r="A406" s="45" t="s">
        <v>911</v>
      </c>
      <c r="B406" s="46">
        <v>44991</v>
      </c>
      <c r="C406" s="47">
        <v>45020</v>
      </c>
      <c r="D406" s="48">
        <f t="shared" si="48"/>
        <v>29</v>
      </c>
      <c r="E406" s="48" t="str">
        <f>TEXT(Data!B406,"MMM-YYYY")</f>
        <v>Mar-2023</v>
      </c>
      <c r="F406" s="48" t="str">
        <f t="shared" si="44"/>
        <v>Q1-2023</v>
      </c>
      <c r="G406" s="38" t="s">
        <v>45</v>
      </c>
      <c r="H406" s="38" t="s">
        <v>116</v>
      </c>
      <c r="I406" s="38" t="s">
        <v>338</v>
      </c>
      <c r="J406" s="38" t="s">
        <v>62</v>
      </c>
      <c r="K406" s="38" t="s">
        <v>98</v>
      </c>
      <c r="L406" s="38" t="s">
        <v>21</v>
      </c>
      <c r="M406" s="38" t="s">
        <v>64</v>
      </c>
      <c r="N406" s="38" t="s">
        <v>912</v>
      </c>
      <c r="O406" s="48">
        <v>1126.29</v>
      </c>
      <c r="P406" s="49" t="str">
        <f t="shared" si="45"/>
        <v>High</v>
      </c>
      <c r="Q406" s="48">
        <v>2050.87</v>
      </c>
      <c r="R406" s="48">
        <v>6.4000000000000001E-2</v>
      </c>
      <c r="S406" s="48">
        <v>7</v>
      </c>
      <c r="T406" s="48">
        <f t="shared" si="42"/>
        <v>18113.986799999999</v>
      </c>
      <c r="U406" s="38">
        <f t="shared" si="43"/>
        <v>7884.03</v>
      </c>
      <c r="V406" s="48">
        <f t="shared" si="46"/>
        <v>10229.9568</v>
      </c>
      <c r="W406" s="50">
        <f t="shared" si="47"/>
        <v>0.56475456855251771</v>
      </c>
    </row>
    <row r="407" spans="1:23" x14ac:dyDescent="0.3">
      <c r="A407" s="39" t="s">
        <v>913</v>
      </c>
      <c r="B407" s="40">
        <v>45646</v>
      </c>
      <c r="C407" s="41">
        <v>45671</v>
      </c>
      <c r="D407" s="42">
        <f t="shared" si="48"/>
        <v>25</v>
      </c>
      <c r="E407" s="42" t="str">
        <f>TEXT(Data!B407,"MMM-YYYY")</f>
        <v>Dec-2024</v>
      </c>
      <c r="F407" s="42" t="str">
        <f t="shared" si="44"/>
        <v>Q4-2024</v>
      </c>
      <c r="G407" s="37" t="s">
        <v>45</v>
      </c>
      <c r="H407" s="37" t="s">
        <v>60</v>
      </c>
      <c r="I407" s="37" t="s">
        <v>141</v>
      </c>
      <c r="J407" s="37" t="s">
        <v>62</v>
      </c>
      <c r="K407" s="37" t="s">
        <v>20</v>
      </c>
      <c r="L407" s="37" t="s">
        <v>110</v>
      </c>
      <c r="M407" s="37" t="s">
        <v>30</v>
      </c>
      <c r="N407" s="37" t="s">
        <v>914</v>
      </c>
      <c r="O407" s="42">
        <v>1361.34</v>
      </c>
      <c r="P407" s="43" t="str">
        <f t="shared" si="45"/>
        <v>High</v>
      </c>
      <c r="Q407" s="42">
        <v>1737.9</v>
      </c>
      <c r="R407" s="42">
        <v>7.6999999999999999E-2</v>
      </c>
      <c r="S407" s="42">
        <v>14</v>
      </c>
      <c r="T407" s="42">
        <f t="shared" si="42"/>
        <v>3596.8387000000007</v>
      </c>
      <c r="U407" s="37">
        <f t="shared" si="43"/>
        <v>19058.759999999998</v>
      </c>
      <c r="V407" s="42">
        <f t="shared" si="46"/>
        <v>-15461.921299999998</v>
      </c>
      <c r="W407" s="44">
        <f t="shared" si="47"/>
        <v>-4.2987530411080135</v>
      </c>
    </row>
    <row r="408" spans="1:23" x14ac:dyDescent="0.3">
      <c r="A408" s="45" t="s">
        <v>915</v>
      </c>
      <c r="B408" s="46">
        <v>45709</v>
      </c>
      <c r="C408" s="47">
        <v>45737</v>
      </c>
      <c r="D408" s="48">
        <f t="shared" si="48"/>
        <v>0</v>
      </c>
      <c r="E408" s="48" t="str">
        <f>TEXT(Data!B408,"MMM-YYYY")</f>
        <v>Feb-2025</v>
      </c>
      <c r="F408" s="48" t="str">
        <f t="shared" si="44"/>
        <v>Q1-2025</v>
      </c>
      <c r="G408" s="38" t="s">
        <v>16</v>
      </c>
      <c r="H408" s="38" t="s">
        <v>25</v>
      </c>
      <c r="I408" s="38" t="s">
        <v>67</v>
      </c>
      <c r="J408" s="38" t="s">
        <v>105</v>
      </c>
      <c r="K408" s="38" t="s">
        <v>40</v>
      </c>
      <c r="L408" s="38" t="s">
        <v>34</v>
      </c>
      <c r="M408" s="38" t="s">
        <v>42</v>
      </c>
      <c r="N408" s="38" t="s">
        <v>916</v>
      </c>
      <c r="O408" s="48">
        <v>1437.39</v>
      </c>
      <c r="P408" s="49" t="str">
        <f t="shared" si="45"/>
        <v>High</v>
      </c>
      <c r="Q408" s="48">
        <v>1388.31</v>
      </c>
      <c r="R408" s="48">
        <v>0.13800000000000001</v>
      </c>
      <c r="S408" s="48">
        <v>18</v>
      </c>
      <c r="T408" s="48">
        <f t="shared" si="42"/>
        <v>15273.329759999999</v>
      </c>
      <c r="U408" s="38">
        <f t="shared" si="43"/>
        <v>25873.02</v>
      </c>
      <c r="V408" s="48">
        <f t="shared" si="46"/>
        <v>-10599.690240000002</v>
      </c>
      <c r="W408" s="50">
        <f t="shared" si="47"/>
        <v>-0.69399995983587026</v>
      </c>
    </row>
    <row r="409" spans="1:23" x14ac:dyDescent="0.3">
      <c r="A409" s="39" t="s">
        <v>917</v>
      </c>
      <c r="B409" s="40">
        <v>45724</v>
      </c>
      <c r="C409" s="41">
        <v>45731</v>
      </c>
      <c r="D409" s="42">
        <f t="shared" si="48"/>
        <v>7</v>
      </c>
      <c r="E409" s="42" t="str">
        <f>TEXT(Data!B409,"MMM-YYYY")</f>
        <v>Mar-2025</v>
      </c>
      <c r="F409" s="42" t="str">
        <f t="shared" si="44"/>
        <v>Q1-2025</v>
      </c>
      <c r="G409" s="37" t="s">
        <v>45</v>
      </c>
      <c r="H409" s="37" t="s">
        <v>60</v>
      </c>
      <c r="I409" s="37" t="s">
        <v>61</v>
      </c>
      <c r="J409" s="37" t="s">
        <v>19</v>
      </c>
      <c r="K409" s="37" t="s">
        <v>55</v>
      </c>
      <c r="L409" s="37" t="s">
        <v>95</v>
      </c>
      <c r="M409" s="37" t="s">
        <v>57</v>
      </c>
      <c r="N409" s="37" t="s">
        <v>918</v>
      </c>
      <c r="O409" s="42">
        <v>475.66</v>
      </c>
      <c r="P409" s="43" t="str">
        <f t="shared" si="45"/>
        <v>High</v>
      </c>
      <c r="Q409" s="42">
        <v>529.14</v>
      </c>
      <c r="R409" s="42">
        <v>0.19600000000000001</v>
      </c>
      <c r="S409" s="42">
        <v>11</v>
      </c>
      <c r="T409" s="42">
        <f t="shared" si="42"/>
        <v>1687.7889600000003</v>
      </c>
      <c r="U409" s="37">
        <f t="shared" si="43"/>
        <v>5232.26</v>
      </c>
      <c r="V409" s="42">
        <f t="shared" si="46"/>
        <v>-3544.4710399999999</v>
      </c>
      <c r="W409" s="44">
        <f t="shared" si="47"/>
        <v>-2.1000676767076372</v>
      </c>
    </row>
    <row r="410" spans="1:23" x14ac:dyDescent="0.3">
      <c r="A410" s="45" t="s">
        <v>919</v>
      </c>
      <c r="B410" s="46">
        <v>45276</v>
      </c>
      <c r="C410" s="47">
        <v>45279</v>
      </c>
      <c r="D410" s="48">
        <f t="shared" si="48"/>
        <v>3</v>
      </c>
      <c r="E410" s="48" t="str">
        <f>TEXT(Data!B410,"MMM-YYYY")</f>
        <v>Dec-2023</v>
      </c>
      <c r="F410" s="48" t="str">
        <f t="shared" si="44"/>
        <v>Q4-2023</v>
      </c>
      <c r="G410" s="38" t="s">
        <v>45</v>
      </c>
      <c r="H410" s="38" t="s">
        <v>116</v>
      </c>
      <c r="I410" s="38" t="s">
        <v>338</v>
      </c>
      <c r="J410" s="38" t="s">
        <v>27</v>
      </c>
      <c r="K410" s="38" t="s">
        <v>20</v>
      </c>
      <c r="L410" s="38" t="s">
        <v>75</v>
      </c>
      <c r="M410" s="38" t="s">
        <v>81</v>
      </c>
      <c r="N410" s="38" t="s">
        <v>920</v>
      </c>
      <c r="O410" s="48">
        <v>1415.05</v>
      </c>
      <c r="P410" s="49" t="str">
        <f t="shared" si="45"/>
        <v>High</v>
      </c>
      <c r="Q410" s="48">
        <v>1972.38</v>
      </c>
      <c r="R410" s="48">
        <v>0</v>
      </c>
      <c r="S410" s="48">
        <v>12</v>
      </c>
      <c r="T410" s="48">
        <f t="shared" si="42"/>
        <v>10899.599999999999</v>
      </c>
      <c r="U410" s="38">
        <f t="shared" si="43"/>
        <v>16980.599999999999</v>
      </c>
      <c r="V410" s="48">
        <f t="shared" si="46"/>
        <v>-6081</v>
      </c>
      <c r="W410" s="50">
        <f t="shared" si="47"/>
        <v>-0.5579103820323682</v>
      </c>
    </row>
    <row r="411" spans="1:23" x14ac:dyDescent="0.3">
      <c r="A411" s="39" t="s">
        <v>921</v>
      </c>
      <c r="B411" s="40">
        <v>45534</v>
      </c>
      <c r="C411" s="41">
        <v>45540</v>
      </c>
      <c r="D411" s="42">
        <f t="shared" si="48"/>
        <v>6</v>
      </c>
      <c r="E411" s="42" t="str">
        <f>TEXT(Data!B411,"MMM-YYYY")</f>
        <v>Aug-2024</v>
      </c>
      <c r="F411" s="42" t="str">
        <f t="shared" si="44"/>
        <v>Q3-2024</v>
      </c>
      <c r="G411" s="37" t="s">
        <v>45</v>
      </c>
      <c r="H411" s="37" t="s">
        <v>46</v>
      </c>
      <c r="I411" s="37" t="s">
        <v>231</v>
      </c>
      <c r="J411" s="37" t="s">
        <v>27</v>
      </c>
      <c r="K411" s="37" t="s">
        <v>28</v>
      </c>
      <c r="L411" s="37" t="s">
        <v>126</v>
      </c>
      <c r="M411" s="37" t="s">
        <v>57</v>
      </c>
      <c r="N411" s="37" t="s">
        <v>922</v>
      </c>
      <c r="O411" s="42">
        <v>466.16</v>
      </c>
      <c r="P411" s="43" t="str">
        <f t="shared" si="45"/>
        <v>High</v>
      </c>
      <c r="Q411" s="42">
        <v>876.81</v>
      </c>
      <c r="R411" s="42">
        <v>0.24099999999999999</v>
      </c>
      <c r="S411" s="42">
        <v>8</v>
      </c>
      <c r="T411" s="42">
        <f t="shared" si="42"/>
        <v>1725.8445600000002</v>
      </c>
      <c r="U411" s="37">
        <f t="shared" si="43"/>
        <v>3729.28</v>
      </c>
      <c r="V411" s="42">
        <f t="shared" si="46"/>
        <v>-2003.43544</v>
      </c>
      <c r="W411" s="44">
        <f t="shared" si="47"/>
        <v>-1.1608435002976165</v>
      </c>
    </row>
    <row r="412" spans="1:23" x14ac:dyDescent="0.3">
      <c r="A412" s="45" t="s">
        <v>923</v>
      </c>
      <c r="B412" s="46">
        <v>45430</v>
      </c>
      <c r="C412" s="47">
        <v>45433</v>
      </c>
      <c r="D412" s="48">
        <f t="shared" si="48"/>
        <v>3</v>
      </c>
      <c r="E412" s="48" t="str">
        <f>TEXT(Data!B412,"MMM-YYYY")</f>
        <v>May-2024</v>
      </c>
      <c r="F412" s="48" t="str">
        <f t="shared" si="44"/>
        <v>Q2-2024</v>
      </c>
      <c r="G412" s="38" t="s">
        <v>78</v>
      </c>
      <c r="H412" s="38" t="s">
        <v>90</v>
      </c>
      <c r="I412" s="38" t="s">
        <v>91</v>
      </c>
      <c r="J412" s="38" t="s">
        <v>39</v>
      </c>
      <c r="K412" s="38" t="s">
        <v>40</v>
      </c>
      <c r="L412" s="38" t="s">
        <v>145</v>
      </c>
      <c r="M412" s="38" t="s">
        <v>30</v>
      </c>
      <c r="N412" s="38" t="s">
        <v>924</v>
      </c>
      <c r="O412" s="48">
        <v>663.66</v>
      </c>
      <c r="P412" s="49" t="str">
        <f t="shared" si="45"/>
        <v>High</v>
      </c>
      <c r="Q412" s="48">
        <v>824.26</v>
      </c>
      <c r="R412" s="48">
        <v>0.23899999999999999</v>
      </c>
      <c r="S412" s="48">
        <v>11</v>
      </c>
      <c r="T412" s="48">
        <f t="shared" si="42"/>
        <v>10290.80514</v>
      </c>
      <c r="U412" s="38">
        <f t="shared" si="43"/>
        <v>7300.2599999999993</v>
      </c>
      <c r="V412" s="48">
        <f t="shared" si="46"/>
        <v>2990.5451400000011</v>
      </c>
      <c r="W412" s="50">
        <f t="shared" si="47"/>
        <v>0.29060361160429093</v>
      </c>
    </row>
    <row r="413" spans="1:23" x14ac:dyDescent="0.3">
      <c r="A413" s="39" t="s">
        <v>925</v>
      </c>
      <c r="B413" s="40">
        <v>45002</v>
      </c>
      <c r="C413" s="41">
        <v>45022</v>
      </c>
      <c r="D413" s="42">
        <f t="shared" si="48"/>
        <v>20</v>
      </c>
      <c r="E413" s="42" t="str">
        <f>TEXT(Data!B413,"MMM-YYYY")</f>
        <v>Mar-2023</v>
      </c>
      <c r="F413" s="42" t="str">
        <f t="shared" si="44"/>
        <v>Q1-2023</v>
      </c>
      <c r="G413" s="37" t="s">
        <v>78</v>
      </c>
      <c r="H413" s="37" t="s">
        <v>79</v>
      </c>
      <c r="I413" s="37" t="s">
        <v>159</v>
      </c>
      <c r="J413" s="37" t="s">
        <v>48</v>
      </c>
      <c r="K413" s="37" t="s">
        <v>20</v>
      </c>
      <c r="L413" s="37" t="s">
        <v>68</v>
      </c>
      <c r="M413" s="37" t="s">
        <v>42</v>
      </c>
      <c r="N413" s="37" t="s">
        <v>926</v>
      </c>
      <c r="O413" s="42">
        <v>692.18</v>
      </c>
      <c r="P413" s="43" t="str">
        <f t="shared" si="45"/>
        <v>High</v>
      </c>
      <c r="Q413" s="42">
        <v>1159.3499999999999</v>
      </c>
      <c r="R413" s="42">
        <v>0.112</v>
      </c>
      <c r="S413" s="42">
        <v>2</v>
      </c>
      <c r="T413" s="42">
        <f t="shared" si="42"/>
        <v>2175.1027199999999</v>
      </c>
      <c r="U413" s="37">
        <f t="shared" si="43"/>
        <v>1384.36</v>
      </c>
      <c r="V413" s="42">
        <f t="shared" si="46"/>
        <v>790.74271999999996</v>
      </c>
      <c r="W413" s="44">
        <f t="shared" si="47"/>
        <v>0.36354270202006828</v>
      </c>
    </row>
    <row r="414" spans="1:23" x14ac:dyDescent="0.3">
      <c r="A414" s="45" t="s">
        <v>927</v>
      </c>
      <c r="B414" s="46">
        <v>45163</v>
      </c>
      <c r="C414" s="47">
        <v>45185</v>
      </c>
      <c r="D414" s="48">
        <f t="shared" si="48"/>
        <v>22</v>
      </c>
      <c r="E414" s="48" t="str">
        <f>TEXT(Data!B414,"MMM-YYYY")</f>
        <v>Aug-2023</v>
      </c>
      <c r="F414" s="48" t="str">
        <f t="shared" si="44"/>
        <v>Q3-2023</v>
      </c>
      <c r="G414" s="38" t="s">
        <v>16</v>
      </c>
      <c r="H414" s="38" t="s">
        <v>25</v>
      </c>
      <c r="I414" s="38" t="s">
        <v>67</v>
      </c>
      <c r="J414" s="38" t="s">
        <v>19</v>
      </c>
      <c r="K414" s="38" t="s">
        <v>40</v>
      </c>
      <c r="L414" s="38" t="s">
        <v>49</v>
      </c>
      <c r="M414" s="38" t="s">
        <v>42</v>
      </c>
      <c r="N414" s="38" t="s">
        <v>928</v>
      </c>
      <c r="O414" s="48">
        <v>1196.83</v>
      </c>
      <c r="P414" s="49" t="str">
        <f t="shared" si="45"/>
        <v>High</v>
      </c>
      <c r="Q414" s="48">
        <v>2513.5100000000002</v>
      </c>
      <c r="R414" s="48">
        <v>8.3000000000000004E-2</v>
      </c>
      <c r="S414" s="48">
        <v>7</v>
      </c>
      <c r="T414" s="48">
        <f t="shared" si="42"/>
        <v>3118.7353400000002</v>
      </c>
      <c r="U414" s="38">
        <f t="shared" si="43"/>
        <v>8377.81</v>
      </c>
      <c r="V414" s="48">
        <f t="shared" si="46"/>
        <v>-5259.0746599999993</v>
      </c>
      <c r="W414" s="50">
        <f t="shared" si="47"/>
        <v>-1.6862843706385162</v>
      </c>
    </row>
    <row r="415" spans="1:23" x14ac:dyDescent="0.3">
      <c r="A415" s="39" t="s">
        <v>929</v>
      </c>
      <c r="B415" s="40">
        <v>45449</v>
      </c>
      <c r="C415" s="41">
        <v>45467</v>
      </c>
      <c r="D415" s="42">
        <f t="shared" si="48"/>
        <v>18</v>
      </c>
      <c r="E415" s="42" t="str">
        <f>TEXT(Data!B415,"MMM-YYYY")</f>
        <v>Jun-2024</v>
      </c>
      <c r="F415" s="42" t="str">
        <f t="shared" si="44"/>
        <v>Q2-2024</v>
      </c>
      <c r="G415" s="37" t="s">
        <v>45</v>
      </c>
      <c r="H415" s="37" t="s">
        <v>60</v>
      </c>
      <c r="I415" s="37" t="s">
        <v>61</v>
      </c>
      <c r="J415" s="37" t="s">
        <v>62</v>
      </c>
      <c r="K415" s="37" t="s">
        <v>98</v>
      </c>
      <c r="L415" s="37" t="s">
        <v>92</v>
      </c>
      <c r="M415" s="37" t="s">
        <v>35</v>
      </c>
      <c r="N415" s="37" t="s">
        <v>930</v>
      </c>
      <c r="O415" s="42">
        <v>1253.25</v>
      </c>
      <c r="P415" s="43" t="str">
        <f t="shared" si="45"/>
        <v>High</v>
      </c>
      <c r="Q415" s="42">
        <v>3087.13</v>
      </c>
      <c r="R415" s="42">
        <v>7.1999999999999995E-2</v>
      </c>
      <c r="S415" s="42">
        <v>11</v>
      </c>
      <c r="T415" s="42">
        <f t="shared" si="42"/>
        <v>22569.275520000003</v>
      </c>
      <c r="U415" s="37">
        <f t="shared" si="43"/>
        <v>13785.75</v>
      </c>
      <c r="V415" s="42">
        <f t="shared" si="46"/>
        <v>8783.5255200000029</v>
      </c>
      <c r="W415" s="44">
        <f t="shared" si="47"/>
        <v>0.38918065899884063</v>
      </c>
    </row>
    <row r="416" spans="1:23" x14ac:dyDescent="0.3">
      <c r="A416" s="45" t="s">
        <v>931</v>
      </c>
      <c r="B416" s="46">
        <v>45167</v>
      </c>
      <c r="C416" s="47">
        <v>45182</v>
      </c>
      <c r="D416" s="48">
        <f t="shared" si="48"/>
        <v>15</v>
      </c>
      <c r="E416" s="48" t="str">
        <f>TEXT(Data!B416,"MMM-YYYY")</f>
        <v>Aug-2023</v>
      </c>
      <c r="F416" s="48" t="str">
        <f t="shared" si="44"/>
        <v>Q3-2023</v>
      </c>
      <c r="G416" s="38" t="s">
        <v>52</v>
      </c>
      <c r="H416" s="38" t="s">
        <v>53</v>
      </c>
      <c r="I416" s="38" t="s">
        <v>179</v>
      </c>
      <c r="J416" s="38" t="s">
        <v>62</v>
      </c>
      <c r="K416" s="38" t="s">
        <v>40</v>
      </c>
      <c r="L416" s="38" t="s">
        <v>68</v>
      </c>
      <c r="M416" s="38" t="s">
        <v>30</v>
      </c>
      <c r="N416" s="38" t="s">
        <v>932</v>
      </c>
      <c r="O416" s="48">
        <v>1287.6400000000001</v>
      </c>
      <c r="P416" s="49" t="str">
        <f t="shared" si="45"/>
        <v>High</v>
      </c>
      <c r="Q416" s="48">
        <v>2717.15</v>
      </c>
      <c r="R416" s="48">
        <v>3.2000000000000001E-2</v>
      </c>
      <c r="S416" s="48">
        <v>7</v>
      </c>
      <c r="T416" s="48">
        <f t="shared" si="42"/>
        <v>3875.12664</v>
      </c>
      <c r="U416" s="38">
        <f t="shared" si="43"/>
        <v>9013.4800000000014</v>
      </c>
      <c r="V416" s="48">
        <f t="shared" si="46"/>
        <v>-5138.353360000001</v>
      </c>
      <c r="W416" s="50">
        <f t="shared" si="47"/>
        <v>-1.3259833387019324</v>
      </c>
    </row>
    <row r="417" spans="1:23" x14ac:dyDescent="0.3">
      <c r="A417" s="39" t="s">
        <v>933</v>
      </c>
      <c r="B417" s="40">
        <v>45626</v>
      </c>
      <c r="C417" s="41">
        <v>45636</v>
      </c>
      <c r="D417" s="42">
        <f t="shared" si="48"/>
        <v>10</v>
      </c>
      <c r="E417" s="42" t="str">
        <f>TEXT(Data!B417,"MMM-YYYY")</f>
        <v>Nov-2024</v>
      </c>
      <c r="F417" s="42" t="str">
        <f t="shared" si="44"/>
        <v>Q4-2024</v>
      </c>
      <c r="G417" s="37" t="s">
        <v>45</v>
      </c>
      <c r="H417" s="37" t="s">
        <v>60</v>
      </c>
      <c r="I417" s="37" t="s">
        <v>281</v>
      </c>
      <c r="J417" s="37" t="s">
        <v>62</v>
      </c>
      <c r="K417" s="37" t="s">
        <v>20</v>
      </c>
      <c r="L417" s="37" t="s">
        <v>84</v>
      </c>
      <c r="M417" s="37" t="s">
        <v>81</v>
      </c>
      <c r="N417" s="37" t="s">
        <v>934</v>
      </c>
      <c r="O417" s="42">
        <v>851.49</v>
      </c>
      <c r="P417" s="43" t="str">
        <f t="shared" si="45"/>
        <v>High</v>
      </c>
      <c r="Q417" s="42">
        <v>901.79</v>
      </c>
      <c r="R417" s="42">
        <v>0.245</v>
      </c>
      <c r="S417" s="42">
        <v>16</v>
      </c>
      <c r="T417" s="42">
        <f t="shared" si="42"/>
        <v>41052.309600000001</v>
      </c>
      <c r="U417" s="37">
        <f t="shared" si="43"/>
        <v>13623.84</v>
      </c>
      <c r="V417" s="42">
        <f t="shared" si="46"/>
        <v>27428.4696</v>
      </c>
      <c r="W417" s="44">
        <f t="shared" si="47"/>
        <v>0.66813462792358946</v>
      </c>
    </row>
    <row r="418" spans="1:23" x14ac:dyDescent="0.3">
      <c r="A418" s="45" t="s">
        <v>935</v>
      </c>
      <c r="B418" s="46">
        <v>45813</v>
      </c>
      <c r="C418" s="47">
        <v>45822</v>
      </c>
      <c r="D418" s="48">
        <f t="shared" si="48"/>
        <v>9</v>
      </c>
      <c r="E418" s="48" t="str">
        <f>TEXT(Data!B418,"MMM-YYYY")</f>
        <v>Jun-2025</v>
      </c>
      <c r="F418" s="48" t="str">
        <f t="shared" si="44"/>
        <v>Q2-2025</v>
      </c>
      <c r="G418" s="38" t="s">
        <v>45</v>
      </c>
      <c r="H418" s="38" t="s">
        <v>60</v>
      </c>
      <c r="I418" s="38" t="s">
        <v>141</v>
      </c>
      <c r="J418" s="38" t="s">
        <v>39</v>
      </c>
      <c r="K418" s="38" t="s">
        <v>20</v>
      </c>
      <c r="L418" s="38" t="s">
        <v>75</v>
      </c>
      <c r="M418" s="38" t="s">
        <v>81</v>
      </c>
      <c r="N418" s="38" t="s">
        <v>936</v>
      </c>
      <c r="O418" s="48">
        <v>618.69000000000005</v>
      </c>
      <c r="P418" s="49" t="str">
        <f t="shared" si="45"/>
        <v>High</v>
      </c>
      <c r="Q418" s="48">
        <v>796.15</v>
      </c>
      <c r="R418" s="48">
        <v>0.09</v>
      </c>
      <c r="S418" s="48">
        <v>11</v>
      </c>
      <c r="T418" s="48">
        <f t="shared" si="42"/>
        <v>1948.1462000000001</v>
      </c>
      <c r="U418" s="38">
        <f t="shared" si="43"/>
        <v>6805.59</v>
      </c>
      <c r="V418" s="48">
        <f t="shared" si="46"/>
        <v>-4857.4438</v>
      </c>
      <c r="W418" s="50">
        <f t="shared" si="47"/>
        <v>-2.4933671815801093</v>
      </c>
    </row>
    <row r="419" spans="1:23" x14ac:dyDescent="0.3">
      <c r="A419" s="39" t="s">
        <v>937</v>
      </c>
      <c r="B419" s="40">
        <v>45730</v>
      </c>
      <c r="C419" s="41">
        <v>45755</v>
      </c>
      <c r="D419" s="42">
        <f t="shared" si="48"/>
        <v>25</v>
      </c>
      <c r="E419" s="42" t="str">
        <f>TEXT(Data!B419,"MMM-YYYY")</f>
        <v>Mar-2025</v>
      </c>
      <c r="F419" s="42" t="str">
        <f t="shared" si="44"/>
        <v>Q1-2025</v>
      </c>
      <c r="G419" s="37" t="s">
        <v>45</v>
      </c>
      <c r="H419" s="37" t="s">
        <v>116</v>
      </c>
      <c r="I419" s="37" t="s">
        <v>1364</v>
      </c>
      <c r="J419" s="37" t="s">
        <v>19</v>
      </c>
      <c r="K419" s="37" t="s">
        <v>55</v>
      </c>
      <c r="L419" s="37" t="s">
        <v>145</v>
      </c>
      <c r="M419" s="37" t="s">
        <v>30</v>
      </c>
      <c r="N419" s="37" t="s">
        <v>938</v>
      </c>
      <c r="O419" s="42">
        <v>80.59</v>
      </c>
      <c r="P419" s="43" t="str">
        <f t="shared" si="45"/>
        <v>Medium</v>
      </c>
      <c r="Q419" s="42">
        <v>157.82</v>
      </c>
      <c r="R419" s="42">
        <v>0.217</v>
      </c>
      <c r="S419" s="42">
        <v>6</v>
      </c>
      <c r="T419" s="42">
        <f t="shared" si="42"/>
        <v>4846.6447200000002</v>
      </c>
      <c r="U419" s="37">
        <f t="shared" si="43"/>
        <v>483.54</v>
      </c>
      <c r="V419" s="42">
        <f t="shared" si="46"/>
        <v>4363.1047200000003</v>
      </c>
      <c r="W419" s="44">
        <f t="shared" si="47"/>
        <v>0.90023201040409662</v>
      </c>
    </row>
    <row r="420" spans="1:23" x14ac:dyDescent="0.3">
      <c r="A420" s="45" t="s">
        <v>939</v>
      </c>
      <c r="B420" s="46">
        <v>45307</v>
      </c>
      <c r="C420" s="47">
        <v>45333</v>
      </c>
      <c r="D420" s="48">
        <f t="shared" si="48"/>
        <v>26</v>
      </c>
      <c r="E420" s="48" t="str">
        <f>TEXT(Data!B420,"MMM-YYYY")</f>
        <v>Jan-2024</v>
      </c>
      <c r="F420" s="48" t="str">
        <f t="shared" si="44"/>
        <v>Q1-2024</v>
      </c>
      <c r="G420" s="38" t="s">
        <v>78</v>
      </c>
      <c r="H420" s="38" t="s">
        <v>79</v>
      </c>
      <c r="I420" s="38" t="s">
        <v>335</v>
      </c>
      <c r="J420" s="38" t="s">
        <v>39</v>
      </c>
      <c r="K420" s="38" t="s">
        <v>55</v>
      </c>
      <c r="L420" s="38" t="s">
        <v>63</v>
      </c>
      <c r="M420" s="38" t="s">
        <v>64</v>
      </c>
      <c r="N420" s="38" t="s">
        <v>940</v>
      </c>
      <c r="O420" s="48">
        <v>504.93</v>
      </c>
      <c r="P420" s="49" t="str">
        <f t="shared" si="45"/>
        <v>High</v>
      </c>
      <c r="Q420" s="48">
        <v>819.06</v>
      </c>
      <c r="R420" s="48">
        <v>0.22600000000000001</v>
      </c>
      <c r="S420" s="48">
        <v>15</v>
      </c>
      <c r="T420" s="48">
        <f t="shared" si="42"/>
        <v>5749.1559000000007</v>
      </c>
      <c r="U420" s="38">
        <f t="shared" si="43"/>
        <v>7573.95</v>
      </c>
      <c r="V420" s="48">
        <f t="shared" si="46"/>
        <v>-1824.7940999999992</v>
      </c>
      <c r="W420" s="50">
        <f t="shared" si="47"/>
        <v>-0.31740209027902672</v>
      </c>
    </row>
    <row r="421" spans="1:23" x14ac:dyDescent="0.3">
      <c r="A421" s="39" t="s">
        <v>941</v>
      </c>
      <c r="B421" s="40">
        <v>45211</v>
      </c>
      <c r="C421" s="41">
        <v>45228</v>
      </c>
      <c r="D421" s="42">
        <f t="shared" si="48"/>
        <v>17</v>
      </c>
      <c r="E421" s="42" t="str">
        <f>TEXT(Data!B421,"MMM-YYYY")</f>
        <v>Oct-2023</v>
      </c>
      <c r="F421" s="42" t="str">
        <f t="shared" si="44"/>
        <v>Q4-2023</v>
      </c>
      <c r="G421" s="37" t="s">
        <v>45</v>
      </c>
      <c r="H421" s="37" t="s">
        <v>46</v>
      </c>
      <c r="I421" s="37" t="s">
        <v>231</v>
      </c>
      <c r="J421" s="37" t="s">
        <v>39</v>
      </c>
      <c r="K421" s="37" t="s">
        <v>98</v>
      </c>
      <c r="L421" s="37" t="s">
        <v>92</v>
      </c>
      <c r="M421" s="37" t="s">
        <v>42</v>
      </c>
      <c r="N421" s="37" t="s">
        <v>942</v>
      </c>
      <c r="O421" s="42">
        <v>1102.19</v>
      </c>
      <c r="P421" s="43" t="str">
        <f t="shared" si="45"/>
        <v>High</v>
      </c>
      <c r="Q421" s="42">
        <v>1711.16</v>
      </c>
      <c r="R421" s="42">
        <v>0.151</v>
      </c>
      <c r="S421" s="42">
        <v>10</v>
      </c>
      <c r="T421" s="42">
        <f t="shared" si="42"/>
        <v>11198.649599999999</v>
      </c>
      <c r="U421" s="37">
        <f t="shared" si="43"/>
        <v>11021.900000000001</v>
      </c>
      <c r="V421" s="42">
        <f t="shared" si="46"/>
        <v>176.74959999999737</v>
      </c>
      <c r="W421" s="44">
        <f t="shared" si="47"/>
        <v>1.5783117278711657E-2</v>
      </c>
    </row>
    <row r="422" spans="1:23" x14ac:dyDescent="0.3">
      <c r="A422" s="45" t="s">
        <v>943</v>
      </c>
      <c r="B422" s="46">
        <v>45713</v>
      </c>
      <c r="C422" s="47">
        <v>45733</v>
      </c>
      <c r="D422" s="48">
        <f t="shared" si="48"/>
        <v>20</v>
      </c>
      <c r="E422" s="48" t="str">
        <f>TEXT(Data!B422,"MMM-YYYY")</f>
        <v>Feb-2025</v>
      </c>
      <c r="F422" s="48" t="str">
        <f t="shared" si="44"/>
        <v>Q1-2025</v>
      </c>
      <c r="G422" s="38" t="s">
        <v>52</v>
      </c>
      <c r="H422" s="38" t="s">
        <v>122</v>
      </c>
      <c r="I422" s="38" t="s">
        <v>167</v>
      </c>
      <c r="J422" s="38" t="s">
        <v>39</v>
      </c>
      <c r="K422" s="38" t="s">
        <v>40</v>
      </c>
      <c r="L422" s="38" t="s">
        <v>92</v>
      </c>
      <c r="M422" s="38" t="s">
        <v>42</v>
      </c>
      <c r="N422" s="38" t="s">
        <v>944</v>
      </c>
      <c r="O422" s="48">
        <v>1205.26</v>
      </c>
      <c r="P422" s="49" t="str">
        <f t="shared" si="45"/>
        <v>High</v>
      </c>
      <c r="Q422" s="48">
        <v>1696.35</v>
      </c>
      <c r="R422" s="48">
        <v>1.9E-2</v>
      </c>
      <c r="S422" s="48">
        <v>6</v>
      </c>
      <c r="T422" s="48">
        <f t="shared" si="42"/>
        <v>1853.32482</v>
      </c>
      <c r="U422" s="38">
        <f t="shared" si="43"/>
        <v>7231.5599999999995</v>
      </c>
      <c r="V422" s="48">
        <f t="shared" si="46"/>
        <v>-5378.2351799999997</v>
      </c>
      <c r="W422" s="50">
        <f t="shared" si="47"/>
        <v>-2.9019387869634206</v>
      </c>
    </row>
    <row r="423" spans="1:23" x14ac:dyDescent="0.3">
      <c r="A423" s="39" t="s">
        <v>945</v>
      </c>
      <c r="B423" s="40">
        <v>45841</v>
      </c>
      <c r="C423" s="41">
        <v>45844</v>
      </c>
      <c r="D423" s="42">
        <f t="shared" si="48"/>
        <v>3</v>
      </c>
      <c r="E423" s="42" t="str">
        <f>TEXT(Data!B423,"MMM-YYYY")</f>
        <v>Jul-2025</v>
      </c>
      <c r="F423" s="42" t="str">
        <f t="shared" si="44"/>
        <v>Q3-2025</v>
      </c>
      <c r="G423" s="37" t="s">
        <v>16</v>
      </c>
      <c r="H423" s="37" t="s">
        <v>25</v>
      </c>
      <c r="I423" s="37" t="s">
        <v>38</v>
      </c>
      <c r="J423" s="37" t="s">
        <v>48</v>
      </c>
      <c r="K423" s="37" t="s">
        <v>28</v>
      </c>
      <c r="L423" s="37" t="s">
        <v>1364</v>
      </c>
      <c r="M423" s="37" t="s">
        <v>57</v>
      </c>
      <c r="N423" s="37" t="s">
        <v>946</v>
      </c>
      <c r="O423" s="42">
        <v>1313.3</v>
      </c>
      <c r="P423" s="43" t="str">
        <f t="shared" si="45"/>
        <v>High</v>
      </c>
      <c r="Q423" s="42">
        <v>2884.34</v>
      </c>
      <c r="R423" s="42">
        <v>0.157</v>
      </c>
      <c r="S423" s="42">
        <v>42</v>
      </c>
      <c r="T423" s="42">
        <f t="shared" si="42"/>
        <v>78253.279020000002</v>
      </c>
      <c r="U423" s="37">
        <f t="shared" si="43"/>
        <v>55158.6</v>
      </c>
      <c r="V423" s="42">
        <f t="shared" si="46"/>
        <v>23094.679020000003</v>
      </c>
      <c r="W423" s="44">
        <f t="shared" si="47"/>
        <v>0.29512730085211453</v>
      </c>
    </row>
    <row r="424" spans="1:23" x14ac:dyDescent="0.3">
      <c r="A424" s="45" t="s">
        <v>947</v>
      </c>
      <c r="B424" s="46">
        <v>45915</v>
      </c>
      <c r="C424" s="47">
        <v>45925</v>
      </c>
      <c r="D424" s="48">
        <f t="shared" si="48"/>
        <v>10</v>
      </c>
      <c r="E424" s="48" t="str">
        <f>TEXT(Data!B424,"MMM-YYYY")</f>
        <v>Sept-2025</v>
      </c>
      <c r="F424" s="48" t="str">
        <f t="shared" si="44"/>
        <v>Q3-2025</v>
      </c>
      <c r="G424" s="38" t="s">
        <v>45</v>
      </c>
      <c r="H424" s="38" t="s">
        <v>60</v>
      </c>
      <c r="I424" s="38" t="s">
        <v>141</v>
      </c>
      <c r="J424" s="38" t="s">
        <v>48</v>
      </c>
      <c r="K424" s="38" t="s">
        <v>20</v>
      </c>
      <c r="L424" s="38" t="s">
        <v>75</v>
      </c>
      <c r="M424" s="38" t="s">
        <v>42</v>
      </c>
      <c r="N424" s="38" t="s">
        <v>948</v>
      </c>
      <c r="O424" s="48">
        <v>1488.91</v>
      </c>
      <c r="P424" s="49" t="str">
        <f t="shared" si="45"/>
        <v>High</v>
      </c>
      <c r="Q424" s="48">
        <v>1483.74</v>
      </c>
      <c r="R424" s="48">
        <v>0.16800000000000001</v>
      </c>
      <c r="S424" s="48">
        <v>24</v>
      </c>
      <c r="T424" s="48">
        <f t="shared" si="42"/>
        <v>20866.559999999998</v>
      </c>
      <c r="U424" s="38">
        <f t="shared" si="43"/>
        <v>35733.840000000004</v>
      </c>
      <c r="V424" s="48">
        <f t="shared" si="46"/>
        <v>-14867.280000000006</v>
      </c>
      <c r="W424" s="50">
        <f t="shared" si="47"/>
        <v>-0.71249309900625724</v>
      </c>
    </row>
    <row r="425" spans="1:23" x14ac:dyDescent="0.3">
      <c r="A425" s="39" t="s">
        <v>949</v>
      </c>
      <c r="B425" s="40">
        <v>45341</v>
      </c>
      <c r="C425" s="41">
        <v>45357</v>
      </c>
      <c r="D425" s="42">
        <f t="shared" si="48"/>
        <v>16</v>
      </c>
      <c r="E425" s="42" t="str">
        <f>TEXT(Data!B425,"MMM-YYYY")</f>
        <v>Feb-2024</v>
      </c>
      <c r="F425" s="42" t="str">
        <f t="shared" si="44"/>
        <v>Q1-2024</v>
      </c>
      <c r="G425" s="37" t="s">
        <v>45</v>
      </c>
      <c r="H425" s="37" t="s">
        <v>116</v>
      </c>
      <c r="I425" s="37" t="s">
        <v>338</v>
      </c>
      <c r="J425" s="37" t="s">
        <v>27</v>
      </c>
      <c r="K425" s="37" t="s">
        <v>40</v>
      </c>
      <c r="L425" s="37" t="s">
        <v>68</v>
      </c>
      <c r="M425" s="37" t="s">
        <v>30</v>
      </c>
      <c r="N425" s="37" t="s">
        <v>950</v>
      </c>
      <c r="O425" s="42">
        <v>1477.84</v>
      </c>
      <c r="P425" s="43" t="str">
        <f t="shared" si="45"/>
        <v>High</v>
      </c>
      <c r="Q425" s="42">
        <v>3197.47</v>
      </c>
      <c r="R425" s="42">
        <v>0.24299999999999999</v>
      </c>
      <c r="S425" s="42">
        <v>24</v>
      </c>
      <c r="T425" s="42">
        <f t="shared" si="42"/>
        <v>38737.627919999999</v>
      </c>
      <c r="U425" s="37">
        <f t="shared" si="43"/>
        <v>35468.159999999996</v>
      </c>
      <c r="V425" s="42">
        <f t="shared" si="46"/>
        <v>3269.4679200000028</v>
      </c>
      <c r="W425" s="44">
        <f t="shared" si="47"/>
        <v>8.4400312965781696E-2</v>
      </c>
    </row>
    <row r="426" spans="1:23" x14ac:dyDescent="0.3">
      <c r="A426" s="45" t="s">
        <v>951</v>
      </c>
      <c r="B426" s="46">
        <v>45349</v>
      </c>
      <c r="C426" s="47">
        <v>45377</v>
      </c>
      <c r="D426" s="48">
        <f t="shared" si="48"/>
        <v>28</v>
      </c>
      <c r="E426" s="48" t="str">
        <f>TEXT(Data!B426,"MMM-YYYY")</f>
        <v>Feb-2024</v>
      </c>
      <c r="F426" s="48" t="str">
        <f t="shared" si="44"/>
        <v>Q1-2024</v>
      </c>
      <c r="G426" s="38" t="s">
        <v>45</v>
      </c>
      <c r="H426" s="38" t="s">
        <v>60</v>
      </c>
      <c r="I426" s="38" t="s">
        <v>220</v>
      </c>
      <c r="J426" s="38" t="s">
        <v>27</v>
      </c>
      <c r="K426" s="38" t="s">
        <v>40</v>
      </c>
      <c r="L426" s="38" t="s">
        <v>41</v>
      </c>
      <c r="M426" s="38" t="s">
        <v>57</v>
      </c>
      <c r="N426" s="38" t="s">
        <v>952</v>
      </c>
      <c r="O426" s="48">
        <v>1035.19</v>
      </c>
      <c r="P426" s="49" t="str">
        <f t="shared" si="45"/>
        <v>High</v>
      </c>
      <c r="Q426" s="48">
        <v>2322.6999999999998</v>
      </c>
      <c r="R426" s="48">
        <v>0.17299999999999999</v>
      </c>
      <c r="S426" s="48">
        <v>8</v>
      </c>
      <c r="T426" s="48">
        <f t="shared" si="42"/>
        <v>13903.854800000001</v>
      </c>
      <c r="U426" s="38">
        <f t="shared" si="43"/>
        <v>8281.52</v>
      </c>
      <c r="V426" s="48">
        <f t="shared" si="46"/>
        <v>5622.3348000000005</v>
      </c>
      <c r="W426" s="50">
        <f t="shared" si="47"/>
        <v>0.40437237592555986</v>
      </c>
    </row>
    <row r="427" spans="1:23" x14ac:dyDescent="0.3">
      <c r="A427" s="39" t="s">
        <v>953</v>
      </c>
      <c r="B427" s="40">
        <v>45897</v>
      </c>
      <c r="C427" s="41">
        <v>45905</v>
      </c>
      <c r="D427" s="42">
        <f t="shared" si="48"/>
        <v>8</v>
      </c>
      <c r="E427" s="42" t="str">
        <f>TEXT(Data!B427,"MMM-YYYY")</f>
        <v>Aug-2025</v>
      </c>
      <c r="F427" s="42" t="str">
        <f t="shared" si="44"/>
        <v>Q3-2025</v>
      </c>
      <c r="G427" s="37" t="s">
        <v>16</v>
      </c>
      <c r="H427" s="37" t="s">
        <v>25</v>
      </c>
      <c r="I427" s="37" t="s">
        <v>26</v>
      </c>
      <c r="J427" s="37" t="s">
        <v>62</v>
      </c>
      <c r="K427" s="37" t="s">
        <v>40</v>
      </c>
      <c r="L427" s="37" t="s">
        <v>63</v>
      </c>
      <c r="M427" s="37" t="s">
        <v>57</v>
      </c>
      <c r="N427" s="37" t="s">
        <v>954</v>
      </c>
      <c r="O427" s="42">
        <v>1271.0999999999999</v>
      </c>
      <c r="P427" s="43" t="str">
        <f t="shared" si="45"/>
        <v>High</v>
      </c>
      <c r="Q427" s="42">
        <v>1932.42</v>
      </c>
      <c r="R427" s="42">
        <v>0.25</v>
      </c>
      <c r="S427" s="42">
        <v>21</v>
      </c>
      <c r="T427" s="42">
        <f t="shared" si="42"/>
        <v>33475.68</v>
      </c>
      <c r="U427" s="37">
        <f t="shared" si="43"/>
        <v>26693.1</v>
      </c>
      <c r="V427" s="42">
        <f t="shared" si="46"/>
        <v>6782.5800000000017</v>
      </c>
      <c r="W427" s="44">
        <f t="shared" si="47"/>
        <v>0.20261216501053905</v>
      </c>
    </row>
    <row r="428" spans="1:23" x14ac:dyDescent="0.3">
      <c r="A428" s="45" t="s">
        <v>955</v>
      </c>
      <c r="B428" s="46">
        <v>45522</v>
      </c>
      <c r="C428" s="47">
        <v>45547</v>
      </c>
      <c r="D428" s="48">
        <f t="shared" si="48"/>
        <v>25</v>
      </c>
      <c r="E428" s="48" t="str">
        <f>TEXT(Data!B428,"MMM-YYYY")</f>
        <v>Aug-2024</v>
      </c>
      <c r="F428" s="48" t="str">
        <f t="shared" si="44"/>
        <v>Q3-2024</v>
      </c>
      <c r="G428" s="38" t="s">
        <v>45</v>
      </c>
      <c r="H428" s="38" t="s">
        <v>60</v>
      </c>
      <c r="I428" s="38" t="s">
        <v>220</v>
      </c>
      <c r="J428" s="38" t="s">
        <v>48</v>
      </c>
      <c r="K428" s="38" t="s">
        <v>40</v>
      </c>
      <c r="L428" s="38" t="s">
        <v>21</v>
      </c>
      <c r="M428" s="38" t="s">
        <v>42</v>
      </c>
      <c r="N428" s="38" t="s">
        <v>956</v>
      </c>
      <c r="O428" s="48">
        <v>1154.03</v>
      </c>
      <c r="P428" s="49" t="str">
        <f t="shared" si="45"/>
        <v>High</v>
      </c>
      <c r="Q428" s="48">
        <v>1590.36</v>
      </c>
      <c r="R428" s="48">
        <v>0.314</v>
      </c>
      <c r="S428" s="48">
        <v>18</v>
      </c>
      <c r="T428" s="48">
        <f t="shared" si="42"/>
        <v>8801.0369999999984</v>
      </c>
      <c r="U428" s="38">
        <f t="shared" si="43"/>
        <v>20772.54</v>
      </c>
      <c r="V428" s="48">
        <f t="shared" si="46"/>
        <v>-11971.503000000002</v>
      </c>
      <c r="W428" s="50">
        <f t="shared" si="47"/>
        <v>-1.360237776525653</v>
      </c>
    </row>
    <row r="429" spans="1:23" x14ac:dyDescent="0.3">
      <c r="A429" s="39" t="s">
        <v>957</v>
      </c>
      <c r="B429" s="40">
        <v>45347</v>
      </c>
      <c r="C429" s="41">
        <v>45360</v>
      </c>
      <c r="D429" s="42">
        <f t="shared" si="48"/>
        <v>13</v>
      </c>
      <c r="E429" s="42" t="str">
        <f>TEXT(Data!B429,"MMM-YYYY")</f>
        <v>Feb-2024</v>
      </c>
      <c r="F429" s="42" t="str">
        <f t="shared" si="44"/>
        <v>Q1-2024</v>
      </c>
      <c r="G429" s="37" t="s">
        <v>78</v>
      </c>
      <c r="H429" s="37" t="s">
        <v>90</v>
      </c>
      <c r="I429" s="37" t="s">
        <v>91</v>
      </c>
      <c r="J429" s="37" t="s">
        <v>62</v>
      </c>
      <c r="K429" s="37" t="s">
        <v>55</v>
      </c>
      <c r="L429" s="37" t="s">
        <v>63</v>
      </c>
      <c r="M429" s="37" t="s">
        <v>64</v>
      </c>
      <c r="N429" s="37" t="s">
        <v>958</v>
      </c>
      <c r="O429" s="42">
        <v>322.44</v>
      </c>
      <c r="P429" s="43" t="str">
        <f t="shared" si="45"/>
        <v>High</v>
      </c>
      <c r="Q429" s="42">
        <v>395.61</v>
      </c>
      <c r="R429" s="42">
        <v>0</v>
      </c>
      <c r="S429" s="42">
        <v>34</v>
      </c>
      <c r="T429" s="42">
        <f t="shared" si="42"/>
        <v>53340.22</v>
      </c>
      <c r="U429" s="37">
        <f t="shared" si="43"/>
        <v>10962.96</v>
      </c>
      <c r="V429" s="42">
        <f t="shared" si="46"/>
        <v>42377.26</v>
      </c>
      <c r="W429" s="44">
        <f t="shared" si="47"/>
        <v>0.79447103892709858</v>
      </c>
    </row>
    <row r="430" spans="1:23" x14ac:dyDescent="0.3">
      <c r="A430" s="45" t="s">
        <v>959</v>
      </c>
      <c r="B430" s="46">
        <v>45784</v>
      </c>
      <c r="C430" s="47">
        <v>45790</v>
      </c>
      <c r="D430" s="48">
        <f t="shared" si="48"/>
        <v>6</v>
      </c>
      <c r="E430" s="48" t="str">
        <f>TEXT(Data!B430,"MMM-YYYY")</f>
        <v>May-2025</v>
      </c>
      <c r="F430" s="48" t="str">
        <f t="shared" si="44"/>
        <v>Q2-2025</v>
      </c>
      <c r="G430" s="38" t="s">
        <v>45</v>
      </c>
      <c r="H430" s="38" t="s">
        <v>60</v>
      </c>
      <c r="I430" s="38" t="s">
        <v>61</v>
      </c>
      <c r="J430" s="38" t="s">
        <v>105</v>
      </c>
      <c r="K430" s="38" t="s">
        <v>98</v>
      </c>
      <c r="L430" s="38" t="s">
        <v>29</v>
      </c>
      <c r="M430" s="38" t="s">
        <v>42</v>
      </c>
      <c r="N430" s="38" t="s">
        <v>960</v>
      </c>
      <c r="O430" s="48">
        <v>935.98</v>
      </c>
      <c r="P430" s="49" t="str">
        <f t="shared" si="45"/>
        <v>High</v>
      </c>
      <c r="Q430" s="48">
        <v>2077.69</v>
      </c>
      <c r="R430" s="48">
        <v>0.17499999999999999</v>
      </c>
      <c r="S430" s="48">
        <v>24</v>
      </c>
      <c r="T430" s="48">
        <f t="shared" si="42"/>
        <v>41071.932000000001</v>
      </c>
      <c r="U430" s="38">
        <f t="shared" si="43"/>
        <v>22463.52</v>
      </c>
      <c r="V430" s="48">
        <f t="shared" si="46"/>
        <v>18608.412</v>
      </c>
      <c r="W430" s="50">
        <f t="shared" si="47"/>
        <v>0.4530688256885505</v>
      </c>
    </row>
    <row r="431" spans="1:23" x14ac:dyDescent="0.3">
      <c r="A431" s="39" t="s">
        <v>961</v>
      </c>
      <c r="B431" s="40">
        <v>45597</v>
      </c>
      <c r="C431" s="41">
        <v>45608</v>
      </c>
      <c r="D431" s="42">
        <f t="shared" si="48"/>
        <v>11</v>
      </c>
      <c r="E431" s="42" t="str">
        <f>TEXT(Data!B431,"MMM-YYYY")</f>
        <v>Nov-2024</v>
      </c>
      <c r="F431" s="42" t="str">
        <f t="shared" si="44"/>
        <v>Q4-2024</v>
      </c>
      <c r="G431" s="37" t="s">
        <v>78</v>
      </c>
      <c r="H431" s="37" t="s">
        <v>79</v>
      </c>
      <c r="I431" s="37" t="s">
        <v>335</v>
      </c>
      <c r="J431" s="37" t="s">
        <v>48</v>
      </c>
      <c r="K431" s="37" t="s">
        <v>28</v>
      </c>
      <c r="L431" s="37" t="s">
        <v>56</v>
      </c>
      <c r="M431" s="37" t="s">
        <v>30</v>
      </c>
      <c r="N431" s="37" t="s">
        <v>962</v>
      </c>
      <c r="O431" s="42">
        <v>599.84</v>
      </c>
      <c r="P431" s="43" t="str">
        <f t="shared" si="45"/>
        <v>High</v>
      </c>
      <c r="Q431" s="42">
        <v>1330.85</v>
      </c>
      <c r="R431" s="42">
        <v>0.115</v>
      </c>
      <c r="S431" s="42">
        <v>11</v>
      </c>
      <c r="T431" s="42">
        <f t="shared" si="42"/>
        <v>4820.6746499999999</v>
      </c>
      <c r="U431" s="37">
        <f t="shared" si="43"/>
        <v>6598.2400000000007</v>
      </c>
      <c r="V431" s="42">
        <f t="shared" si="46"/>
        <v>-1777.5653500000008</v>
      </c>
      <c r="W431" s="44">
        <f t="shared" si="47"/>
        <v>-0.36873787987330792</v>
      </c>
    </row>
    <row r="432" spans="1:23" x14ac:dyDescent="0.3">
      <c r="A432" s="45" t="s">
        <v>963</v>
      </c>
      <c r="B432" s="46">
        <v>45654</v>
      </c>
      <c r="C432" s="47">
        <v>45665</v>
      </c>
      <c r="D432" s="48">
        <f t="shared" si="48"/>
        <v>11</v>
      </c>
      <c r="E432" s="48" t="str">
        <f>TEXT(Data!B432,"MMM-YYYY")</f>
        <v>Dec-2024</v>
      </c>
      <c r="F432" s="48" t="str">
        <f t="shared" si="44"/>
        <v>Q4-2024</v>
      </c>
      <c r="G432" s="38" t="s">
        <v>45</v>
      </c>
      <c r="H432" s="38" t="s">
        <v>116</v>
      </c>
      <c r="I432" s="38" t="s">
        <v>117</v>
      </c>
      <c r="J432" s="38" t="s">
        <v>105</v>
      </c>
      <c r="K432" s="38" t="s">
        <v>28</v>
      </c>
      <c r="L432" s="38" t="s">
        <v>95</v>
      </c>
      <c r="M432" s="38" t="s">
        <v>57</v>
      </c>
      <c r="N432" s="38" t="s">
        <v>964</v>
      </c>
      <c r="O432" s="48">
        <v>1201.31</v>
      </c>
      <c r="P432" s="49" t="str">
        <f t="shared" si="45"/>
        <v>High</v>
      </c>
      <c r="Q432" s="48">
        <v>2764.65</v>
      </c>
      <c r="R432" s="48">
        <v>0</v>
      </c>
      <c r="S432" s="48">
        <v>21</v>
      </c>
      <c r="T432" s="48">
        <f t="shared" si="42"/>
        <v>15909.390000000001</v>
      </c>
      <c r="U432" s="38">
        <f t="shared" si="43"/>
        <v>25227.51</v>
      </c>
      <c r="V432" s="48">
        <f t="shared" si="46"/>
        <v>-9318.1199999999972</v>
      </c>
      <c r="W432" s="50">
        <f t="shared" si="47"/>
        <v>-0.58569938885148942</v>
      </c>
    </row>
    <row r="433" spans="1:23" x14ac:dyDescent="0.3">
      <c r="A433" s="39" t="s">
        <v>965</v>
      </c>
      <c r="B433" s="40">
        <v>45220</v>
      </c>
      <c r="C433" s="41">
        <v>45220</v>
      </c>
      <c r="D433" s="42">
        <f t="shared" si="48"/>
        <v>0</v>
      </c>
      <c r="E433" s="42" t="str">
        <f>TEXT(Data!B433,"MMM-YYYY")</f>
        <v>Oct-2023</v>
      </c>
      <c r="F433" s="42" t="str">
        <f t="shared" si="44"/>
        <v>Q4-2023</v>
      </c>
      <c r="G433" s="37" t="s">
        <v>78</v>
      </c>
      <c r="H433" s="37" t="s">
        <v>108</v>
      </c>
      <c r="I433" s="37" t="s">
        <v>228</v>
      </c>
      <c r="J433" s="37" t="s">
        <v>105</v>
      </c>
      <c r="K433" s="37" t="s">
        <v>55</v>
      </c>
      <c r="L433" s="37" t="s">
        <v>29</v>
      </c>
      <c r="M433" s="37" t="s">
        <v>64</v>
      </c>
      <c r="N433" s="37" t="s">
        <v>966</v>
      </c>
      <c r="O433" s="42">
        <v>384.19</v>
      </c>
      <c r="P433" s="43" t="str">
        <f t="shared" si="45"/>
        <v>High</v>
      </c>
      <c r="Q433" s="42">
        <v>278.35000000000002</v>
      </c>
      <c r="R433" s="42">
        <v>5.6000000000000001E-2</v>
      </c>
      <c r="S433" s="42">
        <v>10</v>
      </c>
      <c r="T433" s="42">
        <f t="shared" si="42"/>
        <v>3926.6623999999993</v>
      </c>
      <c r="U433" s="37">
        <f t="shared" si="43"/>
        <v>3841.9</v>
      </c>
      <c r="V433" s="42">
        <f t="shared" si="46"/>
        <v>84.762399999999161</v>
      </c>
      <c r="W433" s="44">
        <f t="shared" si="47"/>
        <v>2.1586373200812775E-2</v>
      </c>
    </row>
    <row r="434" spans="1:23" x14ac:dyDescent="0.3">
      <c r="A434" s="45" t="s">
        <v>967</v>
      </c>
      <c r="B434" s="46">
        <v>45636</v>
      </c>
      <c r="C434" s="47">
        <v>45645</v>
      </c>
      <c r="D434" s="48">
        <f t="shared" si="48"/>
        <v>9</v>
      </c>
      <c r="E434" s="48" t="str">
        <f>TEXT(Data!B434,"MMM-YYYY")</f>
        <v>Dec-2024</v>
      </c>
      <c r="F434" s="48" t="str">
        <f t="shared" si="44"/>
        <v>Q4-2024</v>
      </c>
      <c r="G434" s="38" t="s">
        <v>16</v>
      </c>
      <c r="H434" s="38" t="s">
        <v>25</v>
      </c>
      <c r="I434" s="38" t="s">
        <v>38</v>
      </c>
      <c r="J434" s="38" t="s">
        <v>19</v>
      </c>
      <c r="K434" s="38" t="s">
        <v>20</v>
      </c>
      <c r="L434" s="38" t="s">
        <v>68</v>
      </c>
      <c r="M434" s="38" t="s">
        <v>64</v>
      </c>
      <c r="N434" s="38" t="s">
        <v>968</v>
      </c>
      <c r="O434" s="48">
        <v>488.68</v>
      </c>
      <c r="P434" s="49" t="str">
        <f t="shared" si="45"/>
        <v>High</v>
      </c>
      <c r="Q434" s="48">
        <v>984.36</v>
      </c>
      <c r="R434" s="48">
        <v>5.8999999999999997E-2</v>
      </c>
      <c r="S434" s="48">
        <v>14</v>
      </c>
      <c r="T434" s="48">
        <f t="shared" si="42"/>
        <v>24647.104860000003</v>
      </c>
      <c r="U434" s="38">
        <f t="shared" si="43"/>
        <v>6841.52</v>
      </c>
      <c r="V434" s="48">
        <f t="shared" si="46"/>
        <v>17805.584860000003</v>
      </c>
      <c r="W434" s="50">
        <f t="shared" si="47"/>
        <v>0.72242094806424251</v>
      </c>
    </row>
    <row r="435" spans="1:23" x14ac:dyDescent="0.3">
      <c r="A435" s="39" t="s">
        <v>969</v>
      </c>
      <c r="B435" s="40">
        <v>45542</v>
      </c>
      <c r="C435" s="41">
        <v>45553</v>
      </c>
      <c r="D435" s="42">
        <f t="shared" si="48"/>
        <v>11</v>
      </c>
      <c r="E435" s="42" t="str">
        <f>TEXT(Data!B435,"MMM-YYYY")</f>
        <v>Sept-2024</v>
      </c>
      <c r="F435" s="42" t="str">
        <f t="shared" si="44"/>
        <v>Q3-2024</v>
      </c>
      <c r="G435" s="37" t="s">
        <v>45</v>
      </c>
      <c r="H435" s="37" t="s">
        <v>116</v>
      </c>
      <c r="I435" s="37" t="s">
        <v>338</v>
      </c>
      <c r="J435" s="37" t="s">
        <v>48</v>
      </c>
      <c r="K435" s="37" t="s">
        <v>55</v>
      </c>
      <c r="L435" s="37" t="s">
        <v>68</v>
      </c>
      <c r="M435" s="37" t="s">
        <v>35</v>
      </c>
      <c r="N435" s="37" t="s">
        <v>970</v>
      </c>
      <c r="O435" s="42">
        <v>181.74</v>
      </c>
      <c r="P435" s="43" t="str">
        <f t="shared" si="45"/>
        <v>Medium</v>
      </c>
      <c r="Q435" s="42">
        <v>190.84</v>
      </c>
      <c r="R435" s="42">
        <v>0.214</v>
      </c>
      <c r="S435" s="42">
        <v>13</v>
      </c>
      <c r="T435" s="42">
        <f t="shared" si="42"/>
        <v>2113.89984</v>
      </c>
      <c r="U435" s="37">
        <f t="shared" si="43"/>
        <v>2362.62</v>
      </c>
      <c r="V435" s="42">
        <f t="shared" si="46"/>
        <v>-248.72015999999985</v>
      </c>
      <c r="W435" s="44">
        <f t="shared" si="47"/>
        <v>-0.11765938730569177</v>
      </c>
    </row>
    <row r="436" spans="1:23" x14ac:dyDescent="0.3">
      <c r="A436" s="45" t="s">
        <v>971</v>
      </c>
      <c r="B436" s="46">
        <v>45217</v>
      </c>
      <c r="C436" s="47">
        <v>45219</v>
      </c>
      <c r="D436" s="48">
        <f t="shared" si="48"/>
        <v>2</v>
      </c>
      <c r="E436" s="48" t="str">
        <f>TEXT(Data!B436,"MMM-YYYY")</f>
        <v>Oct-2023</v>
      </c>
      <c r="F436" s="48" t="str">
        <f t="shared" si="44"/>
        <v>Q4-2023</v>
      </c>
      <c r="G436" s="38" t="s">
        <v>16</v>
      </c>
      <c r="H436" s="38" t="s">
        <v>17</v>
      </c>
      <c r="I436" s="38" t="s">
        <v>18</v>
      </c>
      <c r="J436" s="38" t="s">
        <v>48</v>
      </c>
      <c r="K436" s="38" t="s">
        <v>20</v>
      </c>
      <c r="L436" s="38" t="s">
        <v>29</v>
      </c>
      <c r="M436" s="38" t="s">
        <v>42</v>
      </c>
      <c r="N436" s="38" t="s">
        <v>972</v>
      </c>
      <c r="O436" s="48">
        <v>774.12</v>
      </c>
      <c r="P436" s="49" t="str">
        <f t="shared" si="45"/>
        <v>High</v>
      </c>
      <c r="Q436" s="48">
        <v>908.3</v>
      </c>
      <c r="R436" s="48">
        <v>0</v>
      </c>
      <c r="S436" s="48">
        <v>30</v>
      </c>
      <c r="T436" s="48">
        <f t="shared" si="42"/>
        <v>1884.6</v>
      </c>
      <c r="U436" s="38">
        <f t="shared" si="43"/>
        <v>23223.599999999999</v>
      </c>
      <c r="V436" s="48">
        <f t="shared" si="46"/>
        <v>-21339</v>
      </c>
      <c r="W436" s="50">
        <f t="shared" si="47"/>
        <v>-11.322827125119389</v>
      </c>
    </row>
    <row r="437" spans="1:23" x14ac:dyDescent="0.3">
      <c r="A437" s="39" t="s">
        <v>973</v>
      </c>
      <c r="B437" s="40">
        <v>45650</v>
      </c>
      <c r="C437" s="41">
        <v>45670</v>
      </c>
      <c r="D437" s="42">
        <f t="shared" si="48"/>
        <v>20</v>
      </c>
      <c r="E437" s="42" t="str">
        <f>TEXT(Data!B437,"MMM-YYYY")</f>
        <v>Dec-2024</v>
      </c>
      <c r="F437" s="42" t="str">
        <f t="shared" si="44"/>
        <v>Q4-2024</v>
      </c>
      <c r="G437" s="37" t="s">
        <v>45</v>
      </c>
      <c r="H437" s="37" t="s">
        <v>60</v>
      </c>
      <c r="I437" s="37" t="s">
        <v>61</v>
      </c>
      <c r="J437" s="37" t="s">
        <v>19</v>
      </c>
      <c r="K437" s="37" t="s">
        <v>40</v>
      </c>
      <c r="L437" s="37" t="s">
        <v>145</v>
      </c>
      <c r="M437" s="37" t="s">
        <v>35</v>
      </c>
      <c r="N437" s="37" t="s">
        <v>974</v>
      </c>
      <c r="O437" s="42">
        <v>126.15</v>
      </c>
      <c r="P437" s="43" t="str">
        <f t="shared" si="45"/>
        <v>High</v>
      </c>
      <c r="Q437" s="42">
        <v>284.23</v>
      </c>
      <c r="R437" s="42">
        <v>0.113</v>
      </c>
      <c r="S437" s="42">
        <v>22</v>
      </c>
      <c r="T437" s="42">
        <f t="shared" si="42"/>
        <v>18664.94586</v>
      </c>
      <c r="U437" s="37">
        <f t="shared" si="43"/>
        <v>2775.3</v>
      </c>
      <c r="V437" s="42">
        <f t="shared" si="46"/>
        <v>15889.645860000001</v>
      </c>
      <c r="W437" s="44">
        <f t="shared" si="47"/>
        <v>0.85130950709331443</v>
      </c>
    </row>
    <row r="438" spans="1:23" x14ac:dyDescent="0.3">
      <c r="A438" s="45" t="s">
        <v>975</v>
      </c>
      <c r="B438" s="46">
        <v>45037</v>
      </c>
      <c r="C438" s="47">
        <v>45035</v>
      </c>
      <c r="D438" s="48">
        <f>DATEDIF(C438,B438, "MD")</f>
        <v>2</v>
      </c>
      <c r="E438" s="48" t="str">
        <f>TEXT(Data!B438,"MMM-YYYY")</f>
        <v>Apr-2023</v>
      </c>
      <c r="F438" s="48" t="str">
        <f t="shared" si="44"/>
        <v>Q2-2023</v>
      </c>
      <c r="G438" s="38" t="s">
        <v>45</v>
      </c>
      <c r="H438" s="38" t="s">
        <v>46</v>
      </c>
      <c r="I438" s="38" t="s">
        <v>231</v>
      </c>
      <c r="J438" s="38" t="s">
        <v>62</v>
      </c>
      <c r="K438" s="38" t="s">
        <v>98</v>
      </c>
      <c r="L438" s="38" t="s">
        <v>110</v>
      </c>
      <c r="M438" s="38" t="s">
        <v>22</v>
      </c>
      <c r="N438" s="38" t="s">
        <v>976</v>
      </c>
      <c r="O438" s="48">
        <v>607.04</v>
      </c>
      <c r="P438" s="49" t="str">
        <f t="shared" si="45"/>
        <v>High</v>
      </c>
      <c r="Q438" s="48">
        <v>1229.3399999999999</v>
      </c>
      <c r="R438" s="48">
        <v>0.14699999999999999</v>
      </c>
      <c r="S438" s="48">
        <v>7</v>
      </c>
      <c r="T438" s="48">
        <f t="shared" si="42"/>
        <v>989.39469999999983</v>
      </c>
      <c r="U438" s="38">
        <f t="shared" si="43"/>
        <v>4249.28</v>
      </c>
      <c r="V438" s="48">
        <f t="shared" si="46"/>
        <v>-3259.8852999999999</v>
      </c>
      <c r="W438" s="50">
        <f t="shared" si="47"/>
        <v>-3.2948279387387061</v>
      </c>
    </row>
    <row r="439" spans="1:23" x14ac:dyDescent="0.3">
      <c r="A439" s="39" t="s">
        <v>977</v>
      </c>
      <c r="B439" s="40">
        <v>45290</v>
      </c>
      <c r="C439" s="41">
        <v>45299</v>
      </c>
      <c r="D439" s="42">
        <f t="shared" si="48"/>
        <v>9</v>
      </c>
      <c r="E439" s="42" t="str">
        <f>TEXT(Data!B439,"MMM-YYYY")</f>
        <v>Dec-2023</v>
      </c>
      <c r="F439" s="42" t="str">
        <f t="shared" si="44"/>
        <v>Q4-2023</v>
      </c>
      <c r="G439" s="37" t="s">
        <v>78</v>
      </c>
      <c r="H439" s="37" t="s">
        <v>90</v>
      </c>
      <c r="I439" s="37" t="s">
        <v>91</v>
      </c>
      <c r="J439" s="37" t="s">
        <v>48</v>
      </c>
      <c r="K439" s="37" t="s">
        <v>40</v>
      </c>
      <c r="L439" s="37" t="s">
        <v>49</v>
      </c>
      <c r="M439" s="37" t="s">
        <v>81</v>
      </c>
      <c r="N439" s="37" t="s">
        <v>978</v>
      </c>
      <c r="O439" s="42">
        <v>861.1</v>
      </c>
      <c r="P439" s="43" t="str">
        <f t="shared" si="45"/>
        <v>High</v>
      </c>
      <c r="Q439" s="42">
        <v>1224.72</v>
      </c>
      <c r="R439" s="42">
        <v>0.17399999999999999</v>
      </c>
      <c r="S439" s="42">
        <v>24</v>
      </c>
      <c r="T439" s="42">
        <f t="shared" si="42"/>
        <v>12060.128640000001</v>
      </c>
      <c r="U439" s="37">
        <f t="shared" si="43"/>
        <v>20666.400000000001</v>
      </c>
      <c r="V439" s="42">
        <f t="shared" si="46"/>
        <v>-8606.2713600000006</v>
      </c>
      <c r="W439" s="44">
        <f t="shared" si="47"/>
        <v>-0.71361356225135586</v>
      </c>
    </row>
    <row r="440" spans="1:23" x14ac:dyDescent="0.3">
      <c r="A440" s="45" t="s">
        <v>979</v>
      </c>
      <c r="B440" s="46">
        <v>44978</v>
      </c>
      <c r="C440" s="47">
        <v>44997</v>
      </c>
      <c r="D440" s="48">
        <f t="shared" si="48"/>
        <v>19</v>
      </c>
      <c r="E440" s="48" t="str">
        <f>TEXT(Data!B440,"MMM-YYYY")</f>
        <v>Feb-2023</v>
      </c>
      <c r="F440" s="48" t="str">
        <f t="shared" si="44"/>
        <v>Q1-2023</v>
      </c>
      <c r="G440" s="38" t="s">
        <v>16</v>
      </c>
      <c r="H440" s="38" t="s">
        <v>17</v>
      </c>
      <c r="I440" s="38" t="s">
        <v>135</v>
      </c>
      <c r="J440" s="38" t="s">
        <v>19</v>
      </c>
      <c r="K440" s="38" t="s">
        <v>28</v>
      </c>
      <c r="L440" s="38" t="s">
        <v>84</v>
      </c>
      <c r="M440" s="38" t="s">
        <v>35</v>
      </c>
      <c r="N440" s="38" t="s">
        <v>980</v>
      </c>
      <c r="O440" s="48">
        <v>352.65</v>
      </c>
      <c r="P440" s="49" t="str">
        <f t="shared" si="45"/>
        <v>High</v>
      </c>
      <c r="Q440" s="48">
        <v>485.86</v>
      </c>
      <c r="R440" s="48">
        <v>4.1000000000000002E-2</v>
      </c>
      <c r="S440" s="48">
        <v>6</v>
      </c>
      <c r="T440" s="48">
        <f t="shared" si="42"/>
        <v>15339.646139999999</v>
      </c>
      <c r="U440" s="38">
        <f t="shared" si="43"/>
        <v>2115.8999999999996</v>
      </c>
      <c r="V440" s="48">
        <f t="shared" si="46"/>
        <v>13223.746139999999</v>
      </c>
      <c r="W440" s="50">
        <f t="shared" si="47"/>
        <v>0.86206331093371624</v>
      </c>
    </row>
    <row r="441" spans="1:23" x14ac:dyDescent="0.3">
      <c r="A441" s="39" t="s">
        <v>981</v>
      </c>
      <c r="B441" s="40">
        <v>45063</v>
      </c>
      <c r="C441" s="41">
        <v>45080</v>
      </c>
      <c r="D441" s="42">
        <f t="shared" si="48"/>
        <v>17</v>
      </c>
      <c r="E441" s="42" t="str">
        <f>TEXT(Data!B441,"MMM-YYYY")</f>
        <v>May-2023</v>
      </c>
      <c r="F441" s="42" t="str">
        <f t="shared" si="44"/>
        <v>Q2-2023</v>
      </c>
      <c r="G441" s="37" t="s">
        <v>45</v>
      </c>
      <c r="H441" s="37" t="s">
        <v>116</v>
      </c>
      <c r="I441" s="37" t="s">
        <v>338</v>
      </c>
      <c r="J441" s="37" t="s">
        <v>39</v>
      </c>
      <c r="K441" s="37" t="s">
        <v>55</v>
      </c>
      <c r="L441" s="37" t="s">
        <v>110</v>
      </c>
      <c r="M441" s="37" t="s">
        <v>30</v>
      </c>
      <c r="N441" s="37" t="s">
        <v>982</v>
      </c>
      <c r="O441" s="42">
        <v>979.59</v>
      </c>
      <c r="P441" s="43" t="str">
        <f t="shared" si="45"/>
        <v>High</v>
      </c>
      <c r="Q441" s="42">
        <v>2210.94</v>
      </c>
      <c r="R441" s="42">
        <v>0.15</v>
      </c>
      <c r="S441" s="42">
        <v>11</v>
      </c>
      <c r="T441" s="42">
        <f t="shared" si="42"/>
        <v>5497.3325000000004</v>
      </c>
      <c r="U441" s="37">
        <f t="shared" si="43"/>
        <v>10775.49</v>
      </c>
      <c r="V441" s="42">
        <f t="shared" si="46"/>
        <v>-5278.1574999999993</v>
      </c>
      <c r="W441" s="44">
        <f t="shared" si="47"/>
        <v>-0.96013066337173514</v>
      </c>
    </row>
    <row r="442" spans="1:23" x14ac:dyDescent="0.3">
      <c r="A442" s="45" t="s">
        <v>983</v>
      </c>
      <c r="B442" s="46">
        <v>45374</v>
      </c>
      <c r="C442" s="47">
        <v>45377</v>
      </c>
      <c r="D442" s="48">
        <f t="shared" si="48"/>
        <v>3</v>
      </c>
      <c r="E442" s="48" t="str">
        <f>TEXT(Data!B442,"MMM-YYYY")</f>
        <v>Mar-2024</v>
      </c>
      <c r="F442" s="48" t="str">
        <f t="shared" si="44"/>
        <v>Q1-2024</v>
      </c>
      <c r="G442" s="38" t="s">
        <v>45</v>
      </c>
      <c r="H442" s="38" t="s">
        <v>60</v>
      </c>
      <c r="I442" s="38" t="s">
        <v>61</v>
      </c>
      <c r="J442" s="38" t="s">
        <v>27</v>
      </c>
      <c r="K442" s="38" t="s">
        <v>98</v>
      </c>
      <c r="L442" s="38" t="s">
        <v>41</v>
      </c>
      <c r="M442" s="38" t="s">
        <v>42</v>
      </c>
      <c r="N442" s="38" t="s">
        <v>984</v>
      </c>
      <c r="O442" s="48">
        <v>382.21</v>
      </c>
      <c r="P442" s="49" t="str">
        <f t="shared" si="45"/>
        <v>High</v>
      </c>
      <c r="Q442" s="48">
        <v>571.89</v>
      </c>
      <c r="R442" s="48">
        <v>0.14799999999999999</v>
      </c>
      <c r="S442" s="48">
        <v>26</v>
      </c>
      <c r="T442" s="48">
        <f t="shared" si="42"/>
        <v>48582.215760000006</v>
      </c>
      <c r="U442" s="38">
        <f t="shared" si="43"/>
        <v>9937.4599999999991</v>
      </c>
      <c r="V442" s="48">
        <f t="shared" si="46"/>
        <v>38644.755760000007</v>
      </c>
      <c r="W442" s="50">
        <f t="shared" si="47"/>
        <v>0.79545066348781124</v>
      </c>
    </row>
    <row r="443" spans="1:23" x14ac:dyDescent="0.3">
      <c r="A443" s="39" t="s">
        <v>985</v>
      </c>
      <c r="B443" s="40">
        <v>45189</v>
      </c>
      <c r="C443" s="41">
        <v>45197</v>
      </c>
      <c r="D443" s="42">
        <f t="shared" si="48"/>
        <v>8</v>
      </c>
      <c r="E443" s="42" t="str">
        <f>TEXT(Data!B443,"MMM-YYYY")</f>
        <v>Sept-2023</v>
      </c>
      <c r="F443" s="42" t="str">
        <f t="shared" si="44"/>
        <v>Q3-2023</v>
      </c>
      <c r="G443" s="37" t="s">
        <v>45</v>
      </c>
      <c r="H443" s="37" t="s">
        <v>60</v>
      </c>
      <c r="I443" s="37" t="s">
        <v>1364</v>
      </c>
      <c r="J443" s="37" t="s">
        <v>19</v>
      </c>
      <c r="K443" s="37" t="s">
        <v>1364</v>
      </c>
      <c r="L443" s="37" t="s">
        <v>56</v>
      </c>
      <c r="M443" s="37" t="s">
        <v>81</v>
      </c>
      <c r="N443" s="37" t="s">
        <v>986</v>
      </c>
      <c r="O443" s="42">
        <v>1362.06</v>
      </c>
      <c r="P443" s="43" t="str">
        <f t="shared" si="45"/>
        <v>High</v>
      </c>
      <c r="Q443" s="42">
        <v>3398.37</v>
      </c>
      <c r="R443" s="42">
        <v>0.157</v>
      </c>
      <c r="S443" s="42">
        <v>11</v>
      </c>
      <c r="T443" s="42">
        <f t="shared" si="42"/>
        <v>20287.469400000002</v>
      </c>
      <c r="U443" s="37">
        <f t="shared" si="43"/>
        <v>14982.66</v>
      </c>
      <c r="V443" s="42">
        <f t="shared" si="46"/>
        <v>5304.8094000000019</v>
      </c>
      <c r="W443" s="44">
        <f t="shared" si="47"/>
        <v>0.26148206537775487</v>
      </c>
    </row>
    <row r="444" spans="1:23" x14ac:dyDescent="0.3">
      <c r="A444" s="45" t="s">
        <v>987</v>
      </c>
      <c r="B444" s="46">
        <v>45526</v>
      </c>
      <c r="C444" s="47">
        <v>45539</v>
      </c>
      <c r="D444" s="48">
        <f t="shared" si="48"/>
        <v>13</v>
      </c>
      <c r="E444" s="48" t="str">
        <f>TEXT(Data!B444,"MMM-YYYY")</f>
        <v>Aug-2024</v>
      </c>
      <c r="F444" s="48" t="str">
        <f t="shared" si="44"/>
        <v>Q3-2024</v>
      </c>
      <c r="G444" s="38" t="s">
        <v>78</v>
      </c>
      <c r="H444" s="38" t="s">
        <v>79</v>
      </c>
      <c r="I444" s="38" t="s">
        <v>335</v>
      </c>
      <c r="J444" s="38" t="s">
        <v>39</v>
      </c>
      <c r="K444" s="38" t="s">
        <v>20</v>
      </c>
      <c r="L444" s="38" t="s">
        <v>49</v>
      </c>
      <c r="M444" s="38" t="s">
        <v>30</v>
      </c>
      <c r="N444" s="38" t="s">
        <v>988</v>
      </c>
      <c r="O444" s="48">
        <v>90.04</v>
      </c>
      <c r="P444" s="49" t="str">
        <f t="shared" si="45"/>
        <v>Medium</v>
      </c>
      <c r="Q444" s="48">
        <v>194.62</v>
      </c>
      <c r="R444" s="48">
        <v>4.2999999999999997E-2</v>
      </c>
      <c r="S444" s="48">
        <v>32</v>
      </c>
      <c r="T444" s="48">
        <f t="shared" si="42"/>
        <v>30688.61664</v>
      </c>
      <c r="U444" s="38">
        <f t="shared" si="43"/>
        <v>2881.28</v>
      </c>
      <c r="V444" s="48">
        <f t="shared" si="46"/>
        <v>27807.336640000001</v>
      </c>
      <c r="W444" s="50">
        <f t="shared" si="47"/>
        <v>0.90611241836673417</v>
      </c>
    </row>
    <row r="445" spans="1:23" x14ac:dyDescent="0.3">
      <c r="A445" s="39" t="s">
        <v>989</v>
      </c>
      <c r="B445" s="40">
        <v>45560</v>
      </c>
      <c r="C445" s="41">
        <v>45568</v>
      </c>
      <c r="D445" s="42">
        <f t="shared" si="48"/>
        <v>8</v>
      </c>
      <c r="E445" s="42" t="str">
        <f>TEXT(Data!B445,"MMM-YYYY")</f>
        <v>Sept-2024</v>
      </c>
      <c r="F445" s="42" t="str">
        <f t="shared" si="44"/>
        <v>Q3-2024</v>
      </c>
      <c r="G445" s="37" t="s">
        <v>52</v>
      </c>
      <c r="H445" s="37" t="s">
        <v>53</v>
      </c>
      <c r="I445" s="37" t="s">
        <v>54</v>
      </c>
      <c r="J445" s="37" t="s">
        <v>48</v>
      </c>
      <c r="K445" s="37" t="s">
        <v>28</v>
      </c>
      <c r="L445" s="37" t="s">
        <v>63</v>
      </c>
      <c r="M445" s="37" t="s">
        <v>30</v>
      </c>
      <c r="N445" s="37" t="s">
        <v>990</v>
      </c>
      <c r="O445" s="42">
        <v>558.19000000000005</v>
      </c>
      <c r="P445" s="43" t="str">
        <f t="shared" si="45"/>
        <v>High</v>
      </c>
      <c r="Q445" s="42">
        <v>1031.6400000000001</v>
      </c>
      <c r="R445" s="42">
        <v>0</v>
      </c>
      <c r="S445" s="42">
        <v>21</v>
      </c>
      <c r="T445" s="42">
        <f t="shared" si="42"/>
        <v>19189.38</v>
      </c>
      <c r="U445" s="37">
        <f t="shared" si="43"/>
        <v>11721.990000000002</v>
      </c>
      <c r="V445" s="42">
        <f t="shared" si="46"/>
        <v>7467.3899999999994</v>
      </c>
      <c r="W445" s="44">
        <f t="shared" si="47"/>
        <v>0.3891418065617544</v>
      </c>
    </row>
    <row r="446" spans="1:23" x14ac:dyDescent="0.3">
      <c r="A446" s="45" t="s">
        <v>991</v>
      </c>
      <c r="B446" s="46">
        <v>45090</v>
      </c>
      <c r="C446" s="47">
        <v>45101</v>
      </c>
      <c r="D446" s="48">
        <f t="shared" si="48"/>
        <v>11</v>
      </c>
      <c r="E446" s="48" t="str">
        <f>TEXT(Data!B446,"MMM-YYYY")</f>
        <v>Jun-2023</v>
      </c>
      <c r="F446" s="48" t="str">
        <f t="shared" si="44"/>
        <v>Q2-2023</v>
      </c>
      <c r="G446" s="38" t="s">
        <v>52</v>
      </c>
      <c r="H446" s="38" t="s">
        <v>53</v>
      </c>
      <c r="I446" s="38" t="s">
        <v>54</v>
      </c>
      <c r="J446" s="38" t="s">
        <v>19</v>
      </c>
      <c r="K446" s="38" t="s">
        <v>28</v>
      </c>
      <c r="L446" s="38" t="s">
        <v>21</v>
      </c>
      <c r="M446" s="38" t="s">
        <v>30</v>
      </c>
      <c r="N446" s="38" t="s">
        <v>992</v>
      </c>
      <c r="O446" s="48">
        <v>247.07</v>
      </c>
      <c r="P446" s="49" t="str">
        <f t="shared" si="45"/>
        <v>High</v>
      </c>
      <c r="Q446" s="48">
        <v>495.19</v>
      </c>
      <c r="R446" s="48">
        <v>2.8000000000000001E-2</v>
      </c>
      <c r="S446" s="48">
        <v>4</v>
      </c>
      <c r="T446" s="48">
        <f t="shared" si="42"/>
        <v>7167.5668799999994</v>
      </c>
      <c r="U446" s="38">
        <f t="shared" si="43"/>
        <v>988.28</v>
      </c>
      <c r="V446" s="48">
        <f t="shared" si="46"/>
        <v>6179.2868799999997</v>
      </c>
      <c r="W446" s="50">
        <f t="shared" si="47"/>
        <v>0.86211778466167588</v>
      </c>
    </row>
    <row r="447" spans="1:23" x14ac:dyDescent="0.3">
      <c r="A447" s="39" t="s">
        <v>993</v>
      </c>
      <c r="B447" s="40">
        <v>45284</v>
      </c>
      <c r="C447" s="41">
        <v>45304</v>
      </c>
      <c r="D447" s="42">
        <f t="shared" si="48"/>
        <v>20</v>
      </c>
      <c r="E447" s="42" t="str">
        <f>TEXT(Data!B447,"MMM-YYYY")</f>
        <v>Dec-2023</v>
      </c>
      <c r="F447" s="42" t="str">
        <f t="shared" si="44"/>
        <v>Q4-2023</v>
      </c>
      <c r="G447" s="37" t="s">
        <v>45</v>
      </c>
      <c r="H447" s="37" t="s">
        <v>46</v>
      </c>
      <c r="I447" s="37" t="s">
        <v>231</v>
      </c>
      <c r="J447" s="37" t="s">
        <v>27</v>
      </c>
      <c r="K447" s="37" t="s">
        <v>98</v>
      </c>
      <c r="L447" s="37" t="s">
        <v>56</v>
      </c>
      <c r="M447" s="37" t="s">
        <v>57</v>
      </c>
      <c r="N447" s="37" t="s">
        <v>994</v>
      </c>
      <c r="O447" s="42">
        <v>625.37</v>
      </c>
      <c r="P447" s="43" t="str">
        <f t="shared" si="45"/>
        <v>High</v>
      </c>
      <c r="Q447" s="42">
        <v>1319.04</v>
      </c>
      <c r="R447" s="42">
        <v>7.3999999999999996E-2</v>
      </c>
      <c r="S447" s="42">
        <v>8</v>
      </c>
      <c r="T447" s="42">
        <f t="shared" si="42"/>
        <v>10249.7088</v>
      </c>
      <c r="U447" s="37">
        <f t="shared" si="43"/>
        <v>5002.96</v>
      </c>
      <c r="V447" s="42">
        <f t="shared" si="46"/>
        <v>5246.7488000000003</v>
      </c>
      <c r="W447" s="44">
        <f t="shared" si="47"/>
        <v>0.51189247444766428</v>
      </c>
    </row>
    <row r="448" spans="1:23" x14ac:dyDescent="0.3">
      <c r="A448" s="45" t="s">
        <v>995</v>
      </c>
      <c r="B448" s="46">
        <v>45746</v>
      </c>
      <c r="C448" s="47">
        <v>45776</v>
      </c>
      <c r="D448" s="48">
        <f t="shared" si="48"/>
        <v>30</v>
      </c>
      <c r="E448" s="48" t="str">
        <f>TEXT(Data!B448,"MMM-YYYY")</f>
        <v>Mar-2025</v>
      </c>
      <c r="F448" s="48" t="str">
        <f t="shared" si="44"/>
        <v>Q1-2025</v>
      </c>
      <c r="G448" s="38" t="s">
        <v>16</v>
      </c>
      <c r="H448" s="38" t="s">
        <v>148</v>
      </c>
      <c r="I448" s="38" t="s">
        <v>172</v>
      </c>
      <c r="J448" s="38" t="s">
        <v>48</v>
      </c>
      <c r="K448" s="38" t="s">
        <v>40</v>
      </c>
      <c r="L448" s="38" t="s">
        <v>29</v>
      </c>
      <c r="M448" s="38" t="s">
        <v>64</v>
      </c>
      <c r="N448" s="38" t="s">
        <v>996</v>
      </c>
      <c r="O448" s="48">
        <v>194.6</v>
      </c>
      <c r="P448" s="49" t="str">
        <f t="shared" si="45"/>
        <v>High</v>
      </c>
      <c r="Q448" s="48">
        <v>314.87</v>
      </c>
      <c r="R448" s="48">
        <v>0.29299999999999998</v>
      </c>
      <c r="S448" s="48">
        <v>25</v>
      </c>
      <c r="T448" s="48">
        <f t="shared" si="42"/>
        <v>28077.267750000003</v>
      </c>
      <c r="U448" s="38">
        <f t="shared" si="43"/>
        <v>4865</v>
      </c>
      <c r="V448" s="48">
        <f t="shared" si="46"/>
        <v>23212.267750000003</v>
      </c>
      <c r="W448" s="50">
        <f t="shared" si="47"/>
        <v>0.82672815448718295</v>
      </c>
    </row>
    <row r="449" spans="1:23" x14ac:dyDescent="0.3">
      <c r="A449" s="39" t="s">
        <v>997</v>
      </c>
      <c r="B449" s="40">
        <v>45446</v>
      </c>
      <c r="C449" s="41">
        <v>45467</v>
      </c>
      <c r="D449" s="42">
        <f t="shared" si="48"/>
        <v>21</v>
      </c>
      <c r="E449" s="42" t="str">
        <f>TEXT(Data!B449,"MMM-YYYY")</f>
        <v>Jun-2024</v>
      </c>
      <c r="F449" s="42" t="str">
        <f t="shared" si="44"/>
        <v>Q2-2024</v>
      </c>
      <c r="G449" s="37" t="s">
        <v>52</v>
      </c>
      <c r="H449" s="37" t="s">
        <v>53</v>
      </c>
      <c r="I449" s="37" t="s">
        <v>54</v>
      </c>
      <c r="J449" s="37" t="s">
        <v>62</v>
      </c>
      <c r="K449" s="37" t="s">
        <v>98</v>
      </c>
      <c r="L449" s="37" t="s">
        <v>41</v>
      </c>
      <c r="M449" s="37" t="s">
        <v>64</v>
      </c>
      <c r="N449" s="37" t="s">
        <v>998</v>
      </c>
      <c r="O449" s="42">
        <v>1205.5</v>
      </c>
      <c r="P449" s="43" t="str">
        <f t="shared" si="45"/>
        <v>High</v>
      </c>
      <c r="Q449" s="42">
        <v>2210.17</v>
      </c>
      <c r="R449" s="42">
        <v>0.104</v>
      </c>
      <c r="S449" s="42">
        <v>23</v>
      </c>
      <c r="T449" s="42">
        <f t="shared" ref="T449:T512" si="49">(Q475*S449)*(1-R449)</f>
        <v>27698.182399999998</v>
      </c>
      <c r="U449" s="37">
        <f t="shared" ref="U449:U512" si="50">(O449*S449)</f>
        <v>27726.5</v>
      </c>
      <c r="V449" s="42">
        <f t="shared" si="46"/>
        <v>-28.31760000000213</v>
      </c>
      <c r="W449" s="44">
        <f t="shared" si="47"/>
        <v>-1.0223631136172362E-3</v>
      </c>
    </row>
    <row r="450" spans="1:23" x14ac:dyDescent="0.3">
      <c r="A450" s="45" t="s">
        <v>999</v>
      </c>
      <c r="B450" s="46">
        <v>45454</v>
      </c>
      <c r="C450" s="47">
        <v>45482</v>
      </c>
      <c r="D450" s="48">
        <f t="shared" si="48"/>
        <v>28</v>
      </c>
      <c r="E450" s="48" t="str">
        <f>TEXT(Data!B450,"MMM-YYYY")</f>
        <v>Jun-2024</v>
      </c>
      <c r="F450" s="48" t="str">
        <f t="shared" ref="F450:F513" si="51">"Q"&amp;ROUNDUP(MONTH(B450)/3,0)&amp;"-"&amp;YEAR(B450)</f>
        <v>Q2-2024</v>
      </c>
      <c r="G450" s="38" t="s">
        <v>16</v>
      </c>
      <c r="H450" s="38" t="s">
        <v>25</v>
      </c>
      <c r="I450" s="38" t="s">
        <v>26</v>
      </c>
      <c r="J450" s="38" t="s">
        <v>19</v>
      </c>
      <c r="K450" s="38" t="s">
        <v>40</v>
      </c>
      <c r="L450" s="38" t="s">
        <v>34</v>
      </c>
      <c r="M450" s="38" t="s">
        <v>42</v>
      </c>
      <c r="N450" s="38" t="s">
        <v>1000</v>
      </c>
      <c r="O450" s="48">
        <v>895.54</v>
      </c>
      <c r="P450" s="49" t="str">
        <f t="shared" ref="P450:P513" si="52">IF(Q450&lt;50, "Low", IF(Q450&lt;200, "Medium", "High"))</f>
        <v>High</v>
      </c>
      <c r="Q450" s="48">
        <v>1045</v>
      </c>
      <c r="R450" s="48">
        <v>0.216</v>
      </c>
      <c r="S450" s="48">
        <v>15</v>
      </c>
      <c r="T450" s="48">
        <f t="shared" si="49"/>
        <v>15173.8104</v>
      </c>
      <c r="U450" s="38">
        <f t="shared" si="50"/>
        <v>13433.099999999999</v>
      </c>
      <c r="V450" s="48">
        <f t="shared" ref="V450:V513" si="53">(T450-U450)</f>
        <v>1740.7104000000018</v>
      </c>
      <c r="W450" s="50">
        <f t="shared" ref="W450:W513" si="54">IF(T450=0, 0, V450/T450)</f>
        <v>0.11471808030499721</v>
      </c>
    </row>
    <row r="451" spans="1:23" x14ac:dyDescent="0.3">
      <c r="A451" s="39" t="s">
        <v>1001</v>
      </c>
      <c r="B451" s="40">
        <v>45129</v>
      </c>
      <c r="C451" s="41">
        <v>45128</v>
      </c>
      <c r="D451" s="42">
        <f>DATEDIF(C451,B451, "MD")</f>
        <v>1</v>
      </c>
      <c r="E451" s="42" t="str">
        <f>TEXT(Data!B451,"MMM-YYYY")</f>
        <v>Jul-2023</v>
      </c>
      <c r="F451" s="42" t="str">
        <f t="shared" si="51"/>
        <v>Q3-2023</v>
      </c>
      <c r="G451" s="37" t="s">
        <v>45</v>
      </c>
      <c r="H451" s="37" t="s">
        <v>60</v>
      </c>
      <c r="I451" s="37" t="s">
        <v>141</v>
      </c>
      <c r="J451" s="37" t="s">
        <v>62</v>
      </c>
      <c r="K451" s="37" t="s">
        <v>55</v>
      </c>
      <c r="L451" s="37" t="s">
        <v>63</v>
      </c>
      <c r="M451" s="37" t="s">
        <v>30</v>
      </c>
      <c r="N451" s="37" t="s">
        <v>1002</v>
      </c>
      <c r="O451" s="42">
        <v>946.99</v>
      </c>
      <c r="P451" s="43" t="str">
        <f t="shared" si="52"/>
        <v>High</v>
      </c>
      <c r="Q451" s="42">
        <v>2132.19</v>
      </c>
      <c r="R451" s="42">
        <v>0.16500000000000001</v>
      </c>
      <c r="S451" s="42">
        <v>7</v>
      </c>
      <c r="T451" s="42">
        <f t="shared" si="49"/>
        <v>1295.1351000000002</v>
      </c>
      <c r="U451" s="37">
        <f t="shared" si="50"/>
        <v>6628.93</v>
      </c>
      <c r="V451" s="42">
        <f t="shared" si="53"/>
        <v>-5333.7948999999999</v>
      </c>
      <c r="W451" s="44">
        <f t="shared" si="54"/>
        <v>-4.1183308984522151</v>
      </c>
    </row>
    <row r="452" spans="1:23" x14ac:dyDescent="0.3">
      <c r="A452" s="45" t="s">
        <v>1003</v>
      </c>
      <c r="B452" s="46">
        <v>44945</v>
      </c>
      <c r="C452" s="47">
        <v>44960</v>
      </c>
      <c r="D452" s="48">
        <f t="shared" ref="D452:D515" si="55">DATEDIF(B452,C452, "MD")</f>
        <v>15</v>
      </c>
      <c r="E452" s="48" t="str">
        <f>TEXT(Data!B452,"MMM-YYYY")</f>
        <v>Jan-2023</v>
      </c>
      <c r="F452" s="48" t="str">
        <f t="shared" si="51"/>
        <v>Q1-2023</v>
      </c>
      <c r="G452" s="38" t="s">
        <v>78</v>
      </c>
      <c r="H452" s="38" t="s">
        <v>108</v>
      </c>
      <c r="I452" s="38" t="s">
        <v>152</v>
      </c>
      <c r="J452" s="38" t="s">
        <v>105</v>
      </c>
      <c r="K452" s="38" t="s">
        <v>55</v>
      </c>
      <c r="L452" s="38" t="s">
        <v>41</v>
      </c>
      <c r="M452" s="38" t="s">
        <v>81</v>
      </c>
      <c r="N452" s="38" t="s">
        <v>1004</v>
      </c>
      <c r="O452" s="48">
        <v>873.06</v>
      </c>
      <c r="P452" s="49" t="str">
        <f t="shared" si="52"/>
        <v>High</v>
      </c>
      <c r="Q452" s="48">
        <v>2101.5500000000002</v>
      </c>
      <c r="R452" s="48">
        <v>6.6000000000000003E-2</v>
      </c>
      <c r="S452" s="48">
        <v>10</v>
      </c>
      <c r="T452" s="48">
        <f t="shared" si="49"/>
        <v>3365.5755999999997</v>
      </c>
      <c r="U452" s="38">
        <f t="shared" si="50"/>
        <v>8730.5999999999985</v>
      </c>
      <c r="V452" s="48">
        <f t="shared" si="53"/>
        <v>-5365.0243999999984</v>
      </c>
      <c r="W452" s="50">
        <f t="shared" si="54"/>
        <v>-1.5940882148064062</v>
      </c>
    </row>
    <row r="453" spans="1:23" x14ac:dyDescent="0.3">
      <c r="A453" s="39" t="s">
        <v>1005</v>
      </c>
      <c r="B453" s="40">
        <v>45413</v>
      </c>
      <c r="C453" s="41">
        <v>45428</v>
      </c>
      <c r="D453" s="42">
        <f t="shared" si="55"/>
        <v>15</v>
      </c>
      <c r="E453" s="42" t="str">
        <f>TEXT(Data!B453,"MMM-YYYY")</f>
        <v>May-2024</v>
      </c>
      <c r="F453" s="42" t="str">
        <f t="shared" si="51"/>
        <v>Q2-2024</v>
      </c>
      <c r="G453" s="37" t="s">
        <v>45</v>
      </c>
      <c r="H453" s="37" t="s">
        <v>60</v>
      </c>
      <c r="I453" s="37" t="s">
        <v>61</v>
      </c>
      <c r="J453" s="37" t="s">
        <v>62</v>
      </c>
      <c r="K453" s="37" t="s">
        <v>20</v>
      </c>
      <c r="L453" s="37" t="s">
        <v>49</v>
      </c>
      <c r="M453" s="37" t="s">
        <v>22</v>
      </c>
      <c r="N453" s="37" t="s">
        <v>1006</v>
      </c>
      <c r="O453" s="42">
        <v>901.19</v>
      </c>
      <c r="P453" s="43" t="str">
        <f t="shared" si="52"/>
        <v>High</v>
      </c>
      <c r="Q453" s="42">
        <v>2125.44</v>
      </c>
      <c r="R453" s="42">
        <v>7.0999999999999994E-2</v>
      </c>
      <c r="S453" s="42">
        <v>12</v>
      </c>
      <c r="T453" s="42">
        <f t="shared" si="49"/>
        <v>28380.689880000002</v>
      </c>
      <c r="U453" s="37">
        <f t="shared" si="50"/>
        <v>10814.28</v>
      </c>
      <c r="V453" s="42">
        <f t="shared" si="53"/>
        <v>17566.409879999999</v>
      </c>
      <c r="W453" s="44">
        <f t="shared" si="54"/>
        <v>0.61895640853956568</v>
      </c>
    </row>
    <row r="454" spans="1:23" x14ac:dyDescent="0.3">
      <c r="A454" s="45" t="s">
        <v>1007</v>
      </c>
      <c r="B454" s="46">
        <v>45817</v>
      </c>
      <c r="C454" s="47">
        <v>45832</v>
      </c>
      <c r="D454" s="48">
        <f t="shared" si="55"/>
        <v>15</v>
      </c>
      <c r="E454" s="48" t="str">
        <f>TEXT(Data!B454,"MMM-YYYY")</f>
        <v>Jun-2025</v>
      </c>
      <c r="F454" s="48" t="str">
        <f t="shared" si="51"/>
        <v>Q2-2025</v>
      </c>
      <c r="G454" s="38" t="s">
        <v>45</v>
      </c>
      <c r="H454" s="38" t="s">
        <v>46</v>
      </c>
      <c r="I454" s="38" t="s">
        <v>231</v>
      </c>
      <c r="J454" s="38" t="s">
        <v>19</v>
      </c>
      <c r="K454" s="38" t="s">
        <v>98</v>
      </c>
      <c r="L454" s="38" t="s">
        <v>56</v>
      </c>
      <c r="M454" s="38" t="s">
        <v>42</v>
      </c>
      <c r="N454" s="38" t="s">
        <v>1008</v>
      </c>
      <c r="O454" s="48">
        <v>400.39</v>
      </c>
      <c r="P454" s="49" t="str">
        <f t="shared" si="52"/>
        <v>High</v>
      </c>
      <c r="Q454" s="48">
        <v>712.75</v>
      </c>
      <c r="R454" s="48">
        <v>0.115</v>
      </c>
      <c r="S454" s="48">
        <v>19</v>
      </c>
      <c r="T454" s="48">
        <f t="shared" si="49"/>
        <v>11761.58805</v>
      </c>
      <c r="U454" s="38">
        <f t="shared" si="50"/>
        <v>7607.41</v>
      </c>
      <c r="V454" s="48">
        <f t="shared" si="53"/>
        <v>4154.1780500000004</v>
      </c>
      <c r="W454" s="50">
        <f t="shared" si="54"/>
        <v>0.35319873747831187</v>
      </c>
    </row>
    <row r="455" spans="1:23" x14ac:dyDescent="0.3">
      <c r="A455" s="39" t="s">
        <v>1009</v>
      </c>
      <c r="B455" s="40">
        <v>45070</v>
      </c>
      <c r="C455" s="41">
        <v>45098</v>
      </c>
      <c r="D455" s="42">
        <f t="shared" si="55"/>
        <v>28</v>
      </c>
      <c r="E455" s="42" t="str">
        <f>TEXT(Data!B455,"MMM-YYYY")</f>
        <v>May-2023</v>
      </c>
      <c r="F455" s="42" t="str">
        <f t="shared" si="51"/>
        <v>Q2-2023</v>
      </c>
      <c r="G455" s="37" t="s">
        <v>52</v>
      </c>
      <c r="H455" s="37" t="s">
        <v>122</v>
      </c>
      <c r="I455" s="37" t="s">
        <v>326</v>
      </c>
      <c r="J455" s="37" t="s">
        <v>62</v>
      </c>
      <c r="K455" s="37" t="s">
        <v>40</v>
      </c>
      <c r="L455" s="37" t="s">
        <v>41</v>
      </c>
      <c r="M455" s="37" t="s">
        <v>64</v>
      </c>
      <c r="N455" s="37" t="s">
        <v>1010</v>
      </c>
      <c r="O455" s="42">
        <v>813.97</v>
      </c>
      <c r="P455" s="43" t="str">
        <f t="shared" si="52"/>
        <v>High</v>
      </c>
      <c r="Q455" s="42">
        <v>1568.83</v>
      </c>
      <c r="R455" s="42">
        <v>1.7000000000000001E-2</v>
      </c>
      <c r="S455" s="42">
        <v>15</v>
      </c>
      <c r="T455" s="42">
        <f t="shared" si="49"/>
        <v>40381.984049999999</v>
      </c>
      <c r="U455" s="37">
        <f t="shared" si="50"/>
        <v>12209.550000000001</v>
      </c>
      <c r="V455" s="42">
        <f t="shared" si="53"/>
        <v>28172.434049999996</v>
      </c>
      <c r="W455" s="44">
        <f t="shared" si="54"/>
        <v>0.69764858544636066</v>
      </c>
    </row>
    <row r="456" spans="1:23" x14ac:dyDescent="0.3">
      <c r="A456" s="45" t="s">
        <v>1011</v>
      </c>
      <c r="B456" s="46">
        <v>45653</v>
      </c>
      <c r="C456" s="47">
        <v>45655</v>
      </c>
      <c r="D456" s="48">
        <f t="shared" si="55"/>
        <v>2</v>
      </c>
      <c r="E456" s="48" t="str">
        <f>TEXT(Data!B456,"MMM-YYYY")</f>
        <v>Dec-2024</v>
      </c>
      <c r="F456" s="48" t="str">
        <f t="shared" si="51"/>
        <v>Q4-2024</v>
      </c>
      <c r="G456" s="38" t="s">
        <v>52</v>
      </c>
      <c r="H456" s="38" t="s">
        <v>53</v>
      </c>
      <c r="I456" s="38" t="s">
        <v>179</v>
      </c>
      <c r="J456" s="38" t="s">
        <v>105</v>
      </c>
      <c r="K456" s="38" t="s">
        <v>40</v>
      </c>
      <c r="L456" s="38" t="s">
        <v>21</v>
      </c>
      <c r="M456" s="38" t="s">
        <v>81</v>
      </c>
      <c r="N456" s="38" t="s">
        <v>1012</v>
      </c>
      <c r="O456" s="48">
        <v>1146.72</v>
      </c>
      <c r="P456" s="49" t="str">
        <f t="shared" si="52"/>
        <v>High</v>
      </c>
      <c r="Q456" s="48">
        <v>2074.34</v>
      </c>
      <c r="R456" s="48">
        <v>0.111</v>
      </c>
      <c r="S456" s="48">
        <v>8</v>
      </c>
      <c r="T456" s="48">
        <f t="shared" si="49"/>
        <v>674.07536000000005</v>
      </c>
      <c r="U456" s="38">
        <f t="shared" si="50"/>
        <v>9173.76</v>
      </c>
      <c r="V456" s="48">
        <f t="shared" si="53"/>
        <v>-8499.6846399999995</v>
      </c>
      <c r="W456" s="50">
        <f t="shared" si="54"/>
        <v>-12.60939821327989</v>
      </c>
    </row>
    <row r="457" spans="1:23" x14ac:dyDescent="0.3">
      <c r="A457" s="39" t="s">
        <v>1013</v>
      </c>
      <c r="B457" s="40">
        <v>45265</v>
      </c>
      <c r="C457" s="41">
        <v>45272</v>
      </c>
      <c r="D457" s="42">
        <f t="shared" si="55"/>
        <v>7</v>
      </c>
      <c r="E457" s="42" t="str">
        <f>TEXT(Data!B457,"MMM-YYYY")</f>
        <v>Dec-2023</v>
      </c>
      <c r="F457" s="42" t="str">
        <f t="shared" si="51"/>
        <v>Q4-2023</v>
      </c>
      <c r="G457" s="37" t="s">
        <v>52</v>
      </c>
      <c r="H457" s="37" t="s">
        <v>73</v>
      </c>
      <c r="I457" s="37" t="s">
        <v>87</v>
      </c>
      <c r="J457" s="37" t="s">
        <v>19</v>
      </c>
      <c r="K457" s="37" t="s">
        <v>98</v>
      </c>
      <c r="L457" s="37" t="s">
        <v>84</v>
      </c>
      <c r="M457" s="37" t="s">
        <v>42</v>
      </c>
      <c r="N457" s="37" t="s">
        <v>1014</v>
      </c>
      <c r="O457" s="42">
        <v>307.43</v>
      </c>
      <c r="P457" s="43" t="str">
        <f t="shared" si="52"/>
        <v>High</v>
      </c>
      <c r="Q457" s="42">
        <v>495.19</v>
      </c>
      <c r="R457" s="42">
        <v>0</v>
      </c>
      <c r="S457" s="42">
        <v>42</v>
      </c>
      <c r="T457" s="42">
        <f t="shared" si="49"/>
        <v>116648.7</v>
      </c>
      <c r="U457" s="37">
        <f t="shared" si="50"/>
        <v>12912.06</v>
      </c>
      <c r="V457" s="42">
        <f t="shared" si="53"/>
        <v>103736.64</v>
      </c>
      <c r="W457" s="44">
        <f t="shared" si="54"/>
        <v>0.88930815345563219</v>
      </c>
    </row>
    <row r="458" spans="1:23" x14ac:dyDescent="0.3">
      <c r="A458" s="45" t="s">
        <v>1015</v>
      </c>
      <c r="B458" s="46">
        <v>45048</v>
      </c>
      <c r="C458" s="47">
        <v>45065</v>
      </c>
      <c r="D458" s="48">
        <f t="shared" si="55"/>
        <v>17</v>
      </c>
      <c r="E458" s="48" t="str">
        <f>TEXT(Data!B458,"MMM-YYYY")</f>
        <v>May-2023</v>
      </c>
      <c r="F458" s="48" t="str">
        <f t="shared" si="51"/>
        <v>Q2-2023</v>
      </c>
      <c r="G458" s="38" t="s">
        <v>45</v>
      </c>
      <c r="H458" s="38" t="s">
        <v>116</v>
      </c>
      <c r="I458" s="38" t="s">
        <v>162</v>
      </c>
      <c r="J458" s="38" t="s">
        <v>39</v>
      </c>
      <c r="K458" s="38" t="s">
        <v>98</v>
      </c>
      <c r="L458" s="38" t="s">
        <v>29</v>
      </c>
      <c r="M458" s="38" t="s">
        <v>64</v>
      </c>
      <c r="N458" s="38" t="s">
        <v>1016</v>
      </c>
      <c r="O458" s="48">
        <v>714.28</v>
      </c>
      <c r="P458" s="49" t="str">
        <f t="shared" si="52"/>
        <v>High</v>
      </c>
      <c r="Q458" s="48">
        <v>757.59</v>
      </c>
      <c r="R458" s="48">
        <v>0.13600000000000001</v>
      </c>
      <c r="S458" s="48">
        <v>12</v>
      </c>
      <c r="T458" s="48">
        <f t="shared" si="49"/>
        <v>5102.9222399999999</v>
      </c>
      <c r="U458" s="38">
        <f t="shared" si="50"/>
        <v>8571.36</v>
      </c>
      <c r="V458" s="48">
        <f t="shared" si="53"/>
        <v>-3468.4377600000007</v>
      </c>
      <c r="W458" s="50">
        <f t="shared" si="54"/>
        <v>-0.67969637726637211</v>
      </c>
    </row>
    <row r="459" spans="1:23" x14ac:dyDescent="0.3">
      <c r="A459" s="39" t="s">
        <v>1017</v>
      </c>
      <c r="B459" s="40">
        <v>45260</v>
      </c>
      <c r="C459" s="41">
        <v>45270</v>
      </c>
      <c r="D459" s="42">
        <f t="shared" si="55"/>
        <v>10</v>
      </c>
      <c r="E459" s="42" t="str">
        <f>TEXT(Data!B459,"MMM-YYYY")</f>
        <v>Nov-2023</v>
      </c>
      <c r="F459" s="42" t="str">
        <f t="shared" si="51"/>
        <v>Q4-2023</v>
      </c>
      <c r="G459" s="37" t="s">
        <v>78</v>
      </c>
      <c r="H459" s="37" t="s">
        <v>79</v>
      </c>
      <c r="I459" s="37" t="s">
        <v>159</v>
      </c>
      <c r="J459" s="37" t="s">
        <v>62</v>
      </c>
      <c r="K459" s="37" t="s">
        <v>98</v>
      </c>
      <c r="L459" s="37" t="s">
        <v>84</v>
      </c>
      <c r="M459" s="37" t="s">
        <v>57</v>
      </c>
      <c r="N459" s="37" t="s">
        <v>1018</v>
      </c>
      <c r="O459" s="42">
        <v>174.74</v>
      </c>
      <c r="P459" s="43" t="str">
        <f t="shared" si="52"/>
        <v>High</v>
      </c>
      <c r="Q459" s="42">
        <v>415.96</v>
      </c>
      <c r="R459" s="42">
        <v>0.125</v>
      </c>
      <c r="S459" s="42">
        <v>21</v>
      </c>
      <c r="T459" s="42">
        <f t="shared" si="49"/>
        <v>35310.318749999999</v>
      </c>
      <c r="U459" s="37">
        <f t="shared" si="50"/>
        <v>3669.54</v>
      </c>
      <c r="V459" s="42">
        <f t="shared" si="53"/>
        <v>31640.778749999998</v>
      </c>
      <c r="W459" s="44">
        <f t="shared" si="54"/>
        <v>0.89607740371927391</v>
      </c>
    </row>
    <row r="460" spans="1:23" x14ac:dyDescent="0.3">
      <c r="A460" s="45" t="s">
        <v>1019</v>
      </c>
      <c r="B460" s="46">
        <v>45417</v>
      </c>
      <c r="C460" s="47">
        <v>45430</v>
      </c>
      <c r="D460" s="48">
        <f t="shared" si="55"/>
        <v>13</v>
      </c>
      <c r="E460" s="48" t="str">
        <f>TEXT(Data!B460,"MMM-YYYY")</f>
        <v>May-2024</v>
      </c>
      <c r="F460" s="48" t="str">
        <f t="shared" si="51"/>
        <v>Q2-2024</v>
      </c>
      <c r="G460" s="38" t="s">
        <v>78</v>
      </c>
      <c r="H460" s="38" t="s">
        <v>90</v>
      </c>
      <c r="I460" s="38" t="s">
        <v>91</v>
      </c>
      <c r="J460" s="38" t="s">
        <v>19</v>
      </c>
      <c r="K460" s="38" t="s">
        <v>40</v>
      </c>
      <c r="L460" s="38" t="s">
        <v>75</v>
      </c>
      <c r="M460" s="38" t="s">
        <v>22</v>
      </c>
      <c r="N460" s="38" t="s">
        <v>1020</v>
      </c>
      <c r="O460" s="48">
        <v>1264.04</v>
      </c>
      <c r="P460" s="49" t="str">
        <f t="shared" si="52"/>
        <v>High</v>
      </c>
      <c r="Q460" s="48">
        <v>1870.89</v>
      </c>
      <c r="R460" s="48">
        <v>0</v>
      </c>
      <c r="S460" s="48">
        <v>13</v>
      </c>
      <c r="T460" s="48">
        <f t="shared" si="49"/>
        <v>3774.29</v>
      </c>
      <c r="U460" s="38">
        <f t="shared" si="50"/>
        <v>16432.52</v>
      </c>
      <c r="V460" s="48">
        <f t="shared" si="53"/>
        <v>-12658.23</v>
      </c>
      <c r="W460" s="50">
        <f t="shared" si="54"/>
        <v>-3.3538042916681019</v>
      </c>
    </row>
    <row r="461" spans="1:23" x14ac:dyDescent="0.3">
      <c r="A461" s="39" t="s">
        <v>1021</v>
      </c>
      <c r="B461" s="40">
        <v>45116</v>
      </c>
      <c r="C461" s="41">
        <v>45126</v>
      </c>
      <c r="D461" s="42">
        <f t="shared" si="55"/>
        <v>10</v>
      </c>
      <c r="E461" s="42" t="str">
        <f>TEXT(Data!B461,"MMM-YYYY")</f>
        <v>Jul-2023</v>
      </c>
      <c r="F461" s="42" t="str">
        <f t="shared" si="51"/>
        <v>Q3-2023</v>
      </c>
      <c r="G461" s="37" t="s">
        <v>45</v>
      </c>
      <c r="H461" s="37" t="s">
        <v>46</v>
      </c>
      <c r="I461" s="37" t="s">
        <v>214</v>
      </c>
      <c r="J461" s="37" t="s">
        <v>105</v>
      </c>
      <c r="K461" s="37" t="s">
        <v>55</v>
      </c>
      <c r="L461" s="37" t="s">
        <v>126</v>
      </c>
      <c r="M461" s="37" t="s">
        <v>22</v>
      </c>
      <c r="N461" s="37" t="s">
        <v>1022</v>
      </c>
      <c r="O461" s="42">
        <v>141.26</v>
      </c>
      <c r="P461" s="43" t="str">
        <f t="shared" si="52"/>
        <v>High</v>
      </c>
      <c r="Q461" s="42">
        <v>206.88</v>
      </c>
      <c r="R461" s="42">
        <v>0.107</v>
      </c>
      <c r="S461" s="42">
        <v>9</v>
      </c>
      <c r="T461" s="42">
        <f t="shared" si="49"/>
        <v>4845.6680399999996</v>
      </c>
      <c r="U461" s="37">
        <f t="shared" si="50"/>
        <v>1271.3399999999999</v>
      </c>
      <c r="V461" s="42">
        <f t="shared" si="53"/>
        <v>3574.3280399999994</v>
      </c>
      <c r="W461" s="44">
        <f t="shared" si="54"/>
        <v>0.737633698902742</v>
      </c>
    </row>
    <row r="462" spans="1:23" x14ac:dyDescent="0.3">
      <c r="A462" s="45" t="s">
        <v>1023</v>
      </c>
      <c r="B462" s="46">
        <v>45063</v>
      </c>
      <c r="C462" s="47">
        <v>45092</v>
      </c>
      <c r="D462" s="48">
        <f t="shared" si="55"/>
        <v>29</v>
      </c>
      <c r="E462" s="48" t="str">
        <f>TEXT(Data!B462,"MMM-YYYY")</f>
        <v>May-2023</v>
      </c>
      <c r="F462" s="48" t="str">
        <f t="shared" si="51"/>
        <v>Q2-2023</v>
      </c>
      <c r="G462" s="38" t="s">
        <v>16</v>
      </c>
      <c r="H462" s="38" t="s">
        <v>148</v>
      </c>
      <c r="I462" s="38" t="s">
        <v>172</v>
      </c>
      <c r="J462" s="38" t="s">
        <v>105</v>
      </c>
      <c r="K462" s="38" t="s">
        <v>20</v>
      </c>
      <c r="L462" s="38" t="s">
        <v>95</v>
      </c>
      <c r="M462" s="38" t="s">
        <v>81</v>
      </c>
      <c r="N462" s="38" t="s">
        <v>1024</v>
      </c>
      <c r="O462" s="48">
        <v>40.89</v>
      </c>
      <c r="P462" s="49" t="str">
        <f t="shared" si="52"/>
        <v>Medium</v>
      </c>
      <c r="Q462" s="48">
        <v>62.82</v>
      </c>
      <c r="R462" s="48">
        <v>0.129</v>
      </c>
      <c r="S462" s="48">
        <v>17</v>
      </c>
      <c r="T462" s="48">
        <f t="shared" si="49"/>
        <v>30761.5425</v>
      </c>
      <c r="U462" s="38">
        <f t="shared" si="50"/>
        <v>695.13</v>
      </c>
      <c r="V462" s="48">
        <f t="shared" si="53"/>
        <v>30066.412499999999</v>
      </c>
      <c r="W462" s="50">
        <f t="shared" si="54"/>
        <v>0.97740262862306071</v>
      </c>
    </row>
    <row r="463" spans="1:23" x14ac:dyDescent="0.3">
      <c r="A463" s="39" t="s">
        <v>1025</v>
      </c>
      <c r="B463" s="40">
        <v>45358</v>
      </c>
      <c r="C463" s="41">
        <v>45385</v>
      </c>
      <c r="D463" s="42">
        <f t="shared" si="55"/>
        <v>27</v>
      </c>
      <c r="E463" s="42" t="str">
        <f>TEXT(Data!B463,"MMM-YYYY")</f>
        <v>Mar-2024</v>
      </c>
      <c r="F463" s="42" t="str">
        <f t="shared" si="51"/>
        <v>Q1-2024</v>
      </c>
      <c r="G463" s="37" t="s">
        <v>78</v>
      </c>
      <c r="H463" s="37" t="s">
        <v>79</v>
      </c>
      <c r="I463" s="37" t="s">
        <v>335</v>
      </c>
      <c r="J463" s="37" t="s">
        <v>19</v>
      </c>
      <c r="K463" s="37" t="s">
        <v>98</v>
      </c>
      <c r="L463" s="37" t="s">
        <v>110</v>
      </c>
      <c r="M463" s="37" t="s">
        <v>30</v>
      </c>
      <c r="N463" s="37" t="s">
        <v>1026</v>
      </c>
      <c r="O463" s="42">
        <v>738.16</v>
      </c>
      <c r="P463" s="43" t="str">
        <f t="shared" si="52"/>
        <v>High</v>
      </c>
      <c r="Q463" s="42">
        <v>956.49</v>
      </c>
      <c r="R463" s="42">
        <v>0.152</v>
      </c>
      <c r="S463" s="42">
        <v>5</v>
      </c>
      <c r="T463" s="42">
        <f t="shared" si="49"/>
        <v>733.01119999999992</v>
      </c>
      <c r="U463" s="37">
        <f t="shared" si="50"/>
        <v>3690.7999999999997</v>
      </c>
      <c r="V463" s="42">
        <f t="shared" si="53"/>
        <v>-2957.7887999999998</v>
      </c>
      <c r="W463" s="44">
        <f t="shared" si="54"/>
        <v>-4.0351208821911593</v>
      </c>
    </row>
    <row r="464" spans="1:23" x14ac:dyDescent="0.3">
      <c r="A464" s="45" t="s">
        <v>1027</v>
      </c>
      <c r="B464" s="46">
        <v>45757</v>
      </c>
      <c r="C464" s="47">
        <v>45766</v>
      </c>
      <c r="D464" s="48">
        <f t="shared" si="55"/>
        <v>9</v>
      </c>
      <c r="E464" s="48" t="str">
        <f>TEXT(Data!B464,"MMM-YYYY")</f>
        <v>Apr-2025</v>
      </c>
      <c r="F464" s="48" t="str">
        <f t="shared" si="51"/>
        <v>Q2-2025</v>
      </c>
      <c r="G464" s="38" t="s">
        <v>16</v>
      </c>
      <c r="H464" s="38" t="s">
        <v>148</v>
      </c>
      <c r="I464" s="38" t="s">
        <v>172</v>
      </c>
      <c r="J464" s="38" t="s">
        <v>105</v>
      </c>
      <c r="K464" s="38" t="s">
        <v>1364</v>
      </c>
      <c r="L464" s="38" t="s">
        <v>41</v>
      </c>
      <c r="M464" s="38" t="s">
        <v>35</v>
      </c>
      <c r="N464" s="38" t="s">
        <v>1028</v>
      </c>
      <c r="O464" s="48">
        <v>113.74</v>
      </c>
      <c r="P464" s="49" t="str">
        <f t="shared" si="52"/>
        <v>Medium</v>
      </c>
      <c r="Q464" s="48">
        <v>165.7</v>
      </c>
      <c r="R464" s="48">
        <v>0.124</v>
      </c>
      <c r="S464" s="48">
        <v>13</v>
      </c>
      <c r="T464" s="48">
        <f t="shared" si="49"/>
        <v>31644.291119999994</v>
      </c>
      <c r="U464" s="38">
        <f t="shared" si="50"/>
        <v>1478.62</v>
      </c>
      <c r="V464" s="48">
        <f t="shared" si="53"/>
        <v>30165.671119999995</v>
      </c>
      <c r="W464" s="50">
        <f t="shared" si="54"/>
        <v>0.95327372022988777</v>
      </c>
    </row>
    <row r="465" spans="1:23" x14ac:dyDescent="0.3">
      <c r="A465" s="39" t="s">
        <v>1029</v>
      </c>
      <c r="B465" s="40">
        <v>45865</v>
      </c>
      <c r="C465" s="41">
        <v>45884</v>
      </c>
      <c r="D465" s="42">
        <f t="shared" si="55"/>
        <v>19</v>
      </c>
      <c r="E465" s="42" t="str">
        <f>TEXT(Data!B465,"MMM-YYYY")</f>
        <v>Jul-2025</v>
      </c>
      <c r="F465" s="42" t="str">
        <f t="shared" si="51"/>
        <v>Q3-2025</v>
      </c>
      <c r="G465" s="37" t="s">
        <v>45</v>
      </c>
      <c r="H465" s="37" t="s">
        <v>46</v>
      </c>
      <c r="I465" s="37" t="s">
        <v>214</v>
      </c>
      <c r="J465" s="37" t="s">
        <v>62</v>
      </c>
      <c r="K465" s="37" t="s">
        <v>40</v>
      </c>
      <c r="L465" s="37" t="s">
        <v>29</v>
      </c>
      <c r="M465" s="37" t="s">
        <v>22</v>
      </c>
      <c r="N465" s="37" t="s">
        <v>1030</v>
      </c>
      <c r="O465" s="42">
        <v>275.43</v>
      </c>
      <c r="P465" s="43" t="str">
        <f t="shared" si="52"/>
        <v>High</v>
      </c>
      <c r="Q465" s="42">
        <v>608.36</v>
      </c>
      <c r="R465" s="42">
        <v>0.25700000000000001</v>
      </c>
      <c r="S465" s="42">
        <v>4</v>
      </c>
      <c r="T465" s="42">
        <f t="shared" si="49"/>
        <v>919.74484000000007</v>
      </c>
      <c r="U465" s="37">
        <f t="shared" si="50"/>
        <v>1101.72</v>
      </c>
      <c r="V465" s="42">
        <f t="shared" si="53"/>
        <v>-181.97515999999996</v>
      </c>
      <c r="W465" s="44">
        <f t="shared" si="54"/>
        <v>-0.19785396132257718</v>
      </c>
    </row>
    <row r="466" spans="1:23" x14ac:dyDescent="0.3">
      <c r="A466" s="45" t="s">
        <v>1031</v>
      </c>
      <c r="B466" s="46">
        <v>45618</v>
      </c>
      <c r="C466" s="47">
        <v>45641</v>
      </c>
      <c r="D466" s="48">
        <f t="shared" si="55"/>
        <v>23</v>
      </c>
      <c r="E466" s="48" t="str">
        <f>TEXT(Data!B466,"MMM-YYYY")</f>
        <v>Nov-2024</v>
      </c>
      <c r="F466" s="48" t="str">
        <f t="shared" si="51"/>
        <v>Q4-2024</v>
      </c>
      <c r="G466" s="38" t="s">
        <v>16</v>
      </c>
      <c r="H466" s="38" t="s">
        <v>17</v>
      </c>
      <c r="I466" s="38" t="s">
        <v>113</v>
      </c>
      <c r="J466" s="38" t="s">
        <v>39</v>
      </c>
      <c r="K466" s="38" t="s">
        <v>55</v>
      </c>
      <c r="L466" s="38" t="s">
        <v>21</v>
      </c>
      <c r="M466" s="38" t="s">
        <v>22</v>
      </c>
      <c r="N466" s="38" t="s">
        <v>1032</v>
      </c>
      <c r="O466" s="48">
        <v>1335.76</v>
      </c>
      <c r="P466" s="49" t="str">
        <f t="shared" si="52"/>
        <v>High</v>
      </c>
      <c r="Q466" s="48">
        <v>2665.91</v>
      </c>
      <c r="R466" s="48">
        <v>0.21099999999999999</v>
      </c>
      <c r="S466" s="48">
        <v>40</v>
      </c>
      <c r="T466" s="48">
        <f t="shared" si="49"/>
        <v>21031.899600000001</v>
      </c>
      <c r="U466" s="38">
        <f t="shared" si="50"/>
        <v>53430.400000000001</v>
      </c>
      <c r="V466" s="48">
        <f t="shared" si="53"/>
        <v>-32398.500400000001</v>
      </c>
      <c r="W466" s="50">
        <f t="shared" si="54"/>
        <v>-1.5404457522229709</v>
      </c>
    </row>
    <row r="467" spans="1:23" x14ac:dyDescent="0.3">
      <c r="A467" s="39" t="s">
        <v>1033</v>
      </c>
      <c r="B467" s="40">
        <v>45466</v>
      </c>
      <c r="C467" s="41">
        <v>45471</v>
      </c>
      <c r="D467" s="42">
        <f t="shared" si="55"/>
        <v>5</v>
      </c>
      <c r="E467" s="42" t="str">
        <f>TEXT(Data!B467,"MMM-YYYY")</f>
        <v>Jun-2024</v>
      </c>
      <c r="F467" s="42" t="str">
        <f t="shared" si="51"/>
        <v>Q2-2024</v>
      </c>
      <c r="G467" s="37" t="s">
        <v>16</v>
      </c>
      <c r="H467" s="37" t="s">
        <v>25</v>
      </c>
      <c r="I467" s="37" t="s">
        <v>26</v>
      </c>
      <c r="J467" s="37" t="s">
        <v>39</v>
      </c>
      <c r="K467" s="37" t="s">
        <v>98</v>
      </c>
      <c r="L467" s="37" t="s">
        <v>110</v>
      </c>
      <c r="M467" s="37" t="s">
        <v>81</v>
      </c>
      <c r="N467" s="37" t="s">
        <v>1034</v>
      </c>
      <c r="O467" s="42">
        <v>242.31</v>
      </c>
      <c r="P467" s="43" t="str">
        <f t="shared" si="52"/>
        <v>High</v>
      </c>
      <c r="Q467" s="42">
        <v>587.95000000000005</v>
      </c>
      <c r="R467" s="42">
        <v>0.22900000000000001</v>
      </c>
      <c r="S467" s="42">
        <v>6</v>
      </c>
      <c r="T467" s="42">
        <f t="shared" si="49"/>
        <v>3442.9930199999999</v>
      </c>
      <c r="U467" s="37">
        <f t="shared" si="50"/>
        <v>1453.8600000000001</v>
      </c>
      <c r="V467" s="42">
        <f t="shared" si="53"/>
        <v>1989.1330199999998</v>
      </c>
      <c r="W467" s="44">
        <f t="shared" si="54"/>
        <v>0.57773367777550699</v>
      </c>
    </row>
    <row r="468" spans="1:23" x14ac:dyDescent="0.3">
      <c r="A468" s="45" t="s">
        <v>1035</v>
      </c>
      <c r="B468" s="46">
        <v>45278</v>
      </c>
      <c r="C468" s="47">
        <v>45305</v>
      </c>
      <c r="D468" s="48">
        <f t="shared" si="55"/>
        <v>27</v>
      </c>
      <c r="E468" s="48" t="str">
        <f>TEXT(Data!B468,"MMM-YYYY")</f>
        <v>Dec-2023</v>
      </c>
      <c r="F468" s="48" t="str">
        <f t="shared" si="51"/>
        <v>Q4-2023</v>
      </c>
      <c r="G468" s="38" t="s">
        <v>45</v>
      </c>
      <c r="H468" s="38" t="s">
        <v>60</v>
      </c>
      <c r="I468" s="38" t="s">
        <v>220</v>
      </c>
      <c r="J468" s="38" t="s">
        <v>48</v>
      </c>
      <c r="K468" s="38" t="s">
        <v>55</v>
      </c>
      <c r="L468" s="38" t="s">
        <v>145</v>
      </c>
      <c r="M468" s="38" t="s">
        <v>35</v>
      </c>
      <c r="N468" s="38" t="s">
        <v>1036</v>
      </c>
      <c r="O468" s="48">
        <v>1408.3</v>
      </c>
      <c r="P468" s="49" t="str">
        <f t="shared" si="52"/>
        <v>High</v>
      </c>
      <c r="Q468" s="48">
        <v>2193.13</v>
      </c>
      <c r="R468" s="48">
        <v>7.0999999999999994E-2</v>
      </c>
      <c r="S468" s="48">
        <v>7</v>
      </c>
      <c r="T468" s="48">
        <f t="shared" si="49"/>
        <v>82.523070000000004</v>
      </c>
      <c r="U468" s="38">
        <f t="shared" si="50"/>
        <v>9858.1</v>
      </c>
      <c r="V468" s="48">
        <f t="shared" si="53"/>
        <v>-9775.5769300000011</v>
      </c>
      <c r="W468" s="50">
        <f t="shared" si="54"/>
        <v>-118.45871621111527</v>
      </c>
    </row>
    <row r="469" spans="1:23" x14ac:dyDescent="0.3">
      <c r="A469" s="39" t="s">
        <v>1037</v>
      </c>
      <c r="B469" s="40">
        <v>45809</v>
      </c>
      <c r="C469" s="41">
        <v>45813</v>
      </c>
      <c r="D469" s="42">
        <f t="shared" si="55"/>
        <v>4</v>
      </c>
      <c r="E469" s="42" t="str">
        <f>TEXT(Data!B469,"MMM-YYYY")</f>
        <v>Jun-2025</v>
      </c>
      <c r="F469" s="42" t="str">
        <f t="shared" si="51"/>
        <v>Q2-2025</v>
      </c>
      <c r="G469" s="37" t="s">
        <v>78</v>
      </c>
      <c r="H469" s="37" t="s">
        <v>79</v>
      </c>
      <c r="I469" s="37" t="s">
        <v>159</v>
      </c>
      <c r="J469" s="37" t="s">
        <v>105</v>
      </c>
      <c r="K469" s="37" t="s">
        <v>98</v>
      </c>
      <c r="L469" s="37" t="s">
        <v>110</v>
      </c>
      <c r="M469" s="37" t="s">
        <v>22</v>
      </c>
      <c r="N469" s="37" t="s">
        <v>1038</v>
      </c>
      <c r="O469" s="42">
        <v>1171.42</v>
      </c>
      <c r="P469" s="43" t="str">
        <f t="shared" si="52"/>
        <v>High</v>
      </c>
      <c r="Q469" s="42">
        <v>2187.8000000000002</v>
      </c>
      <c r="R469" s="42">
        <v>0.23</v>
      </c>
      <c r="S469" s="42">
        <v>15</v>
      </c>
      <c r="T469" s="42">
        <f t="shared" si="49"/>
        <v>7525.518</v>
      </c>
      <c r="U469" s="37">
        <f t="shared" si="50"/>
        <v>17571.300000000003</v>
      </c>
      <c r="V469" s="42">
        <f t="shared" si="53"/>
        <v>-10045.782000000003</v>
      </c>
      <c r="W469" s="44">
        <f t="shared" si="54"/>
        <v>-1.3348957506978261</v>
      </c>
    </row>
    <row r="470" spans="1:23" x14ac:dyDescent="0.3">
      <c r="A470" s="45" t="s">
        <v>1039</v>
      </c>
      <c r="B470" s="46">
        <v>45739</v>
      </c>
      <c r="C470" s="47">
        <v>45749</v>
      </c>
      <c r="D470" s="48">
        <f t="shared" si="55"/>
        <v>10</v>
      </c>
      <c r="E470" s="48" t="str">
        <f>TEXT(Data!B470,"MMM-YYYY")</f>
        <v>Mar-2025</v>
      </c>
      <c r="F470" s="48" t="str">
        <f t="shared" si="51"/>
        <v>Q1-2025</v>
      </c>
      <c r="G470" s="38" t="s">
        <v>78</v>
      </c>
      <c r="H470" s="38" t="s">
        <v>79</v>
      </c>
      <c r="I470" s="38" t="s">
        <v>80</v>
      </c>
      <c r="J470" s="38" t="s">
        <v>105</v>
      </c>
      <c r="K470" s="38" t="s">
        <v>28</v>
      </c>
      <c r="L470" s="38" t="s">
        <v>63</v>
      </c>
      <c r="M470" s="38" t="s">
        <v>30</v>
      </c>
      <c r="N470" s="38" t="s">
        <v>1040</v>
      </c>
      <c r="O470" s="48">
        <v>663.61</v>
      </c>
      <c r="P470" s="49" t="str">
        <f t="shared" si="52"/>
        <v>High</v>
      </c>
      <c r="Q470" s="48">
        <v>1002.11</v>
      </c>
      <c r="R470" s="48">
        <v>4.5999999999999999E-2</v>
      </c>
      <c r="S470" s="48">
        <v>17</v>
      </c>
      <c r="T470" s="48">
        <f t="shared" si="49"/>
        <v>12231.93996</v>
      </c>
      <c r="U470" s="38">
        <f t="shared" si="50"/>
        <v>11281.37</v>
      </c>
      <c r="V470" s="48">
        <f t="shared" si="53"/>
        <v>950.5699599999989</v>
      </c>
      <c r="W470" s="50">
        <f t="shared" si="54"/>
        <v>7.7712117874064429E-2</v>
      </c>
    </row>
    <row r="471" spans="1:23" x14ac:dyDescent="0.3">
      <c r="A471" s="39" t="s">
        <v>1041</v>
      </c>
      <c r="B471" s="40">
        <v>45060</v>
      </c>
      <c r="C471" s="41">
        <v>45068</v>
      </c>
      <c r="D471" s="42">
        <f t="shared" si="55"/>
        <v>8</v>
      </c>
      <c r="E471" s="42" t="str">
        <f>TEXT(Data!B471,"MMM-YYYY")</f>
        <v>May-2023</v>
      </c>
      <c r="F471" s="42" t="str">
        <f t="shared" si="51"/>
        <v>Q2-2023</v>
      </c>
      <c r="G471" s="37" t="s">
        <v>16</v>
      </c>
      <c r="H471" s="37" t="s">
        <v>17</v>
      </c>
      <c r="I471" s="37" t="s">
        <v>113</v>
      </c>
      <c r="J471" s="37" t="s">
        <v>62</v>
      </c>
      <c r="K471" s="37" t="s">
        <v>55</v>
      </c>
      <c r="L471" s="37" t="s">
        <v>84</v>
      </c>
      <c r="M471" s="37" t="s">
        <v>30</v>
      </c>
      <c r="N471" s="37" t="s">
        <v>1042</v>
      </c>
      <c r="O471" s="42">
        <v>432.01</v>
      </c>
      <c r="P471" s="43" t="str">
        <f t="shared" si="52"/>
        <v>High</v>
      </c>
      <c r="Q471" s="42">
        <v>913.78</v>
      </c>
      <c r="R471" s="42">
        <v>4.9000000000000002E-2</v>
      </c>
      <c r="S471" s="42">
        <v>12</v>
      </c>
      <c r="T471" s="42">
        <f t="shared" si="49"/>
        <v>34019.286120000004</v>
      </c>
      <c r="U471" s="37">
        <f t="shared" si="50"/>
        <v>5184.12</v>
      </c>
      <c r="V471" s="42">
        <f t="shared" si="53"/>
        <v>28835.166120000005</v>
      </c>
      <c r="W471" s="44">
        <f t="shared" si="54"/>
        <v>0.84761232255981278</v>
      </c>
    </row>
    <row r="472" spans="1:23" x14ac:dyDescent="0.3">
      <c r="A472" s="45" t="s">
        <v>1043</v>
      </c>
      <c r="B472" s="46">
        <v>45167</v>
      </c>
      <c r="C472" s="47">
        <v>45188</v>
      </c>
      <c r="D472" s="48">
        <f t="shared" si="55"/>
        <v>21</v>
      </c>
      <c r="E472" s="48" t="str">
        <f>TEXT(Data!B472,"MMM-YYYY")</f>
        <v>Aug-2023</v>
      </c>
      <c r="F472" s="48" t="str">
        <f t="shared" si="51"/>
        <v>Q3-2023</v>
      </c>
      <c r="G472" s="38" t="s">
        <v>78</v>
      </c>
      <c r="H472" s="38" t="s">
        <v>90</v>
      </c>
      <c r="I472" s="38" t="s">
        <v>138</v>
      </c>
      <c r="J472" s="38" t="s">
        <v>62</v>
      </c>
      <c r="K472" s="38" t="s">
        <v>98</v>
      </c>
      <c r="L472" s="38" t="s">
        <v>56</v>
      </c>
      <c r="M472" s="38" t="s">
        <v>30</v>
      </c>
      <c r="N472" s="38" t="s">
        <v>1044</v>
      </c>
      <c r="O472" s="48">
        <v>784.46</v>
      </c>
      <c r="P472" s="49" t="str">
        <f t="shared" si="52"/>
        <v>High</v>
      </c>
      <c r="Q472" s="48">
        <v>1843.51</v>
      </c>
      <c r="R472" s="48">
        <v>0.13800000000000001</v>
      </c>
      <c r="S472" s="48">
        <v>23</v>
      </c>
      <c r="T472" s="48">
        <f t="shared" si="49"/>
        <v>19353.546419999999</v>
      </c>
      <c r="U472" s="38">
        <f t="shared" si="50"/>
        <v>18042.580000000002</v>
      </c>
      <c r="V472" s="48">
        <f t="shared" si="53"/>
        <v>1310.966419999997</v>
      </c>
      <c r="W472" s="50">
        <f t="shared" si="54"/>
        <v>6.7737787770268371E-2</v>
      </c>
    </row>
    <row r="473" spans="1:23" x14ac:dyDescent="0.3">
      <c r="A473" s="39" t="s">
        <v>1045</v>
      </c>
      <c r="B473" s="40">
        <v>45841</v>
      </c>
      <c r="C473" s="41">
        <v>45861</v>
      </c>
      <c r="D473" s="42">
        <f t="shared" si="55"/>
        <v>20</v>
      </c>
      <c r="E473" s="42" t="str">
        <f>TEXT(Data!B473,"MMM-YYYY")</f>
        <v>Jul-2025</v>
      </c>
      <c r="F473" s="42" t="str">
        <f t="shared" si="51"/>
        <v>Q3-2025</v>
      </c>
      <c r="G473" s="37" t="s">
        <v>45</v>
      </c>
      <c r="H473" s="37" t="s">
        <v>116</v>
      </c>
      <c r="I473" s="37" t="s">
        <v>338</v>
      </c>
      <c r="J473" s="37" t="s">
        <v>62</v>
      </c>
      <c r="K473" s="37" t="s">
        <v>28</v>
      </c>
      <c r="L473" s="37" t="s">
        <v>110</v>
      </c>
      <c r="M473" s="37" t="s">
        <v>22</v>
      </c>
      <c r="N473" s="37" t="s">
        <v>1046</v>
      </c>
      <c r="O473" s="42">
        <v>647.36</v>
      </c>
      <c r="P473" s="43" t="str">
        <f t="shared" si="52"/>
        <v>High</v>
      </c>
      <c r="Q473" s="42">
        <v>1383.6</v>
      </c>
      <c r="R473" s="42">
        <v>7.3999999999999996E-2</v>
      </c>
      <c r="S473" s="42">
        <v>12</v>
      </c>
      <c r="T473" s="42">
        <f t="shared" si="49"/>
        <v>12733.240800000001</v>
      </c>
      <c r="U473" s="37">
        <f t="shared" si="50"/>
        <v>7768.32</v>
      </c>
      <c r="V473" s="42">
        <f t="shared" si="53"/>
        <v>4964.9208000000017</v>
      </c>
      <c r="W473" s="44">
        <f t="shared" si="54"/>
        <v>0.38991807961410746</v>
      </c>
    </row>
    <row r="474" spans="1:23" x14ac:dyDescent="0.3">
      <c r="A474" s="45" t="s">
        <v>1047</v>
      </c>
      <c r="B474" s="46">
        <v>45328</v>
      </c>
      <c r="C474" s="47">
        <v>45350</v>
      </c>
      <c r="D474" s="48">
        <f t="shared" si="55"/>
        <v>22</v>
      </c>
      <c r="E474" s="48" t="str">
        <f>TEXT(Data!B474,"MMM-YYYY")</f>
        <v>Feb-2024</v>
      </c>
      <c r="F474" s="48" t="str">
        <f t="shared" si="51"/>
        <v>Q1-2024</v>
      </c>
      <c r="G474" s="38" t="s">
        <v>16</v>
      </c>
      <c r="H474" s="38" t="s">
        <v>17</v>
      </c>
      <c r="I474" s="38" t="s">
        <v>18</v>
      </c>
      <c r="J474" s="38" t="s">
        <v>39</v>
      </c>
      <c r="K474" s="38" t="s">
        <v>28</v>
      </c>
      <c r="L474" s="38" t="s">
        <v>95</v>
      </c>
      <c r="M474" s="38" t="s">
        <v>64</v>
      </c>
      <c r="N474" s="38" t="s">
        <v>1048</v>
      </c>
      <c r="O474" s="48">
        <v>834.93</v>
      </c>
      <c r="P474" s="49" t="str">
        <f t="shared" si="52"/>
        <v>High</v>
      </c>
      <c r="Q474" s="48">
        <v>1588.53</v>
      </c>
      <c r="R474" s="48">
        <v>0.126</v>
      </c>
      <c r="S474" s="48">
        <v>6</v>
      </c>
      <c r="T474" s="48">
        <f t="shared" si="49"/>
        <v>8549.7651600000008</v>
      </c>
      <c r="U474" s="38">
        <f t="shared" si="50"/>
        <v>5009.58</v>
      </c>
      <c r="V474" s="48">
        <f t="shared" si="53"/>
        <v>3540.1851600000009</v>
      </c>
      <c r="W474" s="50">
        <f t="shared" si="54"/>
        <v>0.4140681169305942</v>
      </c>
    </row>
    <row r="475" spans="1:23" x14ac:dyDescent="0.3">
      <c r="A475" s="39" t="s">
        <v>1049</v>
      </c>
      <c r="B475" s="40">
        <v>45882</v>
      </c>
      <c r="C475" s="41">
        <v>45903</v>
      </c>
      <c r="D475" s="42">
        <f t="shared" si="55"/>
        <v>21</v>
      </c>
      <c r="E475" s="42" t="str">
        <f>TEXT(Data!B475,"MMM-YYYY")</f>
        <v>Aug-2025</v>
      </c>
      <c r="F475" s="42" t="str">
        <f t="shared" si="51"/>
        <v>Q3-2025</v>
      </c>
      <c r="G475" s="37" t="s">
        <v>78</v>
      </c>
      <c r="H475" s="37" t="s">
        <v>90</v>
      </c>
      <c r="I475" s="37" t="s">
        <v>217</v>
      </c>
      <c r="J475" s="37" t="s">
        <v>27</v>
      </c>
      <c r="K475" s="37" t="s">
        <v>20</v>
      </c>
      <c r="L475" s="37" t="s">
        <v>34</v>
      </c>
      <c r="M475" s="37" t="s">
        <v>42</v>
      </c>
      <c r="N475" s="37" t="s">
        <v>1050</v>
      </c>
      <c r="O475" s="42">
        <v>603.47</v>
      </c>
      <c r="P475" s="43" t="str">
        <f t="shared" si="52"/>
        <v>High</v>
      </c>
      <c r="Q475" s="42">
        <v>1344.05</v>
      </c>
      <c r="R475" s="42">
        <v>0.20499999999999999</v>
      </c>
      <c r="S475" s="42">
        <v>18</v>
      </c>
      <c r="T475" s="42">
        <f t="shared" si="49"/>
        <v>13790.9763</v>
      </c>
      <c r="U475" s="37">
        <f t="shared" si="50"/>
        <v>10862.460000000001</v>
      </c>
      <c r="V475" s="42">
        <f t="shared" si="53"/>
        <v>2928.5162999999993</v>
      </c>
      <c r="W475" s="44">
        <f t="shared" si="54"/>
        <v>0.21235018002315031</v>
      </c>
    </row>
    <row r="476" spans="1:23" x14ac:dyDescent="0.3">
      <c r="A476" s="45" t="s">
        <v>1051</v>
      </c>
      <c r="B476" s="46">
        <v>45069</v>
      </c>
      <c r="C476" s="47">
        <v>45071</v>
      </c>
      <c r="D476" s="48">
        <f t="shared" si="55"/>
        <v>2</v>
      </c>
      <c r="E476" s="48" t="str">
        <f>TEXT(Data!B476,"MMM-YYYY")</f>
        <v>May-2023</v>
      </c>
      <c r="F476" s="48" t="str">
        <f t="shared" si="51"/>
        <v>Q2-2023</v>
      </c>
      <c r="G476" s="38" t="s">
        <v>52</v>
      </c>
      <c r="H476" s="38" t="s">
        <v>73</v>
      </c>
      <c r="I476" s="38" t="s">
        <v>225</v>
      </c>
      <c r="J476" s="38" t="s">
        <v>105</v>
      </c>
      <c r="K476" s="38" t="s">
        <v>20</v>
      </c>
      <c r="L476" s="38" t="s">
        <v>110</v>
      </c>
      <c r="M476" s="38" t="s">
        <v>30</v>
      </c>
      <c r="N476" s="38" t="s">
        <v>1052</v>
      </c>
      <c r="O476" s="48">
        <v>690.49</v>
      </c>
      <c r="P476" s="49" t="str">
        <f t="shared" si="52"/>
        <v>High</v>
      </c>
      <c r="Q476" s="48">
        <v>1290.29</v>
      </c>
      <c r="R476" s="48">
        <v>4.2000000000000003E-2</v>
      </c>
      <c r="S476" s="48">
        <v>22</v>
      </c>
      <c r="T476" s="48">
        <f t="shared" si="49"/>
        <v>18794.101480000001</v>
      </c>
      <c r="U476" s="38">
        <f t="shared" si="50"/>
        <v>15190.78</v>
      </c>
      <c r="V476" s="48">
        <f t="shared" si="53"/>
        <v>3603.3214800000005</v>
      </c>
      <c r="W476" s="50">
        <f t="shared" si="54"/>
        <v>0.19172619046643566</v>
      </c>
    </row>
    <row r="477" spans="1:23" x14ac:dyDescent="0.3">
      <c r="A477" s="39" t="s">
        <v>1053</v>
      </c>
      <c r="B477" s="40">
        <v>45422</v>
      </c>
      <c r="C477" s="41">
        <v>45428</v>
      </c>
      <c r="D477" s="42">
        <f t="shared" si="55"/>
        <v>6</v>
      </c>
      <c r="E477" s="42" t="str">
        <f>TEXT(Data!B477,"MMM-YYYY")</f>
        <v>May-2024</v>
      </c>
      <c r="F477" s="42" t="str">
        <f t="shared" si="51"/>
        <v>Q2-2024</v>
      </c>
      <c r="G477" s="37" t="s">
        <v>78</v>
      </c>
      <c r="H477" s="37" t="s">
        <v>108</v>
      </c>
      <c r="I477" s="37" t="s">
        <v>109</v>
      </c>
      <c r="J477" s="37" t="s">
        <v>39</v>
      </c>
      <c r="K477" s="37" t="s">
        <v>98</v>
      </c>
      <c r="L477" s="37" t="s">
        <v>41</v>
      </c>
      <c r="M477" s="37" t="s">
        <v>57</v>
      </c>
      <c r="N477" s="37" t="s">
        <v>1054</v>
      </c>
      <c r="O477" s="42">
        <v>210.76</v>
      </c>
      <c r="P477" s="43" t="str">
        <f t="shared" si="52"/>
        <v>High</v>
      </c>
      <c r="Q477" s="42">
        <v>221.58</v>
      </c>
      <c r="R477" s="42">
        <v>8.8999999999999996E-2</v>
      </c>
      <c r="S477" s="42">
        <v>5</v>
      </c>
      <c r="T477" s="42">
        <f t="shared" si="49"/>
        <v>7596.9201000000003</v>
      </c>
      <c r="U477" s="37">
        <f t="shared" si="50"/>
        <v>1053.8</v>
      </c>
      <c r="V477" s="42">
        <f t="shared" si="53"/>
        <v>6543.1201000000001</v>
      </c>
      <c r="W477" s="44">
        <f t="shared" si="54"/>
        <v>0.86128589137063583</v>
      </c>
    </row>
    <row r="478" spans="1:23" x14ac:dyDescent="0.3">
      <c r="A478" s="45" t="s">
        <v>1055</v>
      </c>
      <c r="B478" s="46">
        <v>44999</v>
      </c>
      <c r="C478" s="47">
        <v>45003</v>
      </c>
      <c r="D478" s="48">
        <f t="shared" si="55"/>
        <v>4</v>
      </c>
      <c r="E478" s="48" t="str">
        <f>TEXT(Data!B478,"MMM-YYYY")</f>
        <v>Mar-2023</v>
      </c>
      <c r="F478" s="48" t="str">
        <f t="shared" si="51"/>
        <v>Q1-2023</v>
      </c>
      <c r="G478" s="38" t="s">
        <v>78</v>
      </c>
      <c r="H478" s="38" t="s">
        <v>79</v>
      </c>
      <c r="I478" s="38" t="s">
        <v>335</v>
      </c>
      <c r="J478" s="38" t="s">
        <v>105</v>
      </c>
      <c r="K478" s="38" t="s">
        <v>98</v>
      </c>
      <c r="L478" s="38" t="s">
        <v>75</v>
      </c>
      <c r="M478" s="38" t="s">
        <v>22</v>
      </c>
      <c r="N478" s="38" t="s">
        <v>1056</v>
      </c>
      <c r="O478" s="48">
        <v>472.33</v>
      </c>
      <c r="P478" s="49" t="str">
        <f t="shared" si="52"/>
        <v>High</v>
      </c>
      <c r="Q478" s="48">
        <v>360.34</v>
      </c>
      <c r="R478" s="48">
        <v>0.16500000000000001</v>
      </c>
      <c r="S478" s="48">
        <v>14</v>
      </c>
      <c r="T478" s="48">
        <f t="shared" si="49"/>
        <v>22462.4519</v>
      </c>
      <c r="U478" s="38">
        <f t="shared" si="50"/>
        <v>6612.62</v>
      </c>
      <c r="V478" s="48">
        <f t="shared" si="53"/>
        <v>15849.831900000001</v>
      </c>
      <c r="W478" s="50">
        <f t="shared" si="54"/>
        <v>0.70561450595693875</v>
      </c>
    </row>
    <row r="479" spans="1:23" x14ac:dyDescent="0.3">
      <c r="A479" s="39" t="s">
        <v>1057</v>
      </c>
      <c r="B479" s="40">
        <v>45123</v>
      </c>
      <c r="C479" s="41">
        <v>45151</v>
      </c>
      <c r="D479" s="42">
        <f t="shared" si="55"/>
        <v>28</v>
      </c>
      <c r="E479" s="42" t="str">
        <f>TEXT(Data!B479,"MMM-YYYY")</f>
        <v>Jul-2023</v>
      </c>
      <c r="F479" s="42" t="str">
        <f t="shared" si="51"/>
        <v>Q3-2023</v>
      </c>
      <c r="G479" s="37" t="s">
        <v>78</v>
      </c>
      <c r="H479" s="37" t="s">
        <v>108</v>
      </c>
      <c r="I479" s="37" t="s">
        <v>228</v>
      </c>
      <c r="J479" s="37" t="s">
        <v>39</v>
      </c>
      <c r="K479" s="37" t="s">
        <v>28</v>
      </c>
      <c r="L479" s="37" t="s">
        <v>29</v>
      </c>
      <c r="M479" s="37" t="s">
        <v>57</v>
      </c>
      <c r="N479" s="37" t="s">
        <v>1058</v>
      </c>
      <c r="O479" s="42">
        <v>1039.03</v>
      </c>
      <c r="P479" s="43" t="str">
        <f t="shared" si="52"/>
        <v>High</v>
      </c>
      <c r="Q479" s="42">
        <v>2545.81</v>
      </c>
      <c r="R479" s="42">
        <v>0.216</v>
      </c>
      <c r="S479" s="42">
        <v>21</v>
      </c>
      <c r="T479" s="42">
        <f t="shared" si="49"/>
        <v>20043.767520000001</v>
      </c>
      <c r="U479" s="37">
        <f t="shared" si="50"/>
        <v>21819.63</v>
      </c>
      <c r="V479" s="42">
        <f t="shared" si="53"/>
        <v>-1775.8624799999998</v>
      </c>
      <c r="W479" s="44">
        <f t="shared" si="54"/>
        <v>-8.8599235559283701E-2</v>
      </c>
    </row>
    <row r="480" spans="1:23" x14ac:dyDescent="0.3">
      <c r="A480" s="45" t="s">
        <v>1059</v>
      </c>
      <c r="B480" s="46">
        <v>45032</v>
      </c>
      <c r="C480" s="47">
        <v>45035</v>
      </c>
      <c r="D480" s="48">
        <f t="shared" si="55"/>
        <v>3</v>
      </c>
      <c r="E480" s="48" t="str">
        <f>TEXT(Data!B480,"MMM-YYYY")</f>
        <v>Apr-2023</v>
      </c>
      <c r="F480" s="48" t="str">
        <f t="shared" si="51"/>
        <v>Q2-2023</v>
      </c>
      <c r="G480" s="38" t="s">
        <v>78</v>
      </c>
      <c r="H480" s="38" t="s">
        <v>79</v>
      </c>
      <c r="I480" s="38" t="s">
        <v>159</v>
      </c>
      <c r="J480" s="38" t="s">
        <v>19</v>
      </c>
      <c r="K480" s="38" t="s">
        <v>98</v>
      </c>
      <c r="L480" s="38" t="s">
        <v>56</v>
      </c>
      <c r="M480" s="38" t="s">
        <v>81</v>
      </c>
      <c r="N480" s="38" t="s">
        <v>1060</v>
      </c>
      <c r="O480" s="48">
        <v>553.61</v>
      </c>
      <c r="P480" s="49" t="str">
        <f t="shared" si="52"/>
        <v>High</v>
      </c>
      <c r="Q480" s="48">
        <v>699.47</v>
      </c>
      <c r="R480" s="48">
        <v>0.02</v>
      </c>
      <c r="S480" s="48">
        <v>33</v>
      </c>
      <c r="T480" s="48">
        <f t="shared" si="49"/>
        <v>31378.531800000001</v>
      </c>
      <c r="U480" s="38">
        <f t="shared" si="50"/>
        <v>18269.13</v>
      </c>
      <c r="V480" s="48">
        <f t="shared" si="53"/>
        <v>13109.4018</v>
      </c>
      <c r="W480" s="50">
        <f t="shared" si="54"/>
        <v>0.41778251078018885</v>
      </c>
    </row>
    <row r="481" spans="1:23" x14ac:dyDescent="0.3">
      <c r="A481" s="39" t="s">
        <v>1061</v>
      </c>
      <c r="B481" s="40">
        <v>45293</v>
      </c>
      <c r="C481" s="41">
        <v>45306</v>
      </c>
      <c r="D481" s="42">
        <f t="shared" si="55"/>
        <v>13</v>
      </c>
      <c r="E481" s="42" t="str">
        <f>TEXT(Data!B481,"MMM-YYYY")</f>
        <v>Jan-2024</v>
      </c>
      <c r="F481" s="42" t="str">
        <f t="shared" si="51"/>
        <v>Q1-2024</v>
      </c>
      <c r="G481" s="37" t="s">
        <v>45</v>
      </c>
      <c r="H481" s="37" t="s">
        <v>46</v>
      </c>
      <c r="I481" s="37" t="s">
        <v>231</v>
      </c>
      <c r="J481" s="37" t="s">
        <v>62</v>
      </c>
      <c r="K481" s="37" t="s">
        <v>40</v>
      </c>
      <c r="L481" s="37" t="s">
        <v>41</v>
      </c>
      <c r="M481" s="37" t="s">
        <v>35</v>
      </c>
      <c r="N481" s="37" t="s">
        <v>1062</v>
      </c>
      <c r="O481" s="42">
        <v>1219.06</v>
      </c>
      <c r="P481" s="43" t="str">
        <f t="shared" si="52"/>
        <v>High</v>
      </c>
      <c r="Q481" s="42">
        <v>2738.69</v>
      </c>
      <c r="R481" s="42">
        <v>7.5999999999999998E-2</v>
      </c>
      <c r="S481" s="42">
        <v>16</v>
      </c>
      <c r="T481" s="42">
        <f t="shared" si="49"/>
        <v>24019.121280000003</v>
      </c>
      <c r="U481" s="37">
        <f t="shared" si="50"/>
        <v>19504.96</v>
      </c>
      <c r="V481" s="42">
        <f t="shared" si="53"/>
        <v>4514.1612800000039</v>
      </c>
      <c r="W481" s="44">
        <f t="shared" si="54"/>
        <v>0.18794031752355611</v>
      </c>
    </row>
    <row r="482" spans="1:23" x14ac:dyDescent="0.3">
      <c r="A482" s="45" t="s">
        <v>1063</v>
      </c>
      <c r="B482" s="46">
        <v>45538</v>
      </c>
      <c r="C482" s="47">
        <v>45542</v>
      </c>
      <c r="D482" s="48">
        <f t="shared" si="55"/>
        <v>4</v>
      </c>
      <c r="E482" s="48" t="str">
        <f>TEXT(Data!B482,"MMM-YYYY")</f>
        <v>Sept-2024</v>
      </c>
      <c r="F482" s="48" t="str">
        <f t="shared" si="51"/>
        <v>Q3-2024</v>
      </c>
      <c r="G482" s="38" t="s">
        <v>45</v>
      </c>
      <c r="H482" s="38" t="s">
        <v>46</v>
      </c>
      <c r="I482" s="38" t="s">
        <v>214</v>
      </c>
      <c r="J482" s="38" t="s">
        <v>62</v>
      </c>
      <c r="K482" s="38" t="s">
        <v>55</v>
      </c>
      <c r="L482" s="38" t="s">
        <v>126</v>
      </c>
      <c r="M482" s="38" t="s">
        <v>30</v>
      </c>
      <c r="N482" s="38" t="s">
        <v>1064</v>
      </c>
      <c r="O482" s="48">
        <v>43.23</v>
      </c>
      <c r="P482" s="49" t="str">
        <f t="shared" si="52"/>
        <v>Medium</v>
      </c>
      <c r="Q482" s="48">
        <v>94.78</v>
      </c>
      <c r="R482" s="48">
        <v>9.0999999999999998E-2</v>
      </c>
      <c r="S482" s="48">
        <v>55</v>
      </c>
      <c r="T482" s="48">
        <f t="shared" si="49"/>
        <v>130292.46945000002</v>
      </c>
      <c r="U482" s="38">
        <f t="shared" si="50"/>
        <v>2377.6499999999996</v>
      </c>
      <c r="V482" s="48">
        <f t="shared" si="53"/>
        <v>127914.81945000002</v>
      </c>
      <c r="W482" s="50">
        <f t="shared" si="54"/>
        <v>0.98175143958790023</v>
      </c>
    </row>
    <row r="483" spans="1:23" x14ac:dyDescent="0.3">
      <c r="A483" s="39" t="s">
        <v>1065</v>
      </c>
      <c r="B483" s="40">
        <v>45899</v>
      </c>
      <c r="C483" s="41">
        <v>45903</v>
      </c>
      <c r="D483" s="42">
        <f t="shared" si="55"/>
        <v>4</v>
      </c>
      <c r="E483" s="42" t="str">
        <f>TEXT(Data!B483,"MMM-YYYY")</f>
        <v>Aug-2025</v>
      </c>
      <c r="F483" s="42" t="str">
        <f t="shared" si="51"/>
        <v>Q3-2025</v>
      </c>
      <c r="G483" s="37" t="s">
        <v>78</v>
      </c>
      <c r="H483" s="37" t="s">
        <v>90</v>
      </c>
      <c r="I483" s="37" t="s">
        <v>91</v>
      </c>
      <c r="J483" s="37" t="s">
        <v>62</v>
      </c>
      <c r="K483" s="37" t="s">
        <v>40</v>
      </c>
      <c r="L483" s="37" t="s">
        <v>29</v>
      </c>
      <c r="M483" s="37" t="s">
        <v>57</v>
      </c>
      <c r="N483" s="37" t="s">
        <v>1066</v>
      </c>
      <c r="O483" s="42">
        <v>1286.56</v>
      </c>
      <c r="P483" s="43" t="str">
        <f t="shared" si="52"/>
        <v>High</v>
      </c>
      <c r="Q483" s="42">
        <v>2777.35</v>
      </c>
      <c r="R483" s="42">
        <v>0.13200000000000001</v>
      </c>
      <c r="S483" s="42">
        <v>15</v>
      </c>
      <c r="T483" s="42">
        <f t="shared" si="49"/>
        <v>5660.0544</v>
      </c>
      <c r="U483" s="37">
        <f t="shared" si="50"/>
        <v>19298.399999999998</v>
      </c>
      <c r="V483" s="42">
        <f t="shared" si="53"/>
        <v>-13638.345599999997</v>
      </c>
      <c r="W483" s="44">
        <f t="shared" si="54"/>
        <v>-2.4095785369130014</v>
      </c>
    </row>
    <row r="484" spans="1:23" x14ac:dyDescent="0.3">
      <c r="A484" s="45" t="s">
        <v>1067</v>
      </c>
      <c r="B484" s="46">
        <v>45775</v>
      </c>
      <c r="C484" s="47">
        <v>45796</v>
      </c>
      <c r="D484" s="48">
        <f t="shared" si="55"/>
        <v>21</v>
      </c>
      <c r="E484" s="48" t="str">
        <f>TEXT(Data!B484,"MMM-YYYY")</f>
        <v>Apr-2025</v>
      </c>
      <c r="F484" s="48" t="str">
        <f t="shared" si="51"/>
        <v>Q2-2025</v>
      </c>
      <c r="G484" s="38" t="s">
        <v>78</v>
      </c>
      <c r="H484" s="38" t="s">
        <v>79</v>
      </c>
      <c r="I484" s="38" t="s">
        <v>80</v>
      </c>
      <c r="J484" s="38" t="s">
        <v>19</v>
      </c>
      <c r="K484" s="38" t="s">
        <v>55</v>
      </c>
      <c r="L484" s="38" t="s">
        <v>56</v>
      </c>
      <c r="M484" s="38" t="s">
        <v>42</v>
      </c>
      <c r="N484" s="38" t="s">
        <v>1068</v>
      </c>
      <c r="O484" s="48">
        <v>350.76</v>
      </c>
      <c r="P484" s="49" t="str">
        <f t="shared" si="52"/>
        <v>High</v>
      </c>
      <c r="Q484" s="48">
        <v>492.18</v>
      </c>
      <c r="R484" s="48">
        <v>5.2999999999999999E-2</v>
      </c>
      <c r="S484" s="48">
        <v>11</v>
      </c>
      <c r="T484" s="48">
        <f t="shared" si="49"/>
        <v>19379.89097</v>
      </c>
      <c r="U484" s="38">
        <f t="shared" si="50"/>
        <v>3858.3599999999997</v>
      </c>
      <c r="V484" s="48">
        <f t="shared" si="53"/>
        <v>15521.53097</v>
      </c>
      <c r="W484" s="50">
        <f t="shared" si="54"/>
        <v>0.80090909665215726</v>
      </c>
    </row>
    <row r="485" spans="1:23" x14ac:dyDescent="0.3">
      <c r="A485" s="39" t="s">
        <v>1069</v>
      </c>
      <c r="B485" s="40">
        <v>45148</v>
      </c>
      <c r="C485" s="41">
        <v>45153</v>
      </c>
      <c r="D485" s="42">
        <f t="shared" si="55"/>
        <v>5</v>
      </c>
      <c r="E485" s="42" t="str">
        <f>TEXT(Data!B485,"MMM-YYYY")</f>
        <v>Aug-2023</v>
      </c>
      <c r="F485" s="42" t="str">
        <f t="shared" si="51"/>
        <v>Q3-2023</v>
      </c>
      <c r="G485" s="37" t="s">
        <v>52</v>
      </c>
      <c r="H485" s="37" t="s">
        <v>73</v>
      </c>
      <c r="I485" s="37" t="s">
        <v>74</v>
      </c>
      <c r="J485" s="37" t="s">
        <v>27</v>
      </c>
      <c r="K485" s="37" t="s">
        <v>98</v>
      </c>
      <c r="L485" s="37" t="s">
        <v>41</v>
      </c>
      <c r="M485" s="37" t="s">
        <v>35</v>
      </c>
      <c r="N485" s="37" t="s">
        <v>1070</v>
      </c>
      <c r="O485" s="42">
        <v>1307.52</v>
      </c>
      <c r="P485" s="43" t="str">
        <f t="shared" si="52"/>
        <v>High</v>
      </c>
      <c r="Q485" s="42">
        <v>1921.65</v>
      </c>
      <c r="R485" s="42">
        <v>0.123</v>
      </c>
      <c r="S485" s="42">
        <v>13</v>
      </c>
      <c r="T485" s="42">
        <f t="shared" si="49"/>
        <v>9504.8996900000002</v>
      </c>
      <c r="U485" s="37">
        <f t="shared" si="50"/>
        <v>16997.759999999998</v>
      </c>
      <c r="V485" s="42">
        <f t="shared" si="53"/>
        <v>-7492.8603099999982</v>
      </c>
      <c r="W485" s="44">
        <f t="shared" si="54"/>
        <v>-0.78831555875157244</v>
      </c>
    </row>
    <row r="486" spans="1:23" x14ac:dyDescent="0.3">
      <c r="A486" s="45" t="s">
        <v>1071</v>
      </c>
      <c r="B486" s="46">
        <v>45634</v>
      </c>
      <c r="C486" s="47">
        <v>45634</v>
      </c>
      <c r="D486" s="48">
        <f t="shared" si="55"/>
        <v>0</v>
      </c>
      <c r="E486" s="48" t="str">
        <f>TEXT(Data!B486,"MMM-YYYY")</f>
        <v>Dec-2024</v>
      </c>
      <c r="F486" s="48" t="str">
        <f t="shared" si="51"/>
        <v>Q4-2024</v>
      </c>
      <c r="G486" s="38" t="s">
        <v>78</v>
      </c>
      <c r="H486" s="38" t="s">
        <v>90</v>
      </c>
      <c r="I486" s="38" t="s">
        <v>138</v>
      </c>
      <c r="J486" s="38" t="s">
        <v>105</v>
      </c>
      <c r="K486" s="38" t="s">
        <v>20</v>
      </c>
      <c r="L486" s="38" t="s">
        <v>92</v>
      </c>
      <c r="M486" s="38" t="s">
        <v>22</v>
      </c>
      <c r="N486" s="38" t="s">
        <v>1072</v>
      </c>
      <c r="O486" s="48">
        <v>257.44</v>
      </c>
      <c r="P486" s="49" t="str">
        <f t="shared" si="52"/>
        <v>High</v>
      </c>
      <c r="Q486" s="48">
        <v>290.33</v>
      </c>
      <c r="R486" s="48">
        <v>9.1999999999999998E-2</v>
      </c>
      <c r="S486" s="48">
        <v>23</v>
      </c>
      <c r="T486" s="48">
        <f t="shared" si="49"/>
        <v>6964.3963200000007</v>
      </c>
      <c r="U486" s="38">
        <f t="shared" si="50"/>
        <v>5921.12</v>
      </c>
      <c r="V486" s="48">
        <f t="shared" si="53"/>
        <v>1043.2763200000009</v>
      </c>
      <c r="W486" s="50">
        <f t="shared" si="54"/>
        <v>0.14980140015926044</v>
      </c>
    </row>
    <row r="487" spans="1:23" x14ac:dyDescent="0.3">
      <c r="A487" s="39" t="s">
        <v>1073</v>
      </c>
      <c r="B487" s="40">
        <v>45224</v>
      </c>
      <c r="C487" s="41">
        <v>45254</v>
      </c>
      <c r="D487" s="42">
        <f t="shared" si="55"/>
        <v>30</v>
      </c>
      <c r="E487" s="42" t="str">
        <f>TEXT(Data!B487,"MMM-YYYY")</f>
        <v>Oct-2023</v>
      </c>
      <c r="F487" s="42" t="str">
        <f t="shared" si="51"/>
        <v>Q4-2023</v>
      </c>
      <c r="G487" s="37" t="s">
        <v>78</v>
      </c>
      <c r="H487" s="37" t="s">
        <v>90</v>
      </c>
      <c r="I487" s="37" t="s">
        <v>217</v>
      </c>
      <c r="J487" s="37" t="s">
        <v>105</v>
      </c>
      <c r="K487" s="37" t="s">
        <v>55</v>
      </c>
      <c r="L487" s="37" t="s">
        <v>21</v>
      </c>
      <c r="M487" s="37" t="s">
        <v>42</v>
      </c>
      <c r="N487" s="37" t="s">
        <v>1074</v>
      </c>
      <c r="O487" s="42">
        <v>287.85000000000002</v>
      </c>
      <c r="P487" s="43" t="str">
        <f t="shared" si="52"/>
        <v>High</v>
      </c>
      <c r="Q487" s="42">
        <v>602.91999999999996</v>
      </c>
      <c r="R487" s="42">
        <v>0.222</v>
      </c>
      <c r="S487" s="42">
        <v>11</v>
      </c>
      <c r="T487" s="42">
        <f t="shared" si="49"/>
        <v>15273.462600000001</v>
      </c>
      <c r="U487" s="37">
        <f t="shared" si="50"/>
        <v>3166.3500000000004</v>
      </c>
      <c r="V487" s="42">
        <f t="shared" si="53"/>
        <v>12107.1126</v>
      </c>
      <c r="W487" s="44">
        <f t="shared" si="54"/>
        <v>0.79268944554851628</v>
      </c>
    </row>
    <row r="488" spans="1:23" x14ac:dyDescent="0.3">
      <c r="A488" s="45" t="s">
        <v>1075</v>
      </c>
      <c r="B488" s="46">
        <v>45613</v>
      </c>
      <c r="C488" s="47">
        <v>45624</v>
      </c>
      <c r="D488" s="48">
        <f t="shared" si="55"/>
        <v>11</v>
      </c>
      <c r="E488" s="48" t="str">
        <f>TEXT(Data!B488,"MMM-YYYY")</f>
        <v>Nov-2024</v>
      </c>
      <c r="F488" s="48" t="str">
        <f t="shared" si="51"/>
        <v>Q4-2024</v>
      </c>
      <c r="G488" s="38" t="s">
        <v>52</v>
      </c>
      <c r="H488" s="38" t="s">
        <v>53</v>
      </c>
      <c r="I488" s="38" t="s">
        <v>1364</v>
      </c>
      <c r="J488" s="38" t="s">
        <v>48</v>
      </c>
      <c r="K488" s="38" t="s">
        <v>55</v>
      </c>
      <c r="L488" s="38" t="s">
        <v>75</v>
      </c>
      <c r="M488" s="38" t="s">
        <v>30</v>
      </c>
      <c r="N488" s="38" t="s">
        <v>1076</v>
      </c>
      <c r="O488" s="48">
        <v>1008.16</v>
      </c>
      <c r="P488" s="49" t="str">
        <f t="shared" si="52"/>
        <v>High</v>
      </c>
      <c r="Q488" s="48">
        <v>2077.5</v>
      </c>
      <c r="R488" s="48">
        <v>7.3999999999999996E-2</v>
      </c>
      <c r="S488" s="48">
        <v>15</v>
      </c>
      <c r="T488" s="48">
        <f t="shared" si="49"/>
        <v>14894.108099999999</v>
      </c>
      <c r="U488" s="38">
        <f t="shared" si="50"/>
        <v>15122.4</v>
      </c>
      <c r="V488" s="48">
        <f t="shared" si="53"/>
        <v>-228.29190000000017</v>
      </c>
      <c r="W488" s="50">
        <f t="shared" si="54"/>
        <v>-1.5327665038230801E-2</v>
      </c>
    </row>
    <row r="489" spans="1:23" x14ac:dyDescent="0.3">
      <c r="A489" s="39" t="s">
        <v>1077</v>
      </c>
      <c r="B489" s="40">
        <v>45424</v>
      </c>
      <c r="C489" s="41">
        <v>45436</v>
      </c>
      <c r="D489" s="42">
        <f t="shared" si="55"/>
        <v>12</v>
      </c>
      <c r="E489" s="42" t="str">
        <f>TEXT(Data!B489,"MMM-YYYY")</f>
        <v>May-2024</v>
      </c>
      <c r="F489" s="42" t="str">
        <f t="shared" si="51"/>
        <v>Q2-2024</v>
      </c>
      <c r="G489" s="37" t="s">
        <v>78</v>
      </c>
      <c r="H489" s="37" t="s">
        <v>108</v>
      </c>
      <c r="I489" s="37" t="s">
        <v>228</v>
      </c>
      <c r="J489" s="37" t="s">
        <v>27</v>
      </c>
      <c r="K489" s="37" t="s">
        <v>40</v>
      </c>
      <c r="L489" s="37" t="s">
        <v>95</v>
      </c>
      <c r="M489" s="37" t="s">
        <v>30</v>
      </c>
      <c r="N489" s="37" t="s">
        <v>1078</v>
      </c>
      <c r="O489" s="42">
        <v>111.02</v>
      </c>
      <c r="P489" s="43" t="str">
        <f t="shared" si="52"/>
        <v>Medium</v>
      </c>
      <c r="Q489" s="42">
        <v>172.88</v>
      </c>
      <c r="R489" s="42">
        <v>0.19700000000000001</v>
      </c>
      <c r="S489" s="42">
        <v>29</v>
      </c>
      <c r="T489" s="42">
        <f t="shared" si="49"/>
        <v>70514.200349999999</v>
      </c>
      <c r="U489" s="37">
        <f t="shared" si="50"/>
        <v>3219.58</v>
      </c>
      <c r="V489" s="42">
        <f t="shared" si="53"/>
        <v>67294.620349999997</v>
      </c>
      <c r="W489" s="44">
        <f t="shared" si="54"/>
        <v>0.95434139529315387</v>
      </c>
    </row>
    <row r="490" spans="1:23" x14ac:dyDescent="0.3">
      <c r="A490" s="45" t="s">
        <v>1079</v>
      </c>
      <c r="B490" s="46">
        <v>45792</v>
      </c>
      <c r="C490" s="47">
        <v>45813</v>
      </c>
      <c r="D490" s="48">
        <f t="shared" si="55"/>
        <v>21</v>
      </c>
      <c r="E490" s="48" t="str">
        <f>TEXT(Data!B490,"MMM-YYYY")</f>
        <v>May-2025</v>
      </c>
      <c r="F490" s="48" t="str">
        <f t="shared" si="51"/>
        <v>Q2-2025</v>
      </c>
      <c r="G490" s="38" t="s">
        <v>45</v>
      </c>
      <c r="H490" s="38" t="s">
        <v>46</v>
      </c>
      <c r="I490" s="38" t="s">
        <v>47</v>
      </c>
      <c r="J490" s="38" t="s">
        <v>105</v>
      </c>
      <c r="K490" s="38" t="s">
        <v>98</v>
      </c>
      <c r="L490" s="38" t="s">
        <v>92</v>
      </c>
      <c r="M490" s="38" t="s">
        <v>42</v>
      </c>
      <c r="N490" s="38" t="s">
        <v>1080</v>
      </c>
      <c r="O490" s="48">
        <v>1466.5</v>
      </c>
      <c r="P490" s="49" t="str">
        <f t="shared" si="52"/>
        <v>High</v>
      </c>
      <c r="Q490" s="48">
        <v>2778.74</v>
      </c>
      <c r="R490" s="48">
        <v>0.13500000000000001</v>
      </c>
      <c r="S490" s="48">
        <v>4</v>
      </c>
      <c r="T490" s="48">
        <f t="shared" si="49"/>
        <v>3415.8503999999998</v>
      </c>
      <c r="U490" s="38">
        <f t="shared" si="50"/>
        <v>5866</v>
      </c>
      <c r="V490" s="48">
        <f t="shared" si="53"/>
        <v>-2450.1496000000002</v>
      </c>
      <c r="W490" s="50">
        <f t="shared" si="54"/>
        <v>-0.71728832152602473</v>
      </c>
    </row>
    <row r="491" spans="1:23" x14ac:dyDescent="0.3">
      <c r="A491" s="39" t="s">
        <v>1081</v>
      </c>
      <c r="B491" s="40">
        <v>45403</v>
      </c>
      <c r="C491" s="41">
        <v>45431</v>
      </c>
      <c r="D491" s="42">
        <f t="shared" si="55"/>
        <v>28</v>
      </c>
      <c r="E491" s="42" t="str">
        <f>TEXT(Data!B491,"MMM-YYYY")</f>
        <v>Apr-2024</v>
      </c>
      <c r="F491" s="42" t="str">
        <f t="shared" si="51"/>
        <v>Q2-2024</v>
      </c>
      <c r="G491" s="37" t="s">
        <v>16</v>
      </c>
      <c r="H491" s="37" t="s">
        <v>25</v>
      </c>
      <c r="I491" s="37" t="s">
        <v>38</v>
      </c>
      <c r="J491" s="37" t="s">
        <v>19</v>
      </c>
      <c r="K491" s="37" t="s">
        <v>55</v>
      </c>
      <c r="L491" s="37" t="s">
        <v>75</v>
      </c>
      <c r="M491" s="37" t="s">
        <v>81</v>
      </c>
      <c r="N491" s="37" t="s">
        <v>1082</v>
      </c>
      <c r="O491" s="42">
        <v>187.22</v>
      </c>
      <c r="P491" s="43" t="str">
        <f t="shared" si="52"/>
        <v>High</v>
      </c>
      <c r="Q491" s="42">
        <v>309.47000000000003</v>
      </c>
      <c r="R491" s="42">
        <v>0</v>
      </c>
      <c r="S491" s="42">
        <v>5</v>
      </c>
      <c r="T491" s="42">
        <f t="shared" si="49"/>
        <v>4877.1499999999996</v>
      </c>
      <c r="U491" s="37">
        <f t="shared" si="50"/>
        <v>936.1</v>
      </c>
      <c r="V491" s="42">
        <f t="shared" si="53"/>
        <v>3941.0499999999997</v>
      </c>
      <c r="W491" s="44">
        <f t="shared" si="54"/>
        <v>0.8080641358170243</v>
      </c>
    </row>
    <row r="492" spans="1:23" x14ac:dyDescent="0.3">
      <c r="A492" s="45" t="s">
        <v>1083</v>
      </c>
      <c r="B492" s="46">
        <v>45523</v>
      </c>
      <c r="C492" s="47">
        <v>45542</v>
      </c>
      <c r="D492" s="48">
        <f t="shared" si="55"/>
        <v>19</v>
      </c>
      <c r="E492" s="48" t="str">
        <f>TEXT(Data!B492,"MMM-YYYY")</f>
        <v>Aug-2024</v>
      </c>
      <c r="F492" s="48" t="str">
        <f t="shared" si="51"/>
        <v>Q3-2024</v>
      </c>
      <c r="G492" s="38" t="s">
        <v>78</v>
      </c>
      <c r="H492" s="38" t="s">
        <v>90</v>
      </c>
      <c r="I492" s="38" t="s">
        <v>138</v>
      </c>
      <c r="J492" s="38" t="s">
        <v>19</v>
      </c>
      <c r="K492" s="38" t="s">
        <v>98</v>
      </c>
      <c r="L492" s="38" t="s">
        <v>29</v>
      </c>
      <c r="M492" s="38" t="s">
        <v>22</v>
      </c>
      <c r="N492" s="38" t="s">
        <v>1084</v>
      </c>
      <c r="O492" s="48">
        <v>297.58999999999997</v>
      </c>
      <c r="P492" s="49" t="str">
        <f t="shared" si="52"/>
        <v>High</v>
      </c>
      <c r="Q492" s="48">
        <v>666.41</v>
      </c>
      <c r="R492" s="48">
        <v>0</v>
      </c>
      <c r="S492" s="48">
        <v>10</v>
      </c>
      <c r="T492" s="48">
        <f t="shared" si="49"/>
        <v>1414.3000000000002</v>
      </c>
      <c r="U492" s="38">
        <f t="shared" si="50"/>
        <v>2975.8999999999996</v>
      </c>
      <c r="V492" s="48">
        <f t="shared" si="53"/>
        <v>-1561.5999999999995</v>
      </c>
      <c r="W492" s="50">
        <f t="shared" si="54"/>
        <v>-1.1041504631266346</v>
      </c>
    </row>
    <row r="493" spans="1:23" x14ac:dyDescent="0.3">
      <c r="A493" s="39" t="s">
        <v>1085</v>
      </c>
      <c r="B493" s="40">
        <v>45861</v>
      </c>
      <c r="C493" s="41">
        <v>45888</v>
      </c>
      <c r="D493" s="42">
        <f t="shared" si="55"/>
        <v>27</v>
      </c>
      <c r="E493" s="42" t="str">
        <f>TEXT(Data!B493,"MMM-YYYY")</f>
        <v>Jul-2025</v>
      </c>
      <c r="F493" s="42" t="str">
        <f t="shared" si="51"/>
        <v>Q3-2025</v>
      </c>
      <c r="G493" s="37" t="s">
        <v>45</v>
      </c>
      <c r="H493" s="37" t="s">
        <v>46</v>
      </c>
      <c r="I493" s="37" t="s">
        <v>231</v>
      </c>
      <c r="J493" s="37" t="s">
        <v>48</v>
      </c>
      <c r="K493" s="37" t="s">
        <v>40</v>
      </c>
      <c r="L493" s="37" t="s">
        <v>56</v>
      </c>
      <c r="M493" s="37" t="s">
        <v>81</v>
      </c>
      <c r="N493" s="37" t="s">
        <v>1086</v>
      </c>
      <c r="O493" s="42">
        <v>896.09</v>
      </c>
      <c r="P493" s="43" t="str">
        <f t="shared" si="52"/>
        <v>High</v>
      </c>
      <c r="Q493" s="42">
        <v>744.27</v>
      </c>
      <c r="R493" s="42">
        <v>8.3000000000000004E-2</v>
      </c>
      <c r="S493" s="42">
        <v>11</v>
      </c>
      <c r="T493" s="42">
        <f t="shared" si="49"/>
        <v>16395.611540000002</v>
      </c>
      <c r="U493" s="37">
        <f t="shared" si="50"/>
        <v>9856.99</v>
      </c>
      <c r="V493" s="42">
        <f t="shared" si="53"/>
        <v>6538.6215400000019</v>
      </c>
      <c r="W493" s="44">
        <f t="shared" si="54"/>
        <v>0.3988031507118765</v>
      </c>
    </row>
    <row r="494" spans="1:23" x14ac:dyDescent="0.3">
      <c r="A494" s="45" t="s">
        <v>1087</v>
      </c>
      <c r="B494" s="46">
        <v>45352</v>
      </c>
      <c r="C494" s="47">
        <v>45351</v>
      </c>
      <c r="D494" s="48">
        <f>DATEDIF(C494,B494, "MD")</f>
        <v>1</v>
      </c>
      <c r="E494" s="48" t="str">
        <f>TEXT(Data!B494,"MMM-YYYY")</f>
        <v>Mar-2024</v>
      </c>
      <c r="F494" s="48" t="str">
        <f t="shared" si="51"/>
        <v>Q1-2024</v>
      </c>
      <c r="G494" s="38" t="s">
        <v>52</v>
      </c>
      <c r="H494" s="38" t="s">
        <v>73</v>
      </c>
      <c r="I494" s="38" t="s">
        <v>74</v>
      </c>
      <c r="J494" s="38" t="s">
        <v>39</v>
      </c>
      <c r="K494" s="38" t="s">
        <v>98</v>
      </c>
      <c r="L494" s="38" t="s">
        <v>34</v>
      </c>
      <c r="M494" s="38" t="s">
        <v>42</v>
      </c>
      <c r="N494" s="38" t="s">
        <v>1088</v>
      </c>
      <c r="O494" s="48">
        <v>5.34</v>
      </c>
      <c r="P494" s="49" t="str">
        <f t="shared" si="52"/>
        <v>Low</v>
      </c>
      <c r="Q494" s="48">
        <v>12.69</v>
      </c>
      <c r="R494" s="48">
        <v>0.13200000000000001</v>
      </c>
      <c r="S494" s="48">
        <v>10</v>
      </c>
      <c r="T494" s="48">
        <f t="shared" si="49"/>
        <v>2603.4792000000002</v>
      </c>
      <c r="U494" s="38">
        <f t="shared" si="50"/>
        <v>53.4</v>
      </c>
      <c r="V494" s="48">
        <f t="shared" si="53"/>
        <v>2550.0792000000001</v>
      </c>
      <c r="W494" s="50">
        <f t="shared" si="54"/>
        <v>0.97948898535467455</v>
      </c>
    </row>
    <row r="495" spans="1:23" x14ac:dyDescent="0.3">
      <c r="A495" s="39" t="s">
        <v>1089</v>
      </c>
      <c r="B495" s="40">
        <v>45439</v>
      </c>
      <c r="C495" s="41">
        <v>45460</v>
      </c>
      <c r="D495" s="42">
        <f t="shared" si="55"/>
        <v>21</v>
      </c>
      <c r="E495" s="42" t="str">
        <f>TEXT(Data!B495,"MMM-YYYY")</f>
        <v>May-2024</v>
      </c>
      <c r="F495" s="42" t="str">
        <f t="shared" si="51"/>
        <v>Q2-2024</v>
      </c>
      <c r="G495" s="37" t="s">
        <v>45</v>
      </c>
      <c r="H495" s="37" t="s">
        <v>60</v>
      </c>
      <c r="I495" s="37" t="s">
        <v>141</v>
      </c>
      <c r="J495" s="37" t="s">
        <v>62</v>
      </c>
      <c r="K495" s="37" t="s">
        <v>28</v>
      </c>
      <c r="L495" s="37" t="s">
        <v>92</v>
      </c>
      <c r="M495" s="37" t="s">
        <v>81</v>
      </c>
      <c r="N495" s="37" t="s">
        <v>1090</v>
      </c>
      <c r="O495" s="42">
        <v>465.02</v>
      </c>
      <c r="P495" s="43" t="str">
        <f t="shared" si="52"/>
        <v>High</v>
      </c>
      <c r="Q495" s="42">
        <v>651.55999999999995</v>
      </c>
      <c r="R495" s="42">
        <v>4.2000000000000003E-2</v>
      </c>
      <c r="S495" s="42">
        <v>19</v>
      </c>
      <c r="T495" s="42">
        <f t="shared" si="49"/>
        <v>27375.07992</v>
      </c>
      <c r="U495" s="37">
        <f t="shared" si="50"/>
        <v>8835.3799999999992</v>
      </c>
      <c r="V495" s="42">
        <f t="shared" si="53"/>
        <v>18539.699919999999</v>
      </c>
      <c r="W495" s="44">
        <f t="shared" si="54"/>
        <v>0.67724733495499501</v>
      </c>
    </row>
    <row r="496" spans="1:23" x14ac:dyDescent="0.3">
      <c r="A496" s="45" t="s">
        <v>1091</v>
      </c>
      <c r="B496" s="46">
        <v>45508</v>
      </c>
      <c r="C496" s="47">
        <v>45521</v>
      </c>
      <c r="D496" s="48">
        <f t="shared" si="55"/>
        <v>13</v>
      </c>
      <c r="E496" s="48" t="str">
        <f>TEXT(Data!B496,"MMM-YYYY")</f>
        <v>Aug-2024</v>
      </c>
      <c r="F496" s="48" t="str">
        <f t="shared" si="51"/>
        <v>Q3-2024</v>
      </c>
      <c r="G496" s="38" t="s">
        <v>52</v>
      </c>
      <c r="H496" s="38" t="s">
        <v>122</v>
      </c>
      <c r="I496" s="38" t="s">
        <v>326</v>
      </c>
      <c r="J496" s="38" t="s">
        <v>48</v>
      </c>
      <c r="K496" s="38" t="s">
        <v>20</v>
      </c>
      <c r="L496" s="38" t="s">
        <v>145</v>
      </c>
      <c r="M496" s="38" t="s">
        <v>64</v>
      </c>
      <c r="N496" s="38" t="s">
        <v>1092</v>
      </c>
      <c r="O496" s="48">
        <v>352.79</v>
      </c>
      <c r="P496" s="49" t="str">
        <f t="shared" si="52"/>
        <v>High</v>
      </c>
      <c r="Q496" s="48">
        <v>754.22</v>
      </c>
      <c r="R496" s="48">
        <v>0.113</v>
      </c>
      <c r="S496" s="48">
        <v>7</v>
      </c>
      <c r="T496" s="48">
        <f t="shared" si="49"/>
        <v>19254.791990000002</v>
      </c>
      <c r="U496" s="38">
        <f t="shared" si="50"/>
        <v>2469.5300000000002</v>
      </c>
      <c r="V496" s="48">
        <f t="shared" si="53"/>
        <v>16785.261990000003</v>
      </c>
      <c r="W496" s="50">
        <f t="shared" si="54"/>
        <v>0.87174465445887173</v>
      </c>
    </row>
    <row r="497" spans="1:23" x14ac:dyDescent="0.3">
      <c r="A497" s="39" t="s">
        <v>1093</v>
      </c>
      <c r="B497" s="40">
        <v>45097</v>
      </c>
      <c r="C497" s="41">
        <v>45111</v>
      </c>
      <c r="D497" s="42">
        <f t="shared" si="55"/>
        <v>14</v>
      </c>
      <c r="E497" s="42" t="str">
        <f>TEXT(Data!B497,"MMM-YYYY")</f>
        <v>Jun-2023</v>
      </c>
      <c r="F497" s="42" t="str">
        <f t="shared" si="51"/>
        <v>Q2-2023</v>
      </c>
      <c r="G497" s="37" t="s">
        <v>52</v>
      </c>
      <c r="H497" s="37" t="s">
        <v>73</v>
      </c>
      <c r="I497" s="37" t="s">
        <v>87</v>
      </c>
      <c r="J497" s="37" t="s">
        <v>39</v>
      </c>
      <c r="K497" s="37" t="s">
        <v>98</v>
      </c>
      <c r="L497" s="37" t="s">
        <v>21</v>
      </c>
      <c r="M497" s="37" t="s">
        <v>35</v>
      </c>
      <c r="N497" s="37" t="s">
        <v>1094</v>
      </c>
      <c r="O497" s="42">
        <v>1292.8599999999999</v>
      </c>
      <c r="P497" s="43" t="str">
        <f t="shared" si="52"/>
        <v>High</v>
      </c>
      <c r="Q497" s="42">
        <v>2981.01</v>
      </c>
      <c r="R497" s="42">
        <v>0.14199999999999999</v>
      </c>
      <c r="S497" s="42">
        <v>12</v>
      </c>
      <c r="T497" s="42">
        <f t="shared" si="49"/>
        <v>10084.108319999999</v>
      </c>
      <c r="U497" s="37">
        <f t="shared" si="50"/>
        <v>15514.32</v>
      </c>
      <c r="V497" s="42">
        <f t="shared" si="53"/>
        <v>-5430.2116800000003</v>
      </c>
      <c r="W497" s="44">
        <f t="shared" si="54"/>
        <v>-0.5384920022358507</v>
      </c>
    </row>
    <row r="498" spans="1:23" x14ac:dyDescent="0.3">
      <c r="A498" s="45" t="s">
        <v>1095</v>
      </c>
      <c r="B498" s="46">
        <v>45544</v>
      </c>
      <c r="C498" s="47">
        <v>45548</v>
      </c>
      <c r="D498" s="48">
        <f t="shared" si="55"/>
        <v>4</v>
      </c>
      <c r="E498" s="48" t="str">
        <f>TEXT(Data!B498,"MMM-YYYY")</f>
        <v>Sept-2024</v>
      </c>
      <c r="F498" s="48" t="str">
        <f t="shared" si="51"/>
        <v>Q3-2024</v>
      </c>
      <c r="G498" s="38" t="s">
        <v>78</v>
      </c>
      <c r="H498" s="38" t="s">
        <v>108</v>
      </c>
      <c r="I498" s="38" t="s">
        <v>152</v>
      </c>
      <c r="J498" s="38" t="s">
        <v>48</v>
      </c>
      <c r="K498" s="38" t="s">
        <v>40</v>
      </c>
      <c r="L498" s="38" t="s">
        <v>84</v>
      </c>
      <c r="M498" s="38" t="s">
        <v>35</v>
      </c>
      <c r="N498" s="38" t="s">
        <v>1096</v>
      </c>
      <c r="O498" s="48">
        <v>1133.08</v>
      </c>
      <c r="P498" s="49" t="str">
        <f t="shared" si="52"/>
        <v>High</v>
      </c>
      <c r="Q498" s="48">
        <v>976.17</v>
      </c>
      <c r="R498" s="48">
        <v>4.2000000000000003E-2</v>
      </c>
      <c r="S498" s="48">
        <v>27</v>
      </c>
      <c r="T498" s="48">
        <f t="shared" si="49"/>
        <v>30683.801159999999</v>
      </c>
      <c r="U498" s="38">
        <f t="shared" si="50"/>
        <v>30593.159999999996</v>
      </c>
      <c r="V498" s="48">
        <f t="shared" si="53"/>
        <v>90.641160000002856</v>
      </c>
      <c r="W498" s="50">
        <f t="shared" si="54"/>
        <v>2.9540394792469337E-3</v>
      </c>
    </row>
    <row r="499" spans="1:23" x14ac:dyDescent="0.3">
      <c r="A499" s="39" t="s">
        <v>1097</v>
      </c>
      <c r="B499" s="40">
        <v>45224</v>
      </c>
      <c r="C499" s="41">
        <v>45227</v>
      </c>
      <c r="D499" s="42">
        <f t="shared" si="55"/>
        <v>3</v>
      </c>
      <c r="E499" s="42" t="str">
        <f>TEXT(Data!B499,"MMM-YYYY")</f>
        <v>Oct-2023</v>
      </c>
      <c r="F499" s="42" t="str">
        <f t="shared" si="51"/>
        <v>Q4-2023</v>
      </c>
      <c r="G499" s="37" t="s">
        <v>52</v>
      </c>
      <c r="H499" s="37" t="s">
        <v>73</v>
      </c>
      <c r="I499" s="37" t="s">
        <v>87</v>
      </c>
      <c r="J499" s="37" t="s">
        <v>19</v>
      </c>
      <c r="K499" s="37" t="s">
        <v>55</v>
      </c>
      <c r="L499" s="37" t="s">
        <v>49</v>
      </c>
      <c r="M499" s="37" t="s">
        <v>81</v>
      </c>
      <c r="N499" s="37" t="s">
        <v>1098</v>
      </c>
      <c r="O499" s="42">
        <v>509.31</v>
      </c>
      <c r="P499" s="43" t="str">
        <f t="shared" si="52"/>
        <v>High</v>
      </c>
      <c r="Q499" s="42">
        <v>1145.9000000000001</v>
      </c>
      <c r="R499" s="42">
        <v>5.7000000000000002E-2</v>
      </c>
      <c r="S499" s="42">
        <v>8</v>
      </c>
      <c r="T499" s="42">
        <f t="shared" si="49"/>
        <v>14622.761519999998</v>
      </c>
      <c r="U499" s="37">
        <f t="shared" si="50"/>
        <v>4074.48</v>
      </c>
      <c r="V499" s="42">
        <f t="shared" si="53"/>
        <v>10548.281519999999</v>
      </c>
      <c r="W499" s="44">
        <f t="shared" si="54"/>
        <v>0.7213604287789821</v>
      </c>
    </row>
    <row r="500" spans="1:23" x14ac:dyDescent="0.3">
      <c r="A500" s="45" t="s">
        <v>1099</v>
      </c>
      <c r="B500" s="46">
        <v>45908</v>
      </c>
      <c r="C500" s="47">
        <v>45935</v>
      </c>
      <c r="D500" s="48">
        <f t="shared" si="55"/>
        <v>27</v>
      </c>
      <c r="E500" s="48" t="str">
        <f>TEXT(Data!B500,"MMM-YYYY")</f>
        <v>Sept-2025</v>
      </c>
      <c r="F500" s="48" t="str">
        <f t="shared" si="51"/>
        <v>Q3-2025</v>
      </c>
      <c r="G500" s="38" t="s">
        <v>52</v>
      </c>
      <c r="H500" s="38" t="s">
        <v>73</v>
      </c>
      <c r="I500" s="38" t="s">
        <v>225</v>
      </c>
      <c r="J500" s="38" t="s">
        <v>27</v>
      </c>
      <c r="K500" s="38" t="s">
        <v>28</v>
      </c>
      <c r="L500" s="38" t="s">
        <v>21</v>
      </c>
      <c r="M500" s="38" t="s">
        <v>64</v>
      </c>
      <c r="N500" s="38" t="s">
        <v>1100</v>
      </c>
      <c r="O500" s="48">
        <v>660.78</v>
      </c>
      <c r="P500" s="49" t="str">
        <f t="shared" si="52"/>
        <v>High</v>
      </c>
      <c r="Q500" s="48">
        <v>1630.39</v>
      </c>
      <c r="R500" s="48">
        <v>0.218</v>
      </c>
      <c r="S500" s="48">
        <v>13</v>
      </c>
      <c r="T500" s="48">
        <f t="shared" si="49"/>
        <v>8401.8940200000015</v>
      </c>
      <c r="U500" s="38">
        <f t="shared" si="50"/>
        <v>8590.14</v>
      </c>
      <c r="V500" s="48">
        <f t="shared" si="53"/>
        <v>-188.24597999999787</v>
      </c>
      <c r="W500" s="50">
        <f t="shared" si="54"/>
        <v>-2.2405183825443903E-2</v>
      </c>
    </row>
    <row r="501" spans="1:23" x14ac:dyDescent="0.3">
      <c r="A501" s="39" t="s">
        <v>1101</v>
      </c>
      <c r="B501" s="40">
        <v>45048</v>
      </c>
      <c r="C501" s="41">
        <v>45062</v>
      </c>
      <c r="D501" s="42">
        <f t="shared" si="55"/>
        <v>14</v>
      </c>
      <c r="E501" s="42" t="str">
        <f>TEXT(Data!B501,"MMM-YYYY")</f>
        <v>May-2023</v>
      </c>
      <c r="F501" s="42" t="str">
        <f t="shared" si="51"/>
        <v>Q2-2023</v>
      </c>
      <c r="G501" s="37" t="s">
        <v>45</v>
      </c>
      <c r="H501" s="37" t="s">
        <v>60</v>
      </c>
      <c r="I501" s="37" t="s">
        <v>61</v>
      </c>
      <c r="J501" s="37" t="s">
        <v>39</v>
      </c>
      <c r="K501" s="37" t="s">
        <v>20</v>
      </c>
      <c r="L501" s="37" t="s">
        <v>49</v>
      </c>
      <c r="M501" s="37" t="s">
        <v>64</v>
      </c>
      <c r="N501" s="37" t="s">
        <v>1102</v>
      </c>
      <c r="O501" s="42">
        <v>475.37</v>
      </c>
      <c r="P501" s="43" t="str">
        <f t="shared" si="52"/>
        <v>High</v>
      </c>
      <c r="Q501" s="42">
        <v>963.73</v>
      </c>
      <c r="R501" s="42">
        <v>4.1000000000000002E-2</v>
      </c>
      <c r="S501" s="42">
        <v>22</v>
      </c>
      <c r="T501" s="42">
        <f t="shared" si="49"/>
        <v>2493.1506600000002</v>
      </c>
      <c r="U501" s="37">
        <f t="shared" si="50"/>
        <v>10458.14</v>
      </c>
      <c r="V501" s="42">
        <f t="shared" si="53"/>
        <v>-7964.9893399999992</v>
      </c>
      <c r="W501" s="44">
        <f t="shared" si="54"/>
        <v>-3.194748503485946</v>
      </c>
    </row>
    <row r="502" spans="1:23" x14ac:dyDescent="0.3">
      <c r="A502" s="45" t="s">
        <v>1103</v>
      </c>
      <c r="B502" s="46">
        <v>45408</v>
      </c>
      <c r="C502" s="47">
        <v>45406</v>
      </c>
      <c r="D502" s="48">
        <f>DATEDIF(C502,B502, "MD")</f>
        <v>2</v>
      </c>
      <c r="E502" s="48" t="str">
        <f>TEXT(Data!B502,"MMM-YYYY")</f>
        <v>Apr-2024</v>
      </c>
      <c r="F502" s="48" t="str">
        <f t="shared" si="51"/>
        <v>Q2-2024</v>
      </c>
      <c r="G502" s="38" t="s">
        <v>78</v>
      </c>
      <c r="H502" s="38" t="s">
        <v>108</v>
      </c>
      <c r="I502" s="38" t="s">
        <v>152</v>
      </c>
      <c r="J502" s="38" t="s">
        <v>39</v>
      </c>
      <c r="K502" s="38" t="s">
        <v>55</v>
      </c>
      <c r="L502" s="38" t="s">
        <v>126</v>
      </c>
      <c r="M502" s="38" t="s">
        <v>42</v>
      </c>
      <c r="N502" s="38" t="s">
        <v>1104</v>
      </c>
      <c r="O502" s="48">
        <v>1232.77</v>
      </c>
      <c r="P502" s="49" t="str">
        <f t="shared" si="52"/>
        <v>High</v>
      </c>
      <c r="Q502" s="48">
        <v>891.73</v>
      </c>
      <c r="R502" s="48">
        <v>0.16700000000000001</v>
      </c>
      <c r="S502" s="48">
        <v>10</v>
      </c>
      <c r="T502" s="48">
        <f t="shared" si="49"/>
        <v>11877.497099999999</v>
      </c>
      <c r="U502" s="38">
        <f t="shared" si="50"/>
        <v>12327.7</v>
      </c>
      <c r="V502" s="48">
        <f t="shared" si="53"/>
        <v>-450.20290000000205</v>
      </c>
      <c r="W502" s="50">
        <f t="shared" si="54"/>
        <v>-3.7903852655960836E-2</v>
      </c>
    </row>
    <row r="503" spans="1:23" x14ac:dyDescent="0.3">
      <c r="A503" s="39" t="s">
        <v>1105</v>
      </c>
      <c r="B503" s="40">
        <v>44980</v>
      </c>
      <c r="C503" s="41">
        <v>45003</v>
      </c>
      <c r="D503" s="42">
        <f t="shared" si="55"/>
        <v>23</v>
      </c>
      <c r="E503" s="42" t="str">
        <f>TEXT(Data!B503,"MMM-YYYY")</f>
        <v>Feb-2023</v>
      </c>
      <c r="F503" s="42" t="str">
        <f t="shared" si="51"/>
        <v>Q1-2023</v>
      </c>
      <c r="G503" s="37" t="s">
        <v>45</v>
      </c>
      <c r="H503" s="37" t="s">
        <v>116</v>
      </c>
      <c r="I503" s="37" t="s">
        <v>338</v>
      </c>
      <c r="J503" s="37" t="s">
        <v>27</v>
      </c>
      <c r="K503" s="37" t="s">
        <v>55</v>
      </c>
      <c r="L503" s="37" t="s">
        <v>95</v>
      </c>
      <c r="M503" s="37" t="s">
        <v>30</v>
      </c>
      <c r="N503" s="37" t="s">
        <v>1106</v>
      </c>
      <c r="O503" s="42">
        <v>770.11</v>
      </c>
      <c r="P503" s="43" t="str">
        <f t="shared" si="52"/>
        <v>High</v>
      </c>
      <c r="Q503" s="42">
        <v>1667.82</v>
      </c>
      <c r="R503" s="42">
        <v>6.9000000000000006E-2</v>
      </c>
      <c r="S503" s="42">
        <v>7</v>
      </c>
      <c r="T503" s="42">
        <f t="shared" si="49"/>
        <v>10393.181259999999</v>
      </c>
      <c r="U503" s="37">
        <f t="shared" si="50"/>
        <v>5390.77</v>
      </c>
      <c r="V503" s="42">
        <f t="shared" si="53"/>
        <v>5002.4112599999989</v>
      </c>
      <c r="W503" s="44">
        <f t="shared" si="54"/>
        <v>0.48131665703288229</v>
      </c>
    </row>
    <row r="504" spans="1:23" x14ac:dyDescent="0.3">
      <c r="A504" s="45" t="s">
        <v>1107</v>
      </c>
      <c r="B504" s="46">
        <v>45740</v>
      </c>
      <c r="C504" s="47">
        <v>45741</v>
      </c>
      <c r="D504" s="48">
        <f t="shared" si="55"/>
        <v>1</v>
      </c>
      <c r="E504" s="48" t="str">
        <f>TEXT(Data!B504,"MMM-YYYY")</f>
        <v>Mar-2025</v>
      </c>
      <c r="F504" s="48" t="str">
        <f t="shared" si="51"/>
        <v>Q1-2025</v>
      </c>
      <c r="G504" s="38" t="s">
        <v>45</v>
      </c>
      <c r="H504" s="38" t="s">
        <v>116</v>
      </c>
      <c r="I504" s="38" t="s">
        <v>338</v>
      </c>
      <c r="J504" s="38" t="s">
        <v>39</v>
      </c>
      <c r="K504" s="38" t="s">
        <v>28</v>
      </c>
      <c r="L504" s="38" t="s">
        <v>41</v>
      </c>
      <c r="M504" s="38" t="s">
        <v>35</v>
      </c>
      <c r="N504" s="38" t="s">
        <v>1108</v>
      </c>
      <c r="O504" s="48">
        <v>1133.03</v>
      </c>
      <c r="P504" s="49" t="str">
        <f t="shared" si="52"/>
        <v>High</v>
      </c>
      <c r="Q504" s="48">
        <v>1921.51</v>
      </c>
      <c r="R504" s="48">
        <v>0.10100000000000001</v>
      </c>
      <c r="S504" s="48">
        <v>5</v>
      </c>
      <c r="T504" s="48">
        <f t="shared" si="49"/>
        <v>15022.784449999999</v>
      </c>
      <c r="U504" s="38">
        <f t="shared" si="50"/>
        <v>5665.15</v>
      </c>
      <c r="V504" s="48">
        <f t="shared" si="53"/>
        <v>9357.6344499999996</v>
      </c>
      <c r="W504" s="50">
        <f t="shared" si="54"/>
        <v>0.62289614026912299</v>
      </c>
    </row>
    <row r="505" spans="1:23" x14ac:dyDescent="0.3">
      <c r="A505" s="39" t="s">
        <v>1109</v>
      </c>
      <c r="B505" s="40">
        <v>45726</v>
      </c>
      <c r="C505" s="41">
        <v>45743</v>
      </c>
      <c r="D505" s="42">
        <f t="shared" si="55"/>
        <v>17</v>
      </c>
      <c r="E505" s="42" t="str">
        <f>TEXT(Data!B505,"MMM-YYYY")</f>
        <v>Mar-2025</v>
      </c>
      <c r="F505" s="42" t="str">
        <f t="shared" si="51"/>
        <v>Q1-2025</v>
      </c>
      <c r="G505" s="37" t="s">
        <v>52</v>
      </c>
      <c r="H505" s="37" t="s">
        <v>73</v>
      </c>
      <c r="I505" s="37" t="s">
        <v>225</v>
      </c>
      <c r="J505" s="37" t="s">
        <v>105</v>
      </c>
      <c r="K505" s="37" t="s">
        <v>98</v>
      </c>
      <c r="L505" s="37" t="s">
        <v>84</v>
      </c>
      <c r="M505" s="37" t="s">
        <v>35</v>
      </c>
      <c r="N505" s="37" t="s">
        <v>1110</v>
      </c>
      <c r="O505" s="42">
        <v>996.73</v>
      </c>
      <c r="P505" s="43" t="str">
        <f t="shared" si="52"/>
        <v>High</v>
      </c>
      <c r="Q505" s="42">
        <v>1217.43</v>
      </c>
      <c r="R505" s="42">
        <v>7.0000000000000007E-2</v>
      </c>
      <c r="S505" s="42">
        <v>9</v>
      </c>
      <c r="T505" s="42">
        <f t="shared" si="49"/>
        <v>8953.9748999999993</v>
      </c>
      <c r="U505" s="37">
        <f t="shared" si="50"/>
        <v>8970.57</v>
      </c>
      <c r="V505" s="42">
        <f t="shared" si="53"/>
        <v>-16.595100000000457</v>
      </c>
      <c r="W505" s="44">
        <f t="shared" si="54"/>
        <v>-1.8533779897015859E-3</v>
      </c>
    </row>
    <row r="506" spans="1:23" x14ac:dyDescent="0.3">
      <c r="A506" s="45" t="s">
        <v>1111</v>
      </c>
      <c r="B506" s="46">
        <v>45387</v>
      </c>
      <c r="C506" s="47">
        <v>45391</v>
      </c>
      <c r="D506" s="48">
        <f t="shared" si="55"/>
        <v>4</v>
      </c>
      <c r="E506" s="48" t="str">
        <f>TEXT(Data!B506,"MMM-YYYY")</f>
        <v>Apr-2024</v>
      </c>
      <c r="F506" s="48" t="str">
        <f t="shared" si="51"/>
        <v>Q2-2024</v>
      </c>
      <c r="G506" s="38" t="s">
        <v>16</v>
      </c>
      <c r="H506" s="38" t="s">
        <v>25</v>
      </c>
      <c r="I506" s="38" t="s">
        <v>38</v>
      </c>
      <c r="J506" s="38" t="s">
        <v>39</v>
      </c>
      <c r="K506" s="38" t="s">
        <v>98</v>
      </c>
      <c r="L506" s="38" t="s">
        <v>95</v>
      </c>
      <c r="M506" s="38" t="s">
        <v>22</v>
      </c>
      <c r="N506" s="38" t="s">
        <v>1112</v>
      </c>
      <c r="O506" s="48">
        <v>395.07</v>
      </c>
      <c r="P506" s="49" t="str">
        <f t="shared" si="52"/>
        <v>High</v>
      </c>
      <c r="Q506" s="48">
        <v>970.27</v>
      </c>
      <c r="R506" s="48">
        <v>0.123</v>
      </c>
      <c r="S506" s="48">
        <v>38</v>
      </c>
      <c r="T506" s="48">
        <f t="shared" si="49"/>
        <v>4692.9673199999997</v>
      </c>
      <c r="U506" s="38">
        <f t="shared" si="50"/>
        <v>15012.66</v>
      </c>
      <c r="V506" s="48">
        <f t="shared" si="53"/>
        <v>-10319.69268</v>
      </c>
      <c r="W506" s="50">
        <f t="shared" si="54"/>
        <v>-2.1989696446469185</v>
      </c>
    </row>
    <row r="507" spans="1:23" x14ac:dyDescent="0.3">
      <c r="A507" s="39" t="s">
        <v>1113</v>
      </c>
      <c r="B507" s="40">
        <v>45774</v>
      </c>
      <c r="C507" s="41">
        <v>45794</v>
      </c>
      <c r="D507" s="42">
        <f t="shared" si="55"/>
        <v>20</v>
      </c>
      <c r="E507" s="42" t="str">
        <f>TEXT(Data!B507,"MMM-YYYY")</f>
        <v>Apr-2025</v>
      </c>
      <c r="F507" s="42" t="str">
        <f t="shared" si="51"/>
        <v>Q2-2025</v>
      </c>
      <c r="G507" s="37" t="s">
        <v>52</v>
      </c>
      <c r="H507" s="37" t="s">
        <v>122</v>
      </c>
      <c r="I507" s="37" t="s">
        <v>326</v>
      </c>
      <c r="J507" s="37" t="s">
        <v>19</v>
      </c>
      <c r="K507" s="37" t="s">
        <v>98</v>
      </c>
      <c r="L507" s="37" t="s">
        <v>126</v>
      </c>
      <c r="M507" s="37" t="s">
        <v>42</v>
      </c>
      <c r="N507" s="37" t="s">
        <v>1114</v>
      </c>
      <c r="O507" s="42">
        <v>932.26</v>
      </c>
      <c r="P507" s="43" t="str">
        <f t="shared" si="52"/>
        <v>High</v>
      </c>
      <c r="Q507" s="42">
        <v>1624.67</v>
      </c>
      <c r="R507" s="42">
        <v>0.23499999999999999</v>
      </c>
      <c r="S507" s="42">
        <v>28</v>
      </c>
      <c r="T507" s="42">
        <f t="shared" si="49"/>
        <v>1435.9968000000001</v>
      </c>
      <c r="U507" s="37">
        <f t="shared" si="50"/>
        <v>26103.279999999999</v>
      </c>
      <c r="V507" s="42">
        <f t="shared" si="53"/>
        <v>-24667.283199999998</v>
      </c>
      <c r="W507" s="44">
        <f t="shared" si="54"/>
        <v>-17.177812095402995</v>
      </c>
    </row>
    <row r="508" spans="1:23" x14ac:dyDescent="0.3">
      <c r="A508" s="45" t="s">
        <v>1115</v>
      </c>
      <c r="B508" s="46">
        <v>45589</v>
      </c>
      <c r="C508" s="47">
        <v>45593</v>
      </c>
      <c r="D508" s="48">
        <f t="shared" si="55"/>
        <v>4</v>
      </c>
      <c r="E508" s="48" t="str">
        <f>TEXT(Data!B508,"MMM-YYYY")</f>
        <v>Oct-2024</v>
      </c>
      <c r="F508" s="48" t="str">
        <f t="shared" si="51"/>
        <v>Q4-2024</v>
      </c>
      <c r="G508" s="38" t="s">
        <v>45</v>
      </c>
      <c r="H508" s="38" t="s">
        <v>116</v>
      </c>
      <c r="I508" s="38" t="s">
        <v>162</v>
      </c>
      <c r="J508" s="38" t="s">
        <v>62</v>
      </c>
      <c r="K508" s="38" t="s">
        <v>55</v>
      </c>
      <c r="L508" s="38" t="s">
        <v>34</v>
      </c>
      <c r="M508" s="38" t="s">
        <v>35</v>
      </c>
      <c r="N508" s="38" t="s">
        <v>1116</v>
      </c>
      <c r="O508" s="48">
        <v>1331.77</v>
      </c>
      <c r="P508" s="49" t="str">
        <f t="shared" si="52"/>
        <v>High</v>
      </c>
      <c r="Q508" s="48">
        <v>2606.11</v>
      </c>
      <c r="R508" s="48">
        <v>0.02</v>
      </c>
      <c r="S508" s="48">
        <v>6</v>
      </c>
      <c r="T508" s="48">
        <f t="shared" si="49"/>
        <v>7506.8196000000007</v>
      </c>
      <c r="U508" s="38">
        <f t="shared" si="50"/>
        <v>7990.62</v>
      </c>
      <c r="V508" s="48">
        <f t="shared" si="53"/>
        <v>-483.80039999999917</v>
      </c>
      <c r="W508" s="50">
        <f t="shared" si="54"/>
        <v>-6.444811861470591E-2</v>
      </c>
    </row>
    <row r="509" spans="1:23" x14ac:dyDescent="0.3">
      <c r="A509" s="39" t="s">
        <v>1117</v>
      </c>
      <c r="B509" s="40">
        <v>45029</v>
      </c>
      <c r="C509" s="41">
        <v>45036</v>
      </c>
      <c r="D509" s="42">
        <f t="shared" si="55"/>
        <v>7</v>
      </c>
      <c r="E509" s="42" t="str">
        <f>TEXT(Data!B509,"MMM-YYYY")</f>
        <v>Apr-2023</v>
      </c>
      <c r="F509" s="42" t="str">
        <f t="shared" si="51"/>
        <v>Q2-2023</v>
      </c>
      <c r="G509" s="37" t="s">
        <v>78</v>
      </c>
      <c r="H509" s="37" t="s">
        <v>90</v>
      </c>
      <c r="I509" s="37" t="s">
        <v>138</v>
      </c>
      <c r="J509" s="37" t="s">
        <v>62</v>
      </c>
      <c r="K509" s="37" t="s">
        <v>28</v>
      </c>
      <c r="L509" s="37" t="s">
        <v>75</v>
      </c>
      <c r="M509" s="37" t="s">
        <v>57</v>
      </c>
      <c r="N509" s="37" t="s">
        <v>1118</v>
      </c>
      <c r="O509" s="42">
        <v>227.02</v>
      </c>
      <c r="P509" s="43" t="str">
        <f t="shared" si="52"/>
        <v>High</v>
      </c>
      <c r="Q509" s="42">
        <v>434.72</v>
      </c>
      <c r="R509" s="42">
        <v>9.8000000000000004E-2</v>
      </c>
      <c r="S509" s="42">
        <v>10</v>
      </c>
      <c r="T509" s="42">
        <f t="shared" si="49"/>
        <v>25448.667200000004</v>
      </c>
      <c r="U509" s="37">
        <f t="shared" si="50"/>
        <v>2270.2000000000003</v>
      </c>
      <c r="V509" s="42">
        <f t="shared" si="53"/>
        <v>23178.467200000003</v>
      </c>
      <c r="W509" s="44">
        <f t="shared" si="54"/>
        <v>0.91079297072186161</v>
      </c>
    </row>
    <row r="510" spans="1:23" x14ac:dyDescent="0.3">
      <c r="A510" s="45" t="s">
        <v>1119</v>
      </c>
      <c r="B510" s="46">
        <v>45608</v>
      </c>
      <c r="C510" s="47">
        <v>45617</v>
      </c>
      <c r="D510" s="48">
        <f t="shared" si="55"/>
        <v>9</v>
      </c>
      <c r="E510" s="48" t="str">
        <f>TEXT(Data!B510,"MMM-YYYY")</f>
        <v>Nov-2024</v>
      </c>
      <c r="F510" s="48" t="str">
        <f t="shared" si="51"/>
        <v>Q4-2024</v>
      </c>
      <c r="G510" s="38" t="s">
        <v>45</v>
      </c>
      <c r="H510" s="38" t="s">
        <v>60</v>
      </c>
      <c r="I510" s="38" t="s">
        <v>220</v>
      </c>
      <c r="J510" s="38" t="s">
        <v>19</v>
      </c>
      <c r="K510" s="38" t="s">
        <v>98</v>
      </c>
      <c r="L510" s="38" t="s">
        <v>92</v>
      </c>
      <c r="M510" s="38" t="s">
        <v>57</v>
      </c>
      <c r="N510" s="38" t="s">
        <v>1120</v>
      </c>
      <c r="O510" s="48">
        <v>903.41</v>
      </c>
      <c r="P510" s="49" t="str">
        <f t="shared" si="52"/>
        <v>High</v>
      </c>
      <c r="Q510" s="48">
        <v>1860.41</v>
      </c>
      <c r="R510" s="48">
        <v>0.108</v>
      </c>
      <c r="S510" s="48">
        <v>5</v>
      </c>
      <c r="T510" s="48">
        <f t="shared" si="49"/>
        <v>6953.9874000000009</v>
      </c>
      <c r="U510" s="38">
        <f t="shared" si="50"/>
        <v>4517.05</v>
      </c>
      <c r="V510" s="48">
        <f t="shared" si="53"/>
        <v>2436.9374000000007</v>
      </c>
      <c r="W510" s="50">
        <f t="shared" si="54"/>
        <v>0.35043741954436103</v>
      </c>
    </row>
    <row r="511" spans="1:23" x14ac:dyDescent="0.3">
      <c r="A511" s="39" t="s">
        <v>1121</v>
      </c>
      <c r="B511" s="40">
        <v>45056</v>
      </c>
      <c r="C511" s="41">
        <v>45060</v>
      </c>
      <c r="D511" s="42">
        <f t="shared" si="55"/>
        <v>4</v>
      </c>
      <c r="E511" s="42" t="str">
        <f>TEXT(Data!B511,"MMM-YYYY")</f>
        <v>May-2023</v>
      </c>
      <c r="F511" s="42" t="str">
        <f t="shared" si="51"/>
        <v>Q2-2023</v>
      </c>
      <c r="G511" s="37" t="s">
        <v>45</v>
      </c>
      <c r="H511" s="37" t="s">
        <v>60</v>
      </c>
      <c r="I511" s="37" t="s">
        <v>141</v>
      </c>
      <c r="J511" s="37" t="s">
        <v>39</v>
      </c>
      <c r="K511" s="37" t="s">
        <v>55</v>
      </c>
      <c r="L511" s="37" t="s">
        <v>21</v>
      </c>
      <c r="M511" s="37" t="s">
        <v>64</v>
      </c>
      <c r="N511" s="37" t="s">
        <v>1122</v>
      </c>
      <c r="O511" s="42">
        <v>622.6</v>
      </c>
      <c r="P511" s="43" t="str">
        <f t="shared" si="52"/>
        <v>High</v>
      </c>
      <c r="Q511" s="42">
        <v>833.69</v>
      </c>
      <c r="R511" s="42">
        <v>0.20899999999999999</v>
      </c>
      <c r="S511" s="42">
        <v>14</v>
      </c>
      <c r="T511" s="42">
        <f t="shared" si="49"/>
        <v>7271.8528400000005</v>
      </c>
      <c r="U511" s="37">
        <f t="shared" si="50"/>
        <v>8716.4</v>
      </c>
      <c r="V511" s="42">
        <f t="shared" si="53"/>
        <v>-1444.5471599999992</v>
      </c>
      <c r="W511" s="44">
        <f t="shared" si="54"/>
        <v>-0.19864911897749557</v>
      </c>
    </row>
    <row r="512" spans="1:23" x14ac:dyDescent="0.3">
      <c r="A512" s="45" t="s">
        <v>1123</v>
      </c>
      <c r="B512" s="46">
        <v>45353</v>
      </c>
      <c r="C512" s="47">
        <v>45374</v>
      </c>
      <c r="D512" s="48">
        <f t="shared" si="55"/>
        <v>21</v>
      </c>
      <c r="E512" s="48" t="str">
        <f>TEXT(Data!B512,"MMM-YYYY")</f>
        <v>Mar-2024</v>
      </c>
      <c r="F512" s="48" t="str">
        <f t="shared" si="51"/>
        <v>Q1-2024</v>
      </c>
      <c r="G512" s="38" t="s">
        <v>52</v>
      </c>
      <c r="H512" s="38" t="s">
        <v>122</v>
      </c>
      <c r="I512" s="38" t="s">
        <v>123</v>
      </c>
      <c r="J512" s="38" t="s">
        <v>62</v>
      </c>
      <c r="K512" s="38" t="s">
        <v>28</v>
      </c>
      <c r="L512" s="38" t="s">
        <v>84</v>
      </c>
      <c r="M512" s="38" t="s">
        <v>22</v>
      </c>
      <c r="N512" s="38" t="s">
        <v>1124</v>
      </c>
      <c r="O512" s="48">
        <v>225.01</v>
      </c>
      <c r="P512" s="49" t="str">
        <f t="shared" si="52"/>
        <v>High</v>
      </c>
      <c r="Q512" s="48">
        <v>333.48</v>
      </c>
      <c r="R512" s="48">
        <v>0.11899999999999999</v>
      </c>
      <c r="S512" s="48">
        <v>12</v>
      </c>
      <c r="T512" s="48">
        <f t="shared" si="49"/>
        <v>28098.68448</v>
      </c>
      <c r="U512" s="38">
        <f t="shared" si="50"/>
        <v>2700.12</v>
      </c>
      <c r="V512" s="48">
        <f t="shared" si="53"/>
        <v>25398.564480000001</v>
      </c>
      <c r="W512" s="50">
        <f t="shared" si="54"/>
        <v>0.90390582157246957</v>
      </c>
    </row>
    <row r="513" spans="1:23" x14ac:dyDescent="0.3">
      <c r="A513" s="39" t="s">
        <v>1125</v>
      </c>
      <c r="B513" s="40">
        <v>45575</v>
      </c>
      <c r="C513" s="41">
        <v>45576</v>
      </c>
      <c r="D513" s="42">
        <f t="shared" si="55"/>
        <v>1</v>
      </c>
      <c r="E513" s="42" t="str">
        <f>TEXT(Data!B513,"MMM-YYYY")</f>
        <v>Oct-2024</v>
      </c>
      <c r="F513" s="42" t="str">
        <f t="shared" si="51"/>
        <v>Q4-2024</v>
      </c>
      <c r="G513" s="37" t="s">
        <v>78</v>
      </c>
      <c r="H513" s="37" t="s">
        <v>108</v>
      </c>
      <c r="I513" s="37" t="s">
        <v>228</v>
      </c>
      <c r="J513" s="37" t="s">
        <v>39</v>
      </c>
      <c r="K513" s="37" t="s">
        <v>55</v>
      </c>
      <c r="L513" s="37" t="s">
        <v>49</v>
      </c>
      <c r="M513" s="37" t="s">
        <v>22</v>
      </c>
      <c r="N513" s="37" t="s">
        <v>1126</v>
      </c>
      <c r="O513" s="42">
        <v>1389.46</v>
      </c>
      <c r="P513" s="43" t="str">
        <f t="shared" si="52"/>
        <v>High</v>
      </c>
      <c r="Q513" s="42">
        <v>1784.7</v>
      </c>
      <c r="R513" s="42">
        <v>0.14599999999999999</v>
      </c>
      <c r="S513" s="42">
        <v>33</v>
      </c>
      <c r="T513" s="42">
        <f t="shared" ref="T513:T576" si="56">(Q539*S513)*(1-R513)</f>
        <v>40152.022679999995</v>
      </c>
      <c r="U513" s="37">
        <f t="shared" ref="U513:U576" si="57">(O513*S513)</f>
        <v>45852.18</v>
      </c>
      <c r="V513" s="42">
        <f t="shared" si="53"/>
        <v>-5700.1573200000057</v>
      </c>
      <c r="W513" s="44">
        <f t="shared" si="54"/>
        <v>-0.14196438783242904</v>
      </c>
    </row>
    <row r="514" spans="1:23" x14ac:dyDescent="0.3">
      <c r="A514" s="45" t="s">
        <v>1127</v>
      </c>
      <c r="B514" s="46">
        <v>45078</v>
      </c>
      <c r="C514" s="47">
        <v>45085</v>
      </c>
      <c r="D514" s="48">
        <f t="shared" si="55"/>
        <v>7</v>
      </c>
      <c r="E514" s="48" t="str">
        <f>TEXT(Data!B514,"MMM-YYYY")</f>
        <v>Jun-2023</v>
      </c>
      <c r="F514" s="48" t="str">
        <f t="shared" ref="F514:F577" si="58">"Q"&amp;ROUNDUP(MONTH(B514)/3,0)&amp;"-"&amp;YEAR(B514)</f>
        <v>Q2-2023</v>
      </c>
      <c r="G514" s="38" t="s">
        <v>78</v>
      </c>
      <c r="H514" s="38" t="s">
        <v>79</v>
      </c>
      <c r="I514" s="38" t="s">
        <v>335</v>
      </c>
      <c r="J514" s="38" t="s">
        <v>48</v>
      </c>
      <c r="K514" s="38" t="s">
        <v>28</v>
      </c>
      <c r="L514" s="38" t="s">
        <v>75</v>
      </c>
      <c r="M514" s="38" t="s">
        <v>42</v>
      </c>
      <c r="N514" s="38" t="s">
        <v>1128</v>
      </c>
      <c r="O514" s="48">
        <v>804.17</v>
      </c>
      <c r="P514" s="49" t="str">
        <f t="shared" ref="P514:P577" si="59">IF(Q514&lt;50, "Low", IF(Q514&lt;200, "Medium", "High"))</f>
        <v>High</v>
      </c>
      <c r="Q514" s="48">
        <v>1072.29</v>
      </c>
      <c r="R514" s="48">
        <v>3.2000000000000001E-2</v>
      </c>
      <c r="S514" s="48">
        <v>5</v>
      </c>
      <c r="T514" s="48">
        <f t="shared" si="56"/>
        <v>11222.701599999999</v>
      </c>
      <c r="U514" s="38">
        <f t="shared" si="57"/>
        <v>4020.85</v>
      </c>
      <c r="V514" s="48">
        <f t="shared" ref="V514:V577" si="60">(T514-U514)</f>
        <v>7201.8515999999981</v>
      </c>
      <c r="W514" s="50">
        <f t="shared" ref="W514:W577" si="61">IF(T514=0, 0, V514/T514)</f>
        <v>0.64172174015568584</v>
      </c>
    </row>
    <row r="515" spans="1:23" x14ac:dyDescent="0.3">
      <c r="A515" s="39" t="s">
        <v>1129</v>
      </c>
      <c r="B515" s="40">
        <v>45661</v>
      </c>
      <c r="C515" s="41">
        <v>45662</v>
      </c>
      <c r="D515" s="42">
        <f t="shared" si="55"/>
        <v>1</v>
      </c>
      <c r="E515" s="42" t="str">
        <f>TEXT(Data!B515,"MMM-YYYY")</f>
        <v>Jan-2025</v>
      </c>
      <c r="F515" s="42" t="str">
        <f t="shared" si="58"/>
        <v>Q1-2025</v>
      </c>
      <c r="G515" s="37" t="s">
        <v>45</v>
      </c>
      <c r="H515" s="37" t="s">
        <v>60</v>
      </c>
      <c r="I515" s="37" t="s">
        <v>141</v>
      </c>
      <c r="J515" s="37" t="s">
        <v>27</v>
      </c>
      <c r="K515" s="37" t="s">
        <v>20</v>
      </c>
      <c r="L515" s="37" t="s">
        <v>34</v>
      </c>
      <c r="M515" s="37" t="s">
        <v>22</v>
      </c>
      <c r="N515" s="37" t="s">
        <v>1130</v>
      </c>
      <c r="O515" s="42">
        <v>1428.33</v>
      </c>
      <c r="P515" s="43" t="str">
        <f t="shared" si="59"/>
        <v>High</v>
      </c>
      <c r="Q515" s="42">
        <v>3028.05</v>
      </c>
      <c r="R515" s="42">
        <v>0</v>
      </c>
      <c r="S515" s="42">
        <v>11</v>
      </c>
      <c r="T515" s="42">
        <f t="shared" si="56"/>
        <v>4033.7</v>
      </c>
      <c r="U515" s="37">
        <f t="shared" si="57"/>
        <v>15711.63</v>
      </c>
      <c r="V515" s="42">
        <f t="shared" si="60"/>
        <v>-11677.93</v>
      </c>
      <c r="W515" s="44">
        <f t="shared" si="61"/>
        <v>-2.8950913553313335</v>
      </c>
    </row>
    <row r="516" spans="1:23" x14ac:dyDescent="0.3">
      <c r="A516" s="45" t="s">
        <v>1131</v>
      </c>
      <c r="B516" s="46">
        <v>45874</v>
      </c>
      <c r="C516" s="47">
        <v>45897</v>
      </c>
      <c r="D516" s="48">
        <f t="shared" ref="D516:D579" si="62">DATEDIF(B516,C516, "MD")</f>
        <v>23</v>
      </c>
      <c r="E516" s="48" t="str">
        <f>TEXT(Data!B516,"MMM-YYYY")</f>
        <v>Aug-2025</v>
      </c>
      <c r="F516" s="48" t="str">
        <f t="shared" si="58"/>
        <v>Q3-2025</v>
      </c>
      <c r="G516" s="38" t="s">
        <v>45</v>
      </c>
      <c r="H516" s="38" t="s">
        <v>60</v>
      </c>
      <c r="I516" s="38" t="s">
        <v>220</v>
      </c>
      <c r="J516" s="38" t="s">
        <v>39</v>
      </c>
      <c r="K516" s="38" t="s">
        <v>55</v>
      </c>
      <c r="L516" s="38" t="s">
        <v>126</v>
      </c>
      <c r="M516" s="38" t="s">
        <v>57</v>
      </c>
      <c r="N516" s="38" t="s">
        <v>1132</v>
      </c>
      <c r="O516" s="48">
        <v>638.54</v>
      </c>
      <c r="P516" s="49" t="str">
        <f t="shared" si="59"/>
        <v>High</v>
      </c>
      <c r="Q516" s="48">
        <v>987.24</v>
      </c>
      <c r="R516" s="48">
        <v>0</v>
      </c>
      <c r="S516" s="48">
        <v>11</v>
      </c>
      <c r="T516" s="48">
        <f t="shared" si="56"/>
        <v>30771.51</v>
      </c>
      <c r="U516" s="38">
        <f t="shared" si="57"/>
        <v>7023.94</v>
      </c>
      <c r="V516" s="48">
        <f t="shared" si="60"/>
        <v>23747.57</v>
      </c>
      <c r="W516" s="50">
        <f t="shared" si="61"/>
        <v>0.77173885844406076</v>
      </c>
    </row>
    <row r="517" spans="1:23" x14ac:dyDescent="0.3">
      <c r="A517" s="39" t="s">
        <v>1133</v>
      </c>
      <c r="B517" s="40">
        <v>45199</v>
      </c>
      <c r="C517" s="41">
        <v>45229</v>
      </c>
      <c r="D517" s="42">
        <f t="shared" si="62"/>
        <v>0</v>
      </c>
      <c r="E517" s="42" t="str">
        <f>TEXT(Data!B517,"MMM-YYYY")</f>
        <v>Sept-2023</v>
      </c>
      <c r="F517" s="42" t="str">
        <f t="shared" si="58"/>
        <v>Q3-2023</v>
      </c>
      <c r="G517" s="37" t="s">
        <v>45</v>
      </c>
      <c r="H517" s="37" t="s">
        <v>46</v>
      </c>
      <c r="I517" s="37" t="s">
        <v>214</v>
      </c>
      <c r="J517" s="37" t="s">
        <v>105</v>
      </c>
      <c r="K517" s="37" t="s">
        <v>28</v>
      </c>
      <c r="L517" s="37" t="s">
        <v>145</v>
      </c>
      <c r="M517" s="37" t="s">
        <v>30</v>
      </c>
      <c r="N517" s="37" t="s">
        <v>1134</v>
      </c>
      <c r="O517" s="42">
        <v>649.13</v>
      </c>
      <c r="P517" s="43" t="str">
        <f t="shared" si="59"/>
        <v>High</v>
      </c>
      <c r="Q517" s="42">
        <v>975.43</v>
      </c>
      <c r="R517" s="42">
        <v>0.157</v>
      </c>
      <c r="S517" s="42">
        <v>27</v>
      </c>
      <c r="T517" s="42">
        <f t="shared" si="56"/>
        <v>50294.07125999999</v>
      </c>
      <c r="U517" s="37">
        <f t="shared" si="57"/>
        <v>17526.509999999998</v>
      </c>
      <c r="V517" s="42">
        <f t="shared" si="60"/>
        <v>32767.561259999991</v>
      </c>
      <c r="W517" s="44">
        <f t="shared" si="61"/>
        <v>0.65151936280133227</v>
      </c>
    </row>
    <row r="518" spans="1:23" x14ac:dyDescent="0.3">
      <c r="A518" s="45" t="s">
        <v>1135</v>
      </c>
      <c r="B518" s="46">
        <v>45794</v>
      </c>
      <c r="C518" s="47">
        <v>45807</v>
      </c>
      <c r="D518" s="48">
        <f t="shared" si="62"/>
        <v>13</v>
      </c>
      <c r="E518" s="48" t="str">
        <f>TEXT(Data!B518,"MMM-YYYY")</f>
        <v>May-2025</v>
      </c>
      <c r="F518" s="48" t="str">
        <f t="shared" si="58"/>
        <v>Q2-2025</v>
      </c>
      <c r="G518" s="38" t="s">
        <v>16</v>
      </c>
      <c r="H518" s="38" t="s">
        <v>25</v>
      </c>
      <c r="I518" s="38" t="s">
        <v>38</v>
      </c>
      <c r="J518" s="38" t="s">
        <v>48</v>
      </c>
      <c r="K518" s="38" t="s">
        <v>55</v>
      </c>
      <c r="L518" s="38" t="s">
        <v>84</v>
      </c>
      <c r="M518" s="38" t="s">
        <v>81</v>
      </c>
      <c r="N518" s="38" t="s">
        <v>1136</v>
      </c>
      <c r="O518" s="48">
        <v>66.400000000000006</v>
      </c>
      <c r="P518" s="49" t="str">
        <f t="shared" si="59"/>
        <v>Medium</v>
      </c>
      <c r="Q518" s="48">
        <v>141.43</v>
      </c>
      <c r="R518" s="48">
        <v>0.107</v>
      </c>
      <c r="S518" s="48">
        <v>8</v>
      </c>
      <c r="T518" s="48">
        <f t="shared" si="56"/>
        <v>5994.1017599999996</v>
      </c>
      <c r="U518" s="38">
        <f t="shared" si="57"/>
        <v>531.20000000000005</v>
      </c>
      <c r="V518" s="48">
        <f t="shared" si="60"/>
        <v>5462.9017599999997</v>
      </c>
      <c r="W518" s="50">
        <f t="shared" si="61"/>
        <v>0.91137954921873066</v>
      </c>
    </row>
    <row r="519" spans="1:23" x14ac:dyDescent="0.3">
      <c r="A519" s="39" t="s">
        <v>1137</v>
      </c>
      <c r="B519" s="40">
        <v>45413</v>
      </c>
      <c r="C519" s="41">
        <v>45438</v>
      </c>
      <c r="D519" s="42">
        <f t="shared" si="62"/>
        <v>25</v>
      </c>
      <c r="E519" s="42" t="str">
        <f>TEXT(Data!B519,"MMM-YYYY")</f>
        <v>May-2024</v>
      </c>
      <c r="F519" s="42" t="str">
        <f t="shared" si="58"/>
        <v>Q2-2024</v>
      </c>
      <c r="G519" s="37" t="s">
        <v>78</v>
      </c>
      <c r="H519" s="37" t="s">
        <v>79</v>
      </c>
      <c r="I519" s="37" t="s">
        <v>80</v>
      </c>
      <c r="J519" s="37" t="s">
        <v>39</v>
      </c>
      <c r="K519" s="37" t="s">
        <v>20</v>
      </c>
      <c r="L519" s="37" t="s">
        <v>56</v>
      </c>
      <c r="M519" s="37" t="s">
        <v>35</v>
      </c>
      <c r="N519" s="37" t="s">
        <v>1138</v>
      </c>
      <c r="O519" s="42">
        <v>930.71</v>
      </c>
      <c r="P519" s="43" t="str">
        <f t="shared" si="59"/>
        <v>High</v>
      </c>
      <c r="Q519" s="42">
        <v>1625.42</v>
      </c>
      <c r="R519" s="42">
        <v>0.13800000000000001</v>
      </c>
      <c r="S519" s="42">
        <v>7</v>
      </c>
      <c r="T519" s="42">
        <f t="shared" si="56"/>
        <v>6873.6311000000005</v>
      </c>
      <c r="U519" s="37">
        <f t="shared" si="57"/>
        <v>6514.97</v>
      </c>
      <c r="V519" s="42">
        <f t="shared" si="60"/>
        <v>358.66110000000026</v>
      </c>
      <c r="W519" s="44">
        <f t="shared" si="61"/>
        <v>5.2179276830844216E-2</v>
      </c>
    </row>
    <row r="520" spans="1:23" x14ac:dyDescent="0.3">
      <c r="A520" s="45" t="s">
        <v>1139</v>
      </c>
      <c r="B520" s="46">
        <v>45047</v>
      </c>
      <c r="C520" s="47">
        <v>45064</v>
      </c>
      <c r="D520" s="48">
        <f t="shared" si="62"/>
        <v>17</v>
      </c>
      <c r="E520" s="48" t="str">
        <f>TEXT(Data!B520,"MMM-YYYY")</f>
        <v>May-2023</v>
      </c>
      <c r="F520" s="48" t="str">
        <f t="shared" si="58"/>
        <v>Q2-2023</v>
      </c>
      <c r="G520" s="38" t="s">
        <v>16</v>
      </c>
      <c r="H520" s="38" t="s">
        <v>25</v>
      </c>
      <c r="I520" s="38" t="s">
        <v>26</v>
      </c>
      <c r="J520" s="38" t="s">
        <v>19</v>
      </c>
      <c r="K520" s="38" t="s">
        <v>98</v>
      </c>
      <c r="L520" s="38" t="s">
        <v>84</v>
      </c>
      <c r="M520" s="38" t="s">
        <v>22</v>
      </c>
      <c r="N520" s="38" t="s">
        <v>1140</v>
      </c>
      <c r="O520" s="48">
        <v>327.97</v>
      </c>
      <c r="P520" s="49" t="str">
        <f t="shared" si="59"/>
        <v>High</v>
      </c>
      <c r="Q520" s="48">
        <v>299.94</v>
      </c>
      <c r="R520" s="48">
        <v>4.9000000000000002E-2</v>
      </c>
      <c r="S520" s="48">
        <v>3</v>
      </c>
      <c r="T520" s="48">
        <f t="shared" si="56"/>
        <v>4884.4215899999999</v>
      </c>
      <c r="U520" s="38">
        <f t="shared" si="57"/>
        <v>983.91000000000008</v>
      </c>
      <c r="V520" s="48">
        <f t="shared" si="60"/>
        <v>3900.5115900000001</v>
      </c>
      <c r="W520" s="50">
        <f t="shared" si="61"/>
        <v>0.79856161433435968</v>
      </c>
    </row>
    <row r="521" spans="1:23" x14ac:dyDescent="0.3">
      <c r="A521" s="39" t="s">
        <v>1141</v>
      </c>
      <c r="B521" s="40">
        <v>45482</v>
      </c>
      <c r="C521" s="41">
        <v>45512</v>
      </c>
      <c r="D521" s="42">
        <f t="shared" si="62"/>
        <v>30</v>
      </c>
      <c r="E521" s="42" t="str">
        <f>TEXT(Data!B521,"MMM-YYYY")</f>
        <v>Jul-2024</v>
      </c>
      <c r="F521" s="42" t="str">
        <f t="shared" si="58"/>
        <v>Q3-2024</v>
      </c>
      <c r="G521" s="37" t="s">
        <v>78</v>
      </c>
      <c r="H521" s="37" t="s">
        <v>90</v>
      </c>
      <c r="I521" s="37" t="s">
        <v>91</v>
      </c>
      <c r="J521" s="37" t="s">
        <v>19</v>
      </c>
      <c r="K521" s="37" t="s">
        <v>98</v>
      </c>
      <c r="L521" s="37" t="s">
        <v>29</v>
      </c>
      <c r="M521" s="37" t="s">
        <v>22</v>
      </c>
      <c r="N521" s="37" t="s">
        <v>1142</v>
      </c>
      <c r="O521" s="42">
        <v>1062.3800000000001</v>
      </c>
      <c r="P521" s="43" t="str">
        <f t="shared" si="59"/>
        <v>High</v>
      </c>
      <c r="Q521" s="42">
        <v>1503.96</v>
      </c>
      <c r="R521" s="42">
        <v>0.18</v>
      </c>
      <c r="S521" s="42">
        <v>6</v>
      </c>
      <c r="T521" s="42">
        <f t="shared" si="56"/>
        <v>5187.1068000000005</v>
      </c>
      <c r="U521" s="37">
        <f t="shared" si="57"/>
        <v>6374.2800000000007</v>
      </c>
      <c r="V521" s="42">
        <f t="shared" si="60"/>
        <v>-1187.1732000000002</v>
      </c>
      <c r="W521" s="44">
        <f t="shared" si="61"/>
        <v>-0.22887001285572142</v>
      </c>
    </row>
    <row r="522" spans="1:23" x14ac:dyDescent="0.3">
      <c r="A522" s="45" t="s">
        <v>1143</v>
      </c>
      <c r="B522" s="46">
        <v>45056</v>
      </c>
      <c r="C522" s="47">
        <v>45073</v>
      </c>
      <c r="D522" s="48">
        <f t="shared" si="62"/>
        <v>17</v>
      </c>
      <c r="E522" s="48" t="str">
        <f>TEXT(Data!B522,"MMM-YYYY")</f>
        <v>May-2023</v>
      </c>
      <c r="F522" s="48" t="str">
        <f t="shared" si="58"/>
        <v>Q2-2023</v>
      </c>
      <c r="G522" s="38" t="s">
        <v>45</v>
      </c>
      <c r="H522" s="38" t="s">
        <v>60</v>
      </c>
      <c r="I522" s="38" t="s">
        <v>220</v>
      </c>
      <c r="J522" s="38" t="s">
        <v>48</v>
      </c>
      <c r="K522" s="38" t="s">
        <v>20</v>
      </c>
      <c r="L522" s="38" t="s">
        <v>110</v>
      </c>
      <c r="M522" s="38" t="s">
        <v>57</v>
      </c>
      <c r="N522" s="38" t="s">
        <v>1144</v>
      </c>
      <c r="O522" s="48">
        <v>1286.1600000000001</v>
      </c>
      <c r="P522" s="49" t="str">
        <f t="shared" si="59"/>
        <v>High</v>
      </c>
      <c r="Q522" s="48">
        <v>3101.11</v>
      </c>
      <c r="R522" s="48">
        <v>0.1</v>
      </c>
      <c r="S522" s="48">
        <v>23</v>
      </c>
      <c r="T522" s="48">
        <f t="shared" si="56"/>
        <v>50740.254000000001</v>
      </c>
      <c r="U522" s="38">
        <f t="shared" si="57"/>
        <v>29581.68</v>
      </c>
      <c r="V522" s="48">
        <f t="shared" si="60"/>
        <v>21158.574000000001</v>
      </c>
      <c r="W522" s="50">
        <f t="shared" si="61"/>
        <v>0.41699779429562966</v>
      </c>
    </row>
    <row r="523" spans="1:23" x14ac:dyDescent="0.3">
      <c r="A523" s="39" t="s">
        <v>1145</v>
      </c>
      <c r="B523" s="40">
        <v>45482</v>
      </c>
      <c r="C523" s="41">
        <v>45485</v>
      </c>
      <c r="D523" s="42">
        <f t="shared" si="62"/>
        <v>3</v>
      </c>
      <c r="E523" s="42" t="str">
        <f>TEXT(Data!B523,"MMM-YYYY")</f>
        <v>Jul-2024</v>
      </c>
      <c r="F523" s="42" t="str">
        <f t="shared" si="58"/>
        <v>Q3-2024</v>
      </c>
      <c r="G523" s="37" t="s">
        <v>45</v>
      </c>
      <c r="H523" s="37" t="s">
        <v>116</v>
      </c>
      <c r="I523" s="37" t="s">
        <v>162</v>
      </c>
      <c r="J523" s="37" t="s">
        <v>62</v>
      </c>
      <c r="K523" s="37" t="s">
        <v>20</v>
      </c>
      <c r="L523" s="37" t="s">
        <v>145</v>
      </c>
      <c r="M523" s="37" t="s">
        <v>81</v>
      </c>
      <c r="N523" s="37" t="s">
        <v>1146</v>
      </c>
      <c r="O523" s="42">
        <v>748.39</v>
      </c>
      <c r="P523" s="43" t="str">
        <f t="shared" si="59"/>
        <v>High</v>
      </c>
      <c r="Q523" s="42">
        <v>979.42</v>
      </c>
      <c r="R523" s="42">
        <v>0</v>
      </c>
      <c r="S523" s="42">
        <v>23</v>
      </c>
      <c r="T523" s="42">
        <f t="shared" si="56"/>
        <v>28777.83</v>
      </c>
      <c r="U523" s="37">
        <f t="shared" si="57"/>
        <v>17212.97</v>
      </c>
      <c r="V523" s="42">
        <f t="shared" si="60"/>
        <v>11564.86</v>
      </c>
      <c r="W523" s="44">
        <f t="shared" si="61"/>
        <v>0.401866992751017</v>
      </c>
    </row>
    <row r="524" spans="1:23" x14ac:dyDescent="0.3">
      <c r="A524" s="45" t="s">
        <v>1147</v>
      </c>
      <c r="B524" s="46">
        <v>45406</v>
      </c>
      <c r="C524" s="47">
        <v>45422</v>
      </c>
      <c r="D524" s="48">
        <f t="shared" si="62"/>
        <v>16</v>
      </c>
      <c r="E524" s="48" t="str">
        <f>TEXT(Data!B524,"MMM-YYYY")</f>
        <v>Apr-2024</v>
      </c>
      <c r="F524" s="48" t="str">
        <f t="shared" si="58"/>
        <v>Q2-2024</v>
      </c>
      <c r="G524" s="38" t="s">
        <v>16</v>
      </c>
      <c r="H524" s="38" t="s">
        <v>17</v>
      </c>
      <c r="I524" s="38" t="s">
        <v>18</v>
      </c>
      <c r="J524" s="38" t="s">
        <v>39</v>
      </c>
      <c r="K524" s="38" t="s">
        <v>28</v>
      </c>
      <c r="L524" s="38" t="s">
        <v>126</v>
      </c>
      <c r="M524" s="38" t="s">
        <v>64</v>
      </c>
      <c r="N524" s="38" t="s">
        <v>1148</v>
      </c>
      <c r="O524" s="48">
        <v>513.30999999999995</v>
      </c>
      <c r="P524" s="49" t="str">
        <f t="shared" si="59"/>
        <v>High</v>
      </c>
      <c r="Q524" s="48">
        <v>1186.26</v>
      </c>
      <c r="R524" s="48">
        <v>9.4E-2</v>
      </c>
      <c r="S524" s="48">
        <v>15</v>
      </c>
      <c r="T524" s="48">
        <f t="shared" si="56"/>
        <v>15014.232</v>
      </c>
      <c r="U524" s="38">
        <f t="shared" si="57"/>
        <v>7699.65</v>
      </c>
      <c r="V524" s="48">
        <f t="shared" si="60"/>
        <v>7314.5820000000003</v>
      </c>
      <c r="W524" s="50">
        <f t="shared" si="61"/>
        <v>0.48717656687335059</v>
      </c>
    </row>
    <row r="525" spans="1:23" x14ac:dyDescent="0.3">
      <c r="A525" s="39" t="s">
        <v>1149</v>
      </c>
      <c r="B525" s="40">
        <v>45304</v>
      </c>
      <c r="C525" s="41">
        <v>45306</v>
      </c>
      <c r="D525" s="42">
        <f t="shared" si="62"/>
        <v>2</v>
      </c>
      <c r="E525" s="42" t="str">
        <f>TEXT(Data!B525,"MMM-YYYY")</f>
        <v>Jan-2024</v>
      </c>
      <c r="F525" s="42" t="str">
        <f t="shared" si="58"/>
        <v>Q1-2024</v>
      </c>
      <c r="G525" s="37" t="s">
        <v>52</v>
      </c>
      <c r="H525" s="37" t="s">
        <v>122</v>
      </c>
      <c r="I525" s="37" t="s">
        <v>167</v>
      </c>
      <c r="J525" s="37" t="s">
        <v>39</v>
      </c>
      <c r="K525" s="37" t="s">
        <v>98</v>
      </c>
      <c r="L525" s="37" t="s">
        <v>63</v>
      </c>
      <c r="M525" s="37" t="s">
        <v>22</v>
      </c>
      <c r="N525" s="37" t="s">
        <v>1150</v>
      </c>
      <c r="O525" s="42">
        <v>1061.3699999999999</v>
      </c>
      <c r="P525" s="43" t="str">
        <f t="shared" si="59"/>
        <v>High</v>
      </c>
      <c r="Q525" s="42">
        <v>1938.33</v>
      </c>
      <c r="R525" s="42">
        <v>0.17</v>
      </c>
      <c r="S525" s="42">
        <v>4</v>
      </c>
      <c r="T525" s="42">
        <f t="shared" si="56"/>
        <v>7912.9211999999989</v>
      </c>
      <c r="U525" s="37">
        <f t="shared" si="57"/>
        <v>4245.4799999999996</v>
      </c>
      <c r="V525" s="42">
        <f t="shared" si="60"/>
        <v>3667.4411999999993</v>
      </c>
      <c r="W525" s="44">
        <f t="shared" si="61"/>
        <v>0.46347500591816837</v>
      </c>
    </row>
    <row r="526" spans="1:23" x14ac:dyDescent="0.3">
      <c r="A526" s="45" t="s">
        <v>1151</v>
      </c>
      <c r="B526" s="46">
        <v>45398</v>
      </c>
      <c r="C526" s="47">
        <v>45409</v>
      </c>
      <c r="D526" s="48">
        <f t="shared" si="62"/>
        <v>11</v>
      </c>
      <c r="E526" s="48" t="str">
        <f>TEXT(Data!B526,"MMM-YYYY")</f>
        <v>Apr-2024</v>
      </c>
      <c r="F526" s="48" t="str">
        <f t="shared" si="58"/>
        <v>Q2-2024</v>
      </c>
      <c r="G526" s="38" t="s">
        <v>16</v>
      </c>
      <c r="H526" s="38" t="s">
        <v>17</v>
      </c>
      <c r="I526" s="38" t="s">
        <v>135</v>
      </c>
      <c r="J526" s="38" t="s">
        <v>105</v>
      </c>
      <c r="K526" s="38" t="s">
        <v>28</v>
      </c>
      <c r="L526" s="38" t="s">
        <v>145</v>
      </c>
      <c r="M526" s="38" t="s">
        <v>30</v>
      </c>
      <c r="N526" s="38" t="s">
        <v>1152</v>
      </c>
      <c r="O526" s="48">
        <v>401.3</v>
      </c>
      <c r="P526" s="49" t="str">
        <f t="shared" si="59"/>
        <v>High</v>
      </c>
      <c r="Q526" s="48">
        <v>826.47</v>
      </c>
      <c r="R526" s="48">
        <v>0.22500000000000001</v>
      </c>
      <c r="S526" s="48">
        <v>13</v>
      </c>
      <c r="T526" s="48">
        <f t="shared" si="56"/>
        <v>2146.5795000000003</v>
      </c>
      <c r="U526" s="38">
        <f t="shared" si="57"/>
        <v>5216.9000000000005</v>
      </c>
      <c r="V526" s="48">
        <f t="shared" si="60"/>
        <v>-3070.3205000000003</v>
      </c>
      <c r="W526" s="50">
        <f t="shared" si="61"/>
        <v>-1.4303316043034977</v>
      </c>
    </row>
    <row r="527" spans="1:23" x14ac:dyDescent="0.3">
      <c r="A527" s="39" t="s">
        <v>1153</v>
      </c>
      <c r="B527" s="40">
        <v>45695</v>
      </c>
      <c r="C527" s="41">
        <v>45704</v>
      </c>
      <c r="D527" s="42">
        <f t="shared" si="62"/>
        <v>9</v>
      </c>
      <c r="E527" s="42" t="str">
        <f>TEXT(Data!B527,"MMM-YYYY")</f>
        <v>Feb-2025</v>
      </c>
      <c r="F527" s="42" t="str">
        <f t="shared" si="58"/>
        <v>Q1-2025</v>
      </c>
      <c r="G527" s="37" t="s">
        <v>16</v>
      </c>
      <c r="H527" s="37" t="s">
        <v>25</v>
      </c>
      <c r="I527" s="37" t="s">
        <v>38</v>
      </c>
      <c r="J527" s="37" t="s">
        <v>62</v>
      </c>
      <c r="K527" s="37" t="s">
        <v>55</v>
      </c>
      <c r="L527" s="37" t="s">
        <v>21</v>
      </c>
      <c r="M527" s="37" t="s">
        <v>30</v>
      </c>
      <c r="N527" s="37" t="s">
        <v>1154</v>
      </c>
      <c r="O527" s="42">
        <v>90.68</v>
      </c>
      <c r="P527" s="43" t="str">
        <f t="shared" si="59"/>
        <v>Medium</v>
      </c>
      <c r="Q527" s="42">
        <v>118.17</v>
      </c>
      <c r="R527" s="42">
        <v>0.13500000000000001</v>
      </c>
      <c r="S527" s="42">
        <v>21</v>
      </c>
      <c r="T527" s="42">
        <f t="shared" si="56"/>
        <v>36886.575600000004</v>
      </c>
      <c r="U527" s="37">
        <f t="shared" si="57"/>
        <v>1904.2800000000002</v>
      </c>
      <c r="V527" s="42">
        <f t="shared" si="60"/>
        <v>34982.295600000005</v>
      </c>
      <c r="W527" s="44">
        <f t="shared" si="61"/>
        <v>0.94837471440422894</v>
      </c>
    </row>
    <row r="528" spans="1:23" x14ac:dyDescent="0.3">
      <c r="A528" s="45" t="s">
        <v>1155</v>
      </c>
      <c r="B528" s="46">
        <v>44938</v>
      </c>
      <c r="C528" s="47">
        <v>44952</v>
      </c>
      <c r="D528" s="48">
        <f t="shared" si="62"/>
        <v>14</v>
      </c>
      <c r="E528" s="48" t="str">
        <f>TEXT(Data!B528,"MMM-YYYY")</f>
        <v>Jan-2023</v>
      </c>
      <c r="F528" s="48" t="str">
        <f t="shared" si="58"/>
        <v>Q1-2023</v>
      </c>
      <c r="G528" s="38" t="s">
        <v>45</v>
      </c>
      <c r="H528" s="38" t="s">
        <v>116</v>
      </c>
      <c r="I528" s="38" t="s">
        <v>117</v>
      </c>
      <c r="J528" s="38" t="s">
        <v>39</v>
      </c>
      <c r="K528" s="38" t="s">
        <v>20</v>
      </c>
      <c r="L528" s="38" t="s">
        <v>110</v>
      </c>
      <c r="M528" s="38" t="s">
        <v>30</v>
      </c>
      <c r="N528" s="38" t="s">
        <v>1156</v>
      </c>
      <c r="O528" s="48">
        <v>1083.0899999999999</v>
      </c>
      <c r="P528" s="49" t="str">
        <f t="shared" si="59"/>
        <v>High</v>
      </c>
      <c r="Q528" s="48">
        <v>1425.87</v>
      </c>
      <c r="R528" s="48">
        <v>0</v>
      </c>
      <c r="S528" s="48">
        <v>8</v>
      </c>
      <c r="T528" s="48">
        <f t="shared" si="56"/>
        <v>7653.6</v>
      </c>
      <c r="U528" s="38">
        <f t="shared" si="57"/>
        <v>8664.7199999999993</v>
      </c>
      <c r="V528" s="48">
        <f t="shared" si="60"/>
        <v>-1011.119999999999</v>
      </c>
      <c r="W528" s="50">
        <f t="shared" si="61"/>
        <v>-0.13211037942928805</v>
      </c>
    </row>
    <row r="529" spans="1:23" x14ac:dyDescent="0.3">
      <c r="A529" s="39" t="s">
        <v>1157</v>
      </c>
      <c r="B529" s="40">
        <v>45448</v>
      </c>
      <c r="C529" s="41">
        <v>45466</v>
      </c>
      <c r="D529" s="42">
        <f t="shared" si="62"/>
        <v>18</v>
      </c>
      <c r="E529" s="42" t="str">
        <f>TEXT(Data!B529,"MMM-YYYY")</f>
        <v>Jun-2024</v>
      </c>
      <c r="F529" s="42" t="str">
        <f t="shared" si="58"/>
        <v>Q2-2024</v>
      </c>
      <c r="G529" s="37" t="s">
        <v>16</v>
      </c>
      <c r="H529" s="37" t="s">
        <v>17</v>
      </c>
      <c r="I529" s="37" t="s">
        <v>33</v>
      </c>
      <c r="J529" s="37" t="s">
        <v>48</v>
      </c>
      <c r="K529" s="37" t="s">
        <v>55</v>
      </c>
      <c r="L529" s="37" t="s">
        <v>145</v>
      </c>
      <c r="M529" s="37" t="s">
        <v>57</v>
      </c>
      <c r="N529" s="37" t="s">
        <v>1158</v>
      </c>
      <c r="O529" s="42">
        <v>1208.74</v>
      </c>
      <c r="P529" s="43" t="str">
        <f t="shared" si="59"/>
        <v>High</v>
      </c>
      <c r="Q529" s="42">
        <v>1594.78</v>
      </c>
      <c r="R529" s="42">
        <v>5.8999999999999997E-2</v>
      </c>
      <c r="S529" s="42">
        <v>39</v>
      </c>
      <c r="T529" s="42">
        <f t="shared" si="56"/>
        <v>53128.40832000001</v>
      </c>
      <c r="U529" s="37">
        <f t="shared" si="57"/>
        <v>47140.86</v>
      </c>
      <c r="V529" s="42">
        <f t="shared" si="60"/>
        <v>5987.548320000009</v>
      </c>
      <c r="W529" s="44">
        <f t="shared" si="61"/>
        <v>0.11269956148387032</v>
      </c>
    </row>
    <row r="530" spans="1:23" x14ac:dyDescent="0.3">
      <c r="A530" s="45" t="s">
        <v>1159</v>
      </c>
      <c r="B530" s="46">
        <v>45162</v>
      </c>
      <c r="C530" s="47">
        <v>45189</v>
      </c>
      <c r="D530" s="48">
        <f t="shared" si="62"/>
        <v>27</v>
      </c>
      <c r="E530" s="48" t="str">
        <f>TEXT(Data!B530,"MMM-YYYY")</f>
        <v>Aug-2023</v>
      </c>
      <c r="F530" s="48" t="str">
        <f t="shared" si="58"/>
        <v>Q3-2023</v>
      </c>
      <c r="G530" s="38" t="s">
        <v>16</v>
      </c>
      <c r="H530" s="38" t="s">
        <v>148</v>
      </c>
      <c r="I530" s="38" t="s">
        <v>172</v>
      </c>
      <c r="J530" s="38" t="s">
        <v>62</v>
      </c>
      <c r="K530" s="38" t="s">
        <v>40</v>
      </c>
      <c r="L530" s="38" t="s">
        <v>110</v>
      </c>
      <c r="M530" s="38" t="s">
        <v>30</v>
      </c>
      <c r="N530" s="38" t="s">
        <v>1160</v>
      </c>
      <c r="O530" s="48">
        <v>1399.64</v>
      </c>
      <c r="P530" s="49" t="str">
        <f t="shared" si="59"/>
        <v>High</v>
      </c>
      <c r="Q530" s="48">
        <v>3342.11</v>
      </c>
      <c r="R530" s="48">
        <v>0</v>
      </c>
      <c r="S530" s="48">
        <v>10</v>
      </c>
      <c r="T530" s="48">
        <f t="shared" si="56"/>
        <v>29496.199999999997</v>
      </c>
      <c r="U530" s="38">
        <f t="shared" si="57"/>
        <v>13996.400000000001</v>
      </c>
      <c r="V530" s="48">
        <f t="shared" si="60"/>
        <v>15499.799999999996</v>
      </c>
      <c r="W530" s="50">
        <f t="shared" si="61"/>
        <v>0.52548463869922213</v>
      </c>
    </row>
    <row r="531" spans="1:23" x14ac:dyDescent="0.3">
      <c r="A531" s="39" t="s">
        <v>1161</v>
      </c>
      <c r="B531" s="40">
        <v>45316</v>
      </c>
      <c r="C531" s="41">
        <v>45330</v>
      </c>
      <c r="D531" s="42">
        <f t="shared" si="62"/>
        <v>14</v>
      </c>
      <c r="E531" s="42" t="str">
        <f>TEXT(Data!B531,"MMM-YYYY")</f>
        <v>Jan-2024</v>
      </c>
      <c r="F531" s="42" t="str">
        <f t="shared" si="58"/>
        <v>Q1-2024</v>
      </c>
      <c r="G531" s="37" t="s">
        <v>45</v>
      </c>
      <c r="H531" s="37" t="s">
        <v>46</v>
      </c>
      <c r="I531" s="37" t="s">
        <v>47</v>
      </c>
      <c r="J531" s="37" t="s">
        <v>48</v>
      </c>
      <c r="K531" s="37" t="s">
        <v>40</v>
      </c>
      <c r="L531" s="37" t="s">
        <v>34</v>
      </c>
      <c r="M531" s="37" t="s">
        <v>35</v>
      </c>
      <c r="N531" s="37" t="s">
        <v>1162</v>
      </c>
      <c r="O531" s="42">
        <v>937.16</v>
      </c>
      <c r="P531" s="43" t="str">
        <f t="shared" si="59"/>
        <v>High</v>
      </c>
      <c r="Q531" s="42">
        <v>1069.77</v>
      </c>
      <c r="R531" s="42">
        <v>3.7999999999999999E-2</v>
      </c>
      <c r="S531" s="42">
        <v>9</v>
      </c>
      <c r="T531" s="42">
        <f t="shared" si="56"/>
        <v>22342.575059999999</v>
      </c>
      <c r="U531" s="37">
        <f t="shared" si="57"/>
        <v>8434.44</v>
      </c>
      <c r="V531" s="42">
        <f t="shared" si="60"/>
        <v>13908.135059999999</v>
      </c>
      <c r="W531" s="44">
        <f t="shared" si="61"/>
        <v>0.62249472241450754</v>
      </c>
    </row>
    <row r="532" spans="1:23" x14ac:dyDescent="0.3">
      <c r="A532" s="45" t="s">
        <v>1163</v>
      </c>
      <c r="B532" s="46">
        <v>45727</v>
      </c>
      <c r="C532" s="47">
        <v>45742</v>
      </c>
      <c r="D532" s="48">
        <f t="shared" si="62"/>
        <v>15</v>
      </c>
      <c r="E532" s="48" t="str">
        <f>TEXT(Data!B532,"MMM-YYYY")</f>
        <v>Mar-2025</v>
      </c>
      <c r="F532" s="48" t="str">
        <f t="shared" si="58"/>
        <v>Q1-2025</v>
      </c>
      <c r="G532" s="38" t="s">
        <v>78</v>
      </c>
      <c r="H532" s="38" t="s">
        <v>79</v>
      </c>
      <c r="I532" s="38" t="s">
        <v>80</v>
      </c>
      <c r="J532" s="38" t="s">
        <v>62</v>
      </c>
      <c r="K532" s="38" t="s">
        <v>28</v>
      </c>
      <c r="L532" s="38" t="s">
        <v>34</v>
      </c>
      <c r="M532" s="38" t="s">
        <v>42</v>
      </c>
      <c r="N532" s="38" t="s">
        <v>1164</v>
      </c>
      <c r="O532" s="48">
        <v>116.97</v>
      </c>
      <c r="P532" s="49" t="str">
        <f t="shared" si="59"/>
        <v>Medium</v>
      </c>
      <c r="Q532" s="48">
        <v>140.82</v>
      </c>
      <c r="R532" s="48">
        <v>0.122</v>
      </c>
      <c r="S532" s="48">
        <v>5</v>
      </c>
      <c r="T532" s="48">
        <f t="shared" si="56"/>
        <v>8687.4149000000016</v>
      </c>
      <c r="U532" s="38">
        <f t="shared" si="57"/>
        <v>584.85</v>
      </c>
      <c r="V532" s="48">
        <f t="shared" si="60"/>
        <v>8102.5649000000012</v>
      </c>
      <c r="W532" s="50">
        <f t="shared" si="61"/>
        <v>0.93267847723032082</v>
      </c>
    </row>
    <row r="533" spans="1:23" x14ac:dyDescent="0.3">
      <c r="A533" s="39" t="s">
        <v>1165</v>
      </c>
      <c r="B533" s="40">
        <v>45769</v>
      </c>
      <c r="C533" s="41">
        <v>45789</v>
      </c>
      <c r="D533" s="42">
        <f t="shared" si="62"/>
        <v>20</v>
      </c>
      <c r="E533" s="42" t="str">
        <f>TEXT(Data!B533,"MMM-YYYY")</f>
        <v>Apr-2025</v>
      </c>
      <c r="F533" s="42" t="str">
        <f t="shared" si="58"/>
        <v>Q2-2025</v>
      </c>
      <c r="G533" s="37" t="s">
        <v>78</v>
      </c>
      <c r="H533" s="37" t="s">
        <v>90</v>
      </c>
      <c r="I533" s="37" t="s">
        <v>138</v>
      </c>
      <c r="J533" s="37" t="s">
        <v>105</v>
      </c>
      <c r="K533" s="37" t="s">
        <v>40</v>
      </c>
      <c r="L533" s="37" t="s">
        <v>95</v>
      </c>
      <c r="M533" s="37" t="s">
        <v>64</v>
      </c>
      <c r="N533" s="37" t="s">
        <v>1166</v>
      </c>
      <c r="O533" s="42">
        <v>59.51</v>
      </c>
      <c r="P533" s="43" t="str">
        <f t="shared" si="59"/>
        <v>Medium</v>
      </c>
      <c r="Q533" s="42">
        <v>67.040000000000006</v>
      </c>
      <c r="R533" s="42">
        <v>0.114</v>
      </c>
      <c r="S533" s="42">
        <v>9</v>
      </c>
      <c r="T533" s="42">
        <f t="shared" si="56"/>
        <v>11813.082300000002</v>
      </c>
      <c r="U533" s="37">
        <f t="shared" si="57"/>
        <v>535.59</v>
      </c>
      <c r="V533" s="42">
        <f t="shared" si="60"/>
        <v>11277.492300000002</v>
      </c>
      <c r="W533" s="44">
        <f t="shared" si="61"/>
        <v>0.95466128260191674</v>
      </c>
    </row>
    <row r="534" spans="1:23" x14ac:dyDescent="0.3">
      <c r="A534" s="45" t="s">
        <v>1167</v>
      </c>
      <c r="B534" s="46">
        <v>45155</v>
      </c>
      <c r="C534" s="47">
        <v>45172</v>
      </c>
      <c r="D534" s="48">
        <f t="shared" si="62"/>
        <v>17</v>
      </c>
      <c r="E534" s="48" t="str">
        <f>TEXT(Data!B534,"MMM-YYYY")</f>
        <v>Aug-2023</v>
      </c>
      <c r="F534" s="48" t="str">
        <f t="shared" si="58"/>
        <v>Q3-2023</v>
      </c>
      <c r="G534" s="38" t="s">
        <v>16</v>
      </c>
      <c r="H534" s="38" t="s">
        <v>148</v>
      </c>
      <c r="I534" s="38" t="s">
        <v>172</v>
      </c>
      <c r="J534" s="38" t="s">
        <v>105</v>
      </c>
      <c r="K534" s="38" t="s">
        <v>20</v>
      </c>
      <c r="L534" s="38" t="s">
        <v>75</v>
      </c>
      <c r="M534" s="38" t="s">
        <v>42</v>
      </c>
      <c r="N534" s="38" t="s">
        <v>1168</v>
      </c>
      <c r="O534" s="48">
        <v>676.37</v>
      </c>
      <c r="P534" s="49" t="str">
        <f t="shared" si="59"/>
        <v>High</v>
      </c>
      <c r="Q534" s="48">
        <v>1276.67</v>
      </c>
      <c r="R534" s="48">
        <v>6.6000000000000003E-2</v>
      </c>
      <c r="S534" s="48">
        <v>10</v>
      </c>
      <c r="T534" s="48">
        <f t="shared" si="56"/>
        <v>15494.3128</v>
      </c>
      <c r="U534" s="38">
        <f t="shared" si="57"/>
        <v>6763.7</v>
      </c>
      <c r="V534" s="48">
        <f t="shared" si="60"/>
        <v>8730.612799999999</v>
      </c>
      <c r="W534" s="50">
        <f t="shared" si="61"/>
        <v>0.56347208893317291</v>
      </c>
    </row>
    <row r="535" spans="1:23" x14ac:dyDescent="0.3">
      <c r="A535" s="39" t="s">
        <v>1169</v>
      </c>
      <c r="B535" s="40">
        <v>45832</v>
      </c>
      <c r="C535" s="41">
        <v>45852</v>
      </c>
      <c r="D535" s="42">
        <f t="shared" si="62"/>
        <v>20</v>
      </c>
      <c r="E535" s="42" t="str">
        <f>TEXT(Data!B535,"MMM-YYYY")</f>
        <v>Jun-2025</v>
      </c>
      <c r="F535" s="42" t="str">
        <f t="shared" si="58"/>
        <v>Q2-2025</v>
      </c>
      <c r="G535" s="37" t="s">
        <v>16</v>
      </c>
      <c r="H535" s="37" t="s">
        <v>148</v>
      </c>
      <c r="I535" s="37" t="s">
        <v>149</v>
      </c>
      <c r="J535" s="37" t="s">
        <v>105</v>
      </c>
      <c r="K535" s="37" t="s">
        <v>40</v>
      </c>
      <c r="L535" s="37" t="s">
        <v>29</v>
      </c>
      <c r="M535" s="37" t="s">
        <v>57</v>
      </c>
      <c r="N535" s="37" t="s">
        <v>1170</v>
      </c>
      <c r="O535" s="42">
        <v>1151.06</v>
      </c>
      <c r="P535" s="43" t="str">
        <f t="shared" si="59"/>
        <v>High</v>
      </c>
      <c r="Q535" s="42">
        <v>2821.36</v>
      </c>
      <c r="R535" s="42">
        <v>0.248</v>
      </c>
      <c r="S535" s="42">
        <v>20</v>
      </c>
      <c r="T535" s="42">
        <f t="shared" si="56"/>
        <v>9059.1936000000005</v>
      </c>
      <c r="U535" s="37">
        <f t="shared" si="57"/>
        <v>23021.199999999997</v>
      </c>
      <c r="V535" s="42">
        <f t="shared" si="60"/>
        <v>-13962.006399999997</v>
      </c>
      <c r="W535" s="44">
        <f t="shared" si="61"/>
        <v>-1.5411974858336173</v>
      </c>
    </row>
    <row r="536" spans="1:23" x14ac:dyDescent="0.3">
      <c r="A536" s="45" t="s">
        <v>1171</v>
      </c>
      <c r="B536" s="46">
        <v>45667</v>
      </c>
      <c r="C536" s="47">
        <v>45694</v>
      </c>
      <c r="D536" s="48">
        <f t="shared" si="62"/>
        <v>27</v>
      </c>
      <c r="E536" s="48" t="str">
        <f>TEXT(Data!B536,"MMM-YYYY")</f>
        <v>Jan-2025</v>
      </c>
      <c r="F536" s="48" t="str">
        <f t="shared" si="58"/>
        <v>Q1-2025</v>
      </c>
      <c r="G536" s="38" t="s">
        <v>52</v>
      </c>
      <c r="H536" s="38" t="s">
        <v>73</v>
      </c>
      <c r="I536" s="38" t="s">
        <v>87</v>
      </c>
      <c r="J536" s="38" t="s">
        <v>39</v>
      </c>
      <c r="K536" s="38" t="s">
        <v>20</v>
      </c>
      <c r="L536" s="38" t="s">
        <v>56</v>
      </c>
      <c r="M536" s="38" t="s">
        <v>57</v>
      </c>
      <c r="N536" s="38" t="s">
        <v>1172</v>
      </c>
      <c r="O536" s="48">
        <v>725.62</v>
      </c>
      <c r="P536" s="49" t="str">
        <f t="shared" si="59"/>
        <v>High</v>
      </c>
      <c r="Q536" s="48">
        <v>1559.19</v>
      </c>
      <c r="R536" s="48">
        <v>0.19</v>
      </c>
      <c r="S536" s="48">
        <v>12</v>
      </c>
      <c r="T536" s="48">
        <f t="shared" si="56"/>
        <v>5128.6608000000006</v>
      </c>
      <c r="U536" s="38">
        <f t="shared" si="57"/>
        <v>8707.44</v>
      </c>
      <c r="V536" s="48">
        <f t="shared" si="60"/>
        <v>-3578.7791999999999</v>
      </c>
      <c r="W536" s="50">
        <f t="shared" si="61"/>
        <v>-0.69779994028850567</v>
      </c>
    </row>
    <row r="537" spans="1:23" x14ac:dyDescent="0.3">
      <c r="A537" s="39" t="s">
        <v>1173</v>
      </c>
      <c r="B537" s="40">
        <v>45108</v>
      </c>
      <c r="C537" s="41">
        <v>45118</v>
      </c>
      <c r="D537" s="42">
        <f t="shared" si="62"/>
        <v>10</v>
      </c>
      <c r="E537" s="42" t="str">
        <f>TEXT(Data!B537,"MMM-YYYY")</f>
        <v>Jul-2023</v>
      </c>
      <c r="F537" s="42" t="str">
        <f t="shared" si="58"/>
        <v>Q3-2023</v>
      </c>
      <c r="G537" s="37" t="s">
        <v>78</v>
      </c>
      <c r="H537" s="37" t="s">
        <v>90</v>
      </c>
      <c r="I537" s="37" t="s">
        <v>217</v>
      </c>
      <c r="J537" s="37" t="s">
        <v>19</v>
      </c>
      <c r="K537" s="37" t="s">
        <v>98</v>
      </c>
      <c r="L537" s="37" t="s">
        <v>84</v>
      </c>
      <c r="M537" s="37" t="s">
        <v>35</v>
      </c>
      <c r="N537" s="37" t="s">
        <v>1174</v>
      </c>
      <c r="O537" s="42">
        <v>479.5</v>
      </c>
      <c r="P537" s="43" t="str">
        <f t="shared" si="59"/>
        <v>High</v>
      </c>
      <c r="Q537" s="42">
        <v>656.66</v>
      </c>
      <c r="R537" s="42">
        <v>0.14899999999999999</v>
      </c>
      <c r="S537" s="42">
        <v>14</v>
      </c>
      <c r="T537" s="42">
        <f t="shared" si="56"/>
        <v>21944.3966</v>
      </c>
      <c r="U537" s="37">
        <f t="shared" si="57"/>
        <v>6713</v>
      </c>
      <c r="V537" s="42">
        <f t="shared" si="60"/>
        <v>15231.3966</v>
      </c>
      <c r="W537" s="44">
        <f t="shared" si="61"/>
        <v>0.69409047228029042</v>
      </c>
    </row>
    <row r="538" spans="1:23" x14ac:dyDescent="0.3">
      <c r="A538" s="45" t="s">
        <v>1175</v>
      </c>
      <c r="B538" s="46">
        <v>45520</v>
      </c>
      <c r="C538" s="47">
        <v>45530</v>
      </c>
      <c r="D538" s="48">
        <f t="shared" si="62"/>
        <v>10</v>
      </c>
      <c r="E538" s="48" t="str">
        <f>TEXT(Data!B538,"MMM-YYYY")</f>
        <v>Aug-2024</v>
      </c>
      <c r="F538" s="48" t="str">
        <f t="shared" si="58"/>
        <v>Q3-2024</v>
      </c>
      <c r="G538" s="38" t="s">
        <v>52</v>
      </c>
      <c r="H538" s="38" t="s">
        <v>122</v>
      </c>
      <c r="I538" s="38" t="s">
        <v>123</v>
      </c>
      <c r="J538" s="38" t="s">
        <v>19</v>
      </c>
      <c r="K538" s="38" t="s">
        <v>55</v>
      </c>
      <c r="L538" s="38" t="s">
        <v>49</v>
      </c>
      <c r="M538" s="38" t="s">
        <v>57</v>
      </c>
      <c r="N538" s="38" t="s">
        <v>878</v>
      </c>
      <c r="O538" s="48">
        <v>1291.7</v>
      </c>
      <c r="P538" s="49" t="str">
        <f t="shared" si="59"/>
        <v>High</v>
      </c>
      <c r="Q538" s="48">
        <v>2657.84</v>
      </c>
      <c r="R538" s="48">
        <v>8.6999999999999994E-2</v>
      </c>
      <c r="S538" s="48">
        <v>21</v>
      </c>
      <c r="T538" s="48">
        <f t="shared" si="56"/>
        <v>31548.788040000003</v>
      </c>
      <c r="U538" s="38">
        <f t="shared" si="57"/>
        <v>27125.7</v>
      </c>
      <c r="V538" s="48">
        <f t="shared" si="60"/>
        <v>4423.0880400000024</v>
      </c>
      <c r="W538" s="50">
        <f t="shared" si="61"/>
        <v>0.14019835038962727</v>
      </c>
    </row>
    <row r="539" spans="1:23" x14ac:dyDescent="0.3">
      <c r="A539" s="39" t="s">
        <v>1176</v>
      </c>
      <c r="B539" s="40">
        <v>45114</v>
      </c>
      <c r="C539" s="41">
        <v>45120</v>
      </c>
      <c r="D539" s="42">
        <f t="shared" si="62"/>
        <v>6</v>
      </c>
      <c r="E539" s="42" t="str">
        <f>TEXT(Data!B539,"MMM-YYYY")</f>
        <v>Jul-2023</v>
      </c>
      <c r="F539" s="42" t="str">
        <f t="shared" si="58"/>
        <v>Q3-2023</v>
      </c>
      <c r="G539" s="37" t="s">
        <v>16</v>
      </c>
      <c r="H539" s="37" t="s">
        <v>148</v>
      </c>
      <c r="I539" s="37" t="s">
        <v>258</v>
      </c>
      <c r="J539" s="37" t="s">
        <v>62</v>
      </c>
      <c r="K539" s="37" t="s">
        <v>40</v>
      </c>
      <c r="L539" s="37" t="s">
        <v>56</v>
      </c>
      <c r="M539" s="37" t="s">
        <v>81</v>
      </c>
      <c r="N539" s="37" t="s">
        <v>1177</v>
      </c>
      <c r="O539" s="42">
        <v>612.59</v>
      </c>
      <c r="P539" s="43" t="str">
        <f t="shared" si="59"/>
        <v>High</v>
      </c>
      <c r="Q539" s="42">
        <v>1424.74</v>
      </c>
      <c r="R539" s="42">
        <v>4.3999999999999997E-2</v>
      </c>
      <c r="S539" s="42">
        <v>15</v>
      </c>
      <c r="T539" s="42">
        <f t="shared" si="56"/>
        <v>10428.334800000001</v>
      </c>
      <c r="U539" s="37">
        <f t="shared" si="57"/>
        <v>9188.85</v>
      </c>
      <c r="V539" s="42">
        <f t="shared" si="60"/>
        <v>1239.4848000000002</v>
      </c>
      <c r="W539" s="44">
        <f t="shared" si="61"/>
        <v>0.11885740377265219</v>
      </c>
    </row>
    <row r="540" spans="1:23" x14ac:dyDescent="0.3">
      <c r="A540" s="45" t="s">
        <v>1178</v>
      </c>
      <c r="B540" s="46">
        <v>45288</v>
      </c>
      <c r="C540" s="47">
        <v>45292</v>
      </c>
      <c r="D540" s="48">
        <f t="shared" si="62"/>
        <v>4</v>
      </c>
      <c r="E540" s="48" t="str">
        <f>TEXT(Data!B540,"MMM-YYYY")</f>
        <v>Dec-2023</v>
      </c>
      <c r="F540" s="48" t="str">
        <f t="shared" si="58"/>
        <v>Q4-2023</v>
      </c>
      <c r="G540" s="38" t="s">
        <v>16</v>
      </c>
      <c r="H540" s="38" t="s">
        <v>148</v>
      </c>
      <c r="I540" s="38" t="s">
        <v>258</v>
      </c>
      <c r="J540" s="38" t="s">
        <v>27</v>
      </c>
      <c r="K540" s="38" t="s">
        <v>55</v>
      </c>
      <c r="L540" s="38" t="s">
        <v>75</v>
      </c>
      <c r="M540" s="38" t="s">
        <v>30</v>
      </c>
      <c r="N540" s="38" t="s">
        <v>1179</v>
      </c>
      <c r="O540" s="48">
        <v>1141.8</v>
      </c>
      <c r="P540" s="49" t="str">
        <f t="shared" si="59"/>
        <v>High</v>
      </c>
      <c r="Q540" s="48">
        <v>2318.7399999999998</v>
      </c>
      <c r="R540" s="48">
        <v>0.107</v>
      </c>
      <c r="S540" s="48">
        <v>32</v>
      </c>
      <c r="T540" s="48">
        <f t="shared" si="56"/>
        <v>35256.783040000002</v>
      </c>
      <c r="U540" s="38">
        <f t="shared" si="57"/>
        <v>36537.599999999999</v>
      </c>
      <c r="V540" s="48">
        <f t="shared" si="60"/>
        <v>-1280.8169599999965</v>
      </c>
      <c r="W540" s="50">
        <f t="shared" si="61"/>
        <v>-3.6328242385213268E-2</v>
      </c>
    </row>
    <row r="541" spans="1:23" x14ac:dyDescent="0.3">
      <c r="A541" s="39" t="s">
        <v>1180</v>
      </c>
      <c r="B541" s="40">
        <v>44952</v>
      </c>
      <c r="C541" s="41">
        <v>44972</v>
      </c>
      <c r="D541" s="42">
        <f t="shared" si="62"/>
        <v>20</v>
      </c>
      <c r="E541" s="42" t="str">
        <f>TEXT(Data!B541,"MMM-YYYY")</f>
        <v>Jan-2023</v>
      </c>
      <c r="F541" s="42" t="str">
        <f t="shared" si="58"/>
        <v>Q1-2023</v>
      </c>
      <c r="G541" s="37" t="s">
        <v>78</v>
      </c>
      <c r="H541" s="37" t="s">
        <v>79</v>
      </c>
      <c r="I541" s="37" t="s">
        <v>80</v>
      </c>
      <c r="J541" s="37" t="s">
        <v>62</v>
      </c>
      <c r="K541" s="37" t="s">
        <v>28</v>
      </c>
      <c r="L541" s="37" t="s">
        <v>68</v>
      </c>
      <c r="M541" s="37" t="s">
        <v>35</v>
      </c>
      <c r="N541" s="37" t="s">
        <v>1181</v>
      </c>
      <c r="O541" s="42">
        <v>492.62</v>
      </c>
      <c r="P541" s="43" t="str">
        <f t="shared" si="59"/>
        <v>High</v>
      </c>
      <c r="Q541" s="42">
        <v>366.7</v>
      </c>
      <c r="R541" s="42">
        <v>8.8999999999999996E-2</v>
      </c>
      <c r="S541" s="42">
        <v>10</v>
      </c>
      <c r="T541" s="42">
        <f t="shared" si="56"/>
        <v>14063.653600000001</v>
      </c>
      <c r="U541" s="37">
        <f t="shared" si="57"/>
        <v>4926.2</v>
      </c>
      <c r="V541" s="42">
        <f t="shared" si="60"/>
        <v>9137.4536000000007</v>
      </c>
      <c r="W541" s="44">
        <f t="shared" si="61"/>
        <v>0.6497211791393952</v>
      </c>
    </row>
    <row r="542" spans="1:23" x14ac:dyDescent="0.3">
      <c r="A542" s="45" t="s">
        <v>1182</v>
      </c>
      <c r="B542" s="46">
        <v>45115</v>
      </c>
      <c r="C542" s="47">
        <v>45116</v>
      </c>
      <c r="D542" s="48">
        <f t="shared" si="62"/>
        <v>1</v>
      </c>
      <c r="E542" s="48" t="str">
        <f>TEXT(Data!B542,"MMM-YYYY")</f>
        <v>Jul-2023</v>
      </c>
      <c r="F542" s="48" t="str">
        <f t="shared" si="58"/>
        <v>Q3-2023</v>
      </c>
      <c r="G542" s="38" t="s">
        <v>16</v>
      </c>
      <c r="H542" s="38" t="s">
        <v>17</v>
      </c>
      <c r="I542" s="38" t="s">
        <v>33</v>
      </c>
      <c r="J542" s="38" t="s">
        <v>48</v>
      </c>
      <c r="K542" s="38" t="s">
        <v>28</v>
      </c>
      <c r="L542" s="38" t="s">
        <v>145</v>
      </c>
      <c r="M542" s="38" t="s">
        <v>57</v>
      </c>
      <c r="N542" s="38" t="s">
        <v>1183</v>
      </c>
      <c r="O542" s="48">
        <v>1258.72</v>
      </c>
      <c r="P542" s="49" t="str">
        <f t="shared" si="59"/>
        <v>High</v>
      </c>
      <c r="Q542" s="48">
        <v>2797.41</v>
      </c>
      <c r="R542" s="48">
        <v>0</v>
      </c>
      <c r="S542" s="48">
        <v>7</v>
      </c>
      <c r="T542" s="48">
        <f t="shared" si="56"/>
        <v>14806.33</v>
      </c>
      <c r="U542" s="38">
        <f t="shared" si="57"/>
        <v>8811.0400000000009</v>
      </c>
      <c r="V542" s="48">
        <f t="shared" si="60"/>
        <v>5995.2899999999991</v>
      </c>
      <c r="W542" s="50">
        <f t="shared" si="61"/>
        <v>0.40491397935882822</v>
      </c>
    </row>
    <row r="543" spans="1:23" x14ac:dyDescent="0.3">
      <c r="A543" s="39" t="s">
        <v>1184</v>
      </c>
      <c r="B543" s="40">
        <v>45450</v>
      </c>
      <c r="C543" s="41">
        <v>45452</v>
      </c>
      <c r="D543" s="42">
        <f t="shared" si="62"/>
        <v>2</v>
      </c>
      <c r="E543" s="42" t="str">
        <f>TEXT(Data!B543,"MMM-YYYY")</f>
        <v>Jun-2024</v>
      </c>
      <c r="F543" s="42" t="str">
        <f t="shared" si="58"/>
        <v>Q2-2024</v>
      </c>
      <c r="G543" s="37" t="s">
        <v>45</v>
      </c>
      <c r="H543" s="37" t="s">
        <v>116</v>
      </c>
      <c r="I543" s="37" t="s">
        <v>162</v>
      </c>
      <c r="J543" s="37" t="s">
        <v>19</v>
      </c>
      <c r="K543" s="37" t="s">
        <v>20</v>
      </c>
      <c r="L543" s="37" t="s">
        <v>68</v>
      </c>
      <c r="M543" s="37" t="s">
        <v>64</v>
      </c>
      <c r="N543" s="37" t="s">
        <v>1185</v>
      </c>
      <c r="O543" s="42">
        <v>1370.28</v>
      </c>
      <c r="P543" s="43" t="str">
        <f t="shared" si="59"/>
        <v>High</v>
      </c>
      <c r="Q543" s="42">
        <v>2209.66</v>
      </c>
      <c r="R543" s="42">
        <v>0.13300000000000001</v>
      </c>
      <c r="S543" s="42">
        <v>16</v>
      </c>
      <c r="T543" s="42">
        <f t="shared" si="56"/>
        <v>25485.499680000001</v>
      </c>
      <c r="U543" s="37">
        <f t="shared" si="57"/>
        <v>21924.48</v>
      </c>
      <c r="V543" s="42">
        <f t="shared" si="60"/>
        <v>3561.0196800000012</v>
      </c>
      <c r="W543" s="44">
        <f t="shared" si="61"/>
        <v>0.13972728511164123</v>
      </c>
    </row>
    <row r="544" spans="1:23" x14ac:dyDescent="0.3">
      <c r="A544" s="45" t="s">
        <v>1186</v>
      </c>
      <c r="B544" s="46">
        <v>44968</v>
      </c>
      <c r="C544" s="47">
        <v>44969</v>
      </c>
      <c r="D544" s="48">
        <f t="shared" si="62"/>
        <v>1</v>
      </c>
      <c r="E544" s="48" t="str">
        <f>TEXT(Data!B544,"MMM-YYYY")</f>
        <v>Feb-2023</v>
      </c>
      <c r="F544" s="48" t="str">
        <f t="shared" si="58"/>
        <v>Q1-2023</v>
      </c>
      <c r="G544" s="38" t="s">
        <v>16</v>
      </c>
      <c r="H544" s="38" t="s">
        <v>25</v>
      </c>
      <c r="I544" s="38" t="s">
        <v>26</v>
      </c>
      <c r="J544" s="38" t="s">
        <v>39</v>
      </c>
      <c r="K544" s="38" t="s">
        <v>98</v>
      </c>
      <c r="L544" s="38" t="s">
        <v>145</v>
      </c>
      <c r="M544" s="38" t="s">
        <v>81</v>
      </c>
      <c r="N544" s="38" t="s">
        <v>1187</v>
      </c>
      <c r="O544" s="48">
        <v>944.61</v>
      </c>
      <c r="P544" s="49" t="str">
        <f t="shared" si="59"/>
        <v>High</v>
      </c>
      <c r="Q544" s="48">
        <v>839.04</v>
      </c>
      <c r="R544" s="48">
        <v>5.8999999999999997E-2</v>
      </c>
      <c r="S544" s="48">
        <v>6</v>
      </c>
      <c r="T544" s="48">
        <f t="shared" si="56"/>
        <v>16141.518779999999</v>
      </c>
      <c r="U544" s="38">
        <f t="shared" si="57"/>
        <v>5667.66</v>
      </c>
      <c r="V544" s="48">
        <f t="shared" si="60"/>
        <v>10473.858779999999</v>
      </c>
      <c r="W544" s="50">
        <f t="shared" si="61"/>
        <v>0.64887690698458544</v>
      </c>
    </row>
    <row r="545" spans="1:23" x14ac:dyDescent="0.3">
      <c r="A545" s="39" t="s">
        <v>1188</v>
      </c>
      <c r="B545" s="40">
        <v>45108</v>
      </c>
      <c r="C545" s="41">
        <v>45115</v>
      </c>
      <c r="D545" s="42">
        <f t="shared" si="62"/>
        <v>7</v>
      </c>
      <c r="E545" s="42" t="str">
        <f>TEXT(Data!B545,"MMM-YYYY")</f>
        <v>Jul-2023</v>
      </c>
      <c r="F545" s="42" t="str">
        <f t="shared" si="58"/>
        <v>Q3-2023</v>
      </c>
      <c r="G545" s="37" t="s">
        <v>78</v>
      </c>
      <c r="H545" s="37" t="s">
        <v>79</v>
      </c>
      <c r="I545" s="37" t="s">
        <v>335</v>
      </c>
      <c r="J545" s="37" t="s">
        <v>62</v>
      </c>
      <c r="K545" s="37" t="s">
        <v>55</v>
      </c>
      <c r="L545" s="37" t="s">
        <v>126</v>
      </c>
      <c r="M545" s="37" t="s">
        <v>57</v>
      </c>
      <c r="N545" s="37" t="s">
        <v>1189</v>
      </c>
      <c r="O545" s="42">
        <v>460.21</v>
      </c>
      <c r="P545" s="43" t="str">
        <f t="shared" si="59"/>
        <v>High</v>
      </c>
      <c r="Q545" s="42">
        <v>1139.1500000000001</v>
      </c>
      <c r="R545" s="42">
        <v>0.115</v>
      </c>
      <c r="S545" s="42">
        <v>14</v>
      </c>
      <c r="T545" s="42">
        <f t="shared" si="56"/>
        <v>3592.1088</v>
      </c>
      <c r="U545" s="37">
        <f t="shared" si="57"/>
        <v>6442.94</v>
      </c>
      <c r="V545" s="42">
        <f t="shared" si="60"/>
        <v>-2850.8311999999996</v>
      </c>
      <c r="W545" s="44">
        <f t="shared" si="61"/>
        <v>-0.79363720831618456</v>
      </c>
    </row>
    <row r="546" spans="1:23" x14ac:dyDescent="0.3">
      <c r="A546" s="45" t="s">
        <v>1190</v>
      </c>
      <c r="B546" s="46">
        <v>45889</v>
      </c>
      <c r="C546" s="47">
        <v>45895</v>
      </c>
      <c r="D546" s="48">
        <f t="shared" si="62"/>
        <v>6</v>
      </c>
      <c r="E546" s="48" t="str">
        <f>TEXT(Data!B546,"MMM-YYYY")</f>
        <v>Aug-2025</v>
      </c>
      <c r="F546" s="48" t="str">
        <f t="shared" si="58"/>
        <v>Q3-2025</v>
      </c>
      <c r="G546" s="38" t="s">
        <v>52</v>
      </c>
      <c r="H546" s="38" t="s">
        <v>122</v>
      </c>
      <c r="I546" s="38" t="s">
        <v>387</v>
      </c>
      <c r="J546" s="38" t="s">
        <v>19</v>
      </c>
      <c r="K546" s="38" t="s">
        <v>20</v>
      </c>
      <c r="L546" s="38" t="s">
        <v>110</v>
      </c>
      <c r="M546" s="38" t="s">
        <v>35</v>
      </c>
      <c r="N546" s="38" t="s">
        <v>1191</v>
      </c>
      <c r="O546" s="48">
        <v>1304.95</v>
      </c>
      <c r="P546" s="49" t="str">
        <f t="shared" si="59"/>
        <v>High</v>
      </c>
      <c r="Q546" s="48">
        <v>1712.03</v>
      </c>
      <c r="R546" s="48">
        <v>0.21199999999999999</v>
      </c>
      <c r="S546" s="48">
        <v>8</v>
      </c>
      <c r="T546" s="48">
        <f t="shared" si="56"/>
        <v>6286.3488000000007</v>
      </c>
      <c r="U546" s="38">
        <f t="shared" si="57"/>
        <v>10439.6</v>
      </c>
      <c r="V546" s="48">
        <f t="shared" si="60"/>
        <v>-4153.2511999999997</v>
      </c>
      <c r="W546" s="50">
        <f t="shared" si="61"/>
        <v>-0.66067781666839731</v>
      </c>
    </row>
    <row r="547" spans="1:23" x14ac:dyDescent="0.3">
      <c r="A547" s="39" t="s">
        <v>1192</v>
      </c>
      <c r="B547" s="40">
        <v>45355</v>
      </c>
      <c r="C547" s="41">
        <v>45367</v>
      </c>
      <c r="D547" s="42">
        <f t="shared" si="62"/>
        <v>12</v>
      </c>
      <c r="E547" s="42" t="str">
        <f>TEXT(Data!B547,"MMM-YYYY")</f>
        <v>Mar-2024</v>
      </c>
      <c r="F547" s="42" t="str">
        <f t="shared" si="58"/>
        <v>Q1-2024</v>
      </c>
      <c r="G547" s="37" t="s">
        <v>16</v>
      </c>
      <c r="H547" s="37" t="s">
        <v>148</v>
      </c>
      <c r="I547" s="37" t="s">
        <v>149</v>
      </c>
      <c r="J547" s="37" t="s">
        <v>105</v>
      </c>
      <c r="K547" s="37" t="s">
        <v>55</v>
      </c>
      <c r="L547" s="37" t="s">
        <v>110</v>
      </c>
      <c r="M547" s="37" t="s">
        <v>64</v>
      </c>
      <c r="N547" s="37" t="s">
        <v>1193</v>
      </c>
      <c r="O547" s="42">
        <v>441.08</v>
      </c>
      <c r="P547" s="43" t="str">
        <f t="shared" si="59"/>
        <v>High</v>
      </c>
      <c r="Q547" s="42">
        <v>1054.29</v>
      </c>
      <c r="R547" s="42">
        <v>0.23699999999999999</v>
      </c>
      <c r="S547" s="42">
        <v>6</v>
      </c>
      <c r="T547" s="42">
        <f t="shared" si="56"/>
        <v>216.49362000000002</v>
      </c>
      <c r="U547" s="37">
        <f t="shared" si="57"/>
        <v>2646.48</v>
      </c>
      <c r="V547" s="42">
        <f t="shared" si="60"/>
        <v>-2429.9863799999998</v>
      </c>
      <c r="W547" s="44">
        <f t="shared" si="61"/>
        <v>-11.224286332317782</v>
      </c>
    </row>
    <row r="548" spans="1:23" x14ac:dyDescent="0.3">
      <c r="A548" s="45" t="s">
        <v>1194</v>
      </c>
      <c r="B548" s="46">
        <v>45177</v>
      </c>
      <c r="C548" s="47">
        <v>45201</v>
      </c>
      <c r="D548" s="48">
        <f t="shared" si="62"/>
        <v>24</v>
      </c>
      <c r="E548" s="48" t="str">
        <f>TEXT(Data!B548,"MMM-YYYY")</f>
        <v>Sept-2023</v>
      </c>
      <c r="F548" s="48" t="str">
        <f t="shared" si="58"/>
        <v>Q3-2023</v>
      </c>
      <c r="G548" s="38" t="s">
        <v>52</v>
      </c>
      <c r="H548" s="38" t="s">
        <v>53</v>
      </c>
      <c r="I548" s="38" t="s">
        <v>54</v>
      </c>
      <c r="J548" s="38" t="s">
        <v>27</v>
      </c>
      <c r="K548" s="38" t="s">
        <v>98</v>
      </c>
      <c r="L548" s="38" t="s">
        <v>75</v>
      </c>
      <c r="M548" s="38" t="s">
        <v>81</v>
      </c>
      <c r="N548" s="38" t="s">
        <v>1195</v>
      </c>
      <c r="O548" s="48">
        <v>1299.03</v>
      </c>
      <c r="P548" s="49" t="str">
        <f t="shared" si="59"/>
        <v>High</v>
      </c>
      <c r="Q548" s="48">
        <v>2451.2199999999998</v>
      </c>
      <c r="R548" s="48">
        <v>0.20799999999999999</v>
      </c>
      <c r="S548" s="48">
        <v>8</v>
      </c>
      <c r="T548" s="48">
        <f t="shared" si="56"/>
        <v>4778.8646400000007</v>
      </c>
      <c r="U548" s="38">
        <f t="shared" si="57"/>
        <v>10392.24</v>
      </c>
      <c r="V548" s="48">
        <f t="shared" si="60"/>
        <v>-5613.3753599999991</v>
      </c>
      <c r="W548" s="50">
        <f t="shared" si="61"/>
        <v>-1.1746253101657214</v>
      </c>
    </row>
    <row r="549" spans="1:23" x14ac:dyDescent="0.3">
      <c r="A549" s="39" t="s">
        <v>1196</v>
      </c>
      <c r="B549" s="40">
        <v>44985</v>
      </c>
      <c r="C549" s="41">
        <v>44991</v>
      </c>
      <c r="D549" s="42">
        <f t="shared" si="62"/>
        <v>6</v>
      </c>
      <c r="E549" s="42" t="str">
        <f>TEXT(Data!B549,"MMM-YYYY")</f>
        <v>Feb-2023</v>
      </c>
      <c r="F549" s="42" t="str">
        <f t="shared" si="58"/>
        <v>Q1-2023</v>
      </c>
      <c r="G549" s="37" t="s">
        <v>78</v>
      </c>
      <c r="H549" s="37" t="s">
        <v>79</v>
      </c>
      <c r="I549" s="37" t="s">
        <v>335</v>
      </c>
      <c r="J549" s="37" t="s">
        <v>62</v>
      </c>
      <c r="K549" s="37" t="s">
        <v>40</v>
      </c>
      <c r="L549" s="37" t="s">
        <v>145</v>
      </c>
      <c r="M549" s="37" t="s">
        <v>30</v>
      </c>
      <c r="N549" s="37" t="s">
        <v>1197</v>
      </c>
      <c r="O549" s="42">
        <v>880.02</v>
      </c>
      <c r="P549" s="43" t="str">
        <f t="shared" si="59"/>
        <v>High</v>
      </c>
      <c r="Q549" s="42">
        <v>1251.21</v>
      </c>
      <c r="R549" s="42">
        <v>0.123</v>
      </c>
      <c r="S549" s="42">
        <v>29</v>
      </c>
      <c r="T549" s="42">
        <f t="shared" si="56"/>
        <v>22927.340840000001</v>
      </c>
      <c r="U549" s="37">
        <f t="shared" si="57"/>
        <v>25520.579999999998</v>
      </c>
      <c r="V549" s="42">
        <f t="shared" si="60"/>
        <v>-2593.2391599999974</v>
      </c>
      <c r="W549" s="44">
        <f t="shared" si="61"/>
        <v>-0.1131068438375428</v>
      </c>
    </row>
    <row r="550" spans="1:23" x14ac:dyDescent="0.3">
      <c r="A550" s="45" t="s">
        <v>1198</v>
      </c>
      <c r="B550" s="46">
        <v>45486</v>
      </c>
      <c r="C550" s="47">
        <v>45507</v>
      </c>
      <c r="D550" s="48">
        <f t="shared" si="62"/>
        <v>21</v>
      </c>
      <c r="E550" s="48" t="str">
        <f>TEXT(Data!B550,"MMM-YYYY")</f>
        <v>Jul-2024</v>
      </c>
      <c r="F550" s="48" t="str">
        <f t="shared" si="58"/>
        <v>Q3-2024</v>
      </c>
      <c r="G550" s="38" t="s">
        <v>52</v>
      </c>
      <c r="H550" s="38" t="s">
        <v>73</v>
      </c>
      <c r="I550" s="38" t="s">
        <v>225</v>
      </c>
      <c r="J550" s="38" t="s">
        <v>19</v>
      </c>
      <c r="K550" s="38" t="s">
        <v>40</v>
      </c>
      <c r="L550" s="38" t="s">
        <v>110</v>
      </c>
      <c r="M550" s="38" t="s">
        <v>64</v>
      </c>
      <c r="N550" s="38" t="s">
        <v>1199</v>
      </c>
      <c r="O550" s="48">
        <v>702.98</v>
      </c>
      <c r="P550" s="49" t="str">
        <f t="shared" si="59"/>
        <v>High</v>
      </c>
      <c r="Q550" s="48">
        <v>1104.8</v>
      </c>
      <c r="R550" s="48">
        <v>0.17499999999999999</v>
      </c>
      <c r="S550" s="48">
        <v>12</v>
      </c>
      <c r="T550" s="48">
        <f t="shared" si="56"/>
        <v>1119.492</v>
      </c>
      <c r="U550" s="38">
        <f t="shared" si="57"/>
        <v>8435.76</v>
      </c>
      <c r="V550" s="48">
        <f t="shared" si="60"/>
        <v>-7316.268</v>
      </c>
      <c r="W550" s="50">
        <f t="shared" si="61"/>
        <v>-6.5353463892551265</v>
      </c>
    </row>
    <row r="551" spans="1:23" x14ac:dyDescent="0.3">
      <c r="A551" s="39" t="s">
        <v>1200</v>
      </c>
      <c r="B551" s="40">
        <v>45633</v>
      </c>
      <c r="C551" s="41">
        <v>45652</v>
      </c>
      <c r="D551" s="42">
        <f t="shared" si="62"/>
        <v>19</v>
      </c>
      <c r="E551" s="42" t="str">
        <f>TEXT(Data!B551,"MMM-YYYY")</f>
        <v>Dec-2024</v>
      </c>
      <c r="F551" s="42" t="str">
        <f t="shared" si="58"/>
        <v>Q4-2024</v>
      </c>
      <c r="G551" s="37" t="s">
        <v>78</v>
      </c>
      <c r="H551" s="37" t="s">
        <v>108</v>
      </c>
      <c r="I551" s="37" t="s">
        <v>152</v>
      </c>
      <c r="J551" s="37" t="s">
        <v>105</v>
      </c>
      <c r="K551" s="37" t="s">
        <v>28</v>
      </c>
      <c r="L551" s="37" t="s">
        <v>145</v>
      </c>
      <c r="M551" s="37" t="s">
        <v>35</v>
      </c>
      <c r="N551" s="37" t="s">
        <v>1201</v>
      </c>
      <c r="O551" s="42">
        <v>1035.24</v>
      </c>
      <c r="P551" s="43" t="str">
        <f t="shared" si="59"/>
        <v>High</v>
      </c>
      <c r="Q551" s="42">
        <v>2383.41</v>
      </c>
      <c r="R551" s="42">
        <v>0.17</v>
      </c>
      <c r="S551" s="42">
        <v>15</v>
      </c>
      <c r="T551" s="42">
        <f t="shared" si="56"/>
        <v>10814.319</v>
      </c>
      <c r="U551" s="37">
        <f t="shared" si="57"/>
        <v>15528.6</v>
      </c>
      <c r="V551" s="42">
        <f t="shared" si="60"/>
        <v>-4714.2810000000009</v>
      </c>
      <c r="W551" s="44">
        <f t="shared" si="61"/>
        <v>-0.43592953009801183</v>
      </c>
    </row>
    <row r="552" spans="1:23" x14ac:dyDescent="0.3">
      <c r="A552" s="45" t="s">
        <v>1202</v>
      </c>
      <c r="B552" s="46">
        <v>45875</v>
      </c>
      <c r="C552" s="47">
        <v>45892</v>
      </c>
      <c r="D552" s="48">
        <f t="shared" si="62"/>
        <v>17</v>
      </c>
      <c r="E552" s="48" t="str">
        <f>TEXT(Data!B552,"MMM-YYYY")</f>
        <v>Aug-2025</v>
      </c>
      <c r="F552" s="48" t="str">
        <f t="shared" si="58"/>
        <v>Q3-2025</v>
      </c>
      <c r="G552" s="38" t="s">
        <v>52</v>
      </c>
      <c r="H552" s="38" t="s">
        <v>73</v>
      </c>
      <c r="I552" s="38" t="s">
        <v>87</v>
      </c>
      <c r="J552" s="38" t="s">
        <v>48</v>
      </c>
      <c r="K552" s="38" t="s">
        <v>55</v>
      </c>
      <c r="L552" s="38" t="s">
        <v>75</v>
      </c>
      <c r="M552" s="38" t="s">
        <v>64</v>
      </c>
      <c r="N552" s="38" t="s">
        <v>1203</v>
      </c>
      <c r="O552" s="48">
        <v>86.64</v>
      </c>
      <c r="P552" s="49" t="str">
        <f t="shared" si="59"/>
        <v>High</v>
      </c>
      <c r="Q552" s="48">
        <v>213.06</v>
      </c>
      <c r="R552" s="48">
        <v>0.21199999999999999</v>
      </c>
      <c r="S552" s="48">
        <v>11</v>
      </c>
      <c r="T552" s="48">
        <f t="shared" si="56"/>
        <v>3015.5971999999997</v>
      </c>
      <c r="U552" s="38">
        <f t="shared" si="57"/>
        <v>953.04</v>
      </c>
      <c r="V552" s="48">
        <f t="shared" si="60"/>
        <v>2062.5571999999997</v>
      </c>
      <c r="W552" s="50">
        <f t="shared" si="61"/>
        <v>0.68396309692819712</v>
      </c>
    </row>
    <row r="553" spans="1:23" x14ac:dyDescent="0.3">
      <c r="A553" s="39" t="s">
        <v>1204</v>
      </c>
      <c r="B553" s="40">
        <v>44988</v>
      </c>
      <c r="C553" s="41">
        <v>45005</v>
      </c>
      <c r="D553" s="42">
        <f t="shared" si="62"/>
        <v>17</v>
      </c>
      <c r="E553" s="42" t="str">
        <f>TEXT(Data!B553,"MMM-YYYY")</f>
        <v>Mar-2023</v>
      </c>
      <c r="F553" s="42" t="str">
        <f t="shared" si="58"/>
        <v>Q1-2023</v>
      </c>
      <c r="G553" s="37" t="s">
        <v>45</v>
      </c>
      <c r="H553" s="37" t="s">
        <v>46</v>
      </c>
      <c r="I553" s="37" t="s">
        <v>231</v>
      </c>
      <c r="J553" s="37" t="s">
        <v>62</v>
      </c>
      <c r="K553" s="37" t="s">
        <v>28</v>
      </c>
      <c r="L553" s="37" t="s">
        <v>145</v>
      </c>
      <c r="M553" s="37" t="s">
        <v>35</v>
      </c>
      <c r="N553" s="37" t="s">
        <v>1205</v>
      </c>
      <c r="O553" s="42">
        <v>1171.17</v>
      </c>
      <c r="P553" s="43" t="str">
        <f t="shared" si="59"/>
        <v>High</v>
      </c>
      <c r="Q553" s="42">
        <v>2030.64</v>
      </c>
      <c r="R553" s="42">
        <v>0.157</v>
      </c>
      <c r="S553" s="42">
        <v>11</v>
      </c>
      <c r="T553" s="42">
        <f t="shared" si="56"/>
        <v>10310.463239999999</v>
      </c>
      <c r="U553" s="37">
        <f t="shared" si="57"/>
        <v>12882.87</v>
      </c>
      <c r="V553" s="42">
        <f t="shared" si="60"/>
        <v>-2572.4067600000017</v>
      </c>
      <c r="W553" s="44">
        <f t="shared" si="61"/>
        <v>-0.24949478021707217</v>
      </c>
    </row>
    <row r="554" spans="1:23" x14ac:dyDescent="0.3">
      <c r="A554" s="45" t="s">
        <v>1206</v>
      </c>
      <c r="B554" s="46">
        <v>45704</v>
      </c>
      <c r="C554" s="47">
        <v>45733</v>
      </c>
      <c r="D554" s="48">
        <f t="shared" si="62"/>
        <v>1</v>
      </c>
      <c r="E554" s="48" t="str">
        <f>TEXT(Data!B554,"MMM-YYYY")</f>
        <v>Feb-2025</v>
      </c>
      <c r="F554" s="48" t="str">
        <f t="shared" si="58"/>
        <v>Q1-2025</v>
      </c>
      <c r="G554" s="38" t="s">
        <v>78</v>
      </c>
      <c r="H554" s="38" t="s">
        <v>79</v>
      </c>
      <c r="I554" s="38" t="s">
        <v>159</v>
      </c>
      <c r="J554" s="38" t="s">
        <v>48</v>
      </c>
      <c r="K554" s="38" t="s">
        <v>20</v>
      </c>
      <c r="L554" s="38" t="s">
        <v>49</v>
      </c>
      <c r="M554" s="38" t="s">
        <v>81</v>
      </c>
      <c r="N554" s="38" t="s">
        <v>1207</v>
      </c>
      <c r="O554" s="48">
        <v>730.42</v>
      </c>
      <c r="P554" s="49" t="str">
        <f t="shared" si="59"/>
        <v>High</v>
      </c>
      <c r="Q554" s="48">
        <v>956.7</v>
      </c>
      <c r="R554" s="48">
        <v>4.2000000000000003E-2</v>
      </c>
      <c r="S554" s="48">
        <v>22</v>
      </c>
      <c r="T554" s="48">
        <f t="shared" si="56"/>
        <v>6907.0267199999998</v>
      </c>
      <c r="U554" s="38">
        <f t="shared" si="57"/>
        <v>16069.24</v>
      </c>
      <c r="V554" s="48">
        <f t="shared" si="60"/>
        <v>-9162.2132799999999</v>
      </c>
      <c r="W554" s="50">
        <f t="shared" si="61"/>
        <v>-1.3265061293986133</v>
      </c>
    </row>
    <row r="555" spans="1:23" x14ac:dyDescent="0.3">
      <c r="A555" s="39" t="s">
        <v>1208</v>
      </c>
      <c r="B555" s="40">
        <v>45703</v>
      </c>
      <c r="C555" s="41">
        <v>45717</v>
      </c>
      <c r="D555" s="42">
        <f t="shared" si="62"/>
        <v>14</v>
      </c>
      <c r="E555" s="42" t="str">
        <f>TEXT(Data!B555,"MMM-YYYY")</f>
        <v>Feb-2025</v>
      </c>
      <c r="F555" s="42" t="str">
        <f t="shared" si="58"/>
        <v>Q1-2025</v>
      </c>
      <c r="G555" s="37" t="s">
        <v>16</v>
      </c>
      <c r="H555" s="37" t="s">
        <v>17</v>
      </c>
      <c r="I555" s="37" t="s">
        <v>113</v>
      </c>
      <c r="J555" s="37" t="s">
        <v>27</v>
      </c>
      <c r="K555" s="37" t="s">
        <v>98</v>
      </c>
      <c r="L555" s="37" t="s">
        <v>49</v>
      </c>
      <c r="M555" s="37" t="s">
        <v>81</v>
      </c>
      <c r="N555" s="37" t="s">
        <v>1209</v>
      </c>
      <c r="O555" s="42">
        <v>1162.8599999999999</v>
      </c>
      <c r="P555" s="43" t="str">
        <f t="shared" si="59"/>
        <v>High</v>
      </c>
      <c r="Q555" s="42">
        <v>1447.68</v>
      </c>
      <c r="R555" s="42">
        <v>8.6999999999999994E-2</v>
      </c>
      <c r="S555" s="42">
        <v>12</v>
      </c>
      <c r="T555" s="42">
        <f t="shared" si="56"/>
        <v>5326.0402800000002</v>
      </c>
      <c r="U555" s="37">
        <f t="shared" si="57"/>
        <v>13954.32</v>
      </c>
      <c r="V555" s="42">
        <f t="shared" si="60"/>
        <v>-8628.2797199999986</v>
      </c>
      <c r="W555" s="44">
        <f t="shared" si="61"/>
        <v>-1.6200177367040112</v>
      </c>
    </row>
    <row r="556" spans="1:23" x14ac:dyDescent="0.3">
      <c r="A556" s="45" t="s">
        <v>1210</v>
      </c>
      <c r="B556" s="46">
        <v>45535</v>
      </c>
      <c r="C556" s="47">
        <v>45561</v>
      </c>
      <c r="D556" s="48">
        <f t="shared" si="62"/>
        <v>26</v>
      </c>
      <c r="E556" s="48" t="str">
        <f>TEXT(Data!B556,"MMM-YYYY")</f>
        <v>Aug-2024</v>
      </c>
      <c r="F556" s="48" t="str">
        <f t="shared" si="58"/>
        <v>Q3-2024</v>
      </c>
      <c r="G556" s="38" t="s">
        <v>45</v>
      </c>
      <c r="H556" s="38" t="s">
        <v>46</v>
      </c>
      <c r="I556" s="38" t="s">
        <v>214</v>
      </c>
      <c r="J556" s="38" t="s">
        <v>27</v>
      </c>
      <c r="K556" s="38" t="s">
        <v>28</v>
      </c>
      <c r="L556" s="38" t="s">
        <v>34</v>
      </c>
      <c r="M556" s="38" t="s">
        <v>42</v>
      </c>
      <c r="N556" s="38" t="s">
        <v>1211</v>
      </c>
      <c r="O556" s="48">
        <v>1189.03</v>
      </c>
      <c r="P556" s="49" t="str">
        <f t="shared" si="59"/>
        <v>High</v>
      </c>
      <c r="Q556" s="48">
        <v>2949.62</v>
      </c>
      <c r="R556" s="48">
        <v>0.125</v>
      </c>
      <c r="S556" s="48">
        <v>13</v>
      </c>
      <c r="T556" s="48">
        <f t="shared" si="56"/>
        <v>23507.575000000001</v>
      </c>
      <c r="U556" s="38">
        <f t="shared" si="57"/>
        <v>15457.39</v>
      </c>
      <c r="V556" s="48">
        <f t="shared" si="60"/>
        <v>8050.1850000000013</v>
      </c>
      <c r="W556" s="50">
        <f t="shared" si="61"/>
        <v>0.34245067813247437</v>
      </c>
    </row>
    <row r="557" spans="1:23" x14ac:dyDescent="0.3">
      <c r="A557" s="39" t="s">
        <v>1212</v>
      </c>
      <c r="B557" s="40">
        <v>45053</v>
      </c>
      <c r="C557" s="41">
        <v>45066</v>
      </c>
      <c r="D557" s="42">
        <f t="shared" si="62"/>
        <v>13</v>
      </c>
      <c r="E557" s="42" t="str">
        <f>TEXT(Data!B557,"MMM-YYYY")</f>
        <v>May-2023</v>
      </c>
      <c r="F557" s="42" t="str">
        <f t="shared" si="58"/>
        <v>Q2-2023</v>
      </c>
      <c r="G557" s="37" t="s">
        <v>45</v>
      </c>
      <c r="H557" s="37" t="s">
        <v>60</v>
      </c>
      <c r="I557" s="37" t="s">
        <v>220</v>
      </c>
      <c r="J557" s="37" t="s">
        <v>105</v>
      </c>
      <c r="K557" s="37" t="s">
        <v>20</v>
      </c>
      <c r="L557" s="37" t="s">
        <v>145</v>
      </c>
      <c r="M557" s="37" t="s">
        <v>81</v>
      </c>
      <c r="N557" s="37" t="s">
        <v>1213</v>
      </c>
      <c r="O557" s="42">
        <v>1443.28</v>
      </c>
      <c r="P557" s="43" t="str">
        <f t="shared" si="59"/>
        <v>High</v>
      </c>
      <c r="Q557" s="42">
        <v>2580.5700000000002</v>
      </c>
      <c r="R557" s="42">
        <v>0</v>
      </c>
      <c r="S557" s="42">
        <v>18</v>
      </c>
      <c r="T557" s="42">
        <f t="shared" si="56"/>
        <v>1551.6000000000001</v>
      </c>
      <c r="U557" s="37">
        <f t="shared" si="57"/>
        <v>25979.040000000001</v>
      </c>
      <c r="V557" s="42">
        <f t="shared" si="60"/>
        <v>-24427.440000000002</v>
      </c>
      <c r="W557" s="44">
        <f t="shared" si="61"/>
        <v>-15.74338747099768</v>
      </c>
    </row>
    <row r="558" spans="1:23" x14ac:dyDescent="0.3">
      <c r="A558" s="45" t="s">
        <v>1214</v>
      </c>
      <c r="B558" s="46">
        <v>45791</v>
      </c>
      <c r="C558" s="47">
        <v>45789</v>
      </c>
      <c r="D558" s="48">
        <f>DATEDIF(C558,B558, "MD")</f>
        <v>2</v>
      </c>
      <c r="E558" s="48" t="str">
        <f>TEXT(Data!B558,"MMM-YYYY")</f>
        <v>May-2025</v>
      </c>
      <c r="F558" s="48" t="str">
        <f t="shared" si="58"/>
        <v>Q2-2025</v>
      </c>
      <c r="G558" s="38" t="s">
        <v>52</v>
      </c>
      <c r="H558" s="38" t="s">
        <v>53</v>
      </c>
      <c r="I558" s="38" t="s">
        <v>179</v>
      </c>
      <c r="J558" s="38" t="s">
        <v>39</v>
      </c>
      <c r="K558" s="38" t="s">
        <v>55</v>
      </c>
      <c r="L558" s="38" t="s">
        <v>84</v>
      </c>
      <c r="M558" s="38" t="s">
        <v>30</v>
      </c>
      <c r="N558" s="38" t="s">
        <v>1215</v>
      </c>
      <c r="O558" s="48">
        <v>883.5</v>
      </c>
      <c r="P558" s="49" t="str">
        <f t="shared" si="59"/>
        <v>High</v>
      </c>
      <c r="Q558" s="48">
        <v>1978.91</v>
      </c>
      <c r="R558" s="48">
        <v>5.3999999999999999E-2</v>
      </c>
      <c r="S558" s="48">
        <v>27</v>
      </c>
      <c r="T558" s="48">
        <f t="shared" si="56"/>
        <v>58944.550499999998</v>
      </c>
      <c r="U558" s="38">
        <f t="shared" si="57"/>
        <v>23854.5</v>
      </c>
      <c r="V558" s="48">
        <f t="shared" si="60"/>
        <v>35090.050499999998</v>
      </c>
      <c r="W558" s="50">
        <f t="shared" si="61"/>
        <v>0.59530610043416987</v>
      </c>
    </row>
    <row r="559" spans="1:23" x14ac:dyDescent="0.3">
      <c r="A559" s="39" t="s">
        <v>1216</v>
      </c>
      <c r="B559" s="40">
        <v>45362</v>
      </c>
      <c r="C559" s="41">
        <v>45380</v>
      </c>
      <c r="D559" s="42">
        <f t="shared" si="62"/>
        <v>18</v>
      </c>
      <c r="E559" s="42" t="str">
        <f>TEXT(Data!B559,"MMM-YYYY")</f>
        <v>Mar-2024</v>
      </c>
      <c r="F559" s="42" t="str">
        <f t="shared" si="58"/>
        <v>Q1-2024</v>
      </c>
      <c r="G559" s="37" t="s">
        <v>52</v>
      </c>
      <c r="H559" s="37" t="s">
        <v>122</v>
      </c>
      <c r="I559" s="37" t="s">
        <v>387</v>
      </c>
      <c r="J559" s="37" t="s">
        <v>19</v>
      </c>
      <c r="K559" s="37" t="s">
        <v>20</v>
      </c>
      <c r="L559" s="37" t="s">
        <v>110</v>
      </c>
      <c r="M559" s="37" t="s">
        <v>64</v>
      </c>
      <c r="N559" s="37" t="s">
        <v>1217</v>
      </c>
      <c r="O559" s="42">
        <v>710.98</v>
      </c>
      <c r="P559" s="43" t="str">
        <f t="shared" si="59"/>
        <v>High</v>
      </c>
      <c r="Q559" s="42">
        <v>1481.45</v>
      </c>
      <c r="R559" s="42">
        <v>0.21099999999999999</v>
      </c>
      <c r="S559" s="42">
        <v>9</v>
      </c>
      <c r="T559" s="42">
        <f t="shared" si="56"/>
        <v>7902.0638099999996</v>
      </c>
      <c r="U559" s="37">
        <f t="shared" si="57"/>
        <v>6398.82</v>
      </c>
      <c r="V559" s="42">
        <f t="shared" si="60"/>
        <v>1503.2438099999999</v>
      </c>
      <c r="W559" s="44">
        <f t="shared" si="61"/>
        <v>0.19023432942893434</v>
      </c>
    </row>
    <row r="560" spans="1:23" x14ac:dyDescent="0.3">
      <c r="A560" s="45" t="s">
        <v>1218</v>
      </c>
      <c r="B560" s="46">
        <v>45430</v>
      </c>
      <c r="C560" s="47">
        <v>45434</v>
      </c>
      <c r="D560" s="48">
        <f t="shared" si="62"/>
        <v>4</v>
      </c>
      <c r="E560" s="48" t="str">
        <f>TEXT(Data!B560,"MMM-YYYY")</f>
        <v>May-2024</v>
      </c>
      <c r="F560" s="48" t="str">
        <f t="shared" si="58"/>
        <v>Q2-2024</v>
      </c>
      <c r="G560" s="38" t="s">
        <v>16</v>
      </c>
      <c r="H560" s="38" t="s">
        <v>17</v>
      </c>
      <c r="I560" s="38" t="s">
        <v>33</v>
      </c>
      <c r="J560" s="38" t="s">
        <v>19</v>
      </c>
      <c r="K560" s="38" t="s">
        <v>98</v>
      </c>
      <c r="L560" s="38" t="s">
        <v>92</v>
      </c>
      <c r="M560" s="38" t="s">
        <v>81</v>
      </c>
      <c r="N560" s="38" t="s">
        <v>1219</v>
      </c>
      <c r="O560" s="48">
        <v>857.42</v>
      </c>
      <c r="P560" s="49" t="str">
        <f t="shared" si="59"/>
        <v>High</v>
      </c>
      <c r="Q560" s="48">
        <v>1658.92</v>
      </c>
      <c r="R560" s="48">
        <v>0.122</v>
      </c>
      <c r="S560" s="48">
        <v>9</v>
      </c>
      <c r="T560" s="48">
        <f t="shared" si="56"/>
        <v>8897.572979999999</v>
      </c>
      <c r="U560" s="38">
        <f t="shared" si="57"/>
        <v>7716.78</v>
      </c>
      <c r="V560" s="48">
        <f t="shared" si="60"/>
        <v>1180.7929799999993</v>
      </c>
      <c r="W560" s="50">
        <f t="shared" si="61"/>
        <v>0.13270955828675871</v>
      </c>
    </row>
    <row r="561" spans="1:23" x14ac:dyDescent="0.3">
      <c r="A561" s="39" t="s">
        <v>1220</v>
      </c>
      <c r="B561" s="40">
        <v>45299</v>
      </c>
      <c r="C561" s="41">
        <v>45303</v>
      </c>
      <c r="D561" s="42">
        <f t="shared" si="62"/>
        <v>4</v>
      </c>
      <c r="E561" s="42" t="str">
        <f>TEXT(Data!B561,"MMM-YYYY")</f>
        <v>Jan-2024</v>
      </c>
      <c r="F561" s="42" t="str">
        <f t="shared" si="58"/>
        <v>Q1-2024</v>
      </c>
      <c r="G561" s="37" t="s">
        <v>45</v>
      </c>
      <c r="H561" s="37" t="s">
        <v>60</v>
      </c>
      <c r="I561" s="37" t="s">
        <v>61</v>
      </c>
      <c r="J561" s="37" t="s">
        <v>19</v>
      </c>
      <c r="K561" s="37" t="s">
        <v>98</v>
      </c>
      <c r="L561" s="37" t="s">
        <v>63</v>
      </c>
      <c r="M561" s="37" t="s">
        <v>30</v>
      </c>
      <c r="N561" s="37" t="s">
        <v>1221</v>
      </c>
      <c r="O561" s="42">
        <v>802.32</v>
      </c>
      <c r="P561" s="43" t="str">
        <f t="shared" si="59"/>
        <v>High</v>
      </c>
      <c r="Q561" s="42">
        <v>602.34</v>
      </c>
      <c r="R561" s="42">
        <v>0.12</v>
      </c>
      <c r="S561" s="42">
        <v>25</v>
      </c>
      <c r="T561" s="42">
        <f t="shared" si="56"/>
        <v>2719.64</v>
      </c>
      <c r="U561" s="37">
        <f t="shared" si="57"/>
        <v>20058</v>
      </c>
      <c r="V561" s="42">
        <f t="shared" si="60"/>
        <v>-17338.36</v>
      </c>
      <c r="W561" s="44">
        <f t="shared" si="61"/>
        <v>-6.3752408406995045</v>
      </c>
    </row>
    <row r="562" spans="1:23" x14ac:dyDescent="0.3">
      <c r="A562" s="45" t="s">
        <v>1222</v>
      </c>
      <c r="B562" s="46">
        <v>45590</v>
      </c>
      <c r="C562" s="47">
        <v>45601</v>
      </c>
      <c r="D562" s="48">
        <f t="shared" si="62"/>
        <v>11</v>
      </c>
      <c r="E562" s="48" t="str">
        <f>TEXT(Data!B562,"MMM-YYYY")</f>
        <v>Oct-2024</v>
      </c>
      <c r="F562" s="48" t="str">
        <f t="shared" si="58"/>
        <v>Q4-2024</v>
      </c>
      <c r="G562" s="38" t="s">
        <v>52</v>
      </c>
      <c r="H562" s="38" t="s">
        <v>122</v>
      </c>
      <c r="I562" s="38" t="s">
        <v>387</v>
      </c>
      <c r="J562" s="38" t="s">
        <v>19</v>
      </c>
      <c r="K562" s="38" t="s">
        <v>55</v>
      </c>
      <c r="L562" s="38" t="s">
        <v>126</v>
      </c>
      <c r="M562" s="38" t="s">
        <v>22</v>
      </c>
      <c r="N562" s="38" t="s">
        <v>1223</v>
      </c>
      <c r="O562" s="48">
        <v>446.66</v>
      </c>
      <c r="P562" s="49" t="str">
        <f t="shared" si="59"/>
        <v>High</v>
      </c>
      <c r="Q562" s="48">
        <v>527.64</v>
      </c>
      <c r="R562" s="48">
        <v>0.14499999999999999</v>
      </c>
      <c r="S562" s="48">
        <v>15</v>
      </c>
      <c r="T562" s="48">
        <f t="shared" si="56"/>
        <v>22209.693749999999</v>
      </c>
      <c r="U562" s="38">
        <f t="shared" si="57"/>
        <v>6699.9000000000005</v>
      </c>
      <c r="V562" s="48">
        <f t="shared" si="60"/>
        <v>15509.793749999997</v>
      </c>
      <c r="W562" s="50">
        <f t="shared" si="61"/>
        <v>0.6983344266059498</v>
      </c>
    </row>
    <row r="563" spans="1:23" x14ac:dyDescent="0.3">
      <c r="A563" s="39" t="s">
        <v>1224</v>
      </c>
      <c r="B563" s="40">
        <v>45626</v>
      </c>
      <c r="C563" s="41">
        <v>45645</v>
      </c>
      <c r="D563" s="42">
        <f t="shared" si="62"/>
        <v>19</v>
      </c>
      <c r="E563" s="42" t="str">
        <f>TEXT(Data!B563,"MMM-YYYY")</f>
        <v>Nov-2024</v>
      </c>
      <c r="F563" s="42" t="str">
        <f t="shared" si="58"/>
        <v>Q4-2024</v>
      </c>
      <c r="G563" s="37" t="s">
        <v>16</v>
      </c>
      <c r="H563" s="37" t="s">
        <v>17</v>
      </c>
      <c r="I563" s="37" t="s">
        <v>18</v>
      </c>
      <c r="J563" s="37" t="s">
        <v>19</v>
      </c>
      <c r="K563" s="37" t="s">
        <v>28</v>
      </c>
      <c r="L563" s="37" t="s">
        <v>49</v>
      </c>
      <c r="M563" s="37" t="s">
        <v>42</v>
      </c>
      <c r="N563" s="37" t="s">
        <v>1225</v>
      </c>
      <c r="O563" s="42">
        <v>1195.98</v>
      </c>
      <c r="P563" s="43" t="str">
        <f t="shared" si="59"/>
        <v>High</v>
      </c>
      <c r="Q563" s="42">
        <v>1841.9</v>
      </c>
      <c r="R563" s="42">
        <v>5.5E-2</v>
      </c>
      <c r="S563" s="42">
        <v>19</v>
      </c>
      <c r="T563" s="42">
        <f t="shared" si="56"/>
        <v>54978.38955</v>
      </c>
      <c r="U563" s="37">
        <f t="shared" si="57"/>
        <v>22723.62</v>
      </c>
      <c r="V563" s="42">
        <f t="shared" si="60"/>
        <v>32254.769550000001</v>
      </c>
      <c r="W563" s="44">
        <f t="shared" si="61"/>
        <v>0.58668087250293055</v>
      </c>
    </row>
    <row r="564" spans="1:23" x14ac:dyDescent="0.3">
      <c r="A564" s="45" t="s">
        <v>1226</v>
      </c>
      <c r="B564" s="46">
        <v>45029</v>
      </c>
      <c r="C564" s="47">
        <v>45048</v>
      </c>
      <c r="D564" s="48">
        <f t="shared" si="62"/>
        <v>19</v>
      </c>
      <c r="E564" s="48" t="str">
        <f>TEXT(Data!B564,"MMM-YYYY")</f>
        <v>Apr-2023</v>
      </c>
      <c r="F564" s="48" t="str">
        <f t="shared" si="58"/>
        <v>Q2-2023</v>
      </c>
      <c r="G564" s="38" t="s">
        <v>52</v>
      </c>
      <c r="H564" s="38" t="s">
        <v>53</v>
      </c>
      <c r="I564" s="38" t="s">
        <v>144</v>
      </c>
      <c r="J564" s="38" t="s">
        <v>48</v>
      </c>
      <c r="K564" s="38" t="s">
        <v>55</v>
      </c>
      <c r="L564" s="38" t="s">
        <v>63</v>
      </c>
      <c r="M564" s="38" t="s">
        <v>64</v>
      </c>
      <c r="N564" s="38" t="s">
        <v>1227</v>
      </c>
      <c r="O564" s="48">
        <v>671.05</v>
      </c>
      <c r="P564" s="49" t="str">
        <f t="shared" si="59"/>
        <v>High</v>
      </c>
      <c r="Q564" s="48">
        <v>1645.48</v>
      </c>
      <c r="R564" s="48">
        <v>0.13700000000000001</v>
      </c>
      <c r="S564" s="48">
        <v>6</v>
      </c>
      <c r="T564" s="48">
        <f t="shared" si="56"/>
        <v>11393.722979999999</v>
      </c>
      <c r="U564" s="38">
        <f t="shared" si="57"/>
        <v>4026.2999999999997</v>
      </c>
      <c r="V564" s="48">
        <f t="shared" si="60"/>
        <v>7367.4229799999994</v>
      </c>
      <c r="W564" s="50">
        <f t="shared" si="61"/>
        <v>0.64662121353419111</v>
      </c>
    </row>
    <row r="565" spans="1:23" x14ac:dyDescent="0.3">
      <c r="A565" s="39" t="s">
        <v>1228</v>
      </c>
      <c r="B565" s="40">
        <v>45692</v>
      </c>
      <c r="C565" s="41">
        <v>45696</v>
      </c>
      <c r="D565" s="42">
        <f t="shared" si="62"/>
        <v>4</v>
      </c>
      <c r="E565" s="42" t="str">
        <f>TEXT(Data!B565,"MMM-YYYY")</f>
        <v>Feb-2025</v>
      </c>
      <c r="F565" s="42" t="str">
        <f t="shared" si="58"/>
        <v>Q1-2025</v>
      </c>
      <c r="G565" s="37" t="s">
        <v>78</v>
      </c>
      <c r="H565" s="37" t="s">
        <v>108</v>
      </c>
      <c r="I565" s="37" t="s">
        <v>228</v>
      </c>
      <c r="J565" s="37" t="s">
        <v>105</v>
      </c>
      <c r="K565" s="37" t="s">
        <v>40</v>
      </c>
      <c r="L565" s="37" t="s">
        <v>49</v>
      </c>
      <c r="M565" s="37" t="s">
        <v>35</v>
      </c>
      <c r="N565" s="37" t="s">
        <v>1229</v>
      </c>
      <c r="O565" s="42">
        <v>586.21</v>
      </c>
      <c r="P565" s="43" t="str">
        <f t="shared" si="59"/>
        <v>High</v>
      </c>
      <c r="Q565" s="42">
        <v>727.22</v>
      </c>
      <c r="R565" s="42">
        <v>6.8000000000000005E-2</v>
      </c>
      <c r="S565" s="42">
        <v>15</v>
      </c>
      <c r="T565" s="42">
        <f t="shared" si="56"/>
        <v>8408.8302000000003</v>
      </c>
      <c r="U565" s="37">
        <f t="shared" si="57"/>
        <v>8793.1500000000015</v>
      </c>
      <c r="V565" s="42">
        <f t="shared" si="60"/>
        <v>-384.31980000000112</v>
      </c>
      <c r="W565" s="44">
        <f t="shared" si="61"/>
        <v>-4.5704312117041096E-2</v>
      </c>
    </row>
    <row r="566" spans="1:23" x14ac:dyDescent="0.3">
      <c r="A566" s="45" t="s">
        <v>1230</v>
      </c>
      <c r="B566" s="46">
        <v>45315</v>
      </c>
      <c r="C566" s="47">
        <v>45326</v>
      </c>
      <c r="D566" s="48">
        <f t="shared" si="62"/>
        <v>11</v>
      </c>
      <c r="E566" s="48" t="str">
        <f>TEXT(Data!B566,"MMM-YYYY")</f>
        <v>Jan-2024</v>
      </c>
      <c r="F566" s="48" t="str">
        <f t="shared" si="58"/>
        <v>Q1-2024</v>
      </c>
      <c r="G566" s="38" t="s">
        <v>78</v>
      </c>
      <c r="H566" s="38" t="s">
        <v>108</v>
      </c>
      <c r="I566" s="38" t="s">
        <v>228</v>
      </c>
      <c r="J566" s="38" t="s">
        <v>48</v>
      </c>
      <c r="K566" s="38" t="s">
        <v>20</v>
      </c>
      <c r="L566" s="38" t="s">
        <v>56</v>
      </c>
      <c r="M566" s="38" t="s">
        <v>57</v>
      </c>
      <c r="N566" s="38" t="s">
        <v>1231</v>
      </c>
      <c r="O566" s="48">
        <v>525.34</v>
      </c>
      <c r="P566" s="49" t="str">
        <f t="shared" si="59"/>
        <v>High</v>
      </c>
      <c r="Q566" s="48">
        <v>1233.79</v>
      </c>
      <c r="R566" s="48">
        <v>0.14299999999999999</v>
      </c>
      <c r="S566" s="48">
        <v>4</v>
      </c>
      <c r="T566" s="48">
        <f t="shared" si="56"/>
        <v>3248.9555599999999</v>
      </c>
      <c r="U566" s="38">
        <f t="shared" si="57"/>
        <v>2101.36</v>
      </c>
      <c r="V566" s="48">
        <f t="shared" si="60"/>
        <v>1147.5955599999998</v>
      </c>
      <c r="W566" s="50">
        <f t="shared" si="61"/>
        <v>0.35321983905498533</v>
      </c>
    </row>
    <row r="567" spans="1:23" x14ac:dyDescent="0.3">
      <c r="A567" s="39" t="s">
        <v>1232</v>
      </c>
      <c r="B567" s="40">
        <v>45330</v>
      </c>
      <c r="C567" s="41">
        <v>45331</v>
      </c>
      <c r="D567" s="42">
        <f t="shared" si="62"/>
        <v>1</v>
      </c>
      <c r="E567" s="42" t="str">
        <f>TEXT(Data!B567,"MMM-YYYY")</f>
        <v>Feb-2024</v>
      </c>
      <c r="F567" s="42" t="str">
        <f t="shared" si="58"/>
        <v>Q1-2024</v>
      </c>
      <c r="G567" s="37" t="s">
        <v>16</v>
      </c>
      <c r="H567" s="37" t="s">
        <v>17</v>
      </c>
      <c r="I567" s="37" t="s">
        <v>113</v>
      </c>
      <c r="J567" s="37" t="s">
        <v>19</v>
      </c>
      <c r="K567" s="37" t="s">
        <v>98</v>
      </c>
      <c r="L567" s="37" t="s">
        <v>84</v>
      </c>
      <c r="M567" s="37" t="s">
        <v>22</v>
      </c>
      <c r="N567" s="37" t="s">
        <v>1233</v>
      </c>
      <c r="O567" s="42">
        <v>1233.52</v>
      </c>
      <c r="P567" s="43" t="str">
        <f t="shared" si="59"/>
        <v>High</v>
      </c>
      <c r="Q567" s="42">
        <v>1543.76</v>
      </c>
      <c r="R567" s="42">
        <v>0.126</v>
      </c>
      <c r="S567" s="42">
        <v>13</v>
      </c>
      <c r="T567" s="42">
        <f t="shared" si="56"/>
        <v>26490.27576</v>
      </c>
      <c r="U567" s="37">
        <f t="shared" si="57"/>
        <v>16035.76</v>
      </c>
      <c r="V567" s="42">
        <f t="shared" si="60"/>
        <v>10454.51576</v>
      </c>
      <c r="W567" s="44">
        <f t="shared" si="61"/>
        <v>0.39465484824382968</v>
      </c>
    </row>
    <row r="568" spans="1:23" x14ac:dyDescent="0.3">
      <c r="A568" s="45" t="s">
        <v>1234</v>
      </c>
      <c r="B568" s="46">
        <v>45834</v>
      </c>
      <c r="C568" s="47">
        <v>45849</v>
      </c>
      <c r="D568" s="48">
        <f t="shared" si="62"/>
        <v>15</v>
      </c>
      <c r="E568" s="48" t="str">
        <f>TEXT(Data!B568,"MMM-YYYY")</f>
        <v>Jun-2025</v>
      </c>
      <c r="F568" s="48" t="str">
        <f t="shared" si="58"/>
        <v>Q2-2025</v>
      </c>
      <c r="G568" s="38" t="s">
        <v>16</v>
      </c>
      <c r="H568" s="38" t="s">
        <v>25</v>
      </c>
      <c r="I568" s="38" t="s">
        <v>26</v>
      </c>
      <c r="J568" s="38" t="s">
        <v>62</v>
      </c>
      <c r="K568" s="38" t="s">
        <v>28</v>
      </c>
      <c r="L568" s="38" t="s">
        <v>75</v>
      </c>
      <c r="M568" s="38" t="s">
        <v>57</v>
      </c>
      <c r="N568" s="38" t="s">
        <v>1235</v>
      </c>
      <c r="O568" s="48">
        <v>1170.1500000000001</v>
      </c>
      <c r="P568" s="49" t="str">
        <f t="shared" si="59"/>
        <v>High</v>
      </c>
      <c r="Q568" s="48">
        <v>2115.19</v>
      </c>
      <c r="R568" s="48">
        <v>9.1999999999999998E-2</v>
      </c>
      <c r="S568" s="48">
        <v>23</v>
      </c>
      <c r="T568" s="48">
        <f t="shared" si="56"/>
        <v>29597.640160000003</v>
      </c>
      <c r="U568" s="38">
        <f t="shared" si="57"/>
        <v>26913.45</v>
      </c>
      <c r="V568" s="48">
        <f t="shared" si="60"/>
        <v>2684.1901600000019</v>
      </c>
      <c r="W568" s="50">
        <f t="shared" si="61"/>
        <v>9.0689330145569333E-2</v>
      </c>
    </row>
    <row r="569" spans="1:23" x14ac:dyDescent="0.3">
      <c r="A569" s="39" t="s">
        <v>1236</v>
      </c>
      <c r="B569" s="40">
        <v>45600</v>
      </c>
      <c r="C569" s="41">
        <v>45603</v>
      </c>
      <c r="D569" s="42">
        <f t="shared" si="62"/>
        <v>3</v>
      </c>
      <c r="E569" s="42" t="str">
        <f>TEXT(Data!B569,"MMM-YYYY")</f>
        <v>Nov-2024</v>
      </c>
      <c r="F569" s="42" t="str">
        <f t="shared" si="58"/>
        <v>Q4-2024</v>
      </c>
      <c r="G569" s="37" t="s">
        <v>78</v>
      </c>
      <c r="H569" s="37" t="s">
        <v>90</v>
      </c>
      <c r="I569" s="37" t="s">
        <v>138</v>
      </c>
      <c r="J569" s="37" t="s">
        <v>19</v>
      </c>
      <c r="K569" s="37" t="s">
        <v>28</v>
      </c>
      <c r="L569" s="37" t="s">
        <v>68</v>
      </c>
      <c r="M569" s="37" t="s">
        <v>64</v>
      </c>
      <c r="N569" s="37" t="s">
        <v>1237</v>
      </c>
      <c r="O569" s="42">
        <v>740.68</v>
      </c>
      <c r="P569" s="43" t="str">
        <f t="shared" si="59"/>
        <v>High</v>
      </c>
      <c r="Q569" s="42">
        <v>1837.19</v>
      </c>
      <c r="R569" s="42">
        <v>0.19700000000000001</v>
      </c>
      <c r="S569" s="42">
        <v>17</v>
      </c>
      <c r="T569" s="42">
        <f t="shared" si="56"/>
        <v>9548.8744999999999</v>
      </c>
      <c r="U569" s="37">
        <f t="shared" si="57"/>
        <v>12591.56</v>
      </c>
      <c r="V569" s="42">
        <f t="shared" si="60"/>
        <v>-3042.6854999999996</v>
      </c>
      <c r="W569" s="44">
        <f t="shared" si="61"/>
        <v>-0.31864336472324561</v>
      </c>
    </row>
    <row r="570" spans="1:23" x14ac:dyDescent="0.3">
      <c r="A570" s="45" t="s">
        <v>1238</v>
      </c>
      <c r="B570" s="46">
        <v>45342</v>
      </c>
      <c r="C570" s="47">
        <v>45342</v>
      </c>
      <c r="D570" s="48">
        <f t="shared" si="62"/>
        <v>0</v>
      </c>
      <c r="E570" s="48" t="str">
        <f>TEXT(Data!B570,"MMM-YYYY")</f>
        <v>Feb-2024</v>
      </c>
      <c r="F570" s="48" t="str">
        <f t="shared" si="58"/>
        <v>Q1-2024</v>
      </c>
      <c r="G570" s="38" t="s">
        <v>52</v>
      </c>
      <c r="H570" s="38" t="s">
        <v>122</v>
      </c>
      <c r="I570" s="38" t="s">
        <v>387</v>
      </c>
      <c r="J570" s="38" t="s">
        <v>105</v>
      </c>
      <c r="K570" s="38" t="s">
        <v>28</v>
      </c>
      <c r="L570" s="38" t="s">
        <v>21</v>
      </c>
      <c r="M570" s="38" t="s">
        <v>35</v>
      </c>
      <c r="N570" s="38" t="s">
        <v>1239</v>
      </c>
      <c r="O570" s="48">
        <v>1407.05</v>
      </c>
      <c r="P570" s="49" t="str">
        <f t="shared" si="59"/>
        <v>High</v>
      </c>
      <c r="Q570" s="48">
        <v>2858.93</v>
      </c>
      <c r="R570" s="48">
        <v>0</v>
      </c>
      <c r="S570" s="48">
        <v>12</v>
      </c>
      <c r="T570" s="48">
        <f t="shared" si="56"/>
        <v>21446.400000000001</v>
      </c>
      <c r="U570" s="38">
        <f t="shared" si="57"/>
        <v>16884.599999999999</v>
      </c>
      <c r="V570" s="48">
        <f t="shared" si="60"/>
        <v>4561.8000000000029</v>
      </c>
      <c r="W570" s="50">
        <f t="shared" si="61"/>
        <v>0.2127070277529097</v>
      </c>
    </row>
    <row r="571" spans="1:23" x14ac:dyDescent="0.3">
      <c r="A571" s="39" t="s">
        <v>1240</v>
      </c>
      <c r="B571" s="40">
        <v>45760</v>
      </c>
      <c r="C571" s="41">
        <v>45761</v>
      </c>
      <c r="D571" s="42">
        <f t="shared" si="62"/>
        <v>1</v>
      </c>
      <c r="E571" s="42" t="str">
        <f>TEXT(Data!B571,"MMM-YYYY")</f>
        <v>Apr-2025</v>
      </c>
      <c r="F571" s="42" t="str">
        <f t="shared" si="58"/>
        <v>Q2-2025</v>
      </c>
      <c r="G571" s="37" t="s">
        <v>45</v>
      </c>
      <c r="H571" s="37" t="s">
        <v>46</v>
      </c>
      <c r="I571" s="37" t="s">
        <v>47</v>
      </c>
      <c r="J571" s="37" t="s">
        <v>105</v>
      </c>
      <c r="K571" s="37" t="s">
        <v>28</v>
      </c>
      <c r="L571" s="37" t="s">
        <v>41</v>
      </c>
      <c r="M571" s="37" t="s">
        <v>22</v>
      </c>
      <c r="N571" s="37" t="s">
        <v>1241</v>
      </c>
      <c r="O571" s="42">
        <v>138.9</v>
      </c>
      <c r="P571" s="43" t="str">
        <f t="shared" si="59"/>
        <v>High</v>
      </c>
      <c r="Q571" s="42">
        <v>289.92</v>
      </c>
      <c r="R571" s="42">
        <v>2.9000000000000001E-2</v>
      </c>
      <c r="S571" s="42">
        <v>12</v>
      </c>
      <c r="T571" s="42">
        <f t="shared" si="56"/>
        <v>19793.834999999999</v>
      </c>
      <c r="U571" s="37">
        <f t="shared" si="57"/>
        <v>1666.8000000000002</v>
      </c>
      <c r="V571" s="42">
        <f t="shared" si="60"/>
        <v>18127.035</v>
      </c>
      <c r="W571" s="44">
        <f t="shared" si="61"/>
        <v>0.91579196249741401</v>
      </c>
    </row>
    <row r="572" spans="1:23" x14ac:dyDescent="0.3">
      <c r="A572" s="45" t="s">
        <v>1242</v>
      </c>
      <c r="B572" s="46">
        <v>45078</v>
      </c>
      <c r="C572" s="47">
        <v>45078</v>
      </c>
      <c r="D572" s="48">
        <f t="shared" si="62"/>
        <v>0</v>
      </c>
      <c r="E572" s="48" t="str">
        <f>TEXT(Data!B572,"MMM-YYYY")</f>
        <v>Jun-2023</v>
      </c>
      <c r="F572" s="48" t="str">
        <f t="shared" si="58"/>
        <v>Q2-2023</v>
      </c>
      <c r="G572" s="38" t="s">
        <v>45</v>
      </c>
      <c r="H572" s="38" t="s">
        <v>60</v>
      </c>
      <c r="I572" s="38" t="s">
        <v>61</v>
      </c>
      <c r="J572" s="38" t="s">
        <v>19</v>
      </c>
      <c r="K572" s="38" t="s">
        <v>20</v>
      </c>
      <c r="L572" s="38" t="s">
        <v>63</v>
      </c>
      <c r="M572" s="38" t="s">
        <v>81</v>
      </c>
      <c r="N572" s="38" t="s">
        <v>1243</v>
      </c>
      <c r="O572" s="48">
        <v>669.37</v>
      </c>
      <c r="P572" s="49" t="str">
        <f t="shared" si="59"/>
        <v>High</v>
      </c>
      <c r="Q572" s="48">
        <v>997.2</v>
      </c>
      <c r="R572" s="48">
        <v>8.2000000000000003E-2</v>
      </c>
      <c r="S572" s="48">
        <v>5</v>
      </c>
      <c r="T572" s="48">
        <f t="shared" si="56"/>
        <v>3326.373</v>
      </c>
      <c r="U572" s="38">
        <f t="shared" si="57"/>
        <v>3346.85</v>
      </c>
      <c r="V572" s="48">
        <f t="shared" si="60"/>
        <v>-20.476999999999862</v>
      </c>
      <c r="W572" s="50">
        <f t="shared" si="61"/>
        <v>-6.1559542480653434E-3</v>
      </c>
    </row>
    <row r="573" spans="1:23" x14ac:dyDescent="0.3">
      <c r="A573" s="39" t="s">
        <v>1244</v>
      </c>
      <c r="B573" s="40">
        <v>45740</v>
      </c>
      <c r="C573" s="41">
        <v>45751</v>
      </c>
      <c r="D573" s="42">
        <f t="shared" si="62"/>
        <v>11</v>
      </c>
      <c r="E573" s="42" t="str">
        <f>TEXT(Data!B573,"MMM-YYYY")</f>
        <v>Mar-2025</v>
      </c>
      <c r="F573" s="42" t="str">
        <f t="shared" si="58"/>
        <v>Q1-2025</v>
      </c>
      <c r="G573" s="37" t="s">
        <v>45</v>
      </c>
      <c r="H573" s="37" t="s">
        <v>60</v>
      </c>
      <c r="I573" s="37" t="s">
        <v>220</v>
      </c>
      <c r="J573" s="37" t="s">
        <v>27</v>
      </c>
      <c r="K573" s="37" t="s">
        <v>40</v>
      </c>
      <c r="L573" s="37" t="s">
        <v>29</v>
      </c>
      <c r="M573" s="37" t="s">
        <v>42</v>
      </c>
      <c r="N573" s="37" t="s">
        <v>1245</v>
      </c>
      <c r="O573" s="42">
        <v>23.83</v>
      </c>
      <c r="P573" s="43" t="str">
        <f t="shared" si="59"/>
        <v>Low</v>
      </c>
      <c r="Q573" s="42">
        <v>47.29</v>
      </c>
      <c r="R573" s="42">
        <v>6.4000000000000001E-2</v>
      </c>
      <c r="S573" s="42">
        <v>19</v>
      </c>
      <c r="T573" s="42">
        <f t="shared" si="56"/>
        <v>24114.036959999998</v>
      </c>
      <c r="U573" s="37">
        <f t="shared" si="57"/>
        <v>452.77</v>
      </c>
      <c r="V573" s="42">
        <f t="shared" si="60"/>
        <v>23661.266959999997</v>
      </c>
      <c r="W573" s="44">
        <f t="shared" si="61"/>
        <v>0.98122379920247083</v>
      </c>
    </row>
    <row r="574" spans="1:23" x14ac:dyDescent="0.3">
      <c r="A574" s="45" t="s">
        <v>1246</v>
      </c>
      <c r="B574" s="46">
        <v>45293</v>
      </c>
      <c r="C574" s="47">
        <v>45293</v>
      </c>
      <c r="D574" s="48">
        <f t="shared" si="62"/>
        <v>0</v>
      </c>
      <c r="E574" s="48" t="str">
        <f>TEXT(Data!B574,"MMM-YYYY")</f>
        <v>Jan-2024</v>
      </c>
      <c r="F574" s="48" t="str">
        <f t="shared" si="58"/>
        <v>Q1-2024</v>
      </c>
      <c r="G574" s="38" t="s">
        <v>52</v>
      </c>
      <c r="H574" s="38" t="s">
        <v>53</v>
      </c>
      <c r="I574" s="38" t="s">
        <v>179</v>
      </c>
      <c r="J574" s="38" t="s">
        <v>27</v>
      </c>
      <c r="K574" s="38" t="s">
        <v>98</v>
      </c>
      <c r="L574" s="38" t="s">
        <v>75</v>
      </c>
      <c r="M574" s="38" t="s">
        <v>57</v>
      </c>
      <c r="N574" s="38" t="s">
        <v>1247</v>
      </c>
      <c r="O574" s="48">
        <v>444.41</v>
      </c>
      <c r="P574" s="49" t="str">
        <f t="shared" si="59"/>
        <v>High</v>
      </c>
      <c r="Q574" s="48">
        <v>754.24</v>
      </c>
      <c r="R574" s="48">
        <v>0.20699999999999999</v>
      </c>
      <c r="S574" s="48">
        <v>32</v>
      </c>
      <c r="T574" s="48">
        <f t="shared" si="56"/>
        <v>6980.1763200000005</v>
      </c>
      <c r="U574" s="38">
        <f t="shared" si="57"/>
        <v>14221.12</v>
      </c>
      <c r="V574" s="48">
        <f t="shared" si="60"/>
        <v>-7240.9436800000003</v>
      </c>
      <c r="W574" s="50">
        <f t="shared" si="61"/>
        <v>-1.0373582769324659</v>
      </c>
    </row>
    <row r="575" spans="1:23" x14ac:dyDescent="0.3">
      <c r="A575" s="39" t="s">
        <v>1248</v>
      </c>
      <c r="B575" s="40">
        <v>45279</v>
      </c>
      <c r="C575" s="41">
        <v>45292</v>
      </c>
      <c r="D575" s="42">
        <f t="shared" si="62"/>
        <v>13</v>
      </c>
      <c r="E575" s="42" t="str">
        <f>TEXT(Data!B575,"MMM-YYYY")</f>
        <v>Dec-2023</v>
      </c>
      <c r="F575" s="42" t="str">
        <f t="shared" si="58"/>
        <v>Q4-2023</v>
      </c>
      <c r="G575" s="37" t="s">
        <v>52</v>
      </c>
      <c r="H575" s="37" t="s">
        <v>53</v>
      </c>
      <c r="I575" s="37" t="s">
        <v>54</v>
      </c>
      <c r="J575" s="37" t="s">
        <v>105</v>
      </c>
      <c r="K575" s="37" t="s">
        <v>20</v>
      </c>
      <c r="L575" s="37" t="s">
        <v>95</v>
      </c>
      <c r="M575" s="37" t="s">
        <v>64</v>
      </c>
      <c r="N575" s="37" t="s">
        <v>1249</v>
      </c>
      <c r="O575" s="42">
        <v>856.1</v>
      </c>
      <c r="P575" s="43" t="str">
        <f t="shared" si="59"/>
        <v>High</v>
      </c>
      <c r="Q575" s="42">
        <v>901.48</v>
      </c>
      <c r="R575" s="42">
        <v>5.6000000000000001E-2</v>
      </c>
      <c r="S575" s="42">
        <v>17</v>
      </c>
      <c r="T575" s="42">
        <f t="shared" si="56"/>
        <v>28925.557119999998</v>
      </c>
      <c r="U575" s="37">
        <f t="shared" si="57"/>
        <v>14553.7</v>
      </c>
      <c r="V575" s="42">
        <f t="shared" si="60"/>
        <v>14371.857119999997</v>
      </c>
      <c r="W575" s="44">
        <f t="shared" si="61"/>
        <v>0.49685670911634278</v>
      </c>
    </row>
    <row r="576" spans="1:23" x14ac:dyDescent="0.3">
      <c r="A576" s="45" t="s">
        <v>1250</v>
      </c>
      <c r="B576" s="46">
        <v>45042</v>
      </c>
      <c r="C576" s="47">
        <v>45042</v>
      </c>
      <c r="D576" s="48">
        <f t="shared" si="62"/>
        <v>0</v>
      </c>
      <c r="E576" s="48" t="str">
        <f>TEXT(Data!B576,"MMM-YYYY")</f>
        <v>Apr-2023</v>
      </c>
      <c r="F576" s="48" t="str">
        <f t="shared" si="58"/>
        <v>Q2-2023</v>
      </c>
      <c r="G576" s="38" t="s">
        <v>78</v>
      </c>
      <c r="H576" s="38" t="s">
        <v>90</v>
      </c>
      <c r="I576" s="38" t="s">
        <v>91</v>
      </c>
      <c r="J576" s="38" t="s">
        <v>48</v>
      </c>
      <c r="K576" s="38" t="s">
        <v>98</v>
      </c>
      <c r="L576" s="38" t="s">
        <v>110</v>
      </c>
      <c r="M576" s="38" t="s">
        <v>22</v>
      </c>
      <c r="N576" s="38" t="s">
        <v>1251</v>
      </c>
      <c r="O576" s="48">
        <v>81.489999999999995</v>
      </c>
      <c r="P576" s="49" t="str">
        <f t="shared" si="59"/>
        <v>Medium</v>
      </c>
      <c r="Q576" s="48">
        <v>113.08</v>
      </c>
      <c r="R576" s="48">
        <v>0.121</v>
      </c>
      <c r="S576" s="48">
        <v>5</v>
      </c>
      <c r="T576" s="48">
        <f t="shared" si="56"/>
        <v>5580.6830999999993</v>
      </c>
      <c r="U576" s="38">
        <f t="shared" si="57"/>
        <v>407.45</v>
      </c>
      <c r="V576" s="48">
        <f t="shared" si="60"/>
        <v>5173.2330999999995</v>
      </c>
      <c r="W576" s="50">
        <f t="shared" si="61"/>
        <v>0.92698922467036338</v>
      </c>
    </row>
    <row r="577" spans="1:23" x14ac:dyDescent="0.3">
      <c r="A577" s="39" t="s">
        <v>1252</v>
      </c>
      <c r="B577" s="40">
        <v>45872</v>
      </c>
      <c r="C577" s="41">
        <v>45885</v>
      </c>
      <c r="D577" s="42">
        <f t="shared" si="62"/>
        <v>13</v>
      </c>
      <c r="E577" s="42" t="str">
        <f>TEXT(Data!B577,"MMM-YYYY")</f>
        <v>Aug-2025</v>
      </c>
      <c r="F577" s="42" t="str">
        <f t="shared" si="58"/>
        <v>Q3-2025</v>
      </c>
      <c r="G577" s="37" t="s">
        <v>52</v>
      </c>
      <c r="H577" s="37" t="s">
        <v>53</v>
      </c>
      <c r="I577" s="37" t="s">
        <v>144</v>
      </c>
      <c r="J577" s="37" t="s">
        <v>105</v>
      </c>
      <c r="K577" s="37" t="s">
        <v>55</v>
      </c>
      <c r="L577" s="37" t="s">
        <v>68</v>
      </c>
      <c r="M577" s="37" t="s">
        <v>35</v>
      </c>
      <c r="N577" s="37" t="s">
        <v>1253</v>
      </c>
      <c r="O577" s="42">
        <v>698.66</v>
      </c>
      <c r="P577" s="43" t="str">
        <f t="shared" si="59"/>
        <v>High</v>
      </c>
      <c r="Q577" s="42">
        <v>868.62</v>
      </c>
      <c r="R577" s="42">
        <v>7.1999999999999995E-2</v>
      </c>
      <c r="S577" s="42">
        <v>15</v>
      </c>
      <c r="T577" s="42">
        <f t="shared" ref="T577:T632" si="63">(Q603*S577)*(1-R577)</f>
        <v>7960.848</v>
      </c>
      <c r="U577" s="37">
        <f t="shared" ref="U577:U632" si="64">(O577*S577)</f>
        <v>10479.9</v>
      </c>
      <c r="V577" s="42">
        <f t="shared" si="60"/>
        <v>-2519.0519999999997</v>
      </c>
      <c r="W577" s="44">
        <f t="shared" si="61"/>
        <v>-0.31643010895321699</v>
      </c>
    </row>
    <row r="578" spans="1:23" x14ac:dyDescent="0.3">
      <c r="A578" s="45" t="s">
        <v>1254</v>
      </c>
      <c r="B578" s="46">
        <v>45140</v>
      </c>
      <c r="C578" s="47">
        <v>45157</v>
      </c>
      <c r="D578" s="48">
        <f t="shared" si="62"/>
        <v>17</v>
      </c>
      <c r="E578" s="48" t="str">
        <f>TEXT(Data!B578,"MMM-YYYY")</f>
        <v>Aug-2023</v>
      </c>
      <c r="F578" s="48" t="str">
        <f t="shared" ref="F578:F632" si="65">"Q"&amp;ROUNDUP(MONTH(B578)/3,0)&amp;"-"&amp;YEAR(B578)</f>
        <v>Q3-2023</v>
      </c>
      <c r="G578" s="38" t="s">
        <v>52</v>
      </c>
      <c r="H578" s="38" t="s">
        <v>53</v>
      </c>
      <c r="I578" s="38" t="s">
        <v>179</v>
      </c>
      <c r="J578" s="38" t="s">
        <v>19</v>
      </c>
      <c r="K578" s="38" t="s">
        <v>28</v>
      </c>
      <c r="L578" s="38" t="s">
        <v>84</v>
      </c>
      <c r="M578" s="38" t="s">
        <v>35</v>
      </c>
      <c r="N578" s="38" t="s">
        <v>1255</v>
      </c>
      <c r="O578" s="48">
        <v>175.38</v>
      </c>
      <c r="P578" s="49" t="str">
        <f t="shared" ref="P578:P632" si="66">IF(Q578&lt;50, "Low", IF(Q578&lt;200, "Medium", "High"))</f>
        <v>High</v>
      </c>
      <c r="Q578" s="48">
        <v>347.9</v>
      </c>
      <c r="R578" s="48">
        <v>7.1999999999999995E-2</v>
      </c>
      <c r="S578" s="48">
        <v>43</v>
      </c>
      <c r="T578" s="48">
        <f t="shared" si="63"/>
        <v>109937.11616000001</v>
      </c>
      <c r="U578" s="38">
        <f t="shared" si="64"/>
        <v>7541.34</v>
      </c>
      <c r="V578" s="48">
        <f t="shared" ref="V578:V632" si="67">(T578-U578)</f>
        <v>102395.77616000001</v>
      </c>
      <c r="W578" s="50">
        <f t="shared" ref="W578:W632" si="68">IF(T578=0, 0, V578/T578)</f>
        <v>0.93140314878712571</v>
      </c>
    </row>
    <row r="579" spans="1:23" x14ac:dyDescent="0.3">
      <c r="A579" s="39" t="s">
        <v>1256</v>
      </c>
      <c r="B579" s="40">
        <v>45092</v>
      </c>
      <c r="C579" s="41">
        <v>45119</v>
      </c>
      <c r="D579" s="42">
        <f t="shared" si="62"/>
        <v>27</v>
      </c>
      <c r="E579" s="42" t="str">
        <f>TEXT(Data!B579,"MMM-YYYY")</f>
        <v>Jun-2023</v>
      </c>
      <c r="F579" s="42" t="str">
        <f t="shared" si="65"/>
        <v>Q2-2023</v>
      </c>
      <c r="G579" s="37" t="s">
        <v>78</v>
      </c>
      <c r="H579" s="37" t="s">
        <v>108</v>
      </c>
      <c r="I579" s="37" t="s">
        <v>228</v>
      </c>
      <c r="J579" s="37" t="s">
        <v>48</v>
      </c>
      <c r="K579" s="37" t="s">
        <v>98</v>
      </c>
      <c r="L579" s="37" t="s">
        <v>34</v>
      </c>
      <c r="M579" s="37" t="s">
        <v>81</v>
      </c>
      <c r="N579" s="37" t="s">
        <v>1257</v>
      </c>
      <c r="O579" s="42">
        <v>751.28</v>
      </c>
      <c r="P579" s="43" t="str">
        <f t="shared" si="66"/>
        <v>High</v>
      </c>
      <c r="Q579" s="42">
        <v>1111.8800000000001</v>
      </c>
      <c r="R579" s="42">
        <v>0.13500000000000001</v>
      </c>
      <c r="S579" s="42">
        <v>7</v>
      </c>
      <c r="T579" s="42">
        <f t="shared" si="63"/>
        <v>5827.9980499999992</v>
      </c>
      <c r="U579" s="37">
        <f t="shared" si="64"/>
        <v>5258.96</v>
      </c>
      <c r="V579" s="42">
        <f t="shared" si="67"/>
        <v>569.0380499999992</v>
      </c>
      <c r="W579" s="44">
        <f t="shared" si="68"/>
        <v>9.7638682291597417E-2</v>
      </c>
    </row>
    <row r="580" spans="1:23" x14ac:dyDescent="0.3">
      <c r="A580" s="45" t="s">
        <v>1258</v>
      </c>
      <c r="B580" s="46">
        <v>45607</v>
      </c>
      <c r="C580" s="47">
        <v>45620</v>
      </c>
      <c r="D580" s="48">
        <f t="shared" ref="D580:D632" si="69">DATEDIF(B580,C580, "MD")</f>
        <v>13</v>
      </c>
      <c r="E580" s="48" t="str">
        <f>TEXT(Data!B580,"MMM-YYYY")</f>
        <v>Nov-2024</v>
      </c>
      <c r="F580" s="48" t="str">
        <f t="shared" si="65"/>
        <v>Q4-2024</v>
      </c>
      <c r="G580" s="38" t="s">
        <v>78</v>
      </c>
      <c r="H580" s="38" t="s">
        <v>108</v>
      </c>
      <c r="I580" s="38" t="s">
        <v>152</v>
      </c>
      <c r="J580" s="38" t="s">
        <v>19</v>
      </c>
      <c r="K580" s="38" t="s">
        <v>20</v>
      </c>
      <c r="L580" s="38" t="s">
        <v>63</v>
      </c>
      <c r="M580" s="38" t="s">
        <v>35</v>
      </c>
      <c r="N580" s="38" t="s">
        <v>1259</v>
      </c>
      <c r="O580" s="48">
        <v>164.53</v>
      </c>
      <c r="P580" s="49" t="str">
        <f t="shared" si="66"/>
        <v>High</v>
      </c>
      <c r="Q580" s="48">
        <v>327.72</v>
      </c>
      <c r="R580" s="48">
        <v>6.7000000000000004E-2</v>
      </c>
      <c r="S580" s="48">
        <v>14</v>
      </c>
      <c r="T580" s="48">
        <f t="shared" si="63"/>
        <v>8728.9427399999986</v>
      </c>
      <c r="U580" s="38">
        <f t="shared" si="64"/>
        <v>2303.42</v>
      </c>
      <c r="V580" s="48">
        <f t="shared" si="67"/>
        <v>6425.5227399999985</v>
      </c>
      <c r="W580" s="50">
        <f t="shared" si="68"/>
        <v>0.73611695383855846</v>
      </c>
    </row>
    <row r="581" spans="1:23" x14ac:dyDescent="0.3">
      <c r="A581" s="39" t="s">
        <v>1260</v>
      </c>
      <c r="B581" s="40">
        <v>45849</v>
      </c>
      <c r="C581" s="41">
        <v>45872</v>
      </c>
      <c r="D581" s="42">
        <f t="shared" si="69"/>
        <v>23</v>
      </c>
      <c r="E581" s="42" t="str">
        <f>TEXT(Data!B581,"MMM-YYYY")</f>
        <v>Jul-2025</v>
      </c>
      <c r="F581" s="42" t="str">
        <f t="shared" si="65"/>
        <v>Q3-2025</v>
      </c>
      <c r="G581" s="37" t="s">
        <v>16</v>
      </c>
      <c r="H581" s="37" t="s">
        <v>17</v>
      </c>
      <c r="I581" s="37" t="s">
        <v>135</v>
      </c>
      <c r="J581" s="37" t="s">
        <v>62</v>
      </c>
      <c r="K581" s="37" t="s">
        <v>20</v>
      </c>
      <c r="L581" s="37" t="s">
        <v>21</v>
      </c>
      <c r="M581" s="37" t="s">
        <v>42</v>
      </c>
      <c r="N581" s="37" t="s">
        <v>1261</v>
      </c>
      <c r="O581" s="42">
        <v>389.93</v>
      </c>
      <c r="P581" s="43" t="str">
        <f t="shared" si="66"/>
        <v>High</v>
      </c>
      <c r="Q581" s="42">
        <v>486.13</v>
      </c>
      <c r="R581" s="42">
        <v>0.13200000000000001</v>
      </c>
      <c r="S581" s="42">
        <v>17</v>
      </c>
      <c r="T581" s="42">
        <f t="shared" si="63"/>
        <v>20722.29348</v>
      </c>
      <c r="U581" s="37">
        <f t="shared" si="64"/>
        <v>6628.81</v>
      </c>
      <c r="V581" s="42">
        <f t="shared" si="67"/>
        <v>14093.483479999999</v>
      </c>
      <c r="W581" s="44">
        <f t="shared" si="68"/>
        <v>0.6801121455789747</v>
      </c>
    </row>
    <row r="582" spans="1:23" x14ac:dyDescent="0.3">
      <c r="A582" s="45" t="s">
        <v>1262</v>
      </c>
      <c r="B582" s="46">
        <v>45080</v>
      </c>
      <c r="C582" s="47">
        <v>45108</v>
      </c>
      <c r="D582" s="48">
        <f t="shared" si="69"/>
        <v>28</v>
      </c>
      <c r="E582" s="48" t="str">
        <f>TEXT(Data!B582,"MMM-YYYY")</f>
        <v>Jun-2023</v>
      </c>
      <c r="F582" s="48" t="str">
        <f t="shared" si="65"/>
        <v>Q2-2023</v>
      </c>
      <c r="G582" s="38" t="s">
        <v>52</v>
      </c>
      <c r="H582" s="38" t="s">
        <v>73</v>
      </c>
      <c r="I582" s="38" t="s">
        <v>87</v>
      </c>
      <c r="J582" s="38" t="s">
        <v>62</v>
      </c>
      <c r="K582" s="38" t="s">
        <v>40</v>
      </c>
      <c r="L582" s="38" t="s">
        <v>75</v>
      </c>
      <c r="M582" s="38" t="s">
        <v>22</v>
      </c>
      <c r="N582" s="38" t="s">
        <v>1263</v>
      </c>
      <c r="O582" s="48">
        <v>860.4</v>
      </c>
      <c r="P582" s="49" t="str">
        <f t="shared" si="66"/>
        <v>High</v>
      </c>
      <c r="Q582" s="48">
        <v>2066.6</v>
      </c>
      <c r="R582" s="48">
        <v>0.01</v>
      </c>
      <c r="S582" s="48">
        <v>3</v>
      </c>
      <c r="T582" s="48">
        <f t="shared" si="63"/>
        <v>10661.9733</v>
      </c>
      <c r="U582" s="38">
        <f t="shared" si="64"/>
        <v>2581.1999999999998</v>
      </c>
      <c r="V582" s="48">
        <f t="shared" si="67"/>
        <v>8080.7732999999998</v>
      </c>
      <c r="W582" s="50">
        <f t="shared" si="68"/>
        <v>0.7579059778737206</v>
      </c>
    </row>
    <row r="583" spans="1:23" x14ac:dyDescent="0.3">
      <c r="A583" s="39" t="s">
        <v>1264</v>
      </c>
      <c r="B583" s="40">
        <v>44955</v>
      </c>
      <c r="C583" s="41">
        <v>44963</v>
      </c>
      <c r="D583" s="42">
        <f t="shared" si="69"/>
        <v>8</v>
      </c>
      <c r="E583" s="42" t="str">
        <f>TEXT(Data!B583,"MMM-YYYY")</f>
        <v>Jan-2023</v>
      </c>
      <c r="F583" s="42" t="str">
        <f t="shared" si="65"/>
        <v>Q1-2023</v>
      </c>
      <c r="G583" s="37" t="s">
        <v>52</v>
      </c>
      <c r="H583" s="37" t="s">
        <v>73</v>
      </c>
      <c r="I583" s="37" t="s">
        <v>87</v>
      </c>
      <c r="J583" s="37" t="s">
        <v>19</v>
      </c>
      <c r="K583" s="37" t="s">
        <v>40</v>
      </c>
      <c r="L583" s="37" t="s">
        <v>145</v>
      </c>
      <c r="M583" s="37" t="s">
        <v>64</v>
      </c>
      <c r="N583" s="37" t="s">
        <v>1265</v>
      </c>
      <c r="O583" s="42">
        <v>41.84</v>
      </c>
      <c r="P583" s="43" t="str">
        <f t="shared" si="66"/>
        <v>Medium</v>
      </c>
      <c r="Q583" s="42">
        <v>86.2</v>
      </c>
      <c r="R583" s="42">
        <v>0.22600000000000001</v>
      </c>
      <c r="S583" s="42">
        <v>27</v>
      </c>
      <c r="T583" s="42">
        <f t="shared" si="63"/>
        <v>4879.8919799999994</v>
      </c>
      <c r="U583" s="37">
        <f t="shared" si="64"/>
        <v>1129.68</v>
      </c>
      <c r="V583" s="42">
        <f t="shared" si="67"/>
        <v>3750.2119799999991</v>
      </c>
      <c r="W583" s="44">
        <f t="shared" si="68"/>
        <v>0.76850307247989524</v>
      </c>
    </row>
    <row r="584" spans="1:23" x14ac:dyDescent="0.3">
      <c r="A584" s="45" t="s">
        <v>1266</v>
      </c>
      <c r="B584" s="46">
        <v>45541</v>
      </c>
      <c r="C584" s="47">
        <v>45539</v>
      </c>
      <c r="D584" s="48">
        <f>DATEDIF(C584,B584, "MD")</f>
        <v>2</v>
      </c>
      <c r="E584" s="48" t="str">
        <f>TEXT(Data!B584,"MMM-YYYY")</f>
        <v>Sept-2024</v>
      </c>
      <c r="F584" s="48" t="str">
        <f t="shared" si="65"/>
        <v>Q3-2024</v>
      </c>
      <c r="G584" s="38" t="s">
        <v>45</v>
      </c>
      <c r="H584" s="38" t="s">
        <v>46</v>
      </c>
      <c r="I584" s="38" t="s">
        <v>47</v>
      </c>
      <c r="J584" s="38" t="s">
        <v>19</v>
      </c>
      <c r="K584" s="38" t="s">
        <v>98</v>
      </c>
      <c r="L584" s="38" t="s">
        <v>75</v>
      </c>
      <c r="M584" s="38" t="s">
        <v>57</v>
      </c>
      <c r="N584" s="38" t="s">
        <v>1267</v>
      </c>
      <c r="O584" s="48">
        <v>1368.17</v>
      </c>
      <c r="P584" s="49" t="str">
        <f t="shared" si="66"/>
        <v>High</v>
      </c>
      <c r="Q584" s="48">
        <v>2307.75</v>
      </c>
      <c r="R584" s="48">
        <v>0.16300000000000001</v>
      </c>
      <c r="S584" s="48">
        <v>21</v>
      </c>
      <c r="T584" s="48">
        <f t="shared" si="63"/>
        <v>2183.9422500000001</v>
      </c>
      <c r="U584" s="38">
        <f t="shared" si="64"/>
        <v>28731.57</v>
      </c>
      <c r="V584" s="48">
        <f t="shared" si="67"/>
        <v>-26547.62775</v>
      </c>
      <c r="W584" s="50">
        <f t="shared" si="68"/>
        <v>-12.155828639699607</v>
      </c>
    </row>
    <row r="585" spans="1:23" x14ac:dyDescent="0.3">
      <c r="A585" s="39" t="s">
        <v>1268</v>
      </c>
      <c r="B585" s="40">
        <v>45507</v>
      </c>
      <c r="C585" s="41">
        <v>45513</v>
      </c>
      <c r="D585" s="42">
        <f t="shared" si="69"/>
        <v>6</v>
      </c>
      <c r="E585" s="42" t="str">
        <f>TEXT(Data!B585,"MMM-YYYY")</f>
        <v>Aug-2024</v>
      </c>
      <c r="F585" s="42" t="str">
        <f t="shared" si="65"/>
        <v>Q3-2024</v>
      </c>
      <c r="G585" s="37" t="s">
        <v>16</v>
      </c>
      <c r="H585" s="37" t="s">
        <v>17</v>
      </c>
      <c r="I585" s="37" t="s">
        <v>113</v>
      </c>
      <c r="J585" s="37" t="s">
        <v>48</v>
      </c>
      <c r="K585" s="37" t="s">
        <v>40</v>
      </c>
      <c r="L585" s="37" t="s">
        <v>92</v>
      </c>
      <c r="M585" s="37" t="s">
        <v>57</v>
      </c>
      <c r="N585" s="37" t="s">
        <v>1269</v>
      </c>
      <c r="O585" s="42">
        <v>643.21</v>
      </c>
      <c r="P585" s="43" t="str">
        <f t="shared" si="66"/>
        <v>High</v>
      </c>
      <c r="Q585" s="42">
        <v>1112.81</v>
      </c>
      <c r="R585" s="42">
        <v>0.14099999999999999</v>
      </c>
      <c r="S585" s="42">
        <v>4</v>
      </c>
      <c r="T585" s="42">
        <f t="shared" si="63"/>
        <v>4918.1873199999991</v>
      </c>
      <c r="U585" s="37">
        <f t="shared" si="64"/>
        <v>2572.84</v>
      </c>
      <c r="V585" s="42">
        <f t="shared" si="67"/>
        <v>2345.3473199999989</v>
      </c>
      <c r="W585" s="44">
        <f t="shared" si="68"/>
        <v>0.47687230424562183</v>
      </c>
    </row>
    <row r="586" spans="1:23" x14ac:dyDescent="0.3">
      <c r="A586" s="45" t="s">
        <v>1270</v>
      </c>
      <c r="B586" s="46">
        <v>45764</v>
      </c>
      <c r="C586" s="47">
        <v>45764</v>
      </c>
      <c r="D586" s="48">
        <f t="shared" si="69"/>
        <v>0</v>
      </c>
      <c r="E586" s="48" t="str">
        <f>TEXT(Data!B586,"MMM-YYYY")</f>
        <v>Apr-2025</v>
      </c>
      <c r="F586" s="48" t="str">
        <f t="shared" si="65"/>
        <v>Q2-2025</v>
      </c>
      <c r="G586" s="38" t="s">
        <v>52</v>
      </c>
      <c r="H586" s="38" t="s">
        <v>73</v>
      </c>
      <c r="I586" s="38" t="s">
        <v>74</v>
      </c>
      <c r="J586" s="38" t="s">
        <v>19</v>
      </c>
      <c r="K586" s="38" t="s">
        <v>55</v>
      </c>
      <c r="L586" s="38" t="s">
        <v>49</v>
      </c>
      <c r="M586" s="38" t="s">
        <v>42</v>
      </c>
      <c r="N586" s="38" t="s">
        <v>1271</v>
      </c>
      <c r="O586" s="48">
        <v>719.41</v>
      </c>
      <c r="P586" s="49" t="str">
        <f t="shared" si="66"/>
        <v>High</v>
      </c>
      <c r="Q586" s="48">
        <v>1125.99</v>
      </c>
      <c r="R586" s="48">
        <v>4.1000000000000002E-2</v>
      </c>
      <c r="S586" s="48">
        <v>21</v>
      </c>
      <c r="T586" s="48">
        <f t="shared" si="63"/>
        <v>32132.177279999996</v>
      </c>
      <c r="U586" s="38">
        <f t="shared" si="64"/>
        <v>15107.609999999999</v>
      </c>
      <c r="V586" s="48">
        <f t="shared" si="67"/>
        <v>17024.567279999996</v>
      </c>
      <c r="W586" s="50">
        <f t="shared" si="68"/>
        <v>0.52982924660373332</v>
      </c>
    </row>
    <row r="587" spans="1:23" x14ac:dyDescent="0.3">
      <c r="A587" s="39" t="s">
        <v>1272</v>
      </c>
      <c r="B587" s="40">
        <v>45049</v>
      </c>
      <c r="C587" s="41">
        <v>45062</v>
      </c>
      <c r="D587" s="42">
        <f t="shared" si="69"/>
        <v>13</v>
      </c>
      <c r="E587" s="42" t="str">
        <f>TEXT(Data!B587,"MMM-YYYY")</f>
        <v>May-2023</v>
      </c>
      <c r="F587" s="42" t="str">
        <f t="shared" si="65"/>
        <v>Q2-2023</v>
      </c>
      <c r="G587" s="37" t="s">
        <v>52</v>
      </c>
      <c r="H587" s="37" t="s">
        <v>122</v>
      </c>
      <c r="I587" s="37" t="s">
        <v>387</v>
      </c>
      <c r="J587" s="37" t="s">
        <v>19</v>
      </c>
      <c r="K587" s="37" t="s">
        <v>40</v>
      </c>
      <c r="L587" s="37" t="s">
        <v>49</v>
      </c>
      <c r="M587" s="37" t="s">
        <v>42</v>
      </c>
      <c r="N587" s="37" t="s">
        <v>1273</v>
      </c>
      <c r="O587" s="42">
        <v>64.5</v>
      </c>
      <c r="P587" s="43" t="str">
        <f t="shared" si="66"/>
        <v>Medium</v>
      </c>
      <c r="Q587" s="42">
        <v>123.62</v>
      </c>
      <c r="R587" s="42">
        <v>0</v>
      </c>
      <c r="S587" s="42">
        <v>3</v>
      </c>
      <c r="T587" s="42">
        <f t="shared" si="63"/>
        <v>3085.38</v>
      </c>
      <c r="U587" s="37">
        <f t="shared" si="64"/>
        <v>193.5</v>
      </c>
      <c r="V587" s="42">
        <f t="shared" si="67"/>
        <v>2891.88</v>
      </c>
      <c r="W587" s="44">
        <f t="shared" si="68"/>
        <v>0.93728487252785719</v>
      </c>
    </row>
    <row r="588" spans="1:23" x14ac:dyDescent="0.3">
      <c r="A588" s="45" t="s">
        <v>1274</v>
      </c>
      <c r="B588" s="46">
        <v>45364</v>
      </c>
      <c r="C588" s="47">
        <v>45388</v>
      </c>
      <c r="D588" s="48">
        <f t="shared" si="69"/>
        <v>24</v>
      </c>
      <c r="E588" s="48" t="str">
        <f>TEXT(Data!B588,"MMM-YYYY")</f>
        <v>Mar-2024</v>
      </c>
      <c r="F588" s="48" t="str">
        <f t="shared" si="65"/>
        <v>Q1-2024</v>
      </c>
      <c r="G588" s="38" t="s">
        <v>16</v>
      </c>
      <c r="H588" s="38" t="s">
        <v>25</v>
      </c>
      <c r="I588" s="38" t="s">
        <v>67</v>
      </c>
      <c r="J588" s="38" t="s">
        <v>48</v>
      </c>
      <c r="K588" s="38" t="s">
        <v>55</v>
      </c>
      <c r="L588" s="38" t="s">
        <v>49</v>
      </c>
      <c r="M588" s="38" t="s">
        <v>22</v>
      </c>
      <c r="N588" s="38" t="s">
        <v>1275</v>
      </c>
      <c r="O588" s="48">
        <v>1232.78</v>
      </c>
      <c r="P588" s="49" t="str">
        <f t="shared" si="66"/>
        <v>High</v>
      </c>
      <c r="Q588" s="48">
        <v>1731.75</v>
      </c>
      <c r="R588" s="48">
        <v>9.2999999999999999E-2</v>
      </c>
      <c r="S588" s="48">
        <v>16</v>
      </c>
      <c r="T588" s="48">
        <f t="shared" si="63"/>
        <v>46878.839200000002</v>
      </c>
      <c r="U588" s="38">
        <f t="shared" si="64"/>
        <v>19724.48</v>
      </c>
      <c r="V588" s="48">
        <f t="shared" si="67"/>
        <v>27154.359200000003</v>
      </c>
      <c r="W588" s="50">
        <f t="shared" si="68"/>
        <v>0.5792455543566446</v>
      </c>
    </row>
    <row r="589" spans="1:23" x14ac:dyDescent="0.3">
      <c r="A589" s="39" t="s">
        <v>1276</v>
      </c>
      <c r="B589" s="40">
        <v>45459</v>
      </c>
      <c r="C589" s="41">
        <v>45464</v>
      </c>
      <c r="D589" s="42">
        <f t="shared" si="69"/>
        <v>5</v>
      </c>
      <c r="E589" s="42" t="str">
        <f>TEXT(Data!B589,"MMM-YYYY")</f>
        <v>Jun-2024</v>
      </c>
      <c r="F589" s="42" t="str">
        <f t="shared" si="65"/>
        <v>Q2-2024</v>
      </c>
      <c r="G589" s="37" t="s">
        <v>45</v>
      </c>
      <c r="H589" s="37" t="s">
        <v>46</v>
      </c>
      <c r="I589" s="37" t="s">
        <v>214</v>
      </c>
      <c r="J589" s="37" t="s">
        <v>62</v>
      </c>
      <c r="K589" s="37" t="s">
        <v>55</v>
      </c>
      <c r="L589" s="37" t="s">
        <v>84</v>
      </c>
      <c r="M589" s="37" t="s">
        <v>42</v>
      </c>
      <c r="N589" s="37" t="s">
        <v>1277</v>
      </c>
      <c r="O589" s="42">
        <v>1367.13</v>
      </c>
      <c r="P589" s="43" t="str">
        <f t="shared" si="66"/>
        <v>High</v>
      </c>
      <c r="Q589" s="42">
        <v>3062.01</v>
      </c>
      <c r="R589" s="42">
        <v>0.10299999999999999</v>
      </c>
      <c r="S589" s="42">
        <v>25</v>
      </c>
      <c r="T589" s="42">
        <f t="shared" si="63"/>
        <v>62557.004249999998</v>
      </c>
      <c r="U589" s="37">
        <f t="shared" si="64"/>
        <v>34178.25</v>
      </c>
      <c r="V589" s="42">
        <f t="shared" si="67"/>
        <v>28378.754249999998</v>
      </c>
      <c r="W589" s="44">
        <f t="shared" si="68"/>
        <v>0.45364631171576603</v>
      </c>
    </row>
    <row r="590" spans="1:23" x14ac:dyDescent="0.3">
      <c r="A590" s="45" t="s">
        <v>1278</v>
      </c>
      <c r="B590" s="46">
        <v>45703</v>
      </c>
      <c r="C590" s="47">
        <v>45715</v>
      </c>
      <c r="D590" s="48">
        <f t="shared" si="69"/>
        <v>12</v>
      </c>
      <c r="E590" s="48" t="str">
        <f>TEXT(Data!B590,"MMM-YYYY")</f>
        <v>Feb-2025</v>
      </c>
      <c r="F590" s="48" t="str">
        <f t="shared" si="65"/>
        <v>Q1-2025</v>
      </c>
      <c r="G590" s="38" t="s">
        <v>78</v>
      </c>
      <c r="H590" s="38" t="s">
        <v>90</v>
      </c>
      <c r="I590" s="38" t="s">
        <v>138</v>
      </c>
      <c r="J590" s="38" t="s">
        <v>39</v>
      </c>
      <c r="K590" s="38" t="s">
        <v>98</v>
      </c>
      <c r="L590" s="38" t="s">
        <v>95</v>
      </c>
      <c r="M590" s="38" t="s">
        <v>81</v>
      </c>
      <c r="N590" s="38" t="s">
        <v>1279</v>
      </c>
      <c r="O590" s="48">
        <v>1027.26</v>
      </c>
      <c r="P590" s="49" t="str">
        <f t="shared" si="66"/>
        <v>High</v>
      </c>
      <c r="Q590" s="48">
        <v>2200.41</v>
      </c>
      <c r="R590" s="48">
        <v>8.7999999999999995E-2</v>
      </c>
      <c r="S590" s="48">
        <v>6</v>
      </c>
      <c r="T590" s="48">
        <f t="shared" si="63"/>
        <v>10384.433280000001</v>
      </c>
      <c r="U590" s="38">
        <f t="shared" si="64"/>
        <v>6163.5599999999995</v>
      </c>
      <c r="V590" s="48">
        <f t="shared" si="67"/>
        <v>4220.8732800000016</v>
      </c>
      <c r="W590" s="50">
        <f t="shared" si="68"/>
        <v>0.40646159171047236</v>
      </c>
    </row>
    <row r="591" spans="1:23" x14ac:dyDescent="0.3">
      <c r="A591" s="39" t="s">
        <v>1280</v>
      </c>
      <c r="B591" s="40">
        <v>45019</v>
      </c>
      <c r="C591" s="41">
        <v>45032</v>
      </c>
      <c r="D591" s="42">
        <f t="shared" si="69"/>
        <v>13</v>
      </c>
      <c r="E591" s="42" t="str">
        <f>TEXT(Data!B591,"MMM-YYYY")</f>
        <v>Apr-2023</v>
      </c>
      <c r="F591" s="42" t="str">
        <f t="shared" si="65"/>
        <v>Q2-2023</v>
      </c>
      <c r="G591" s="37" t="s">
        <v>78</v>
      </c>
      <c r="H591" s="37" t="s">
        <v>90</v>
      </c>
      <c r="I591" s="37" t="s">
        <v>91</v>
      </c>
      <c r="J591" s="37" t="s">
        <v>39</v>
      </c>
      <c r="K591" s="37" t="s">
        <v>40</v>
      </c>
      <c r="L591" s="37" t="s">
        <v>110</v>
      </c>
      <c r="M591" s="37" t="s">
        <v>81</v>
      </c>
      <c r="N591" s="37" t="s">
        <v>1281</v>
      </c>
      <c r="O591" s="42">
        <v>790.54</v>
      </c>
      <c r="P591" s="43" t="str">
        <f t="shared" si="66"/>
        <v>High</v>
      </c>
      <c r="Q591" s="42">
        <v>601.49</v>
      </c>
      <c r="R591" s="42">
        <v>0</v>
      </c>
      <c r="S591" s="42">
        <v>15</v>
      </c>
      <c r="T591" s="42">
        <f t="shared" si="63"/>
        <v>13537.050000000001</v>
      </c>
      <c r="U591" s="37">
        <f t="shared" si="64"/>
        <v>11858.099999999999</v>
      </c>
      <c r="V591" s="42">
        <f t="shared" si="67"/>
        <v>1678.9500000000025</v>
      </c>
      <c r="W591" s="44">
        <f t="shared" si="68"/>
        <v>0.12402628342216379</v>
      </c>
    </row>
    <row r="592" spans="1:23" x14ac:dyDescent="0.3">
      <c r="A592" s="45" t="s">
        <v>1282</v>
      </c>
      <c r="B592" s="46">
        <v>45899</v>
      </c>
      <c r="C592" s="47">
        <v>45922</v>
      </c>
      <c r="D592" s="48">
        <f t="shared" si="69"/>
        <v>23</v>
      </c>
      <c r="E592" s="48" t="str">
        <f>TEXT(Data!B592,"MMM-YYYY")</f>
        <v>Aug-2025</v>
      </c>
      <c r="F592" s="48" t="str">
        <f t="shared" si="65"/>
        <v>Q3-2025</v>
      </c>
      <c r="G592" s="38" t="s">
        <v>78</v>
      </c>
      <c r="H592" s="38" t="s">
        <v>90</v>
      </c>
      <c r="I592" s="38" t="s">
        <v>91</v>
      </c>
      <c r="J592" s="38" t="s">
        <v>19</v>
      </c>
      <c r="K592" s="38" t="s">
        <v>98</v>
      </c>
      <c r="L592" s="38" t="s">
        <v>63</v>
      </c>
      <c r="M592" s="38" t="s">
        <v>22</v>
      </c>
      <c r="N592" s="38" t="s">
        <v>1283</v>
      </c>
      <c r="O592" s="48">
        <v>663.9</v>
      </c>
      <c r="P592" s="49" t="str">
        <f t="shared" si="66"/>
        <v>High</v>
      </c>
      <c r="Q592" s="48">
        <v>947.77</v>
      </c>
      <c r="R592" s="48">
        <v>0.17399999999999999</v>
      </c>
      <c r="S592" s="48">
        <v>15</v>
      </c>
      <c r="T592" s="48">
        <f t="shared" si="63"/>
        <v>-417.04740000000004</v>
      </c>
      <c r="U592" s="38">
        <f t="shared" si="64"/>
        <v>9958.5</v>
      </c>
      <c r="V592" s="48">
        <f t="shared" si="67"/>
        <v>-10375.547399999999</v>
      </c>
      <c r="W592" s="50">
        <f t="shared" si="68"/>
        <v>24.878580708092169</v>
      </c>
    </row>
    <row r="593" spans="1:23" x14ac:dyDescent="0.3">
      <c r="A593" s="39" t="s">
        <v>1284</v>
      </c>
      <c r="B593" s="40">
        <v>44984</v>
      </c>
      <c r="C593" s="41">
        <v>44983</v>
      </c>
      <c r="D593" s="42">
        <f>DATEDIF(C593,B593, "MD")</f>
        <v>1</v>
      </c>
      <c r="E593" s="42" t="str">
        <f>TEXT(Data!B593,"MMM-YYYY")</f>
        <v>Feb-2023</v>
      </c>
      <c r="F593" s="42" t="str">
        <f t="shared" si="65"/>
        <v>Q1-2023</v>
      </c>
      <c r="G593" s="37" t="s">
        <v>52</v>
      </c>
      <c r="H593" s="37" t="s">
        <v>122</v>
      </c>
      <c r="I593" s="37" t="s">
        <v>167</v>
      </c>
      <c r="J593" s="37" t="s">
        <v>39</v>
      </c>
      <c r="K593" s="37" t="s">
        <v>28</v>
      </c>
      <c r="L593" s="37" t="s">
        <v>49</v>
      </c>
      <c r="M593" s="37" t="s">
        <v>35</v>
      </c>
      <c r="N593" s="37" t="s">
        <v>1285</v>
      </c>
      <c r="O593" s="42">
        <v>1015.91</v>
      </c>
      <c r="P593" s="43" t="str">
        <f t="shared" si="66"/>
        <v>High</v>
      </c>
      <c r="Q593" s="42">
        <v>2331.48</v>
      </c>
      <c r="R593" s="42">
        <v>0.14599999999999999</v>
      </c>
      <c r="S593" s="42">
        <v>26</v>
      </c>
      <c r="T593" s="42">
        <f t="shared" si="63"/>
        <v>24128.64272</v>
      </c>
      <c r="U593" s="37">
        <f t="shared" si="64"/>
        <v>26413.66</v>
      </c>
      <c r="V593" s="42">
        <f t="shared" si="67"/>
        <v>-2285.01728</v>
      </c>
      <c r="W593" s="44">
        <f t="shared" si="68"/>
        <v>-9.4701442866737429E-2</v>
      </c>
    </row>
    <row r="594" spans="1:23" x14ac:dyDescent="0.3">
      <c r="A594" s="45" t="s">
        <v>1286</v>
      </c>
      <c r="B594" s="46">
        <v>45504</v>
      </c>
      <c r="C594" s="47">
        <v>45519</v>
      </c>
      <c r="D594" s="48">
        <f t="shared" si="69"/>
        <v>15</v>
      </c>
      <c r="E594" s="48" t="str">
        <f>TEXT(Data!B594,"MMM-YYYY")</f>
        <v>Jul-2024</v>
      </c>
      <c r="F594" s="48" t="str">
        <f t="shared" si="65"/>
        <v>Q3-2024</v>
      </c>
      <c r="G594" s="38" t="s">
        <v>45</v>
      </c>
      <c r="H594" s="38" t="s">
        <v>46</v>
      </c>
      <c r="I594" s="38" t="s">
        <v>214</v>
      </c>
      <c r="J594" s="38" t="s">
        <v>19</v>
      </c>
      <c r="K594" s="38" t="s">
        <v>40</v>
      </c>
      <c r="L594" s="38" t="s">
        <v>84</v>
      </c>
      <c r="M594" s="38" t="s">
        <v>64</v>
      </c>
      <c r="N594" s="38" t="s">
        <v>1287</v>
      </c>
      <c r="O594" s="48">
        <v>1252.52</v>
      </c>
      <c r="P594" s="49" t="str">
        <f t="shared" si="66"/>
        <v>High</v>
      </c>
      <c r="Q594" s="48">
        <v>1417.24</v>
      </c>
      <c r="R594" s="48">
        <v>0.192</v>
      </c>
      <c r="S594" s="48">
        <v>5</v>
      </c>
      <c r="T594" s="48">
        <f t="shared" si="63"/>
        <v>4083.4300000000003</v>
      </c>
      <c r="U594" s="38">
        <f t="shared" si="64"/>
        <v>6262.6</v>
      </c>
      <c r="V594" s="48">
        <f t="shared" si="67"/>
        <v>-2179.17</v>
      </c>
      <c r="W594" s="50">
        <f t="shared" si="68"/>
        <v>-0.53366165209150151</v>
      </c>
    </row>
    <row r="595" spans="1:23" x14ac:dyDescent="0.3">
      <c r="A595" s="39" t="s">
        <v>1288</v>
      </c>
      <c r="B595" s="40">
        <v>45823</v>
      </c>
      <c r="C595" s="41">
        <v>45850</v>
      </c>
      <c r="D595" s="42">
        <f t="shared" si="69"/>
        <v>27</v>
      </c>
      <c r="E595" s="42" t="str">
        <f>TEXT(Data!B595,"MMM-YYYY")</f>
        <v>Jun-2025</v>
      </c>
      <c r="F595" s="42" t="str">
        <f t="shared" si="65"/>
        <v>Q2-2025</v>
      </c>
      <c r="G595" s="37" t="s">
        <v>78</v>
      </c>
      <c r="H595" s="37" t="s">
        <v>90</v>
      </c>
      <c r="I595" s="37" t="s">
        <v>91</v>
      </c>
      <c r="J595" s="37" t="s">
        <v>48</v>
      </c>
      <c r="K595" s="37" t="s">
        <v>98</v>
      </c>
      <c r="L595" s="37" t="s">
        <v>21</v>
      </c>
      <c r="M595" s="37" t="s">
        <v>81</v>
      </c>
      <c r="N595" s="37" t="s">
        <v>1289</v>
      </c>
      <c r="O595" s="42">
        <v>318.83</v>
      </c>
      <c r="P595" s="43" t="str">
        <f t="shared" si="66"/>
        <v>High</v>
      </c>
      <c r="Q595" s="42">
        <v>699.5</v>
      </c>
      <c r="R595" s="42">
        <v>0.08</v>
      </c>
      <c r="S595" s="42">
        <v>13</v>
      </c>
      <c r="T595" s="42">
        <f t="shared" si="63"/>
        <v>4921.3008</v>
      </c>
      <c r="U595" s="37">
        <f t="shared" si="64"/>
        <v>4144.79</v>
      </c>
      <c r="V595" s="42">
        <f t="shared" si="67"/>
        <v>776.51080000000002</v>
      </c>
      <c r="W595" s="44">
        <f t="shared" si="68"/>
        <v>0.15778568137919957</v>
      </c>
    </row>
    <row r="596" spans="1:23" x14ac:dyDescent="0.3">
      <c r="A596" s="45" t="s">
        <v>1290</v>
      </c>
      <c r="B596" s="46">
        <v>45473</v>
      </c>
      <c r="C596" s="47">
        <v>45494</v>
      </c>
      <c r="D596" s="48">
        <f t="shared" si="69"/>
        <v>21</v>
      </c>
      <c r="E596" s="48" t="str">
        <f>TEXT(Data!B596,"MMM-YYYY")</f>
        <v>Jun-2024</v>
      </c>
      <c r="F596" s="48" t="str">
        <f t="shared" si="65"/>
        <v>Q2-2024</v>
      </c>
      <c r="G596" s="38" t="s">
        <v>16</v>
      </c>
      <c r="H596" s="38" t="s">
        <v>17</v>
      </c>
      <c r="I596" s="38" t="s">
        <v>18</v>
      </c>
      <c r="J596" s="38" t="s">
        <v>62</v>
      </c>
      <c r="K596" s="38" t="s">
        <v>20</v>
      </c>
      <c r="L596" s="38" t="s">
        <v>95</v>
      </c>
      <c r="M596" s="38" t="s">
        <v>57</v>
      </c>
      <c r="N596" s="38" t="s">
        <v>1291</v>
      </c>
      <c r="O596" s="48">
        <v>753.43</v>
      </c>
      <c r="P596" s="49" t="str">
        <f t="shared" si="66"/>
        <v>High</v>
      </c>
      <c r="Q596" s="48">
        <v>1787.2</v>
      </c>
      <c r="R596" s="48">
        <v>7.2999999999999995E-2</v>
      </c>
      <c r="S596" s="48">
        <v>9</v>
      </c>
      <c r="T596" s="48">
        <f t="shared" si="63"/>
        <v>3448.4956200000001</v>
      </c>
      <c r="U596" s="38">
        <f t="shared" si="64"/>
        <v>6780.87</v>
      </c>
      <c r="V596" s="48">
        <f t="shared" si="67"/>
        <v>-3332.3743799999997</v>
      </c>
      <c r="W596" s="50">
        <f t="shared" si="68"/>
        <v>-0.9663269863744236</v>
      </c>
    </row>
    <row r="597" spans="1:23" x14ac:dyDescent="0.3">
      <c r="A597" s="39" t="s">
        <v>1292</v>
      </c>
      <c r="B597" s="40">
        <v>45705</v>
      </c>
      <c r="C597" s="41">
        <v>45703</v>
      </c>
      <c r="D597" s="42">
        <f>DATEDIF(C597,B597, "MD")</f>
        <v>2</v>
      </c>
      <c r="E597" s="42" t="str">
        <f>TEXT(Data!B597,"MMM-YYYY")</f>
        <v>Feb-2025</v>
      </c>
      <c r="F597" s="42" t="str">
        <f t="shared" si="65"/>
        <v>Q1-2025</v>
      </c>
      <c r="G597" s="37" t="s">
        <v>52</v>
      </c>
      <c r="H597" s="37" t="s">
        <v>53</v>
      </c>
      <c r="I597" s="37" t="s">
        <v>54</v>
      </c>
      <c r="J597" s="37" t="s">
        <v>62</v>
      </c>
      <c r="K597" s="37" t="s">
        <v>20</v>
      </c>
      <c r="L597" s="37" t="s">
        <v>145</v>
      </c>
      <c r="M597" s="37" t="s">
        <v>22</v>
      </c>
      <c r="N597" s="37" t="s">
        <v>1293</v>
      </c>
      <c r="O597" s="42">
        <v>1133.47</v>
      </c>
      <c r="P597" s="43" t="str">
        <f t="shared" si="66"/>
        <v>High</v>
      </c>
      <c r="Q597" s="42">
        <v>1698.75</v>
      </c>
      <c r="R597" s="42">
        <v>4.2999999999999997E-2</v>
      </c>
      <c r="S597" s="42">
        <v>5</v>
      </c>
      <c r="T597" s="42">
        <f t="shared" si="63"/>
        <v>7459.2886500000004</v>
      </c>
      <c r="U597" s="37">
        <f t="shared" si="64"/>
        <v>5667.35</v>
      </c>
      <c r="V597" s="42">
        <f t="shared" si="67"/>
        <v>1791.9386500000001</v>
      </c>
      <c r="W597" s="44">
        <f t="shared" si="68"/>
        <v>0.24022916045754578</v>
      </c>
    </row>
    <row r="598" spans="1:23" x14ac:dyDescent="0.3">
      <c r="A598" s="45" t="s">
        <v>1294</v>
      </c>
      <c r="B598" s="46">
        <v>44933</v>
      </c>
      <c r="C598" s="47">
        <v>44956</v>
      </c>
      <c r="D598" s="48">
        <f t="shared" si="69"/>
        <v>23</v>
      </c>
      <c r="E598" s="48" t="str">
        <f>TEXT(Data!B598,"MMM-YYYY")</f>
        <v>Jan-2023</v>
      </c>
      <c r="F598" s="48" t="str">
        <f t="shared" si="65"/>
        <v>Q1-2023</v>
      </c>
      <c r="G598" s="38" t="s">
        <v>16</v>
      </c>
      <c r="H598" s="38" t="s">
        <v>148</v>
      </c>
      <c r="I598" s="38" t="s">
        <v>258</v>
      </c>
      <c r="J598" s="38" t="s">
        <v>48</v>
      </c>
      <c r="K598" s="38" t="s">
        <v>28</v>
      </c>
      <c r="L598" s="38" t="s">
        <v>75</v>
      </c>
      <c r="M598" s="38" t="s">
        <v>30</v>
      </c>
      <c r="N598" s="38" t="s">
        <v>1295</v>
      </c>
      <c r="O598" s="48">
        <v>299.02</v>
      </c>
      <c r="P598" s="49" t="str">
        <f t="shared" si="66"/>
        <v>High</v>
      </c>
      <c r="Q598" s="48">
        <v>724.7</v>
      </c>
      <c r="R598" s="48">
        <v>0.14000000000000001</v>
      </c>
      <c r="S598" s="48">
        <v>5</v>
      </c>
      <c r="T598" s="48">
        <f t="shared" si="63"/>
        <v>3702.9880000000003</v>
      </c>
      <c r="U598" s="38">
        <f t="shared" si="64"/>
        <v>1495.1</v>
      </c>
      <c r="V598" s="48">
        <f t="shared" si="67"/>
        <v>2207.8880000000004</v>
      </c>
      <c r="W598" s="50">
        <f t="shared" si="68"/>
        <v>0.59624497837962209</v>
      </c>
    </row>
    <row r="599" spans="1:23" x14ac:dyDescent="0.3">
      <c r="A599" s="39" t="s">
        <v>1296</v>
      </c>
      <c r="B599" s="40">
        <v>45726</v>
      </c>
      <c r="C599" s="41">
        <v>45751</v>
      </c>
      <c r="D599" s="42">
        <f t="shared" si="69"/>
        <v>25</v>
      </c>
      <c r="E599" s="42" t="str">
        <f>TEXT(Data!B599,"MMM-YYYY")</f>
        <v>Mar-2025</v>
      </c>
      <c r="F599" s="42" t="str">
        <f t="shared" si="65"/>
        <v>Q1-2025</v>
      </c>
      <c r="G599" s="37" t="s">
        <v>45</v>
      </c>
      <c r="H599" s="37" t="s">
        <v>46</v>
      </c>
      <c r="I599" s="37" t="s">
        <v>47</v>
      </c>
      <c r="J599" s="37" t="s">
        <v>19</v>
      </c>
      <c r="K599" s="37" t="s">
        <v>98</v>
      </c>
      <c r="L599" s="37" t="s">
        <v>92</v>
      </c>
      <c r="M599" s="37" t="s">
        <v>30</v>
      </c>
      <c r="N599" s="37" t="s">
        <v>1297</v>
      </c>
      <c r="O599" s="42">
        <v>783.72</v>
      </c>
      <c r="P599" s="43" t="str">
        <f t="shared" si="66"/>
        <v>High</v>
      </c>
      <c r="Q599" s="42">
        <v>1355.94</v>
      </c>
      <c r="R599" s="42">
        <v>0.187</v>
      </c>
      <c r="S599" s="42">
        <v>4</v>
      </c>
      <c r="T599" s="42">
        <f t="shared" si="63"/>
        <v>7467.4049999999997</v>
      </c>
      <c r="U599" s="37">
        <f t="shared" si="64"/>
        <v>3134.88</v>
      </c>
      <c r="V599" s="42">
        <f t="shared" si="67"/>
        <v>4332.5249999999996</v>
      </c>
      <c r="W599" s="44">
        <f t="shared" si="68"/>
        <v>0.58019151231251009</v>
      </c>
    </row>
    <row r="600" spans="1:23" x14ac:dyDescent="0.3">
      <c r="A600" s="45" t="s">
        <v>1298</v>
      </c>
      <c r="B600" s="46">
        <v>45521</v>
      </c>
      <c r="C600" s="47">
        <v>45519</v>
      </c>
      <c r="D600" s="48">
        <f>DATEDIF(C600,B600, "MD")</f>
        <v>2</v>
      </c>
      <c r="E600" s="48" t="str">
        <f>TEXT(Data!B600,"MMM-YYYY")</f>
        <v>Aug-2024</v>
      </c>
      <c r="F600" s="48" t="str">
        <f t="shared" si="65"/>
        <v>Q3-2024</v>
      </c>
      <c r="G600" s="38" t="s">
        <v>52</v>
      </c>
      <c r="H600" s="38" t="s">
        <v>73</v>
      </c>
      <c r="I600" s="38" t="s">
        <v>225</v>
      </c>
      <c r="J600" s="38" t="s">
        <v>48</v>
      </c>
      <c r="K600" s="38" t="s">
        <v>98</v>
      </c>
      <c r="L600" s="38" t="s">
        <v>110</v>
      </c>
      <c r="M600" s="38" t="s">
        <v>64</v>
      </c>
      <c r="N600" s="38" t="s">
        <v>1299</v>
      </c>
      <c r="O600" s="48">
        <v>165.3</v>
      </c>
      <c r="P600" s="49" t="str">
        <f t="shared" si="66"/>
        <v>High</v>
      </c>
      <c r="Q600" s="48">
        <v>275.07</v>
      </c>
      <c r="R600" s="48">
        <v>0.13300000000000001</v>
      </c>
      <c r="S600" s="48">
        <v>25</v>
      </c>
      <c r="T600" s="48">
        <f t="shared" si="63"/>
        <v>57148.305</v>
      </c>
      <c r="U600" s="38">
        <f t="shared" si="64"/>
        <v>4132.5</v>
      </c>
      <c r="V600" s="48">
        <f t="shared" si="67"/>
        <v>53015.805</v>
      </c>
      <c r="W600" s="50">
        <f t="shared" si="68"/>
        <v>0.92768814403156841</v>
      </c>
    </row>
    <row r="601" spans="1:23" x14ac:dyDescent="0.3">
      <c r="A601" s="39" t="s">
        <v>1300</v>
      </c>
      <c r="B601" s="40">
        <v>45360</v>
      </c>
      <c r="C601" s="41">
        <v>45373</v>
      </c>
      <c r="D601" s="42">
        <f t="shared" si="69"/>
        <v>13</v>
      </c>
      <c r="E601" s="42" t="str">
        <f>TEXT(Data!B601,"MMM-YYYY")</f>
        <v>Mar-2024</v>
      </c>
      <c r="F601" s="42" t="str">
        <f t="shared" si="65"/>
        <v>Q1-2024</v>
      </c>
      <c r="G601" s="37" t="s">
        <v>78</v>
      </c>
      <c r="H601" s="37" t="s">
        <v>108</v>
      </c>
      <c r="I601" s="37" t="s">
        <v>228</v>
      </c>
      <c r="J601" s="37" t="s">
        <v>48</v>
      </c>
      <c r="K601" s="37" t="s">
        <v>28</v>
      </c>
      <c r="L601" s="37" t="s">
        <v>63</v>
      </c>
      <c r="M601" s="37" t="s">
        <v>57</v>
      </c>
      <c r="N601" s="37" t="s">
        <v>1301</v>
      </c>
      <c r="O601" s="42">
        <v>985.45</v>
      </c>
      <c r="P601" s="43" t="str">
        <f t="shared" si="66"/>
        <v>High</v>
      </c>
      <c r="Q601" s="42">
        <v>1802.44</v>
      </c>
      <c r="R601" s="42">
        <v>8.9999999999999993E-3</v>
      </c>
      <c r="S601" s="42">
        <v>19</v>
      </c>
      <c r="T601" s="42">
        <f t="shared" si="63"/>
        <v>18416.456609999997</v>
      </c>
      <c r="U601" s="37">
        <f t="shared" si="64"/>
        <v>18723.55</v>
      </c>
      <c r="V601" s="42">
        <f t="shared" si="67"/>
        <v>-307.09339000000182</v>
      </c>
      <c r="W601" s="44">
        <f t="shared" si="68"/>
        <v>-1.6674944399089911E-2</v>
      </c>
    </row>
    <row r="602" spans="1:23" x14ac:dyDescent="0.3">
      <c r="A602" s="45" t="s">
        <v>1302</v>
      </c>
      <c r="B602" s="46">
        <v>45523</v>
      </c>
      <c r="C602" s="47">
        <v>45537</v>
      </c>
      <c r="D602" s="48">
        <f t="shared" si="69"/>
        <v>14</v>
      </c>
      <c r="E602" s="48" t="str">
        <f>TEXT(Data!B602,"MMM-YYYY")</f>
        <v>Aug-2024</v>
      </c>
      <c r="F602" s="48" t="str">
        <f t="shared" si="65"/>
        <v>Q3-2024</v>
      </c>
      <c r="G602" s="38" t="s">
        <v>52</v>
      </c>
      <c r="H602" s="38" t="s">
        <v>53</v>
      </c>
      <c r="I602" s="38" t="s">
        <v>54</v>
      </c>
      <c r="J602" s="38" t="s">
        <v>48</v>
      </c>
      <c r="K602" s="38" t="s">
        <v>55</v>
      </c>
      <c r="L602" s="38" t="s">
        <v>21</v>
      </c>
      <c r="M602" s="38" t="s">
        <v>30</v>
      </c>
      <c r="N602" s="38" t="s">
        <v>1303</v>
      </c>
      <c r="O602" s="48">
        <v>1337.01</v>
      </c>
      <c r="P602" s="49" t="str">
        <f t="shared" si="66"/>
        <v>High</v>
      </c>
      <c r="Q602" s="48">
        <v>1269.78</v>
      </c>
      <c r="R602" s="48">
        <v>0.16</v>
      </c>
      <c r="S602" s="48">
        <v>7</v>
      </c>
      <c r="T602" s="48">
        <f t="shared" si="63"/>
        <v>3208.8335999999999</v>
      </c>
      <c r="U602" s="38">
        <f t="shared" si="64"/>
        <v>9359.07</v>
      </c>
      <c r="V602" s="48">
        <f t="shared" si="67"/>
        <v>-6150.2363999999998</v>
      </c>
      <c r="W602" s="50">
        <f t="shared" si="68"/>
        <v>-1.916657940754547</v>
      </c>
    </row>
    <row r="603" spans="1:23" x14ac:dyDescent="0.3">
      <c r="A603" s="39" t="s">
        <v>1304</v>
      </c>
      <c r="B603" s="40">
        <v>45880</v>
      </c>
      <c r="C603" s="41">
        <v>45897</v>
      </c>
      <c r="D603" s="42">
        <f t="shared" si="69"/>
        <v>17</v>
      </c>
      <c r="E603" s="42" t="str">
        <f>TEXT(Data!B603,"MMM-YYYY")</f>
        <v>Aug-2025</v>
      </c>
      <c r="F603" s="42" t="str">
        <f t="shared" si="65"/>
        <v>Q3-2025</v>
      </c>
      <c r="G603" s="37" t="s">
        <v>78</v>
      </c>
      <c r="H603" s="37" t="s">
        <v>90</v>
      </c>
      <c r="I603" s="37" t="s">
        <v>217</v>
      </c>
      <c r="J603" s="37" t="s">
        <v>27</v>
      </c>
      <c r="K603" s="37" t="s">
        <v>28</v>
      </c>
      <c r="L603" s="37" t="s">
        <v>84</v>
      </c>
      <c r="M603" s="37" t="s">
        <v>35</v>
      </c>
      <c r="N603" s="37" t="s">
        <v>1305</v>
      </c>
      <c r="O603" s="42">
        <v>416.16</v>
      </c>
      <c r="P603" s="43" t="str">
        <f t="shared" si="66"/>
        <v>High</v>
      </c>
      <c r="Q603" s="42">
        <v>571.9</v>
      </c>
      <c r="R603" s="42">
        <v>7.0999999999999994E-2</v>
      </c>
      <c r="S603" s="42">
        <v>2</v>
      </c>
      <c r="T603" s="42">
        <f t="shared" si="63"/>
        <v>2667.2333200000003</v>
      </c>
      <c r="U603" s="37">
        <f t="shared" si="64"/>
        <v>832.32</v>
      </c>
      <c r="V603" s="42">
        <f t="shared" si="67"/>
        <v>1834.9133200000001</v>
      </c>
      <c r="W603" s="44">
        <f t="shared" si="68"/>
        <v>0.6879463098488886</v>
      </c>
    </row>
    <row r="604" spans="1:23" x14ac:dyDescent="0.3">
      <c r="A604" s="45" t="s">
        <v>1306</v>
      </c>
      <c r="B604" s="46">
        <v>45793</v>
      </c>
      <c r="C604" s="47">
        <v>45795</v>
      </c>
      <c r="D604" s="48">
        <f t="shared" si="69"/>
        <v>2</v>
      </c>
      <c r="E604" s="48" t="str">
        <f>TEXT(Data!B604,"MMM-YYYY")</f>
        <v>May-2025</v>
      </c>
      <c r="F604" s="48" t="str">
        <f t="shared" si="65"/>
        <v>Q2-2025</v>
      </c>
      <c r="G604" s="38" t="s">
        <v>45</v>
      </c>
      <c r="H604" s="38" t="s">
        <v>46</v>
      </c>
      <c r="I604" s="38" t="s">
        <v>214</v>
      </c>
      <c r="J604" s="38" t="s">
        <v>105</v>
      </c>
      <c r="K604" s="38" t="s">
        <v>20</v>
      </c>
      <c r="L604" s="38" t="s">
        <v>29</v>
      </c>
      <c r="M604" s="38" t="s">
        <v>30</v>
      </c>
      <c r="N604" s="38" t="s">
        <v>1307</v>
      </c>
      <c r="O604" s="48">
        <v>1144.3800000000001</v>
      </c>
      <c r="P604" s="49" t="str">
        <f t="shared" si="66"/>
        <v>High</v>
      </c>
      <c r="Q604" s="48">
        <v>2755.04</v>
      </c>
      <c r="R604" s="48">
        <v>0.15</v>
      </c>
      <c r="S604" s="48">
        <v>17</v>
      </c>
      <c r="T604" s="48">
        <f t="shared" si="63"/>
        <v>34640.985000000001</v>
      </c>
      <c r="U604" s="38">
        <f t="shared" si="64"/>
        <v>19454.460000000003</v>
      </c>
      <c r="V604" s="48">
        <f t="shared" si="67"/>
        <v>15186.524999999998</v>
      </c>
      <c r="W604" s="50">
        <f t="shared" si="68"/>
        <v>0.4383976090749151</v>
      </c>
    </row>
    <row r="605" spans="1:23" x14ac:dyDescent="0.3">
      <c r="A605" s="39" t="s">
        <v>1308</v>
      </c>
      <c r="B605" s="40">
        <v>45026</v>
      </c>
      <c r="C605" s="41">
        <v>45041</v>
      </c>
      <c r="D605" s="42">
        <f t="shared" si="69"/>
        <v>15</v>
      </c>
      <c r="E605" s="42" t="str">
        <f>TEXT(Data!B605,"MMM-YYYY")</f>
        <v>Apr-2023</v>
      </c>
      <c r="F605" s="42" t="str">
        <f t="shared" si="65"/>
        <v>Q2-2023</v>
      </c>
      <c r="G605" s="37" t="s">
        <v>78</v>
      </c>
      <c r="H605" s="37" t="s">
        <v>108</v>
      </c>
      <c r="I605" s="37" t="s">
        <v>152</v>
      </c>
      <c r="J605" s="37" t="s">
        <v>62</v>
      </c>
      <c r="K605" s="37" t="s">
        <v>20</v>
      </c>
      <c r="L605" s="37" t="s">
        <v>145</v>
      </c>
      <c r="M605" s="37" t="s">
        <v>30</v>
      </c>
      <c r="N605" s="37" t="s">
        <v>1309</v>
      </c>
      <c r="O605" s="42">
        <v>405.66</v>
      </c>
      <c r="P605" s="43" t="str">
        <f t="shared" si="66"/>
        <v>High</v>
      </c>
      <c r="Q605" s="42">
        <v>962.51</v>
      </c>
      <c r="R605" s="42">
        <v>0.19</v>
      </c>
      <c r="S605" s="42">
        <v>7</v>
      </c>
      <c r="T605" s="42">
        <f t="shared" si="63"/>
        <v>10511.386199999999</v>
      </c>
      <c r="U605" s="37">
        <f t="shared" si="64"/>
        <v>2839.6200000000003</v>
      </c>
      <c r="V605" s="42">
        <f t="shared" si="67"/>
        <v>7671.7661999999982</v>
      </c>
      <c r="W605" s="44">
        <f t="shared" si="68"/>
        <v>0.72985294746377016</v>
      </c>
    </row>
    <row r="606" spans="1:23" x14ac:dyDescent="0.3">
      <c r="A606" s="45" t="s">
        <v>1310</v>
      </c>
      <c r="B606" s="46">
        <v>45186</v>
      </c>
      <c r="C606" s="47">
        <v>45201</v>
      </c>
      <c r="D606" s="48">
        <f t="shared" si="69"/>
        <v>15</v>
      </c>
      <c r="E606" s="48" t="str">
        <f>TEXT(Data!B606,"MMM-YYYY")</f>
        <v>Sept-2023</v>
      </c>
      <c r="F606" s="48" t="str">
        <f t="shared" si="65"/>
        <v>Q3-2023</v>
      </c>
      <c r="G606" s="38" t="s">
        <v>52</v>
      </c>
      <c r="H606" s="38" t="s">
        <v>73</v>
      </c>
      <c r="I606" s="38" t="s">
        <v>225</v>
      </c>
      <c r="J606" s="38" t="s">
        <v>62</v>
      </c>
      <c r="K606" s="38" t="s">
        <v>20</v>
      </c>
      <c r="L606" s="38" t="s">
        <v>56</v>
      </c>
      <c r="M606" s="38" t="s">
        <v>57</v>
      </c>
      <c r="N606" s="38" t="s">
        <v>1311</v>
      </c>
      <c r="O606" s="48">
        <v>689.33</v>
      </c>
      <c r="P606" s="49" t="str">
        <f t="shared" si="66"/>
        <v>High</v>
      </c>
      <c r="Q606" s="48">
        <v>668.27</v>
      </c>
      <c r="R606" s="48">
        <v>0.186</v>
      </c>
      <c r="S606" s="48">
        <v>13</v>
      </c>
      <c r="T606" s="48">
        <f t="shared" si="63"/>
        <v>486.56036000000006</v>
      </c>
      <c r="U606" s="38">
        <f t="shared" si="64"/>
        <v>8961.2900000000009</v>
      </c>
      <c r="V606" s="48">
        <f t="shared" si="67"/>
        <v>-8474.7296400000014</v>
      </c>
      <c r="W606" s="50">
        <f t="shared" si="68"/>
        <v>-17.417632706453933</v>
      </c>
    </row>
    <row r="607" spans="1:23" x14ac:dyDescent="0.3">
      <c r="A607" s="39" t="s">
        <v>1312</v>
      </c>
      <c r="B607" s="40">
        <v>45038</v>
      </c>
      <c r="C607" s="41">
        <v>45060</v>
      </c>
      <c r="D607" s="42">
        <f t="shared" si="69"/>
        <v>22</v>
      </c>
      <c r="E607" s="42" t="str">
        <f>TEXT(Data!B607,"MMM-YYYY")</f>
        <v>Apr-2023</v>
      </c>
      <c r="F607" s="42" t="str">
        <f t="shared" si="65"/>
        <v>Q2-2023</v>
      </c>
      <c r="G607" s="37" t="s">
        <v>45</v>
      </c>
      <c r="H607" s="37" t="s">
        <v>46</v>
      </c>
      <c r="I607" s="37" t="s">
        <v>231</v>
      </c>
      <c r="J607" s="37" t="s">
        <v>105</v>
      </c>
      <c r="K607" s="37" t="s">
        <v>20</v>
      </c>
      <c r="L607" s="37" t="s">
        <v>75</v>
      </c>
      <c r="M607" s="37" t="s">
        <v>81</v>
      </c>
      <c r="N607" s="37" t="s">
        <v>1313</v>
      </c>
      <c r="O607" s="42">
        <v>1209.22</v>
      </c>
      <c r="P607" s="43" t="str">
        <f t="shared" si="66"/>
        <v>High</v>
      </c>
      <c r="Q607" s="42">
        <v>1404.33</v>
      </c>
      <c r="R607" s="42">
        <v>0.10299999999999999</v>
      </c>
      <c r="S607" s="42">
        <v>11</v>
      </c>
      <c r="T607" s="42">
        <f t="shared" si="63"/>
        <v>453.68466000000001</v>
      </c>
      <c r="U607" s="37">
        <f t="shared" si="64"/>
        <v>13301.42</v>
      </c>
      <c r="V607" s="42">
        <f t="shared" si="67"/>
        <v>-12847.735339999999</v>
      </c>
      <c r="W607" s="44">
        <f t="shared" si="68"/>
        <v>-28.318646127466597</v>
      </c>
    </row>
    <row r="608" spans="1:23" x14ac:dyDescent="0.3">
      <c r="A608" s="45" t="s">
        <v>1314</v>
      </c>
      <c r="B608" s="46">
        <v>45827</v>
      </c>
      <c r="C608" s="47">
        <v>45829</v>
      </c>
      <c r="D608" s="48">
        <f t="shared" si="69"/>
        <v>2</v>
      </c>
      <c r="E608" s="48" t="str">
        <f>TEXT(Data!B608,"MMM-YYYY")</f>
        <v>Jun-2025</v>
      </c>
      <c r="F608" s="48" t="str">
        <f t="shared" si="65"/>
        <v>Q2-2025</v>
      </c>
      <c r="G608" s="38" t="s">
        <v>16</v>
      </c>
      <c r="H608" s="38" t="s">
        <v>148</v>
      </c>
      <c r="I608" s="38" t="s">
        <v>149</v>
      </c>
      <c r="J608" s="38" t="s">
        <v>62</v>
      </c>
      <c r="K608" s="38" t="s">
        <v>1364</v>
      </c>
      <c r="L608" s="38" t="s">
        <v>92</v>
      </c>
      <c r="M608" s="38" t="s">
        <v>42</v>
      </c>
      <c r="N608" s="38" t="s">
        <v>1315</v>
      </c>
      <c r="O608" s="48">
        <v>1466.27</v>
      </c>
      <c r="P608" s="49" t="str">
        <f t="shared" si="66"/>
        <v>High</v>
      </c>
      <c r="Q608" s="48">
        <v>3589.89</v>
      </c>
      <c r="R608" s="48">
        <v>9.7000000000000003E-2</v>
      </c>
      <c r="S608" s="48">
        <v>9</v>
      </c>
      <c r="T608" s="48">
        <f t="shared" si="63"/>
        <v>0</v>
      </c>
      <c r="U608" s="38">
        <f t="shared" si="64"/>
        <v>13196.43</v>
      </c>
      <c r="V608" s="48">
        <f t="shared" si="67"/>
        <v>-13196.43</v>
      </c>
      <c r="W608" s="50">
        <f t="shared" si="68"/>
        <v>0</v>
      </c>
    </row>
    <row r="609" spans="1:23" x14ac:dyDescent="0.3">
      <c r="A609" s="39" t="s">
        <v>1316</v>
      </c>
      <c r="B609" s="40">
        <v>45623</v>
      </c>
      <c r="C609" s="41">
        <v>45650</v>
      </c>
      <c r="D609" s="42">
        <f t="shared" si="69"/>
        <v>27</v>
      </c>
      <c r="E609" s="42" t="str">
        <f>TEXT(Data!B609,"MMM-YYYY")</f>
        <v>Nov-2024</v>
      </c>
      <c r="F609" s="42" t="str">
        <f t="shared" si="65"/>
        <v>Q4-2024</v>
      </c>
      <c r="G609" s="37" t="s">
        <v>16</v>
      </c>
      <c r="H609" s="37" t="s">
        <v>17</v>
      </c>
      <c r="I609" s="37" t="s">
        <v>113</v>
      </c>
      <c r="J609" s="37" t="s">
        <v>19</v>
      </c>
      <c r="K609" s="37" t="s">
        <v>55</v>
      </c>
      <c r="L609" s="37" t="s">
        <v>56</v>
      </c>
      <c r="M609" s="37" t="s">
        <v>30</v>
      </c>
      <c r="N609" s="37" t="s">
        <v>1317</v>
      </c>
      <c r="O609" s="42">
        <v>143.33000000000001</v>
      </c>
      <c r="P609" s="43" t="str">
        <f t="shared" si="66"/>
        <v>High</v>
      </c>
      <c r="Q609" s="42">
        <v>233.51</v>
      </c>
      <c r="R609" s="42">
        <v>0.16300000000000001</v>
      </c>
      <c r="S609" s="42">
        <v>14</v>
      </c>
      <c r="T609" s="42">
        <f t="shared" si="63"/>
        <v>0</v>
      </c>
      <c r="U609" s="37">
        <f t="shared" si="64"/>
        <v>2006.6200000000001</v>
      </c>
      <c r="V609" s="42">
        <f t="shared" si="67"/>
        <v>-2006.6200000000001</v>
      </c>
      <c r="W609" s="44">
        <f t="shared" si="68"/>
        <v>0</v>
      </c>
    </row>
    <row r="610" spans="1:23" x14ac:dyDescent="0.3">
      <c r="A610" s="45" t="s">
        <v>1318</v>
      </c>
      <c r="B610" s="46">
        <v>45319</v>
      </c>
      <c r="C610" s="47">
        <v>45318</v>
      </c>
      <c r="D610" s="48">
        <f>DATEDIF(C610,B610, "MD")</f>
        <v>1</v>
      </c>
      <c r="E610" s="48" t="str">
        <f>TEXT(Data!B610,"MMM-YYYY")</f>
        <v>Jan-2024</v>
      </c>
      <c r="F610" s="48" t="str">
        <f t="shared" si="65"/>
        <v>Q1-2024</v>
      </c>
      <c r="G610" s="38" t="s">
        <v>16</v>
      </c>
      <c r="H610" s="38" t="s">
        <v>148</v>
      </c>
      <c r="I610" s="38" t="s">
        <v>258</v>
      </c>
      <c r="J610" s="38" t="s">
        <v>105</v>
      </c>
      <c r="K610" s="38" t="s">
        <v>98</v>
      </c>
      <c r="L610" s="38" t="s">
        <v>68</v>
      </c>
      <c r="M610" s="38" t="s">
        <v>22</v>
      </c>
      <c r="N610" s="38" t="s">
        <v>1319</v>
      </c>
      <c r="O610" s="48">
        <v>109.75</v>
      </c>
      <c r="P610" s="49" t="str">
        <f t="shared" si="66"/>
        <v>Medium</v>
      </c>
      <c r="Q610" s="48">
        <v>124.25</v>
      </c>
      <c r="R610" s="48">
        <v>0.12</v>
      </c>
      <c r="S610" s="48">
        <v>19</v>
      </c>
      <c r="T610" s="48">
        <f t="shared" si="63"/>
        <v>0</v>
      </c>
      <c r="U610" s="38">
        <f t="shared" si="64"/>
        <v>2085.25</v>
      </c>
      <c r="V610" s="48">
        <f t="shared" si="67"/>
        <v>-2085.25</v>
      </c>
      <c r="W610" s="50">
        <f t="shared" si="68"/>
        <v>0</v>
      </c>
    </row>
    <row r="611" spans="1:23" x14ac:dyDescent="0.3">
      <c r="A611" s="39" t="s">
        <v>1320</v>
      </c>
      <c r="B611" s="40">
        <v>45032</v>
      </c>
      <c r="C611" s="41">
        <v>45039</v>
      </c>
      <c r="D611" s="42">
        <f t="shared" si="69"/>
        <v>7</v>
      </c>
      <c r="E611" s="42" t="str">
        <f>TEXT(Data!B611,"MMM-YYYY")</f>
        <v>Apr-2023</v>
      </c>
      <c r="F611" s="42" t="str">
        <f t="shared" si="65"/>
        <v>Q2-2023</v>
      </c>
      <c r="G611" s="37" t="s">
        <v>52</v>
      </c>
      <c r="H611" s="37" t="s">
        <v>122</v>
      </c>
      <c r="I611" s="37" t="s">
        <v>326</v>
      </c>
      <c r="J611" s="37" t="s">
        <v>19</v>
      </c>
      <c r="K611" s="37" t="s">
        <v>55</v>
      </c>
      <c r="L611" s="37" t="s">
        <v>68</v>
      </c>
      <c r="M611" s="37" t="s">
        <v>30</v>
      </c>
      <c r="N611" s="37" t="s">
        <v>1321</v>
      </c>
      <c r="O611" s="42">
        <v>1099.1500000000001</v>
      </c>
      <c r="P611" s="43" t="str">
        <f t="shared" si="66"/>
        <v>High</v>
      </c>
      <c r="Q611" s="42">
        <v>1431.37</v>
      </c>
      <c r="R611" s="42">
        <v>0.104</v>
      </c>
      <c r="S611" s="42">
        <v>8</v>
      </c>
      <c r="T611" s="42">
        <f t="shared" si="63"/>
        <v>0</v>
      </c>
      <c r="U611" s="37">
        <f t="shared" si="64"/>
        <v>8793.2000000000007</v>
      </c>
      <c r="V611" s="42">
        <f t="shared" si="67"/>
        <v>-8793.2000000000007</v>
      </c>
      <c r="W611" s="44">
        <f t="shared" si="68"/>
        <v>0</v>
      </c>
    </row>
    <row r="612" spans="1:23" x14ac:dyDescent="0.3">
      <c r="A612" s="45" t="s">
        <v>1322</v>
      </c>
      <c r="B612" s="46">
        <v>45323</v>
      </c>
      <c r="C612" s="47">
        <v>45323</v>
      </c>
      <c r="D612" s="48">
        <f t="shared" si="69"/>
        <v>0</v>
      </c>
      <c r="E612" s="48" t="str">
        <f>TEXT(Data!B612,"MMM-YYYY")</f>
        <v>Feb-2024</v>
      </c>
      <c r="F612" s="48" t="str">
        <f t="shared" si="65"/>
        <v>Q1-2024</v>
      </c>
      <c r="G612" s="38" t="s">
        <v>52</v>
      </c>
      <c r="H612" s="38" t="s">
        <v>122</v>
      </c>
      <c r="I612" s="38" t="s">
        <v>326</v>
      </c>
      <c r="J612" s="38" t="s">
        <v>48</v>
      </c>
      <c r="K612" s="38" t="s">
        <v>55</v>
      </c>
      <c r="L612" s="38" t="s">
        <v>92</v>
      </c>
      <c r="M612" s="38" t="s">
        <v>30</v>
      </c>
      <c r="N612" s="38" t="s">
        <v>1323</v>
      </c>
      <c r="O612" s="48">
        <v>714.43</v>
      </c>
      <c r="P612" s="49" t="str">
        <f t="shared" si="66"/>
        <v>High</v>
      </c>
      <c r="Q612" s="48">
        <v>1595.52</v>
      </c>
      <c r="R612" s="48">
        <v>0.19400000000000001</v>
      </c>
      <c r="S612" s="48">
        <v>14</v>
      </c>
      <c r="T612" s="48">
        <f t="shared" si="63"/>
        <v>0</v>
      </c>
      <c r="U612" s="38">
        <f t="shared" si="64"/>
        <v>10002.019999999999</v>
      </c>
      <c r="V612" s="48">
        <f t="shared" si="67"/>
        <v>-10002.019999999999</v>
      </c>
      <c r="W612" s="50">
        <f t="shared" si="68"/>
        <v>0</v>
      </c>
    </row>
    <row r="613" spans="1:23" x14ac:dyDescent="0.3">
      <c r="A613" s="39" t="s">
        <v>1324</v>
      </c>
      <c r="B613" s="40">
        <v>45584</v>
      </c>
      <c r="C613" s="41">
        <v>45602</v>
      </c>
      <c r="D613" s="42">
        <f t="shared" si="69"/>
        <v>18</v>
      </c>
      <c r="E613" s="42" t="str">
        <f>TEXT(Data!B613,"MMM-YYYY")</f>
        <v>Oct-2024</v>
      </c>
      <c r="F613" s="42" t="str">
        <f t="shared" si="65"/>
        <v>Q4-2024</v>
      </c>
      <c r="G613" s="37" t="s">
        <v>52</v>
      </c>
      <c r="H613" s="37" t="s">
        <v>122</v>
      </c>
      <c r="I613" s="37" t="s">
        <v>123</v>
      </c>
      <c r="J613" s="37" t="s">
        <v>27</v>
      </c>
      <c r="K613" s="37" t="s">
        <v>1364</v>
      </c>
      <c r="L613" s="37" t="s">
        <v>21</v>
      </c>
      <c r="M613" s="37" t="s">
        <v>64</v>
      </c>
      <c r="N613" s="37" t="s">
        <v>1325</v>
      </c>
      <c r="O613" s="42">
        <v>942.02</v>
      </c>
      <c r="P613" s="43" t="str">
        <f t="shared" si="66"/>
        <v>High</v>
      </c>
      <c r="Q613" s="42">
        <v>1028.46</v>
      </c>
      <c r="R613" s="42">
        <v>0</v>
      </c>
      <c r="S613" s="42">
        <v>9</v>
      </c>
      <c r="T613" s="42">
        <f t="shared" si="63"/>
        <v>0</v>
      </c>
      <c r="U613" s="37">
        <f t="shared" si="64"/>
        <v>8478.18</v>
      </c>
      <c r="V613" s="42">
        <f t="shared" si="67"/>
        <v>-8478.18</v>
      </c>
      <c r="W613" s="44">
        <f t="shared" si="68"/>
        <v>0</v>
      </c>
    </row>
    <row r="614" spans="1:23" x14ac:dyDescent="0.3">
      <c r="A614" s="45" t="s">
        <v>1326</v>
      </c>
      <c r="B614" s="46">
        <v>45468</v>
      </c>
      <c r="C614" s="47">
        <v>45473</v>
      </c>
      <c r="D614" s="48">
        <f t="shared" si="69"/>
        <v>5</v>
      </c>
      <c r="E614" s="48" t="str">
        <f>TEXT(Data!B614,"MMM-YYYY")</f>
        <v>Jun-2024</v>
      </c>
      <c r="F614" s="48" t="str">
        <f t="shared" si="65"/>
        <v>Q2-2024</v>
      </c>
      <c r="G614" s="38" t="s">
        <v>16</v>
      </c>
      <c r="H614" s="38" t="s">
        <v>17</v>
      </c>
      <c r="I614" s="38" t="s">
        <v>18</v>
      </c>
      <c r="J614" s="38" t="s">
        <v>27</v>
      </c>
      <c r="K614" s="38" t="s">
        <v>98</v>
      </c>
      <c r="L614" s="38" t="s">
        <v>110</v>
      </c>
      <c r="M614" s="38" t="s">
        <v>35</v>
      </c>
      <c r="N614" s="38" t="s">
        <v>1327</v>
      </c>
      <c r="O614" s="48">
        <v>1323.55</v>
      </c>
      <c r="P614" s="49" t="str">
        <f t="shared" si="66"/>
        <v>High</v>
      </c>
      <c r="Q614" s="48">
        <v>3230.35</v>
      </c>
      <c r="R614" s="48">
        <v>2.1999999999999999E-2</v>
      </c>
      <c r="S614" s="48">
        <v>26</v>
      </c>
      <c r="T614" s="48">
        <f t="shared" si="63"/>
        <v>0</v>
      </c>
      <c r="U614" s="38">
        <f t="shared" si="64"/>
        <v>34412.299999999996</v>
      </c>
      <c r="V614" s="48">
        <f t="shared" si="67"/>
        <v>-34412.299999999996</v>
      </c>
      <c r="W614" s="50">
        <f t="shared" si="68"/>
        <v>0</v>
      </c>
    </row>
    <row r="615" spans="1:23" x14ac:dyDescent="0.3">
      <c r="A615" s="39" t="s">
        <v>1328</v>
      </c>
      <c r="B615" s="40">
        <v>45137</v>
      </c>
      <c r="C615" s="41">
        <v>45157</v>
      </c>
      <c r="D615" s="42">
        <f t="shared" si="69"/>
        <v>20</v>
      </c>
      <c r="E615" s="42" t="str">
        <f>TEXT(Data!B615,"MMM-YYYY")</f>
        <v>Jul-2023</v>
      </c>
      <c r="F615" s="42" t="str">
        <f t="shared" si="65"/>
        <v>Q3-2023</v>
      </c>
      <c r="G615" s="37" t="s">
        <v>78</v>
      </c>
      <c r="H615" s="37" t="s">
        <v>90</v>
      </c>
      <c r="I615" s="37" t="s">
        <v>217</v>
      </c>
      <c r="J615" s="37" t="s">
        <v>105</v>
      </c>
      <c r="K615" s="37" t="s">
        <v>40</v>
      </c>
      <c r="L615" s="37" t="s">
        <v>41</v>
      </c>
      <c r="M615" s="37" t="s">
        <v>35</v>
      </c>
      <c r="N615" s="37" t="s">
        <v>1329</v>
      </c>
      <c r="O615" s="42">
        <v>1418.51</v>
      </c>
      <c r="P615" s="43" t="str">
        <f t="shared" si="66"/>
        <v>High</v>
      </c>
      <c r="Q615" s="42">
        <v>2789.61</v>
      </c>
      <c r="R615" s="42">
        <v>0.17100000000000001</v>
      </c>
      <c r="S615" s="42">
        <v>8</v>
      </c>
      <c r="T615" s="42">
        <f t="shared" si="63"/>
        <v>0</v>
      </c>
      <c r="U615" s="37">
        <f t="shared" si="64"/>
        <v>11348.08</v>
      </c>
      <c r="V615" s="42">
        <f t="shared" si="67"/>
        <v>-11348.08</v>
      </c>
      <c r="W615" s="44">
        <f t="shared" si="68"/>
        <v>0</v>
      </c>
    </row>
    <row r="616" spans="1:23" x14ac:dyDescent="0.3">
      <c r="A616" s="45" t="s">
        <v>1330</v>
      </c>
      <c r="B616" s="46">
        <v>45727</v>
      </c>
      <c r="C616" s="47">
        <v>45743</v>
      </c>
      <c r="D616" s="48">
        <f t="shared" si="69"/>
        <v>16</v>
      </c>
      <c r="E616" s="48" t="str">
        <f>TEXT(Data!B616,"MMM-YYYY")</f>
        <v>Mar-2025</v>
      </c>
      <c r="F616" s="48" t="str">
        <f t="shared" si="65"/>
        <v>Q1-2025</v>
      </c>
      <c r="G616" s="38" t="s">
        <v>45</v>
      </c>
      <c r="H616" s="38" t="s">
        <v>46</v>
      </c>
      <c r="I616" s="38" t="s">
        <v>214</v>
      </c>
      <c r="J616" s="38" t="s">
        <v>105</v>
      </c>
      <c r="K616" s="38" t="s">
        <v>55</v>
      </c>
      <c r="L616" s="38" t="s">
        <v>56</v>
      </c>
      <c r="M616" s="38" t="s">
        <v>30</v>
      </c>
      <c r="N616" s="38" t="s">
        <v>1331</v>
      </c>
      <c r="O616" s="48">
        <v>1317.58</v>
      </c>
      <c r="P616" s="49" t="str">
        <f t="shared" si="66"/>
        <v>High</v>
      </c>
      <c r="Q616" s="48">
        <v>1897.74</v>
      </c>
      <c r="R616" s="48">
        <v>8.1000000000000003E-2</v>
      </c>
      <c r="S616" s="48">
        <v>6</v>
      </c>
      <c r="T616" s="48">
        <f t="shared" si="63"/>
        <v>0</v>
      </c>
      <c r="U616" s="38">
        <f t="shared" si="64"/>
        <v>7905.48</v>
      </c>
      <c r="V616" s="48">
        <f t="shared" si="67"/>
        <v>-7905.48</v>
      </c>
      <c r="W616" s="50">
        <f t="shared" si="68"/>
        <v>0</v>
      </c>
    </row>
    <row r="617" spans="1:23" x14ac:dyDescent="0.3">
      <c r="A617" s="39" t="s">
        <v>1332</v>
      </c>
      <c r="B617" s="40">
        <v>45208</v>
      </c>
      <c r="C617" s="41">
        <v>45210</v>
      </c>
      <c r="D617" s="42">
        <f t="shared" si="69"/>
        <v>2</v>
      </c>
      <c r="E617" s="42" t="str">
        <f>TEXT(Data!B617,"MMM-YYYY")</f>
        <v>Oct-2023</v>
      </c>
      <c r="F617" s="42" t="str">
        <f t="shared" si="65"/>
        <v>Q4-2023</v>
      </c>
      <c r="G617" s="37" t="s">
        <v>16</v>
      </c>
      <c r="H617" s="37" t="s">
        <v>25</v>
      </c>
      <c r="I617" s="37" t="s">
        <v>26</v>
      </c>
      <c r="J617" s="37" t="s">
        <v>27</v>
      </c>
      <c r="K617" s="37" t="s">
        <v>40</v>
      </c>
      <c r="L617" s="37" t="s">
        <v>95</v>
      </c>
      <c r="M617" s="37" t="s">
        <v>35</v>
      </c>
      <c r="N617" s="37" t="s">
        <v>1333</v>
      </c>
      <c r="O617" s="42">
        <v>391.16</v>
      </c>
      <c r="P617" s="43" t="str">
        <f t="shared" si="66"/>
        <v>High</v>
      </c>
      <c r="Q617" s="42">
        <v>902.47</v>
      </c>
      <c r="R617" s="42">
        <v>4.0000000000000001E-3</v>
      </c>
      <c r="S617" s="42">
        <v>12</v>
      </c>
      <c r="T617" s="42">
        <f t="shared" si="63"/>
        <v>0</v>
      </c>
      <c r="U617" s="37">
        <f t="shared" si="64"/>
        <v>4693.92</v>
      </c>
      <c r="V617" s="42">
        <f t="shared" si="67"/>
        <v>-4693.92</v>
      </c>
      <c r="W617" s="44">
        <f t="shared" si="68"/>
        <v>0</v>
      </c>
    </row>
    <row r="618" spans="1:23" x14ac:dyDescent="0.3">
      <c r="A618" s="45" t="s">
        <v>1334</v>
      </c>
      <c r="B618" s="46">
        <v>45643</v>
      </c>
      <c r="C618" s="47">
        <v>45673</v>
      </c>
      <c r="D618" s="48">
        <f t="shared" si="69"/>
        <v>30</v>
      </c>
      <c r="E618" s="48" t="str">
        <f>TEXT(Data!B618,"MMM-YYYY")</f>
        <v>Dec-2024</v>
      </c>
      <c r="F618" s="48" t="str">
        <f t="shared" si="65"/>
        <v>Q4-2024</v>
      </c>
      <c r="G618" s="38" t="s">
        <v>78</v>
      </c>
      <c r="H618" s="38" t="s">
        <v>108</v>
      </c>
      <c r="I618" s="38" t="s">
        <v>228</v>
      </c>
      <c r="J618" s="38" t="s">
        <v>19</v>
      </c>
      <c r="K618" s="38" t="s">
        <v>20</v>
      </c>
      <c r="L618" s="38" t="s">
        <v>145</v>
      </c>
      <c r="M618" s="38" t="s">
        <v>64</v>
      </c>
      <c r="N618" s="38" t="s">
        <v>1335</v>
      </c>
      <c r="O618" s="48">
        <v>722.87</v>
      </c>
      <c r="P618" s="49" t="str">
        <f t="shared" si="66"/>
        <v>Low</v>
      </c>
      <c r="Q618" s="48">
        <v>-33.659999999999997</v>
      </c>
      <c r="R618" s="48">
        <v>0.10199999999999999</v>
      </c>
      <c r="S618" s="48">
        <v>28</v>
      </c>
      <c r="T618" s="48">
        <f t="shared" si="63"/>
        <v>0</v>
      </c>
      <c r="U618" s="38">
        <f t="shared" si="64"/>
        <v>20240.36</v>
      </c>
      <c r="V618" s="48">
        <f t="shared" si="67"/>
        <v>-20240.36</v>
      </c>
      <c r="W618" s="50">
        <f t="shared" si="68"/>
        <v>0</v>
      </c>
    </row>
    <row r="619" spans="1:23" x14ac:dyDescent="0.3">
      <c r="A619" s="39" t="s">
        <v>1336</v>
      </c>
      <c r="B619" s="40">
        <v>45849</v>
      </c>
      <c r="C619" s="41">
        <v>45854</v>
      </c>
      <c r="D619" s="42">
        <f t="shared" si="69"/>
        <v>5</v>
      </c>
      <c r="E619" s="42" t="str">
        <f>TEXT(Data!B619,"MMM-YYYY")</f>
        <v>Jul-2025</v>
      </c>
      <c r="F619" s="42" t="str">
        <f t="shared" si="65"/>
        <v>Q3-2025</v>
      </c>
      <c r="G619" s="37" t="s">
        <v>78</v>
      </c>
      <c r="H619" s="37" t="s">
        <v>108</v>
      </c>
      <c r="I619" s="37" t="s">
        <v>152</v>
      </c>
      <c r="J619" s="37" t="s">
        <v>105</v>
      </c>
      <c r="K619" s="37" t="s">
        <v>28</v>
      </c>
      <c r="L619" s="37" t="s">
        <v>95</v>
      </c>
      <c r="M619" s="37" t="s">
        <v>30</v>
      </c>
      <c r="N619" s="37" t="s">
        <v>1337</v>
      </c>
      <c r="O619" s="42">
        <v>930.03</v>
      </c>
      <c r="P619" s="43" t="str">
        <f t="shared" si="66"/>
        <v>High</v>
      </c>
      <c r="Q619" s="42">
        <v>1086.68</v>
      </c>
      <c r="R619" s="42">
        <v>0.109</v>
      </c>
      <c r="S619" s="42">
        <v>26</v>
      </c>
      <c r="T619" s="42">
        <f t="shared" si="63"/>
        <v>0</v>
      </c>
      <c r="U619" s="37">
        <f t="shared" si="64"/>
        <v>24180.78</v>
      </c>
      <c r="V619" s="42">
        <f t="shared" si="67"/>
        <v>-24180.78</v>
      </c>
      <c r="W619" s="44">
        <f t="shared" si="68"/>
        <v>0</v>
      </c>
    </row>
    <row r="620" spans="1:23" x14ac:dyDescent="0.3">
      <c r="A620" s="45" t="s">
        <v>1338</v>
      </c>
      <c r="B620" s="46">
        <v>45578</v>
      </c>
      <c r="C620" s="47">
        <v>45589</v>
      </c>
      <c r="D620" s="48">
        <f t="shared" si="69"/>
        <v>11</v>
      </c>
      <c r="E620" s="48" t="str">
        <f>TEXT(Data!B620,"MMM-YYYY")</f>
        <v>Oct-2024</v>
      </c>
      <c r="F620" s="48" t="str">
        <f t="shared" si="65"/>
        <v>Q4-2024</v>
      </c>
      <c r="G620" s="38" t="s">
        <v>78</v>
      </c>
      <c r="H620" s="38" t="s">
        <v>90</v>
      </c>
      <c r="I620" s="38" t="s">
        <v>217</v>
      </c>
      <c r="J620" s="38" t="s">
        <v>27</v>
      </c>
      <c r="K620" s="38" t="s">
        <v>55</v>
      </c>
      <c r="L620" s="38" t="s">
        <v>84</v>
      </c>
      <c r="M620" s="38" t="s">
        <v>22</v>
      </c>
      <c r="N620" s="38" t="s">
        <v>1339</v>
      </c>
      <c r="O620" s="48">
        <v>816.7</v>
      </c>
      <c r="P620" s="49" t="str">
        <f t="shared" si="66"/>
        <v>High</v>
      </c>
      <c r="Q620" s="48">
        <v>1010.75</v>
      </c>
      <c r="R620" s="48">
        <v>4.7E-2</v>
      </c>
      <c r="S620" s="48">
        <v>43</v>
      </c>
      <c r="T620" s="48">
        <f t="shared" si="63"/>
        <v>0</v>
      </c>
      <c r="U620" s="38">
        <f t="shared" si="64"/>
        <v>35118.1</v>
      </c>
      <c r="V620" s="48">
        <f t="shared" si="67"/>
        <v>-35118.1</v>
      </c>
      <c r="W620" s="50">
        <f t="shared" si="68"/>
        <v>0</v>
      </c>
    </row>
    <row r="621" spans="1:23" x14ac:dyDescent="0.3">
      <c r="A621" s="39" t="s">
        <v>1340</v>
      </c>
      <c r="B621" s="40">
        <v>45177</v>
      </c>
      <c r="C621" s="41">
        <v>45183</v>
      </c>
      <c r="D621" s="42">
        <f t="shared" si="69"/>
        <v>6</v>
      </c>
      <c r="E621" s="42" t="str">
        <f>TEXT(Data!B621,"MMM-YYYY")</f>
        <v>Sept-2023</v>
      </c>
      <c r="F621" s="42" t="str">
        <f t="shared" si="65"/>
        <v>Q3-2023</v>
      </c>
      <c r="G621" s="37" t="s">
        <v>16</v>
      </c>
      <c r="H621" s="37" t="s">
        <v>17</v>
      </c>
      <c r="I621" s="37" t="s">
        <v>135</v>
      </c>
      <c r="J621" s="37" t="s">
        <v>27</v>
      </c>
      <c r="K621" s="37" t="s">
        <v>98</v>
      </c>
      <c r="L621" s="37" t="s">
        <v>34</v>
      </c>
      <c r="M621" s="37" t="s">
        <v>81</v>
      </c>
      <c r="N621" s="37" t="s">
        <v>1341</v>
      </c>
      <c r="O621" s="42">
        <v>251.03</v>
      </c>
      <c r="P621" s="43" t="str">
        <f t="shared" si="66"/>
        <v>High</v>
      </c>
      <c r="Q621" s="42">
        <v>411.48</v>
      </c>
      <c r="R621" s="42">
        <v>0.16500000000000001</v>
      </c>
      <c r="S621" s="42">
        <v>3</v>
      </c>
      <c r="T621" s="42">
        <f t="shared" si="63"/>
        <v>0</v>
      </c>
      <c r="U621" s="37">
        <f t="shared" si="64"/>
        <v>753.09</v>
      </c>
      <c r="V621" s="42">
        <f t="shared" si="67"/>
        <v>-753.09</v>
      </c>
      <c r="W621" s="44">
        <f t="shared" si="68"/>
        <v>0</v>
      </c>
    </row>
    <row r="622" spans="1:23" x14ac:dyDescent="0.3">
      <c r="A622" s="45" t="s">
        <v>1342</v>
      </c>
      <c r="B622" s="46">
        <v>45764</v>
      </c>
      <c r="C622" s="47">
        <v>45780</v>
      </c>
      <c r="D622" s="48">
        <f t="shared" si="69"/>
        <v>16</v>
      </c>
      <c r="E622" s="48" t="str">
        <f>TEXT(Data!B622,"MMM-YYYY")</f>
        <v>Apr-2025</v>
      </c>
      <c r="F622" s="48" t="str">
        <f t="shared" si="65"/>
        <v>Q2-2025</v>
      </c>
      <c r="G622" s="38" t="s">
        <v>52</v>
      </c>
      <c r="H622" s="38" t="s">
        <v>73</v>
      </c>
      <c r="I622" s="38" t="s">
        <v>225</v>
      </c>
      <c r="J622" s="38" t="s">
        <v>48</v>
      </c>
      <c r="K622" s="38" t="s">
        <v>40</v>
      </c>
      <c r="L622" s="38" t="s">
        <v>29</v>
      </c>
      <c r="M622" s="38" t="s">
        <v>35</v>
      </c>
      <c r="N622" s="38" t="s">
        <v>1343</v>
      </c>
      <c r="O622" s="48">
        <v>168.68</v>
      </c>
      <c r="P622" s="49" t="str">
        <f t="shared" si="66"/>
        <v>High</v>
      </c>
      <c r="Q622" s="48">
        <v>413.34</v>
      </c>
      <c r="R622" s="48">
        <v>0.186</v>
      </c>
      <c r="S622" s="48">
        <v>7</v>
      </c>
      <c r="T622" s="48">
        <f t="shared" si="63"/>
        <v>0</v>
      </c>
      <c r="U622" s="38">
        <f t="shared" si="64"/>
        <v>1180.76</v>
      </c>
      <c r="V622" s="48">
        <f t="shared" si="67"/>
        <v>-1180.76</v>
      </c>
      <c r="W622" s="50">
        <f t="shared" si="68"/>
        <v>0</v>
      </c>
    </row>
    <row r="623" spans="1:23" x14ac:dyDescent="0.3">
      <c r="A623" s="39" t="s">
        <v>1344</v>
      </c>
      <c r="B623" s="40">
        <v>45501</v>
      </c>
      <c r="C623" s="41">
        <v>45527</v>
      </c>
      <c r="D623" s="42">
        <f t="shared" si="69"/>
        <v>26</v>
      </c>
      <c r="E623" s="42" t="str">
        <f>TEXT(Data!B623,"MMM-YYYY")</f>
        <v>Jul-2024</v>
      </c>
      <c r="F623" s="42" t="str">
        <f t="shared" si="65"/>
        <v>Q3-2024</v>
      </c>
      <c r="G623" s="37" t="s">
        <v>45</v>
      </c>
      <c r="H623" s="37" t="s">
        <v>60</v>
      </c>
      <c r="I623" s="37" t="s">
        <v>281</v>
      </c>
      <c r="J623" s="37" t="s">
        <v>19</v>
      </c>
      <c r="K623" s="37" t="s">
        <v>20</v>
      </c>
      <c r="L623" s="37" t="s">
        <v>29</v>
      </c>
      <c r="M623" s="37" t="s">
        <v>35</v>
      </c>
      <c r="N623" s="37" t="s">
        <v>1345</v>
      </c>
      <c r="O623" s="42">
        <v>1339.24</v>
      </c>
      <c r="P623" s="43" t="str">
        <f t="shared" si="66"/>
        <v>High</v>
      </c>
      <c r="Q623" s="42">
        <v>1558.89</v>
      </c>
      <c r="R623" s="42">
        <v>0.192</v>
      </c>
      <c r="S623" s="42">
        <v>24</v>
      </c>
      <c r="T623" s="42">
        <f t="shared" si="63"/>
        <v>0</v>
      </c>
      <c r="U623" s="37">
        <f t="shared" si="64"/>
        <v>32141.760000000002</v>
      </c>
      <c r="V623" s="42">
        <f t="shared" si="67"/>
        <v>-32141.760000000002</v>
      </c>
      <c r="W623" s="44">
        <f t="shared" si="68"/>
        <v>0</v>
      </c>
    </row>
    <row r="624" spans="1:23" x14ac:dyDescent="0.3">
      <c r="A624" s="45" t="s">
        <v>1346</v>
      </c>
      <c r="B624" s="46">
        <v>45857</v>
      </c>
      <c r="C624" s="47">
        <v>45869</v>
      </c>
      <c r="D624" s="48">
        <f t="shared" si="69"/>
        <v>12</v>
      </c>
      <c r="E624" s="48" t="str">
        <f>TEXT(Data!B624,"MMM-YYYY")</f>
        <v>Jul-2025</v>
      </c>
      <c r="F624" s="48" t="str">
        <f t="shared" si="65"/>
        <v>Q3-2025</v>
      </c>
      <c r="G624" s="38" t="s">
        <v>16</v>
      </c>
      <c r="H624" s="38" t="s">
        <v>17</v>
      </c>
      <c r="I624" s="38" t="s">
        <v>33</v>
      </c>
      <c r="J624" s="38" t="s">
        <v>62</v>
      </c>
      <c r="K624" s="38" t="s">
        <v>40</v>
      </c>
      <c r="L624" s="38" t="s">
        <v>68</v>
      </c>
      <c r="M624" s="38" t="s">
        <v>81</v>
      </c>
      <c r="N624" s="38" t="s">
        <v>1347</v>
      </c>
      <c r="O624" s="48">
        <v>619.64</v>
      </c>
      <c r="P624" s="49" t="str">
        <f t="shared" si="66"/>
        <v>High</v>
      </c>
      <c r="Q624" s="48">
        <v>861.16</v>
      </c>
      <c r="R624" s="48">
        <v>0.113</v>
      </c>
      <c r="S624" s="48">
        <v>14</v>
      </c>
      <c r="T624" s="48">
        <f t="shared" si="63"/>
        <v>0</v>
      </c>
      <c r="U624" s="38">
        <f t="shared" si="64"/>
        <v>8674.9599999999991</v>
      </c>
      <c r="V624" s="48">
        <f t="shared" si="67"/>
        <v>-8674.9599999999991</v>
      </c>
      <c r="W624" s="50">
        <f t="shared" si="68"/>
        <v>0</v>
      </c>
    </row>
    <row r="625" spans="1:23" x14ac:dyDescent="0.3">
      <c r="A625" s="39" t="s">
        <v>1348</v>
      </c>
      <c r="B625" s="40">
        <v>45141</v>
      </c>
      <c r="C625" s="41">
        <v>45140</v>
      </c>
      <c r="D625" s="42">
        <f>DATEDIF(C625,B625, "MD")</f>
        <v>1</v>
      </c>
      <c r="E625" s="42" t="str">
        <f>TEXT(Data!B625,"MMM-YYYY")</f>
        <v>Aug-2023</v>
      </c>
      <c r="F625" s="42" t="str">
        <f t="shared" si="65"/>
        <v>Q3-2023</v>
      </c>
      <c r="G625" s="37" t="s">
        <v>45</v>
      </c>
      <c r="H625" s="37" t="s">
        <v>116</v>
      </c>
      <c r="I625" s="37" t="s">
        <v>162</v>
      </c>
      <c r="J625" s="37" t="s">
        <v>39</v>
      </c>
      <c r="K625" s="37" t="s">
        <v>98</v>
      </c>
      <c r="L625" s="37" t="s">
        <v>29</v>
      </c>
      <c r="M625" s="37" t="s">
        <v>35</v>
      </c>
      <c r="N625" s="37" t="s">
        <v>1349</v>
      </c>
      <c r="O625" s="42">
        <v>1021.97</v>
      </c>
      <c r="P625" s="43" t="str">
        <f t="shared" si="66"/>
        <v>High</v>
      </c>
      <c r="Q625" s="42">
        <v>2296.25</v>
      </c>
      <c r="R625" s="42">
        <v>0.161</v>
      </c>
      <c r="S625" s="42">
        <v>26</v>
      </c>
      <c r="T625" s="42">
        <f t="shared" si="63"/>
        <v>0</v>
      </c>
      <c r="U625" s="37">
        <f t="shared" si="64"/>
        <v>26571.22</v>
      </c>
      <c r="V625" s="42">
        <f t="shared" si="67"/>
        <v>-26571.22</v>
      </c>
      <c r="W625" s="44">
        <f t="shared" si="68"/>
        <v>0</v>
      </c>
    </row>
    <row r="626" spans="1:23" x14ac:dyDescent="0.3">
      <c r="A626" s="45" t="s">
        <v>1350</v>
      </c>
      <c r="B626" s="46">
        <v>45249</v>
      </c>
      <c r="C626" s="47">
        <v>45272</v>
      </c>
      <c r="D626" s="48">
        <f t="shared" si="69"/>
        <v>23</v>
      </c>
      <c r="E626" s="48" t="str">
        <f>TEXT(Data!B626,"MMM-YYYY")</f>
        <v>Nov-2023</v>
      </c>
      <c r="F626" s="48" t="str">
        <f t="shared" si="65"/>
        <v>Q4-2023</v>
      </c>
      <c r="G626" s="38" t="s">
        <v>45</v>
      </c>
      <c r="H626" s="38" t="s">
        <v>60</v>
      </c>
      <c r="I626" s="38" t="s">
        <v>141</v>
      </c>
      <c r="J626" s="38" t="s">
        <v>62</v>
      </c>
      <c r="K626" s="38" t="s">
        <v>98</v>
      </c>
      <c r="L626" s="38" t="s">
        <v>21</v>
      </c>
      <c r="M626" s="38" t="s">
        <v>35</v>
      </c>
      <c r="N626" s="38" t="s">
        <v>1351</v>
      </c>
      <c r="O626" s="48">
        <v>1349.04</v>
      </c>
      <c r="P626" s="49" t="str">
        <f t="shared" si="66"/>
        <v>High</v>
      </c>
      <c r="Q626" s="48">
        <v>2636.6</v>
      </c>
      <c r="R626" s="48">
        <v>0.114</v>
      </c>
      <c r="S626" s="48">
        <v>14</v>
      </c>
      <c r="T626" s="48">
        <f t="shared" si="63"/>
        <v>0</v>
      </c>
      <c r="U626" s="38">
        <f t="shared" si="64"/>
        <v>18886.559999999998</v>
      </c>
      <c r="V626" s="48">
        <f t="shared" si="67"/>
        <v>-18886.559999999998</v>
      </c>
      <c r="W626" s="50">
        <f t="shared" si="68"/>
        <v>0</v>
      </c>
    </row>
    <row r="627" spans="1:23" x14ac:dyDescent="0.3">
      <c r="A627" s="39" t="s">
        <v>1352</v>
      </c>
      <c r="B627" s="40">
        <v>45282</v>
      </c>
      <c r="C627" s="41">
        <v>45307</v>
      </c>
      <c r="D627" s="42">
        <f t="shared" si="69"/>
        <v>25</v>
      </c>
      <c r="E627" s="42" t="str">
        <f>TEXT(Data!B627,"MMM-YYYY")</f>
        <v>Dec-2023</v>
      </c>
      <c r="F627" s="42" t="str">
        <f t="shared" si="65"/>
        <v>Q4-2023</v>
      </c>
      <c r="G627" s="37" t="s">
        <v>45</v>
      </c>
      <c r="H627" s="37" t="s">
        <v>60</v>
      </c>
      <c r="I627" s="37" t="s">
        <v>281</v>
      </c>
      <c r="J627" s="37" t="s">
        <v>62</v>
      </c>
      <c r="K627" s="37" t="s">
        <v>20</v>
      </c>
      <c r="L627" s="37" t="s">
        <v>75</v>
      </c>
      <c r="M627" s="37" t="s">
        <v>22</v>
      </c>
      <c r="N627" s="37" t="s">
        <v>1353</v>
      </c>
      <c r="O627" s="42">
        <v>1346.81</v>
      </c>
      <c r="P627" s="43" t="str">
        <f t="shared" si="66"/>
        <v>High</v>
      </c>
      <c r="Q627" s="42">
        <v>978.09</v>
      </c>
      <c r="R627" s="42">
        <v>0.159</v>
      </c>
      <c r="S627" s="42">
        <v>17</v>
      </c>
      <c r="T627" s="42">
        <f t="shared" si="63"/>
        <v>0</v>
      </c>
      <c r="U627" s="37">
        <f t="shared" si="64"/>
        <v>22895.77</v>
      </c>
      <c r="V627" s="42">
        <f t="shared" si="67"/>
        <v>-22895.77</v>
      </c>
      <c r="W627" s="44">
        <f t="shared" si="68"/>
        <v>0</v>
      </c>
    </row>
    <row r="628" spans="1:23" x14ac:dyDescent="0.3">
      <c r="A628" s="45" t="s">
        <v>1354</v>
      </c>
      <c r="B628" s="46">
        <v>45141</v>
      </c>
      <c r="C628" s="47">
        <v>45168</v>
      </c>
      <c r="D628" s="48">
        <f t="shared" si="69"/>
        <v>27</v>
      </c>
      <c r="E628" s="48" t="str">
        <f>TEXT(Data!B628,"MMM-YYYY")</f>
        <v>Aug-2023</v>
      </c>
      <c r="F628" s="48" t="str">
        <f t="shared" si="65"/>
        <v>Q3-2023</v>
      </c>
      <c r="G628" s="38" t="s">
        <v>45</v>
      </c>
      <c r="H628" s="38" t="s">
        <v>116</v>
      </c>
      <c r="I628" s="38" t="s">
        <v>162</v>
      </c>
      <c r="J628" s="38" t="s">
        <v>48</v>
      </c>
      <c r="K628" s="38" t="s">
        <v>55</v>
      </c>
      <c r="L628" s="38" t="s">
        <v>126</v>
      </c>
      <c r="M628" s="38" t="s">
        <v>64</v>
      </c>
      <c r="N628" s="38" t="s">
        <v>1355</v>
      </c>
      <c r="O628" s="48">
        <v>226.04</v>
      </c>
      <c r="P628" s="49" t="str">
        <f t="shared" si="66"/>
        <v>High</v>
      </c>
      <c r="Q628" s="48">
        <v>545.72</v>
      </c>
      <c r="R628" s="48">
        <v>0.151</v>
      </c>
      <c r="S628" s="48">
        <v>11</v>
      </c>
      <c r="T628" s="48">
        <f t="shared" si="63"/>
        <v>0</v>
      </c>
      <c r="U628" s="38">
        <f t="shared" si="64"/>
        <v>2486.44</v>
      </c>
      <c r="V628" s="48">
        <f t="shared" si="67"/>
        <v>-2486.44</v>
      </c>
      <c r="W628" s="50">
        <f t="shared" si="68"/>
        <v>0</v>
      </c>
    </row>
    <row r="629" spans="1:23" x14ac:dyDescent="0.3">
      <c r="A629" s="39" t="s">
        <v>1356</v>
      </c>
      <c r="B629" s="40">
        <v>45100</v>
      </c>
      <c r="C629" s="41">
        <v>45125</v>
      </c>
      <c r="D629" s="42">
        <f t="shared" si="69"/>
        <v>25</v>
      </c>
      <c r="E629" s="42" t="str">
        <f>TEXT(Data!B629,"MMM-YYYY")</f>
        <v>Jun-2023</v>
      </c>
      <c r="F629" s="42" t="str">
        <f t="shared" si="65"/>
        <v>Q2-2023</v>
      </c>
      <c r="G629" s="37" t="s">
        <v>52</v>
      </c>
      <c r="H629" s="37" t="s">
        <v>53</v>
      </c>
      <c r="I629" s="37" t="s">
        <v>179</v>
      </c>
      <c r="J629" s="37" t="s">
        <v>105</v>
      </c>
      <c r="K629" s="37" t="s">
        <v>28</v>
      </c>
      <c r="L629" s="37" t="s">
        <v>126</v>
      </c>
      <c r="M629" s="37" t="s">
        <v>42</v>
      </c>
      <c r="N629" s="37" t="s">
        <v>1357</v>
      </c>
      <c r="O629" s="42">
        <v>807.02</v>
      </c>
      <c r="P629" s="43" t="str">
        <f t="shared" si="66"/>
        <v>High</v>
      </c>
      <c r="Q629" s="42">
        <v>1435.54</v>
      </c>
      <c r="R629" s="42">
        <v>0</v>
      </c>
      <c r="S629" s="42">
        <v>23</v>
      </c>
      <c r="T629" s="42">
        <f t="shared" si="63"/>
        <v>0</v>
      </c>
      <c r="U629" s="37">
        <f t="shared" si="64"/>
        <v>18561.46</v>
      </c>
      <c r="V629" s="42">
        <f t="shared" si="67"/>
        <v>-18561.46</v>
      </c>
      <c r="W629" s="44">
        <f t="shared" si="68"/>
        <v>0</v>
      </c>
    </row>
    <row r="630" spans="1:23" x14ac:dyDescent="0.3">
      <c r="A630" s="45" t="s">
        <v>1358</v>
      </c>
      <c r="B630" s="46">
        <v>45267</v>
      </c>
      <c r="C630" s="47">
        <v>45293</v>
      </c>
      <c r="D630" s="48">
        <f t="shared" si="69"/>
        <v>26</v>
      </c>
      <c r="E630" s="48" t="str">
        <f>TEXT(Data!B630,"MMM-YYYY")</f>
        <v>Dec-2023</v>
      </c>
      <c r="F630" s="48" t="str">
        <f t="shared" si="65"/>
        <v>Q4-2023</v>
      </c>
      <c r="G630" s="38" t="s">
        <v>78</v>
      </c>
      <c r="H630" s="38" t="s">
        <v>79</v>
      </c>
      <c r="I630" s="38" t="s">
        <v>335</v>
      </c>
      <c r="J630" s="38" t="s">
        <v>105</v>
      </c>
      <c r="K630" s="38" t="s">
        <v>55</v>
      </c>
      <c r="L630" s="38" t="s">
        <v>63</v>
      </c>
      <c r="M630" s="38" t="s">
        <v>22</v>
      </c>
      <c r="N630" s="38" t="s">
        <v>1359</v>
      </c>
      <c r="O630" s="48">
        <v>1071.99</v>
      </c>
      <c r="P630" s="49" t="str">
        <f t="shared" si="66"/>
        <v>High</v>
      </c>
      <c r="Q630" s="48">
        <v>2397.3000000000002</v>
      </c>
      <c r="R630" s="48">
        <v>6.2E-2</v>
      </c>
      <c r="S630" s="48">
        <v>18</v>
      </c>
      <c r="T630" s="48">
        <f t="shared" si="63"/>
        <v>0</v>
      </c>
      <c r="U630" s="38">
        <f t="shared" si="64"/>
        <v>19295.82</v>
      </c>
      <c r="V630" s="48">
        <f t="shared" si="67"/>
        <v>-19295.82</v>
      </c>
      <c r="W630" s="50">
        <f t="shared" si="68"/>
        <v>0</v>
      </c>
    </row>
    <row r="631" spans="1:23" x14ac:dyDescent="0.3">
      <c r="A631" s="39" t="s">
        <v>1360</v>
      </c>
      <c r="B631" s="40">
        <v>45249</v>
      </c>
      <c r="C631" s="41">
        <v>45279</v>
      </c>
      <c r="D631" s="42">
        <f t="shared" si="69"/>
        <v>0</v>
      </c>
      <c r="E631" s="42" t="str">
        <f>TEXT(Data!B631,"MMM-YYYY")</f>
        <v>Nov-2023</v>
      </c>
      <c r="F631" s="42" t="str">
        <f t="shared" si="65"/>
        <v>Q4-2023</v>
      </c>
      <c r="G631" s="37" t="s">
        <v>45</v>
      </c>
      <c r="H631" s="37" t="s">
        <v>46</v>
      </c>
      <c r="I631" s="37" t="s">
        <v>231</v>
      </c>
      <c r="J631" s="37" t="s">
        <v>48</v>
      </c>
      <c r="K631" s="37" t="s">
        <v>20</v>
      </c>
      <c r="L631" s="37" t="s">
        <v>1364</v>
      </c>
      <c r="M631" s="37" t="s">
        <v>42</v>
      </c>
      <c r="N631" s="37" t="s">
        <v>1361</v>
      </c>
      <c r="O631" s="42">
        <v>807.11</v>
      </c>
      <c r="P631" s="43" t="str">
        <f t="shared" si="66"/>
        <v>High</v>
      </c>
      <c r="Q631" s="42">
        <v>1853.86</v>
      </c>
      <c r="R631" s="42">
        <v>0.13900000000000001</v>
      </c>
      <c r="S631" s="42">
        <v>8</v>
      </c>
      <c r="T631" s="42">
        <f t="shared" si="63"/>
        <v>0</v>
      </c>
      <c r="U631" s="37">
        <f t="shared" si="64"/>
        <v>6456.88</v>
      </c>
      <c r="V631" s="42">
        <f t="shared" si="67"/>
        <v>-6456.88</v>
      </c>
      <c r="W631" s="44">
        <f t="shared" si="68"/>
        <v>0</v>
      </c>
    </row>
    <row r="632" spans="1:23" x14ac:dyDescent="0.3">
      <c r="A632" s="45" t="s">
        <v>1362</v>
      </c>
      <c r="B632" s="46">
        <v>45716</v>
      </c>
      <c r="C632" s="47">
        <v>45726</v>
      </c>
      <c r="D632" s="48">
        <f t="shared" si="69"/>
        <v>10</v>
      </c>
      <c r="E632" s="48" t="str">
        <f>TEXT(Data!B632,"MMM-YYYY")</f>
        <v>Feb-2025</v>
      </c>
      <c r="F632" s="48" t="str">
        <f t="shared" si="65"/>
        <v>Q1-2025</v>
      </c>
      <c r="G632" s="38" t="s">
        <v>45</v>
      </c>
      <c r="H632" s="38" t="s">
        <v>46</v>
      </c>
      <c r="I632" s="38" t="s">
        <v>47</v>
      </c>
      <c r="J632" s="38" t="s">
        <v>27</v>
      </c>
      <c r="K632" s="38" t="s">
        <v>55</v>
      </c>
      <c r="L632" s="38" t="s">
        <v>126</v>
      </c>
      <c r="M632" s="38" t="s">
        <v>57</v>
      </c>
      <c r="N632" s="38" t="s">
        <v>1363</v>
      </c>
      <c r="O632" s="48">
        <v>51.86</v>
      </c>
      <c r="P632" s="49" t="str">
        <f t="shared" si="66"/>
        <v>Low</v>
      </c>
      <c r="Q632" s="48">
        <v>45.98</v>
      </c>
      <c r="R632" s="48">
        <v>0.17299999999999999</v>
      </c>
      <c r="S632" s="48">
        <v>7</v>
      </c>
      <c r="T632" s="48">
        <f t="shared" si="63"/>
        <v>0</v>
      </c>
      <c r="U632" s="38">
        <f t="shared" si="64"/>
        <v>363.02</v>
      </c>
      <c r="V632" s="48">
        <f t="shared" si="67"/>
        <v>-363.02</v>
      </c>
      <c r="W632" s="50">
        <f t="shared" si="68"/>
        <v>0</v>
      </c>
    </row>
    <row r="633" spans="1:23" x14ac:dyDescent="0.3">
      <c r="A633" t="s">
        <v>1362</v>
      </c>
      <c r="B633" s="7">
        <v>45716</v>
      </c>
      <c r="C633" s="2">
        <v>45726</v>
      </c>
      <c r="D633" s="4">
        <f t="shared" ref="D633" si="70">DATEDIF(B633,C633, "MD")</f>
        <v>10</v>
      </c>
      <c r="E633" s="4" t="str">
        <f>TEXT(Data!B633,"MMM-YYYY")</f>
        <v>Feb-2025</v>
      </c>
      <c r="F633" s="4" t="str">
        <f t="shared" ref="F633" si="71">"Q"&amp;ROUNDUP(MONTH(B633)/3,0)&amp;"-"&amp;YEAR(B633)</f>
        <v>Q1-2025</v>
      </c>
      <c r="G633" t="s">
        <v>45</v>
      </c>
      <c r="H633" t="s">
        <v>46</v>
      </c>
      <c r="I633" t="s">
        <v>47</v>
      </c>
      <c r="J633" t="s">
        <v>27</v>
      </c>
      <c r="K633" t="s">
        <v>55</v>
      </c>
      <c r="L633" t="s">
        <v>126</v>
      </c>
      <c r="M633" t="s">
        <v>57</v>
      </c>
      <c r="N633" t="s">
        <v>1363</v>
      </c>
      <c r="O633" s="4">
        <v>51.86</v>
      </c>
      <c r="P633" s="8" t="str">
        <f t="shared" ref="P633" si="72">IF(Q633&lt;50, "Low", IF(Q633&lt;200, "Medium", "High"))</f>
        <v>Low</v>
      </c>
      <c r="Q633" s="4">
        <v>45.98</v>
      </c>
      <c r="R633" s="4">
        <v>0.17299999999999999</v>
      </c>
      <c r="S633" s="4">
        <v>7</v>
      </c>
      <c r="T633" s="4">
        <f t="shared" ref="T633" si="73">(Q659*S633)*(1-R633)</f>
        <v>0</v>
      </c>
      <c r="U633">
        <f t="shared" ref="U633" si="74">(O633*S633)</f>
        <v>363.02</v>
      </c>
      <c r="V633" s="4">
        <f t="shared" ref="V633" si="75">(T633-U633)</f>
        <v>-363.02</v>
      </c>
      <c r="W633" s="4">
        <f t="shared" ref="W633" si="76">IF(T633=0, 0, V633/T633)</f>
        <v>0</v>
      </c>
    </row>
  </sheetData>
  <conditionalFormatting sqref="Q633:Q1048576">
    <cfRule type="cellIs" dxfId="5" priority="2" operator="lessThan">
      <formula>0</formula>
    </cfRule>
  </conditionalFormatting>
  <conditionalFormatting sqref="Q1:Q632">
    <cfRule type="cellIs" dxfId="4" priority="1" operator="lessThan">
      <formula>0</formula>
    </cfRule>
  </conditionalFormatting>
  <dataValidations count="1">
    <dataValidation type="date" operator="greaterThanOrEqual" allowBlank="1" showInputMessage="1" showErrorMessage="1" error="Invalid Date ;Required date cannot be before the order date" sqref="C1:C633" xr:uid="{C1048F1F-83DB-4FF0-B06B-9AF4483410E8}">
      <formula1>B1</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44827-1CF2-42EF-ADBC-F70042D55DD6}">
  <dimension ref="A3:O9"/>
  <sheetViews>
    <sheetView topLeftCell="C1" workbookViewId="0">
      <selection activeCell="G8" sqref="G8"/>
    </sheetView>
  </sheetViews>
  <sheetFormatPr defaultRowHeight="14.4" x14ac:dyDescent="0.3"/>
  <cols>
    <col min="1" max="1" width="20" bestFit="1" customWidth="1"/>
    <col min="2" max="2" width="15.5546875" bestFit="1" customWidth="1"/>
    <col min="3" max="4" width="12" bestFit="1" customWidth="1"/>
    <col min="5" max="5" width="12.109375" bestFit="1" customWidth="1"/>
    <col min="6" max="9" width="12" bestFit="1" customWidth="1"/>
    <col min="10" max="10" width="18.5546875" customWidth="1"/>
    <col min="13" max="13" width="15.6640625" customWidth="1"/>
  </cols>
  <sheetData>
    <row r="3" spans="1:15" x14ac:dyDescent="0.3">
      <c r="A3" s="9" t="s">
        <v>1419</v>
      </c>
      <c r="B3" s="9" t="s">
        <v>1411</v>
      </c>
      <c r="L3" s="16" t="s">
        <v>1428</v>
      </c>
      <c r="M3" s="16"/>
    </row>
    <row r="4" spans="1:15" x14ac:dyDescent="0.3">
      <c r="A4" s="9" t="s">
        <v>1376</v>
      </c>
      <c r="B4" t="s">
        <v>98</v>
      </c>
      <c r="C4" t="s">
        <v>55</v>
      </c>
      <c r="D4" t="s">
        <v>40</v>
      </c>
      <c r="E4" t="s">
        <v>1364</v>
      </c>
      <c r="F4" t="s">
        <v>28</v>
      </c>
      <c r="G4" t="s">
        <v>20</v>
      </c>
      <c r="H4" t="s">
        <v>1377</v>
      </c>
      <c r="J4" s="16" t="s">
        <v>3</v>
      </c>
      <c r="K4" s="16" t="s">
        <v>98</v>
      </c>
      <c r="L4" s="16" t="s">
        <v>55</v>
      </c>
      <c r="M4" s="16" t="s">
        <v>40</v>
      </c>
      <c r="N4" s="16" t="s">
        <v>28</v>
      </c>
      <c r="O4" s="16" t="s">
        <v>20</v>
      </c>
    </row>
    <row r="5" spans="1:15" x14ac:dyDescent="0.3">
      <c r="A5" s="10" t="s">
        <v>16</v>
      </c>
      <c r="B5" s="12">
        <v>221557.91543999998</v>
      </c>
      <c r="C5" s="12">
        <v>609034.81166000001</v>
      </c>
      <c r="D5" s="12">
        <v>547113.83230000001</v>
      </c>
      <c r="E5" s="12">
        <v>32176.557119999994</v>
      </c>
      <c r="F5" s="12">
        <v>488253.39859000011</v>
      </c>
      <c r="G5" s="12">
        <v>469950.91472999996</v>
      </c>
      <c r="H5" s="12">
        <v>2368087.4298400003</v>
      </c>
      <c r="J5" s="10" t="s">
        <v>16</v>
      </c>
      <c r="K5" s="18">
        <f>GETPIVOTDATA("Gross Revenue",$A$3,"Region","Africa","Channel","Direct")/GETPIVOTDATA("Gross Revenue",$A$3,"Region","Africa")</f>
        <v>9.3559854525712985E-2</v>
      </c>
      <c r="L5" s="18">
        <f>GETPIVOTDATA("Gross Revenue",$A$3,"Region","Africa","Channel","Distributor")/GETPIVOTDATA("Gross Revenue",$A$3,"Region","Africa")</f>
        <v>0.25718425932489725</v>
      </c>
      <c r="M5" s="18">
        <f>GETPIVOTDATA("Gross Revenue",$A$3,"Region","Africa","Channel","Marketplace")/GETPIVOTDATA("Gross Revenue",$A$3,"Region","Africa")</f>
        <v>0.23103616251912021</v>
      </c>
      <c r="N5" s="18">
        <f>GETPIVOTDATA("Gross Revenue",$A$3,"Region","Africa","Channel","Online")/GETPIVOTDATA("Gross Revenue",$A$3,"Region","Africa")</f>
        <v>0.20618047815193585</v>
      </c>
      <c r="O5" s="18">
        <f>GETPIVOTDATA("Gross Revenue",$A$3,"Region","Africa","Channel","Retail")/GETPIVOTDATA("Gross Revenue",$A$3,"Region","Africa")</f>
        <v>0.19845167404218356</v>
      </c>
    </row>
    <row r="6" spans="1:15" x14ac:dyDescent="0.3">
      <c r="A6" s="10" t="s">
        <v>52</v>
      </c>
      <c r="B6" s="12">
        <v>810323.27522000019</v>
      </c>
      <c r="C6" s="12">
        <v>535213.82120000001</v>
      </c>
      <c r="D6" s="12">
        <v>378272.95461000007</v>
      </c>
      <c r="E6" s="12">
        <v>0</v>
      </c>
      <c r="F6" s="12">
        <v>684409.16889999993</v>
      </c>
      <c r="G6" s="12">
        <v>251720.18796000001</v>
      </c>
      <c r="H6" s="12">
        <v>2659939.4078900004</v>
      </c>
      <c r="J6" s="10" t="s">
        <v>52</v>
      </c>
      <c r="K6" s="18">
        <f>GETPIVOTDATA("Gross Revenue",$A$3,"Region","Americas","Channel","Direct")/GETPIVOTDATA("Gross Revenue",$A$3,"Region","Americas")</f>
        <v>0.30463974961850349</v>
      </c>
      <c r="L6" s="18">
        <f>GETPIVOTDATA("Gross Revenue",$A$3,"Region","Americas","Channel","Distributor")/GETPIVOTDATA("Gross Revenue",$A$3,"Region","Americas")</f>
        <v>0.20121278688244967</v>
      </c>
      <c r="M6" s="18">
        <f>GETPIVOTDATA("Gross Revenue",$A$3,"Region","Americas","Channel","Marketplace")/GETPIVOTDATA("Gross Revenue",$A$3,"Region","Americas")</f>
        <v>0.14221111709836484</v>
      </c>
      <c r="N6" s="20">
        <f>GETPIVOTDATA("Gross Revenue",$A$3,"Region","Americas","Channel","Online")/GETPIVOTDATA("Gross Revenue",$A$3,"Region","Americas")</f>
        <v>0.25730254112927642</v>
      </c>
      <c r="O6" s="18">
        <f>GETPIVOTDATA("Gross Revenue",$A$3,"Region","Americas","Channel","Retail")/GETPIVOTDATA("Gross Revenue",$A$3,"Region","Americas")</f>
        <v>9.4633805271405524E-2</v>
      </c>
    </row>
    <row r="7" spans="1:15" x14ac:dyDescent="0.3">
      <c r="A7" s="10" t="s">
        <v>45</v>
      </c>
      <c r="B7" s="12">
        <v>502810.96600000007</v>
      </c>
      <c r="C7" s="12">
        <v>733734.99893000012</v>
      </c>
      <c r="D7" s="12">
        <v>533246.94006000005</v>
      </c>
      <c r="E7" s="12">
        <v>30599.393100000001</v>
      </c>
      <c r="F7" s="12">
        <v>461186.45322000008</v>
      </c>
      <c r="G7" s="12">
        <v>591814.68848000001</v>
      </c>
      <c r="H7" s="12">
        <v>2853393.4397900002</v>
      </c>
      <c r="J7" s="10" t="s">
        <v>45</v>
      </c>
      <c r="K7" s="18">
        <f>GETPIVOTDATA("Gross Revenue",$A$3,"Region","Asia","Channel","Direct")/GETPIVOTDATA("Gross Revenue",$A$3,"Region","Asia")</f>
        <v>0.17621508446343284</v>
      </c>
      <c r="L7" s="18">
        <f>GETPIVOTDATA("Gross Revenue",$A$3,"Region","Asia","Channel","Distributor")/GETPIVOTDATA("Gross Revenue",$A$3,"Region","Asia")</f>
        <v>0.25714469960511316</v>
      </c>
      <c r="M7" s="18">
        <f>GETPIVOTDATA("Gross Revenue",$A$3,"Region","Asia","Channel","Marketplace")/GETPIVOTDATA("Gross Revenue",$A$3,"Region","Asia")</f>
        <v>0.18688167310682721</v>
      </c>
      <c r="N7" s="18">
        <f>GETPIVOTDATA("Gross Revenue",$A$3,"Region","Asia","Channel","Online")/GETPIVOTDATA("Gross Revenue",$A$3,"Region","Asia")</f>
        <v>0.16162736157897026</v>
      </c>
      <c r="O7" s="18">
        <f>GETPIVOTDATA("Gross Revenue",$A$3,"Region","Asia","Channel","Retail")/GETPIVOTDATA("Gross Revenue",$A$3,"Region","Asia")</f>
        <v>0.20740732078067561</v>
      </c>
    </row>
    <row r="8" spans="1:15" x14ac:dyDescent="0.3">
      <c r="A8" s="10" t="s">
        <v>78</v>
      </c>
      <c r="B8" s="12">
        <v>864934.80995000002</v>
      </c>
      <c r="C8" s="12">
        <v>280509.11341000005</v>
      </c>
      <c r="D8" s="12">
        <v>529056.67933000007</v>
      </c>
      <c r="E8" s="12">
        <v>20690.58468</v>
      </c>
      <c r="F8" s="12">
        <v>450760.49241999997</v>
      </c>
      <c r="G8" s="12">
        <v>444113.99171999999</v>
      </c>
      <c r="H8" s="12">
        <v>2590065.6715099998</v>
      </c>
      <c r="J8" s="10" t="s">
        <v>78</v>
      </c>
      <c r="K8" s="20">
        <f>GETPIVOTDATA("Gross Revenue",$A$3,"Region","Europe","Channel","Direct")/GETPIVOTDATA("Gross Revenue",$A$3,"Region","Europe")</f>
        <v>0.33394319667799999</v>
      </c>
      <c r="L8" s="18">
        <f>GETPIVOTDATA("Gross Revenue",$A$3,"Region","Europe","Channel","Distributor")/GETPIVOTDATA("Gross Revenue",$A$3,"Region","Europe")</f>
        <v>0.10830193091068002</v>
      </c>
      <c r="M8" s="18">
        <f>GETPIVOTDATA("Gross Revenue",$A$3,"Region","Europe","Channel","Marketplace")/GETPIVOTDATA("Gross Revenue",$A$3,"Region","Europe")</f>
        <v>0.20426380888696222</v>
      </c>
      <c r="N8" s="18">
        <f>GETPIVOTDATA("Gross Revenue",$A$3,"Region","Europe","Channel","Online")/GETPIVOTDATA("Gross Revenue",$A$3,"Region","Europe")</f>
        <v>0.17403438738184893</v>
      </c>
      <c r="O8" s="18">
        <f>GETPIVOTDATA("Gross Revenue",$A$3,"Region","Europe","Channel","Retail")/GETPIVOTDATA("Gross Revenue",$A$3,"Region","Europe")</f>
        <v>0.17146823596217273</v>
      </c>
    </row>
    <row r="9" spans="1:15" x14ac:dyDescent="0.3">
      <c r="A9" s="10" t="s">
        <v>1377</v>
      </c>
      <c r="B9" s="12">
        <v>2399626.9666100005</v>
      </c>
      <c r="C9" s="12">
        <v>2158492.7452000002</v>
      </c>
      <c r="D9" s="12">
        <v>1987690.4063000004</v>
      </c>
      <c r="E9" s="12">
        <v>83466.534899999999</v>
      </c>
      <c r="F9" s="12">
        <v>2084609.5131300001</v>
      </c>
      <c r="G9" s="12">
        <v>1757599.7828900001</v>
      </c>
      <c r="H9" s="12">
        <v>10471485.949030001</v>
      </c>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05598-262C-4D32-A37B-EB74B32EBC54}">
  <dimension ref="A3:J26"/>
  <sheetViews>
    <sheetView workbookViewId="0">
      <selection activeCell="G29" sqref="G29"/>
    </sheetView>
  </sheetViews>
  <sheetFormatPr defaultRowHeight="14.4" x14ac:dyDescent="0.3"/>
  <cols>
    <col min="1" max="1" width="20" bestFit="1" customWidth="1"/>
    <col min="2" max="2" width="15.5546875" bestFit="1" customWidth="1"/>
    <col min="3" max="4" width="12" bestFit="1" customWidth="1"/>
    <col min="5" max="5" width="12.109375" bestFit="1" customWidth="1"/>
    <col min="6" max="9" width="12" bestFit="1" customWidth="1"/>
  </cols>
  <sheetData>
    <row r="3" spans="1:10" x14ac:dyDescent="0.3">
      <c r="A3" s="9" t="s">
        <v>1419</v>
      </c>
      <c r="B3" s="9" t="s">
        <v>1411</v>
      </c>
    </row>
    <row r="4" spans="1:10" x14ac:dyDescent="0.3">
      <c r="A4" s="9" t="s">
        <v>1376</v>
      </c>
      <c r="B4" t="s">
        <v>98</v>
      </c>
      <c r="C4" t="s">
        <v>55</v>
      </c>
      <c r="D4" t="s">
        <v>40</v>
      </c>
      <c r="E4" t="s">
        <v>1364</v>
      </c>
      <c r="F4" t="s">
        <v>28</v>
      </c>
      <c r="G4" t="s">
        <v>20</v>
      </c>
      <c r="H4" t="s">
        <v>1377</v>
      </c>
      <c r="J4" t="s">
        <v>1429</v>
      </c>
    </row>
    <row r="5" spans="1:10" x14ac:dyDescent="0.3">
      <c r="A5" s="10" t="s">
        <v>1381</v>
      </c>
      <c r="B5" s="12">
        <v>123918.67067000001</v>
      </c>
      <c r="C5" s="12">
        <v>63499.793340000004</v>
      </c>
      <c r="D5" s="12">
        <v>109365.66036000001</v>
      </c>
      <c r="E5" s="12"/>
      <c r="F5" s="12">
        <v>67314.883890000012</v>
      </c>
      <c r="G5" s="12">
        <v>83956.571799999991</v>
      </c>
      <c r="H5" s="12">
        <v>448055.58006000007</v>
      </c>
      <c r="J5" t="s">
        <v>1430</v>
      </c>
    </row>
    <row r="6" spans="1:10" x14ac:dyDescent="0.3">
      <c r="A6" s="11" t="s">
        <v>16</v>
      </c>
      <c r="B6" s="12">
        <v>14666.089860000002</v>
      </c>
      <c r="C6" s="12"/>
      <c r="D6" s="12">
        <v>59443.156200000005</v>
      </c>
      <c r="E6" s="12"/>
      <c r="F6" s="12"/>
      <c r="G6" s="12"/>
      <c r="H6" s="12">
        <v>74109.246060000005</v>
      </c>
    </row>
    <row r="7" spans="1:10" x14ac:dyDescent="0.3">
      <c r="A7" s="11" t="s">
        <v>52</v>
      </c>
      <c r="B7" s="12"/>
      <c r="C7" s="12">
        <v>15805.03098</v>
      </c>
      <c r="D7" s="12">
        <v>36385.454160000001</v>
      </c>
      <c r="E7" s="12"/>
      <c r="F7" s="12">
        <v>31908.427200000002</v>
      </c>
      <c r="G7" s="12"/>
      <c r="H7" s="12">
        <v>84098.91234000001</v>
      </c>
    </row>
    <row r="8" spans="1:10" x14ac:dyDescent="0.3">
      <c r="A8" s="11" t="s">
        <v>45</v>
      </c>
      <c r="B8" s="12">
        <v>989.39469999999983</v>
      </c>
      <c r="C8" s="12"/>
      <c r="D8" s="12"/>
      <c r="E8" s="12"/>
      <c r="F8" s="12"/>
      <c r="G8" s="12">
        <v>58986.696099999994</v>
      </c>
      <c r="H8" s="12">
        <v>59976.090799999991</v>
      </c>
    </row>
    <row r="9" spans="1:10" x14ac:dyDescent="0.3">
      <c r="A9" s="11" t="s">
        <v>78</v>
      </c>
      <c r="B9" s="12">
        <v>108263.18611000001</v>
      </c>
      <c r="C9" s="12">
        <v>47694.762360000001</v>
      </c>
      <c r="D9" s="12">
        <v>13537.050000000001</v>
      </c>
      <c r="E9" s="12"/>
      <c r="F9" s="12">
        <v>35406.456690000006</v>
      </c>
      <c r="G9" s="12">
        <v>24969.875699999997</v>
      </c>
      <c r="H9" s="12">
        <v>229871.33086000002</v>
      </c>
    </row>
    <row r="10" spans="1:10" x14ac:dyDescent="0.3">
      <c r="A10" s="10" t="s">
        <v>1393</v>
      </c>
      <c r="B10" s="12">
        <v>50434.433300000004</v>
      </c>
      <c r="C10" s="12">
        <v>51208.950449999997</v>
      </c>
      <c r="D10" s="12">
        <v>39508.723799999992</v>
      </c>
      <c r="E10" s="12">
        <v>14370.599999999999</v>
      </c>
      <c r="F10" s="12">
        <v>27630.068209999998</v>
      </c>
      <c r="G10" s="12">
        <v>36.970199999999998</v>
      </c>
      <c r="H10" s="12">
        <v>183189.74595999997</v>
      </c>
    </row>
    <row r="11" spans="1:10" x14ac:dyDescent="0.3">
      <c r="A11" s="11" t="s">
        <v>16</v>
      </c>
      <c r="B11" s="12">
        <v>4692.9673199999997</v>
      </c>
      <c r="C11" s="12">
        <v>10684.750349999998</v>
      </c>
      <c r="D11" s="12"/>
      <c r="E11" s="12"/>
      <c r="F11" s="12">
        <v>25267.517249999997</v>
      </c>
      <c r="G11" s="12"/>
      <c r="H11" s="12">
        <v>40645.234919999995</v>
      </c>
    </row>
    <row r="12" spans="1:10" x14ac:dyDescent="0.3">
      <c r="A12" s="11" t="s">
        <v>52</v>
      </c>
      <c r="B12" s="12">
        <v>13797.385980000001</v>
      </c>
      <c r="C12" s="12">
        <v>28646.702999999998</v>
      </c>
      <c r="D12" s="12"/>
      <c r="E12" s="12"/>
      <c r="F12" s="12"/>
      <c r="G12" s="12"/>
      <c r="H12" s="12">
        <v>42444.08898</v>
      </c>
    </row>
    <row r="13" spans="1:10" x14ac:dyDescent="0.3">
      <c r="A13" s="11" t="s">
        <v>45</v>
      </c>
      <c r="B13" s="12"/>
      <c r="C13" s="12"/>
      <c r="D13" s="12"/>
      <c r="E13" s="12"/>
      <c r="F13" s="12"/>
      <c r="G13" s="12">
        <v>36.970199999999998</v>
      </c>
      <c r="H13" s="12">
        <v>36.970199999999998</v>
      </c>
    </row>
    <row r="14" spans="1:10" x14ac:dyDescent="0.3">
      <c r="A14" s="11" t="s">
        <v>78</v>
      </c>
      <c r="B14" s="12">
        <v>31944.079999999998</v>
      </c>
      <c r="C14" s="12">
        <v>11877.497099999999</v>
      </c>
      <c r="D14" s="12">
        <v>39508.723799999992</v>
      </c>
      <c r="E14" s="12">
        <v>14370.599999999999</v>
      </c>
      <c r="F14" s="12">
        <v>2362.5509599999996</v>
      </c>
      <c r="G14" s="12"/>
      <c r="H14" s="12">
        <v>100063.45185999997</v>
      </c>
    </row>
    <row r="15" spans="1:10" x14ac:dyDescent="0.3">
      <c r="A15" s="10" t="s">
        <v>1405</v>
      </c>
      <c r="B15" s="12">
        <v>31870.237459999997</v>
      </c>
      <c r="C15" s="12">
        <v>89137.403859999991</v>
      </c>
      <c r="D15" s="12">
        <v>154148.00663000002</v>
      </c>
      <c r="E15" s="12">
        <v>31644.291119999994</v>
      </c>
      <c r="F15" s="12">
        <v>93233.179479999992</v>
      </c>
      <c r="G15" s="12">
        <v>11781.338519999999</v>
      </c>
      <c r="H15" s="12">
        <v>411814.45707</v>
      </c>
    </row>
    <row r="16" spans="1:10" x14ac:dyDescent="0.3">
      <c r="A16" s="11" t="s">
        <v>16</v>
      </c>
      <c r="B16" s="12"/>
      <c r="C16" s="12"/>
      <c r="D16" s="12">
        <v>51310.244619999998</v>
      </c>
      <c r="E16" s="12">
        <v>31644.291119999994</v>
      </c>
      <c r="F16" s="12"/>
      <c r="G16" s="12"/>
      <c r="H16" s="12">
        <v>82954.535739999992</v>
      </c>
    </row>
    <row r="17" spans="1:8" x14ac:dyDescent="0.3">
      <c r="A17" s="11" t="s">
        <v>52</v>
      </c>
      <c r="B17" s="12">
        <v>4565.2551400000002</v>
      </c>
      <c r="C17" s="12">
        <v>62939.472569999998</v>
      </c>
      <c r="D17" s="12">
        <v>19527.59952</v>
      </c>
      <c r="E17" s="12"/>
      <c r="F17" s="12">
        <v>53384.356480000002</v>
      </c>
      <c r="G17" s="12"/>
      <c r="H17" s="12">
        <v>140416.68371000001</v>
      </c>
    </row>
    <row r="18" spans="1:8" x14ac:dyDescent="0.3">
      <c r="A18" s="11" t="s">
        <v>45</v>
      </c>
      <c r="B18" s="12">
        <v>346.46290000000005</v>
      </c>
      <c r="C18" s="12"/>
      <c r="D18" s="12">
        <v>7038.4882499999994</v>
      </c>
      <c r="E18" s="12"/>
      <c r="F18" s="12">
        <v>39848.822999999997</v>
      </c>
      <c r="G18" s="12"/>
      <c r="H18" s="12">
        <v>47233.774149999997</v>
      </c>
    </row>
    <row r="19" spans="1:8" x14ac:dyDescent="0.3">
      <c r="A19" s="11" t="s">
        <v>78</v>
      </c>
      <c r="B19" s="12">
        <v>26958.519419999997</v>
      </c>
      <c r="C19" s="12">
        <v>26197.93129</v>
      </c>
      <c r="D19" s="12">
        <v>76271.674240000008</v>
      </c>
      <c r="E19" s="12"/>
      <c r="F19" s="12"/>
      <c r="G19" s="12">
        <v>11781.338519999999</v>
      </c>
      <c r="H19" s="12">
        <v>141209.46346999999</v>
      </c>
    </row>
    <row r="20" spans="1:8" x14ac:dyDescent="0.3">
      <c r="A20" s="10" t="s">
        <v>1377</v>
      </c>
      <c r="B20" s="12">
        <v>206223.34143</v>
      </c>
      <c r="C20" s="12">
        <v>203846.14765</v>
      </c>
      <c r="D20" s="12">
        <v>303022.39079000003</v>
      </c>
      <c r="E20" s="12">
        <v>46014.891119999993</v>
      </c>
      <c r="F20" s="12">
        <v>188178.13158000002</v>
      </c>
      <c r="G20" s="12">
        <v>95774.880519999992</v>
      </c>
      <c r="H20" s="12">
        <v>1043059.7830899999</v>
      </c>
    </row>
    <row r="22" spans="1:8" x14ac:dyDescent="0.3">
      <c r="B22" t="s">
        <v>3</v>
      </c>
      <c r="C22" t="s">
        <v>98</v>
      </c>
      <c r="D22" t="s">
        <v>55</v>
      </c>
      <c r="E22" t="s">
        <v>1431</v>
      </c>
      <c r="F22" t="s">
        <v>28</v>
      </c>
      <c r="G22" t="s">
        <v>20</v>
      </c>
    </row>
    <row r="23" spans="1:8" x14ac:dyDescent="0.3">
      <c r="B23" t="s">
        <v>16</v>
      </c>
    </row>
    <row r="24" spans="1:8" x14ac:dyDescent="0.3">
      <c r="B24" t="s">
        <v>52</v>
      </c>
    </row>
    <row r="25" spans="1:8" x14ac:dyDescent="0.3">
      <c r="B25" t="s">
        <v>45</v>
      </c>
    </row>
    <row r="26" spans="1:8" x14ac:dyDescent="0.3">
      <c r="B26" t="s">
        <v>78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691C4-A1AD-44F2-859E-0288D66B2227}">
  <dimension ref="A1:W633"/>
  <sheetViews>
    <sheetView topLeftCell="V1" workbookViewId="0">
      <selection activeCell="T1" sqref="T1"/>
    </sheetView>
  </sheetViews>
  <sheetFormatPr defaultRowHeight="14.4" x14ac:dyDescent="0.3"/>
  <cols>
    <col min="1" max="1" width="16.109375" bestFit="1" customWidth="1"/>
    <col min="2" max="2" width="11.5546875" style="7" customWidth="1"/>
    <col min="3" max="3" width="14.33203125" customWidth="1"/>
    <col min="4" max="4" width="15" style="4" customWidth="1"/>
    <col min="5" max="6" width="14.44140625" style="4" customWidth="1"/>
    <col min="7" max="7" width="8.6640625" customWidth="1"/>
    <col min="8" max="8" width="14" bestFit="1" customWidth="1"/>
    <col min="9" max="9" width="12.44140625" bestFit="1" customWidth="1"/>
    <col min="10" max="10" width="18.44140625" customWidth="1"/>
    <col min="11" max="11" width="11.21875" bestFit="1" customWidth="1"/>
    <col min="12" max="12" width="12.88671875" customWidth="1"/>
    <col min="13" max="13" width="17.109375" customWidth="1"/>
    <col min="14" max="14" width="10" bestFit="1" customWidth="1"/>
    <col min="15" max="15" width="10.109375" style="4" customWidth="1"/>
    <col min="16" max="16" width="11.77734375" style="4" customWidth="1"/>
    <col min="17" max="17" width="10.5546875" style="4" customWidth="1"/>
    <col min="18" max="18" width="12.88671875" style="4" customWidth="1"/>
    <col min="19" max="19" width="10.21875" style="4" customWidth="1"/>
    <col min="20" max="20" width="15.21875" customWidth="1"/>
    <col min="21" max="21" width="14.5546875" customWidth="1"/>
    <col min="22" max="22" width="12.5546875" customWidth="1"/>
    <col min="23" max="23" width="18.77734375" customWidth="1"/>
  </cols>
  <sheetData>
    <row r="1" spans="1:23" x14ac:dyDescent="0.3">
      <c r="A1" s="33" t="s">
        <v>0</v>
      </c>
      <c r="B1" s="34" t="s">
        <v>1</v>
      </c>
      <c r="C1" s="33" t="s">
        <v>2</v>
      </c>
      <c r="D1" s="35" t="s">
        <v>1365</v>
      </c>
      <c r="E1" s="35" t="s">
        <v>1371</v>
      </c>
      <c r="F1" s="35" t="s">
        <v>1370</v>
      </c>
      <c r="G1" s="33" t="s">
        <v>3</v>
      </c>
      <c r="H1" s="33" t="s">
        <v>4</v>
      </c>
      <c r="I1" s="33" t="s">
        <v>5</v>
      </c>
      <c r="J1" s="33" t="s">
        <v>6</v>
      </c>
      <c r="K1" s="33" t="s">
        <v>7</v>
      </c>
      <c r="L1" s="33" t="s">
        <v>8</v>
      </c>
      <c r="M1" s="33" t="s">
        <v>9</v>
      </c>
      <c r="N1" s="33" t="s">
        <v>10</v>
      </c>
      <c r="O1" s="35" t="s">
        <v>11</v>
      </c>
      <c r="P1" s="35" t="s">
        <v>1375</v>
      </c>
      <c r="Q1" s="35" t="s">
        <v>12</v>
      </c>
      <c r="R1" s="35" t="s">
        <v>13</v>
      </c>
      <c r="S1" s="35" t="s">
        <v>14</v>
      </c>
      <c r="T1" s="36" t="s">
        <v>1366</v>
      </c>
      <c r="U1" s="36" t="s">
        <v>1367</v>
      </c>
      <c r="V1" s="36" t="s">
        <v>1368</v>
      </c>
      <c r="W1" s="36" t="s">
        <v>1369</v>
      </c>
    </row>
    <row r="2" spans="1:23" x14ac:dyDescent="0.3">
      <c r="A2" t="s">
        <v>15</v>
      </c>
      <c r="B2" s="7">
        <v>45362</v>
      </c>
      <c r="C2" s="2">
        <v>45388</v>
      </c>
      <c r="D2" s="4">
        <f>DATEDIF(B2,C2, "MD")</f>
        <v>26</v>
      </c>
      <c r="E2" s="4" t="str">
        <f>TEXT(Data!B2,"MMM-YYYY")</f>
        <v>Oct-2024</v>
      </c>
      <c r="F2" s="4" t="str">
        <f>"Q"&amp;ROUNDUP(MONTH(B2)/3,0)&amp;"-"&amp;YEAR(B2)</f>
        <v>Q1-2024</v>
      </c>
      <c r="G2" t="s">
        <v>16</v>
      </c>
      <c r="H2" t="s">
        <v>17</v>
      </c>
      <c r="I2" t="s">
        <v>18</v>
      </c>
      <c r="J2" t="s">
        <v>19</v>
      </c>
      <c r="K2" t="s">
        <v>20</v>
      </c>
      <c r="L2" t="s">
        <v>21</v>
      </c>
      <c r="M2" t="s">
        <v>22</v>
      </c>
      <c r="N2" t="s">
        <v>23</v>
      </c>
      <c r="O2" s="4">
        <v>279.24</v>
      </c>
      <c r="P2" s="8" t="str">
        <f>IF(Q2&lt;50, "Low", IF(Q2&lt;200, "Medium", "High"))</f>
        <v>High</v>
      </c>
      <c r="Q2" s="4">
        <v>608.9</v>
      </c>
      <c r="R2" s="4">
        <v>0.112</v>
      </c>
      <c r="S2" s="4">
        <v>9</v>
      </c>
      <c r="T2" s="4">
        <f>(Q28*S2)*(1-R2)</f>
        <v>1403.9546399999999</v>
      </c>
      <c r="U2">
        <f t="shared" ref="U2:U65" si="0">(O2*S2)</f>
        <v>2513.16</v>
      </c>
      <c r="V2" s="4">
        <f>(T2-U2)</f>
        <v>-1109.2053599999999</v>
      </c>
      <c r="W2" s="4">
        <f>IF(T2=0, 0, V2/T2)</f>
        <v>-0.79005783263766982</v>
      </c>
    </row>
    <row r="3" spans="1:23" x14ac:dyDescent="0.3">
      <c r="A3" t="s">
        <v>24</v>
      </c>
      <c r="B3" s="7">
        <v>45588</v>
      </c>
      <c r="C3" s="2">
        <v>45587</v>
      </c>
      <c r="D3" s="4">
        <f>DATEDIF(C3, B3, "MD")</f>
        <v>1</v>
      </c>
      <c r="E3" s="4" t="str">
        <f>TEXT(Data!B3,"MMM-YYYY")</f>
        <v>Feb-2023</v>
      </c>
      <c r="F3" s="4" t="str">
        <f t="shared" ref="F3:F66" si="1">"Q"&amp;ROUNDUP(MONTH(B3)/3,0)&amp;"-"&amp;YEAR(B3)</f>
        <v>Q4-2024</v>
      </c>
      <c r="G3" t="s">
        <v>16</v>
      </c>
      <c r="H3" t="s">
        <v>25</v>
      </c>
      <c r="I3" t="s">
        <v>26</v>
      </c>
      <c r="J3" t="s">
        <v>27</v>
      </c>
      <c r="K3" t="s">
        <v>28</v>
      </c>
      <c r="L3" t="s">
        <v>29</v>
      </c>
      <c r="M3" t="s">
        <v>30</v>
      </c>
      <c r="N3" t="s">
        <v>31</v>
      </c>
      <c r="O3" s="4">
        <v>1084.3900000000001</v>
      </c>
      <c r="P3" s="8" t="str">
        <f t="shared" ref="P3:P66" si="2">IF(Q3&lt;50, "Low", IF(Q3&lt;200, "Medium", "High"))</f>
        <v>High</v>
      </c>
      <c r="Q3" s="4">
        <v>759.33</v>
      </c>
      <c r="R3" s="4">
        <v>0.23699999999999999</v>
      </c>
      <c r="S3" s="4">
        <v>31</v>
      </c>
      <c r="T3" s="4">
        <f t="shared" ref="T3:T65" si="3">(Q29*S3)*(1-R3)</f>
        <v>17934.41419</v>
      </c>
      <c r="U3">
        <f t="shared" si="0"/>
        <v>33616.090000000004</v>
      </c>
      <c r="V3" s="4">
        <f t="shared" ref="V3:V66" si="4">(T3-U3)</f>
        <v>-15681.675810000004</v>
      </c>
      <c r="W3" s="4">
        <f t="shared" ref="W3:W66" si="5">IF(T3=0, 0, V3/T3)</f>
        <v>-0.87439018882166253</v>
      </c>
    </row>
    <row r="4" spans="1:23" x14ac:dyDescent="0.3">
      <c r="A4" t="s">
        <v>32</v>
      </c>
      <c r="B4" s="7">
        <v>44985</v>
      </c>
      <c r="C4" s="2">
        <v>45010</v>
      </c>
      <c r="D4" s="4">
        <f t="shared" ref="D4:D67" si="6">DATEDIF(B4,C4, "MD")</f>
        <v>25</v>
      </c>
      <c r="E4" s="4" t="str">
        <f>TEXT(Data!B4,"MMM-YYYY")</f>
        <v>Mar-2025</v>
      </c>
      <c r="F4" s="4" t="str">
        <f t="shared" si="1"/>
        <v>Q1-2023</v>
      </c>
      <c r="G4" t="s">
        <v>16</v>
      </c>
      <c r="H4" t="s">
        <v>17</v>
      </c>
      <c r="I4" t="s">
        <v>33</v>
      </c>
      <c r="J4" t="s">
        <v>19</v>
      </c>
      <c r="K4" t="s">
        <v>20</v>
      </c>
      <c r="L4" t="s">
        <v>34</v>
      </c>
      <c r="M4" t="s">
        <v>35</v>
      </c>
      <c r="N4" t="s">
        <v>36</v>
      </c>
      <c r="O4" s="4">
        <v>1460.76</v>
      </c>
      <c r="P4" s="8" t="str">
        <f t="shared" si="2"/>
        <v>Low</v>
      </c>
      <c r="Q4" s="4">
        <v>-30.66</v>
      </c>
      <c r="R4" s="4">
        <v>0.13100000000000001</v>
      </c>
      <c r="S4" s="4">
        <v>12</v>
      </c>
      <c r="T4" s="4">
        <f t="shared" si="3"/>
        <v>4534.0944</v>
      </c>
      <c r="U4">
        <f t="shared" si="0"/>
        <v>17529.12</v>
      </c>
      <c r="V4" s="4">
        <f t="shared" si="4"/>
        <v>-12995.025599999999</v>
      </c>
      <c r="W4" s="4">
        <f t="shared" si="5"/>
        <v>-2.8660686023652264</v>
      </c>
    </row>
    <row r="5" spans="1:23" x14ac:dyDescent="0.3">
      <c r="A5" t="s">
        <v>37</v>
      </c>
      <c r="B5" s="7">
        <v>45745</v>
      </c>
      <c r="C5" s="2">
        <v>45749</v>
      </c>
      <c r="D5" s="4">
        <f t="shared" si="6"/>
        <v>4</v>
      </c>
      <c r="E5" s="4" t="str">
        <f>TEXT(Data!B5,"MMM-YYYY")</f>
        <v>Dec-2023</v>
      </c>
      <c r="F5" s="4" t="str">
        <f t="shared" si="1"/>
        <v>Q1-2025</v>
      </c>
      <c r="G5" t="s">
        <v>16</v>
      </c>
      <c r="H5" t="s">
        <v>25</v>
      </c>
      <c r="I5" t="s">
        <v>38</v>
      </c>
      <c r="J5" t="s">
        <v>39</v>
      </c>
      <c r="K5" t="s">
        <v>40</v>
      </c>
      <c r="L5" t="s">
        <v>41</v>
      </c>
      <c r="M5" t="s">
        <v>42</v>
      </c>
      <c r="N5" t="s">
        <v>43</v>
      </c>
      <c r="O5" s="4">
        <v>259.93</v>
      </c>
      <c r="P5" s="8" t="str">
        <f t="shared" si="2"/>
        <v>High</v>
      </c>
      <c r="Q5" s="4">
        <v>255.94</v>
      </c>
      <c r="R5" s="4">
        <v>7.1999999999999995E-2</v>
      </c>
      <c r="S5" s="4">
        <v>22</v>
      </c>
      <c r="T5" s="4">
        <f t="shared" si="3"/>
        <v>34016.730880000003</v>
      </c>
      <c r="U5">
        <f t="shared" si="0"/>
        <v>5718.46</v>
      </c>
      <c r="V5" s="4">
        <f t="shared" si="4"/>
        <v>28298.270880000004</v>
      </c>
      <c r="W5" s="4">
        <f t="shared" si="5"/>
        <v>0.83189272301994943</v>
      </c>
    </row>
    <row r="6" spans="1:23" x14ac:dyDescent="0.3">
      <c r="A6" t="s">
        <v>44</v>
      </c>
      <c r="B6" s="7">
        <v>45266</v>
      </c>
      <c r="C6" s="2">
        <v>45291</v>
      </c>
      <c r="D6" s="4">
        <f t="shared" si="6"/>
        <v>25</v>
      </c>
      <c r="E6" s="4" t="str">
        <f>TEXT(Data!B6,"MMM-YYYY")</f>
        <v>Jan-2023</v>
      </c>
      <c r="F6" s="4" t="str">
        <f t="shared" si="1"/>
        <v>Q4-2023</v>
      </c>
      <c r="G6" t="s">
        <v>45</v>
      </c>
      <c r="H6" t="s">
        <v>46</v>
      </c>
      <c r="I6" t="s">
        <v>47</v>
      </c>
      <c r="J6" t="s">
        <v>48</v>
      </c>
      <c r="K6" t="s">
        <v>20</v>
      </c>
      <c r="L6" t="s">
        <v>49</v>
      </c>
      <c r="M6" t="s">
        <v>30</v>
      </c>
      <c r="N6" t="s">
        <v>50</v>
      </c>
      <c r="O6" s="4">
        <v>663.03</v>
      </c>
      <c r="P6" s="8" t="str">
        <f t="shared" si="2"/>
        <v>High</v>
      </c>
      <c r="Q6" s="4">
        <v>813.51</v>
      </c>
      <c r="R6" s="4">
        <v>0.10199999999999999</v>
      </c>
      <c r="S6" s="4">
        <v>15</v>
      </c>
      <c r="T6" s="4">
        <f t="shared" si="3"/>
        <v>8510.0765999999985</v>
      </c>
      <c r="U6">
        <f t="shared" si="0"/>
        <v>9945.4499999999989</v>
      </c>
      <c r="V6" s="4">
        <f t="shared" si="4"/>
        <v>-1435.3734000000004</v>
      </c>
      <c r="W6" s="4">
        <f t="shared" si="5"/>
        <v>-0.16866750647109341</v>
      </c>
    </row>
    <row r="7" spans="1:23" x14ac:dyDescent="0.3">
      <c r="A7" t="s">
        <v>51</v>
      </c>
      <c r="B7" s="7">
        <v>44928</v>
      </c>
      <c r="C7" s="2">
        <v>44931</v>
      </c>
      <c r="D7" s="4">
        <f t="shared" si="6"/>
        <v>3</v>
      </c>
      <c r="E7" s="4" t="str">
        <f>TEXT(Data!B7,"MMM-YYYY")</f>
        <v>Dec-2024</v>
      </c>
      <c r="F7" s="4" t="str">
        <f t="shared" si="1"/>
        <v>Q1-2023</v>
      </c>
      <c r="G7" t="s">
        <v>52</v>
      </c>
      <c r="H7" t="s">
        <v>53</v>
      </c>
      <c r="I7" t="s">
        <v>54</v>
      </c>
      <c r="J7" t="s">
        <v>19</v>
      </c>
      <c r="K7" t="s">
        <v>55</v>
      </c>
      <c r="L7" t="s">
        <v>56</v>
      </c>
      <c r="M7" t="s">
        <v>57</v>
      </c>
      <c r="N7" t="s">
        <v>58</v>
      </c>
      <c r="O7" s="4">
        <v>315.87</v>
      </c>
      <c r="P7" s="8" t="str">
        <f t="shared" si="2"/>
        <v>High</v>
      </c>
      <c r="Q7" s="4">
        <v>591.67999999999995</v>
      </c>
      <c r="R7" s="4">
        <v>0</v>
      </c>
      <c r="S7" s="4">
        <v>7</v>
      </c>
      <c r="T7" s="4">
        <f t="shared" si="3"/>
        <v>12558.49</v>
      </c>
      <c r="U7">
        <f t="shared" si="0"/>
        <v>2211.09</v>
      </c>
      <c r="V7" s="4">
        <f t="shared" si="4"/>
        <v>10347.4</v>
      </c>
      <c r="W7" s="4">
        <f t="shared" si="5"/>
        <v>0.82393663569425946</v>
      </c>
    </row>
    <row r="8" spans="1:23" x14ac:dyDescent="0.3">
      <c r="A8" t="s">
        <v>59</v>
      </c>
      <c r="B8" s="7">
        <v>45653</v>
      </c>
      <c r="C8" s="2">
        <v>45671</v>
      </c>
      <c r="D8" s="4">
        <f t="shared" si="6"/>
        <v>18</v>
      </c>
      <c r="E8" s="4" t="str">
        <f>TEXT(Data!B8,"MMM-YYYY")</f>
        <v>Jan-2023</v>
      </c>
      <c r="F8" s="4" t="str">
        <f t="shared" si="1"/>
        <v>Q4-2024</v>
      </c>
      <c r="G8" t="s">
        <v>45</v>
      </c>
      <c r="H8" t="s">
        <v>60</v>
      </c>
      <c r="I8" t="s">
        <v>61</v>
      </c>
      <c r="J8" t="s">
        <v>62</v>
      </c>
      <c r="K8" t="s">
        <v>40</v>
      </c>
      <c r="L8" t="s">
        <v>63</v>
      </c>
      <c r="M8" t="s">
        <v>64</v>
      </c>
      <c r="N8" t="s">
        <v>65</v>
      </c>
      <c r="O8" s="4">
        <v>586.07000000000005</v>
      </c>
      <c r="P8" s="8" t="str">
        <f t="shared" si="2"/>
        <v>High</v>
      </c>
      <c r="Q8" s="4">
        <v>845.97</v>
      </c>
      <c r="R8" s="4">
        <v>0.14699999999999999</v>
      </c>
      <c r="S8" s="4">
        <v>4</v>
      </c>
      <c r="T8" s="4">
        <f t="shared" si="3"/>
        <v>8983.864239999999</v>
      </c>
      <c r="U8">
        <f t="shared" si="0"/>
        <v>2344.2800000000002</v>
      </c>
      <c r="V8" s="4">
        <f t="shared" si="4"/>
        <v>6639.5842399999983</v>
      </c>
      <c r="W8" s="4">
        <f t="shared" si="5"/>
        <v>0.73905660889639613</v>
      </c>
    </row>
    <row r="9" spans="1:23" x14ac:dyDescent="0.3">
      <c r="A9" t="s">
        <v>66</v>
      </c>
      <c r="B9" s="7">
        <v>44941</v>
      </c>
      <c r="C9" s="2">
        <v>44939</v>
      </c>
      <c r="D9" s="4">
        <f>DATEDIF(C9,B9, "MD")</f>
        <v>2</v>
      </c>
      <c r="E9" s="4" t="str">
        <f>TEXT(Data!B9,"MMM-YYYY")</f>
        <v>May-2024</v>
      </c>
      <c r="F9" s="4" t="str">
        <f t="shared" si="1"/>
        <v>Q1-2023</v>
      </c>
      <c r="G9" t="s">
        <v>16</v>
      </c>
      <c r="H9" t="s">
        <v>25</v>
      </c>
      <c r="I9" t="s">
        <v>67</v>
      </c>
      <c r="J9" t="s">
        <v>27</v>
      </c>
      <c r="K9" t="s">
        <v>28</v>
      </c>
      <c r="L9" t="s">
        <v>68</v>
      </c>
      <c r="M9" t="s">
        <v>30</v>
      </c>
      <c r="N9" t="s">
        <v>69</v>
      </c>
      <c r="O9" s="4">
        <v>28.38</v>
      </c>
      <c r="P9" s="8" t="str">
        <f t="shared" si="2"/>
        <v>Low</v>
      </c>
      <c r="Q9" s="4">
        <v>47.22</v>
      </c>
      <c r="R9" s="4">
        <v>0.19400000000000001</v>
      </c>
      <c r="S9" s="4">
        <v>18</v>
      </c>
      <c r="T9" s="4">
        <f t="shared" si="3"/>
        <v>19177.399799999999</v>
      </c>
      <c r="U9">
        <f t="shared" si="0"/>
        <v>510.84</v>
      </c>
      <c r="V9" s="4">
        <f t="shared" si="4"/>
        <v>18666.559799999999</v>
      </c>
      <c r="W9" s="4">
        <f t="shared" si="5"/>
        <v>0.97336239504168864</v>
      </c>
    </row>
    <row r="10" spans="1:23" x14ac:dyDescent="0.3">
      <c r="A10" t="s">
        <v>70</v>
      </c>
      <c r="B10" s="7">
        <v>45416</v>
      </c>
      <c r="C10" s="2">
        <v>45441</v>
      </c>
      <c r="D10" s="4">
        <f t="shared" si="6"/>
        <v>25</v>
      </c>
      <c r="E10" s="4" t="str">
        <f>TEXT(Data!B10,"MMM-YYYY")</f>
        <v>May-2025</v>
      </c>
      <c r="F10" s="4" t="str">
        <f t="shared" si="1"/>
        <v>Q2-2024</v>
      </c>
      <c r="G10" t="s">
        <v>16</v>
      </c>
      <c r="H10" t="s">
        <v>25</v>
      </c>
      <c r="I10" t="s">
        <v>67</v>
      </c>
      <c r="J10" t="s">
        <v>39</v>
      </c>
      <c r="K10" t="s">
        <v>40</v>
      </c>
      <c r="L10" t="s">
        <v>68</v>
      </c>
      <c r="M10" t="s">
        <v>64</v>
      </c>
      <c r="N10" t="s">
        <v>71</v>
      </c>
      <c r="O10" s="4">
        <v>1295.3399999999999</v>
      </c>
      <c r="P10" s="8" t="str">
        <f t="shared" si="2"/>
        <v>High</v>
      </c>
      <c r="Q10" s="4">
        <v>2530.81</v>
      </c>
      <c r="R10" s="4">
        <v>3.1E-2</v>
      </c>
      <c r="S10" s="4">
        <v>6</v>
      </c>
      <c r="T10" s="4">
        <f t="shared" si="3"/>
        <v>17656.36218</v>
      </c>
      <c r="U10">
        <f t="shared" si="0"/>
        <v>7772.0399999999991</v>
      </c>
      <c r="V10" s="4">
        <f t="shared" si="4"/>
        <v>9884.322180000001</v>
      </c>
      <c r="W10" s="4">
        <f t="shared" si="5"/>
        <v>0.55981646044825306</v>
      </c>
    </row>
    <row r="11" spans="1:23" x14ac:dyDescent="0.3">
      <c r="A11" t="s">
        <v>72</v>
      </c>
      <c r="B11" s="7">
        <v>45798</v>
      </c>
      <c r="C11" s="2">
        <v>45817</v>
      </c>
      <c r="D11" s="4">
        <f t="shared" si="6"/>
        <v>19</v>
      </c>
      <c r="E11" s="4" t="str">
        <f>TEXT(Data!B11,"MMM-YYYY")</f>
        <v>Jan-2024</v>
      </c>
      <c r="F11" s="4" t="str">
        <f t="shared" si="1"/>
        <v>Q2-2025</v>
      </c>
      <c r="G11" t="s">
        <v>52</v>
      </c>
      <c r="H11" t="s">
        <v>73</v>
      </c>
      <c r="I11" t="s">
        <v>74</v>
      </c>
      <c r="J11" t="s">
        <v>39</v>
      </c>
      <c r="K11" t="s">
        <v>28</v>
      </c>
      <c r="L11" t="s">
        <v>75</v>
      </c>
      <c r="M11" t="s">
        <v>22</v>
      </c>
      <c r="N11" t="s">
        <v>76</v>
      </c>
      <c r="O11" s="4">
        <v>1331.38</v>
      </c>
      <c r="P11" s="8" t="str">
        <f t="shared" si="2"/>
        <v>High</v>
      </c>
      <c r="Q11" s="4">
        <v>2309.56</v>
      </c>
      <c r="R11" s="4">
        <v>0.14899999999999999</v>
      </c>
      <c r="S11" s="4">
        <v>31</v>
      </c>
      <c r="T11" s="4">
        <f t="shared" si="3"/>
        <v>5259.5799699999998</v>
      </c>
      <c r="U11">
        <f t="shared" si="0"/>
        <v>41272.780000000006</v>
      </c>
      <c r="V11" s="4">
        <f t="shared" si="4"/>
        <v>-36013.200030000007</v>
      </c>
      <c r="W11" s="4">
        <f t="shared" si="5"/>
        <v>-6.8471627459635354</v>
      </c>
    </row>
    <row r="12" spans="1:23" x14ac:dyDescent="0.3">
      <c r="A12" t="s">
        <v>77</v>
      </c>
      <c r="B12" s="7">
        <v>45319</v>
      </c>
      <c r="C12" s="2">
        <v>45331</v>
      </c>
      <c r="D12" s="4">
        <f t="shared" si="6"/>
        <v>12</v>
      </c>
      <c r="E12" s="4" t="str">
        <f>TEXT(Data!B12,"MMM-YYYY")</f>
        <v>Jan-2025</v>
      </c>
      <c r="F12" s="4" t="str">
        <f t="shared" si="1"/>
        <v>Q1-2024</v>
      </c>
      <c r="G12" t="s">
        <v>78</v>
      </c>
      <c r="H12" t="s">
        <v>79</v>
      </c>
      <c r="I12" t="s">
        <v>80</v>
      </c>
      <c r="J12" t="s">
        <v>19</v>
      </c>
      <c r="K12" t="s">
        <v>28</v>
      </c>
      <c r="L12" t="s">
        <v>41</v>
      </c>
      <c r="M12" t="s">
        <v>81</v>
      </c>
      <c r="N12" t="s">
        <v>82</v>
      </c>
      <c r="O12" s="4">
        <v>644.16999999999996</v>
      </c>
      <c r="P12" s="8" t="str">
        <f t="shared" si="2"/>
        <v>High</v>
      </c>
      <c r="Q12" s="4">
        <v>700.12</v>
      </c>
      <c r="R12" s="4">
        <v>6.0000000000000001E-3</v>
      </c>
      <c r="S12" s="4">
        <v>23</v>
      </c>
      <c r="T12" s="4">
        <f t="shared" si="3"/>
        <v>21204.733619999999</v>
      </c>
      <c r="U12">
        <f t="shared" si="0"/>
        <v>14815.91</v>
      </c>
      <c r="V12" s="4">
        <f t="shared" si="4"/>
        <v>6388.8236199999992</v>
      </c>
      <c r="W12" s="4">
        <f t="shared" si="5"/>
        <v>0.30129233097152197</v>
      </c>
    </row>
    <row r="13" spans="1:23" x14ac:dyDescent="0.3">
      <c r="A13" t="s">
        <v>83</v>
      </c>
      <c r="B13" s="7">
        <v>45660</v>
      </c>
      <c r="C13" s="2">
        <v>45680</v>
      </c>
      <c r="D13" s="4">
        <f t="shared" si="6"/>
        <v>20</v>
      </c>
      <c r="E13" s="4" t="str">
        <f>TEXT(Data!B13,"MMM-YYYY")</f>
        <v>Mar-2025</v>
      </c>
      <c r="F13" s="4" t="str">
        <f t="shared" si="1"/>
        <v>Q1-2025</v>
      </c>
      <c r="G13" t="s">
        <v>45</v>
      </c>
      <c r="H13" t="s">
        <v>46</v>
      </c>
      <c r="I13" t="s">
        <v>47</v>
      </c>
      <c r="J13" t="s">
        <v>19</v>
      </c>
      <c r="K13" t="s">
        <v>55</v>
      </c>
      <c r="L13" t="s">
        <v>84</v>
      </c>
      <c r="M13" t="s">
        <v>42</v>
      </c>
      <c r="N13" t="s">
        <v>85</v>
      </c>
      <c r="O13" s="4">
        <v>908.6</v>
      </c>
      <c r="P13" s="8" t="str">
        <f t="shared" si="2"/>
        <v>High</v>
      </c>
      <c r="Q13" s="4">
        <v>691.37</v>
      </c>
      <c r="R13" s="4">
        <v>0.25</v>
      </c>
      <c r="S13" s="4">
        <v>20</v>
      </c>
      <c r="T13" s="4">
        <f t="shared" si="3"/>
        <v>26031.15</v>
      </c>
      <c r="U13">
        <f t="shared" si="0"/>
        <v>18172</v>
      </c>
      <c r="V13" s="4">
        <f t="shared" si="4"/>
        <v>7859.1500000000015</v>
      </c>
      <c r="W13" s="4">
        <f t="shared" si="5"/>
        <v>0.30191328466087747</v>
      </c>
    </row>
    <row r="14" spans="1:23" x14ac:dyDescent="0.3">
      <c r="A14" t="s">
        <v>86</v>
      </c>
      <c r="B14" s="7">
        <v>45722</v>
      </c>
      <c r="C14" s="2">
        <v>45747</v>
      </c>
      <c r="D14" s="4">
        <f t="shared" si="6"/>
        <v>25</v>
      </c>
      <c r="E14" s="4" t="str">
        <f>TEXT(Data!B14,"MMM-YYYY")</f>
        <v>Jan-2024</v>
      </c>
      <c r="F14" s="4" t="str">
        <f t="shared" si="1"/>
        <v>Q1-2025</v>
      </c>
      <c r="G14" t="s">
        <v>52</v>
      </c>
      <c r="H14" t="s">
        <v>73</v>
      </c>
      <c r="I14" t="s">
        <v>87</v>
      </c>
      <c r="J14" t="s">
        <v>39</v>
      </c>
      <c r="K14" t="s">
        <v>28</v>
      </c>
      <c r="L14" t="s">
        <v>29</v>
      </c>
      <c r="M14" t="s">
        <v>22</v>
      </c>
      <c r="N14" t="s">
        <v>88</v>
      </c>
      <c r="O14" s="4">
        <v>331.57</v>
      </c>
      <c r="P14" s="8" t="str">
        <f t="shared" si="2"/>
        <v>High</v>
      </c>
      <c r="Q14" s="4">
        <v>548.4</v>
      </c>
      <c r="R14" s="4">
        <v>9.4E-2</v>
      </c>
      <c r="S14" s="4">
        <v>10</v>
      </c>
      <c r="T14" s="4">
        <f t="shared" si="3"/>
        <v>12644.498400000002</v>
      </c>
      <c r="U14">
        <f t="shared" si="0"/>
        <v>3315.7</v>
      </c>
      <c r="V14" s="4">
        <f t="shared" si="4"/>
        <v>9328.7984000000033</v>
      </c>
      <c r="W14" s="4">
        <f t="shared" si="5"/>
        <v>0.73777528415045723</v>
      </c>
    </row>
    <row r="15" spans="1:23" x14ac:dyDescent="0.3">
      <c r="A15" t="s">
        <v>89</v>
      </c>
      <c r="B15" s="7">
        <v>45311</v>
      </c>
      <c r="C15" s="2">
        <v>45335</v>
      </c>
      <c r="D15" s="4">
        <f t="shared" si="6"/>
        <v>24</v>
      </c>
      <c r="E15" s="4" t="str">
        <f>TEXT(Data!B15,"MMM-YYYY")</f>
        <v>Sept-2025</v>
      </c>
      <c r="F15" s="4" t="str">
        <f t="shared" si="1"/>
        <v>Q1-2024</v>
      </c>
      <c r="G15" t="s">
        <v>78</v>
      </c>
      <c r="H15" t="s">
        <v>90</v>
      </c>
      <c r="I15" t="s">
        <v>91</v>
      </c>
      <c r="J15" t="s">
        <v>19</v>
      </c>
      <c r="K15" t="s">
        <v>20</v>
      </c>
      <c r="L15" t="s">
        <v>92</v>
      </c>
      <c r="M15" t="s">
        <v>30</v>
      </c>
      <c r="N15" t="s">
        <v>93</v>
      </c>
      <c r="O15" s="4">
        <v>643.53</v>
      </c>
      <c r="P15" s="8" t="str">
        <f t="shared" si="2"/>
        <v>High</v>
      </c>
      <c r="Q15" s="4">
        <v>1439.01</v>
      </c>
      <c r="R15" s="4">
        <v>0</v>
      </c>
      <c r="S15" s="4">
        <v>15</v>
      </c>
      <c r="T15" s="4">
        <f t="shared" si="3"/>
        <v>6816.3</v>
      </c>
      <c r="U15">
        <f t="shared" si="0"/>
        <v>9652.9499999999989</v>
      </c>
      <c r="V15" s="4">
        <f t="shared" si="4"/>
        <v>-2836.6499999999987</v>
      </c>
      <c r="W15" s="4">
        <f t="shared" si="5"/>
        <v>-0.4161568592931647</v>
      </c>
    </row>
    <row r="16" spans="1:23" x14ac:dyDescent="0.3">
      <c r="A16" t="s">
        <v>94</v>
      </c>
      <c r="B16" s="7">
        <v>45901</v>
      </c>
      <c r="C16" s="2">
        <v>45930</v>
      </c>
      <c r="D16" s="4">
        <f t="shared" si="6"/>
        <v>29</v>
      </c>
      <c r="E16" s="4" t="str">
        <f>TEXT(Data!B16,"MMM-YYYY")</f>
        <v>Apr-2023</v>
      </c>
      <c r="F16" s="4" t="str">
        <f t="shared" si="1"/>
        <v>Q3-2025</v>
      </c>
      <c r="G16" t="s">
        <v>52</v>
      </c>
      <c r="H16" t="s">
        <v>73</v>
      </c>
      <c r="I16" t="s">
        <v>87</v>
      </c>
      <c r="J16" t="s">
        <v>27</v>
      </c>
      <c r="K16" t="s">
        <v>20</v>
      </c>
      <c r="L16" t="s">
        <v>95</v>
      </c>
      <c r="M16" t="s">
        <v>81</v>
      </c>
      <c r="N16" t="s">
        <v>96</v>
      </c>
      <c r="O16" s="4">
        <v>780.59</v>
      </c>
      <c r="P16" s="8" t="str">
        <f t="shared" si="2"/>
        <v>High</v>
      </c>
      <c r="Q16" s="4">
        <v>631.57000000000005</v>
      </c>
      <c r="R16" s="4">
        <v>0</v>
      </c>
      <c r="S16" s="4">
        <v>12</v>
      </c>
      <c r="T16" s="4">
        <f t="shared" si="3"/>
        <v>18971.64</v>
      </c>
      <c r="U16">
        <f t="shared" si="0"/>
        <v>9367.08</v>
      </c>
      <c r="V16" s="4">
        <f t="shared" si="4"/>
        <v>9604.56</v>
      </c>
      <c r="W16" s="4">
        <f t="shared" si="5"/>
        <v>0.50625881579030596</v>
      </c>
    </row>
    <row r="17" spans="1:23" x14ac:dyDescent="0.3">
      <c r="A17" t="s">
        <v>97</v>
      </c>
      <c r="B17" s="7">
        <v>45039</v>
      </c>
      <c r="C17" s="2">
        <v>45038</v>
      </c>
      <c r="D17" s="4">
        <f>DATEDIF(C17, B17, "MD")</f>
        <v>1</v>
      </c>
      <c r="E17" s="4" t="str">
        <f>TEXT(Data!B17,"MMM-YYYY")</f>
        <v>Dec-2024</v>
      </c>
      <c r="F17" s="4" t="str">
        <f t="shared" si="1"/>
        <v>Q2-2023</v>
      </c>
      <c r="G17" t="s">
        <v>16</v>
      </c>
      <c r="H17" t="s">
        <v>17</v>
      </c>
      <c r="I17" t="s">
        <v>33</v>
      </c>
      <c r="J17" t="s">
        <v>62</v>
      </c>
      <c r="K17" t="s">
        <v>98</v>
      </c>
      <c r="L17" t="s">
        <v>63</v>
      </c>
      <c r="M17" t="s">
        <v>57</v>
      </c>
      <c r="N17" t="s">
        <v>99</v>
      </c>
      <c r="O17" s="4">
        <v>756.51</v>
      </c>
      <c r="P17" s="8" t="str">
        <f t="shared" si="2"/>
        <v>High</v>
      </c>
      <c r="Q17" s="4">
        <v>850.8</v>
      </c>
      <c r="R17" s="4">
        <v>7.3999999999999996E-2</v>
      </c>
      <c r="S17" s="4">
        <v>9</v>
      </c>
      <c r="T17" s="4">
        <f t="shared" si="3"/>
        <v>14666.089860000002</v>
      </c>
      <c r="U17">
        <f t="shared" si="0"/>
        <v>6808.59</v>
      </c>
      <c r="V17" s="4">
        <f t="shared" si="4"/>
        <v>7857.4998600000017</v>
      </c>
      <c r="W17" s="4">
        <f t="shared" si="5"/>
        <v>0.53575969702943038</v>
      </c>
    </row>
    <row r="18" spans="1:23" x14ac:dyDescent="0.3">
      <c r="A18" t="s">
        <v>100</v>
      </c>
      <c r="B18" s="7">
        <v>45636</v>
      </c>
      <c r="C18" s="2">
        <v>45665</v>
      </c>
      <c r="D18" s="4">
        <f t="shared" si="6"/>
        <v>29</v>
      </c>
      <c r="E18" s="4" t="str">
        <f>TEXT(Data!B18,"MMM-YYYY")</f>
        <v>Sept-2025</v>
      </c>
      <c r="F18" s="4" t="str">
        <f t="shared" si="1"/>
        <v>Q4-2024</v>
      </c>
      <c r="G18" t="s">
        <v>78</v>
      </c>
      <c r="H18" t="s">
        <v>90</v>
      </c>
      <c r="I18" t="s">
        <v>91</v>
      </c>
      <c r="J18" t="s">
        <v>62</v>
      </c>
      <c r="K18" t="s">
        <v>20</v>
      </c>
      <c r="L18" t="s">
        <v>95</v>
      </c>
      <c r="M18" t="s">
        <v>30</v>
      </c>
      <c r="N18" t="s">
        <v>101</v>
      </c>
      <c r="O18" s="4">
        <v>891.08</v>
      </c>
      <c r="P18" s="8" t="str">
        <f t="shared" si="2"/>
        <v>High</v>
      </c>
      <c r="Q18" s="4">
        <v>1040.0999999999999</v>
      </c>
      <c r="R18" s="4">
        <v>0.109</v>
      </c>
      <c r="S18" s="4">
        <v>28</v>
      </c>
      <c r="T18" s="4">
        <f t="shared" si="3"/>
        <v>79945.865999999995</v>
      </c>
      <c r="U18">
        <f t="shared" si="0"/>
        <v>24950.240000000002</v>
      </c>
      <c r="V18" s="4">
        <f t="shared" si="4"/>
        <v>54995.625999999989</v>
      </c>
      <c r="W18" s="4">
        <f t="shared" si="5"/>
        <v>0.68791081705212864</v>
      </c>
    </row>
    <row r="19" spans="1:23" x14ac:dyDescent="0.3">
      <c r="A19" t="s">
        <v>102</v>
      </c>
      <c r="B19" s="7">
        <v>45908</v>
      </c>
      <c r="C19" s="2">
        <v>45916</v>
      </c>
      <c r="D19" s="4">
        <f t="shared" si="6"/>
        <v>8</v>
      </c>
      <c r="E19" s="4" t="str">
        <f>TEXT(Data!B19,"MMM-YYYY")</f>
        <v>Jul-2025</v>
      </c>
      <c r="F19" s="4" t="str">
        <f t="shared" si="1"/>
        <v>Q3-2025</v>
      </c>
      <c r="G19" t="s">
        <v>45</v>
      </c>
      <c r="H19" t="s">
        <v>46</v>
      </c>
      <c r="I19" t="s">
        <v>47</v>
      </c>
      <c r="J19" t="s">
        <v>19</v>
      </c>
      <c r="K19" t="s">
        <v>55</v>
      </c>
      <c r="L19" t="s">
        <v>21</v>
      </c>
      <c r="M19" t="s">
        <v>42</v>
      </c>
      <c r="N19" t="s">
        <v>103</v>
      </c>
      <c r="O19" s="4">
        <v>1225.57</v>
      </c>
      <c r="P19" s="8" t="str">
        <f t="shared" si="2"/>
        <v>High</v>
      </c>
      <c r="Q19" s="4">
        <v>2705.57</v>
      </c>
      <c r="R19" s="4">
        <v>0.183</v>
      </c>
      <c r="S19" s="4">
        <v>16</v>
      </c>
      <c r="T19" s="4">
        <f t="shared" si="3"/>
        <v>14842.34096</v>
      </c>
      <c r="U19">
        <f t="shared" si="0"/>
        <v>19609.12</v>
      </c>
      <c r="V19" s="4">
        <f t="shared" si="4"/>
        <v>-4766.7790399999994</v>
      </c>
      <c r="W19" s="4">
        <f t="shared" si="5"/>
        <v>-0.32116086356232038</v>
      </c>
    </row>
    <row r="20" spans="1:23" x14ac:dyDescent="0.3">
      <c r="A20" t="s">
        <v>104</v>
      </c>
      <c r="B20" s="7">
        <v>45858</v>
      </c>
      <c r="C20" s="2">
        <v>45874</v>
      </c>
      <c r="D20" s="4">
        <f t="shared" si="6"/>
        <v>16</v>
      </c>
      <c r="E20" s="4" t="str">
        <f>TEXT(Data!B20,"MMM-YYYY")</f>
        <v>May-2025</v>
      </c>
      <c r="F20" s="4" t="str">
        <f t="shared" si="1"/>
        <v>Q3-2025</v>
      </c>
      <c r="G20" t="s">
        <v>52</v>
      </c>
      <c r="H20" t="s">
        <v>73</v>
      </c>
      <c r="I20" t="s">
        <v>87</v>
      </c>
      <c r="J20" t="s">
        <v>105</v>
      </c>
      <c r="K20" t="s">
        <v>40</v>
      </c>
      <c r="L20" t="s">
        <v>41</v>
      </c>
      <c r="M20" t="s">
        <v>81</v>
      </c>
      <c r="N20" t="s">
        <v>106</v>
      </c>
      <c r="O20" s="4">
        <v>1068.17</v>
      </c>
      <c r="P20" s="8" t="str">
        <f t="shared" si="2"/>
        <v>High</v>
      </c>
      <c r="Q20" s="4">
        <v>2375.37</v>
      </c>
      <c r="R20" s="4">
        <v>0.109</v>
      </c>
      <c r="S20" s="4">
        <v>18</v>
      </c>
      <c r="T20" s="4">
        <f t="shared" si="3"/>
        <v>15979.62168</v>
      </c>
      <c r="U20">
        <f t="shared" si="0"/>
        <v>19227.060000000001</v>
      </c>
      <c r="V20" s="4">
        <f t="shared" si="4"/>
        <v>-3247.4383200000011</v>
      </c>
      <c r="W20" s="4">
        <f t="shared" si="5"/>
        <v>-0.20322372988745258</v>
      </c>
    </row>
    <row r="21" spans="1:23" x14ac:dyDescent="0.3">
      <c r="A21" t="s">
        <v>107</v>
      </c>
      <c r="B21" s="7">
        <v>45798</v>
      </c>
      <c r="C21" s="2">
        <v>45796</v>
      </c>
      <c r="D21" s="4">
        <f>DATEDIF(C21,B21, "MD")</f>
        <v>2</v>
      </c>
      <c r="E21" s="4" t="str">
        <f>TEXT(Data!B21,"MMM-YYYY")</f>
        <v>Jul-2024</v>
      </c>
      <c r="F21" s="4" t="str">
        <f t="shared" si="1"/>
        <v>Q2-2025</v>
      </c>
      <c r="G21" t="s">
        <v>78</v>
      </c>
      <c r="H21" t="s">
        <v>108</v>
      </c>
      <c r="I21" t="s">
        <v>109</v>
      </c>
      <c r="J21" t="s">
        <v>105</v>
      </c>
      <c r="K21" t="s">
        <v>28</v>
      </c>
      <c r="L21" t="s">
        <v>110</v>
      </c>
      <c r="M21" t="s">
        <v>57</v>
      </c>
      <c r="N21" t="s">
        <v>111</v>
      </c>
      <c r="O21" s="4">
        <v>1015.16</v>
      </c>
      <c r="P21" s="8" t="str">
        <f t="shared" si="2"/>
        <v>High</v>
      </c>
      <c r="Q21" s="4">
        <v>2148.14</v>
      </c>
      <c r="R21" s="4">
        <v>3.7999999999999999E-2</v>
      </c>
      <c r="S21" s="4">
        <v>19</v>
      </c>
      <c r="T21" s="4">
        <f t="shared" si="3"/>
        <v>25535.279900000001</v>
      </c>
      <c r="U21">
        <f t="shared" si="0"/>
        <v>19288.04</v>
      </c>
      <c r="V21" s="4">
        <f t="shared" si="4"/>
        <v>6247.2399000000005</v>
      </c>
      <c r="W21" s="4">
        <f t="shared" si="5"/>
        <v>0.24465131866441769</v>
      </c>
    </row>
    <row r="22" spans="1:23" x14ac:dyDescent="0.3">
      <c r="A22" t="s">
        <v>112</v>
      </c>
      <c r="B22" s="7">
        <v>45498</v>
      </c>
      <c r="C22" s="2">
        <v>45497</v>
      </c>
      <c r="D22" s="4">
        <f>DATEDIF(C22,B22, "MD")</f>
        <v>1</v>
      </c>
      <c r="E22" s="4" t="str">
        <f>TEXT(Data!B22,"MMM-YYYY")</f>
        <v>May-2023</v>
      </c>
      <c r="F22" s="4" t="str">
        <f t="shared" si="1"/>
        <v>Q3-2024</v>
      </c>
      <c r="G22" t="s">
        <v>16</v>
      </c>
      <c r="H22" t="s">
        <v>17</v>
      </c>
      <c r="I22" t="s">
        <v>113</v>
      </c>
      <c r="J22" t="s">
        <v>39</v>
      </c>
      <c r="K22" t="s">
        <v>98</v>
      </c>
      <c r="L22" t="s">
        <v>29</v>
      </c>
      <c r="M22" t="s">
        <v>57</v>
      </c>
      <c r="N22" t="s">
        <v>114</v>
      </c>
      <c r="O22" s="4">
        <v>1494.4</v>
      </c>
      <c r="P22" s="8" t="str">
        <f t="shared" si="2"/>
        <v>High</v>
      </c>
      <c r="Q22" s="4">
        <v>3661.07</v>
      </c>
      <c r="R22" s="4">
        <v>7.1999999999999995E-2</v>
      </c>
      <c r="S22" s="4">
        <v>7</v>
      </c>
      <c r="T22" s="4">
        <f t="shared" si="3"/>
        <v>3565.5894400000002</v>
      </c>
      <c r="U22">
        <f t="shared" si="0"/>
        <v>10460.800000000001</v>
      </c>
      <c r="V22" s="4">
        <f t="shared" si="4"/>
        <v>-6895.2105600000014</v>
      </c>
      <c r="W22" s="4">
        <f t="shared" si="5"/>
        <v>-1.9338206700544864</v>
      </c>
    </row>
    <row r="23" spans="1:23" x14ac:dyDescent="0.3">
      <c r="A23" t="s">
        <v>115</v>
      </c>
      <c r="B23" s="7">
        <v>45057</v>
      </c>
      <c r="C23" s="2">
        <v>45074</v>
      </c>
      <c r="D23" s="4">
        <f t="shared" si="6"/>
        <v>17</v>
      </c>
      <c r="E23" s="4" t="str">
        <f>TEXT(Data!B23,"MMM-YYYY")</f>
        <v>Jun-2025</v>
      </c>
      <c r="F23" s="4" t="str">
        <f t="shared" si="1"/>
        <v>Q2-2023</v>
      </c>
      <c r="G23" t="s">
        <v>45</v>
      </c>
      <c r="H23" t="s">
        <v>116</v>
      </c>
      <c r="I23" t="s">
        <v>117</v>
      </c>
      <c r="J23" t="s">
        <v>105</v>
      </c>
      <c r="K23" t="s">
        <v>40</v>
      </c>
      <c r="L23" t="s">
        <v>63</v>
      </c>
      <c r="M23" t="s">
        <v>35</v>
      </c>
      <c r="N23" t="s">
        <v>118</v>
      </c>
      <c r="O23" s="4">
        <v>1331.19</v>
      </c>
      <c r="P23" s="8" t="str">
        <f t="shared" si="2"/>
        <v>High</v>
      </c>
      <c r="Q23" s="4">
        <v>2903.09</v>
      </c>
      <c r="R23" s="4">
        <v>0.14299999999999999</v>
      </c>
      <c r="S23" s="4">
        <v>8</v>
      </c>
      <c r="T23" s="4">
        <f t="shared" si="3"/>
        <v>24160.543999999998</v>
      </c>
      <c r="U23">
        <f t="shared" si="0"/>
        <v>10649.52</v>
      </c>
      <c r="V23" s="4">
        <f t="shared" si="4"/>
        <v>13511.023999999998</v>
      </c>
      <c r="W23" s="4">
        <f t="shared" si="5"/>
        <v>0.55921853415221112</v>
      </c>
    </row>
    <row r="24" spans="1:23" x14ac:dyDescent="0.3">
      <c r="A24" t="s">
        <v>119</v>
      </c>
      <c r="B24" s="7">
        <v>45822</v>
      </c>
      <c r="C24" s="2">
        <v>45837</v>
      </c>
      <c r="D24" s="4">
        <f t="shared" si="6"/>
        <v>15</v>
      </c>
      <c r="E24" s="4" t="str">
        <f>TEXT(Data!B24,"MMM-YYYY")</f>
        <v>May-2024</v>
      </c>
      <c r="F24" s="4" t="str">
        <f t="shared" si="1"/>
        <v>Q2-2025</v>
      </c>
      <c r="G24" t="s">
        <v>16</v>
      </c>
      <c r="H24" t="s">
        <v>25</v>
      </c>
      <c r="I24" t="s">
        <v>26</v>
      </c>
      <c r="J24" t="s">
        <v>48</v>
      </c>
      <c r="K24" t="s">
        <v>40</v>
      </c>
      <c r="L24" t="s">
        <v>110</v>
      </c>
      <c r="M24" t="s">
        <v>81</v>
      </c>
      <c r="N24" t="s">
        <v>120</v>
      </c>
      <c r="O24" s="4">
        <v>730.99</v>
      </c>
      <c r="P24" s="8" t="str">
        <f t="shared" si="2"/>
        <v>High</v>
      </c>
      <c r="Q24" s="4">
        <v>1242.8399999999999</v>
      </c>
      <c r="R24" s="4">
        <v>0.12</v>
      </c>
      <c r="S24" s="4">
        <v>10</v>
      </c>
      <c r="T24" s="4">
        <f t="shared" si="3"/>
        <v>16065.367999999999</v>
      </c>
      <c r="U24">
        <f t="shared" si="0"/>
        <v>7309.9</v>
      </c>
      <c r="V24" s="4">
        <f t="shared" si="4"/>
        <v>8755.4679999999989</v>
      </c>
      <c r="W24" s="4">
        <f t="shared" si="5"/>
        <v>0.54499019256826231</v>
      </c>
    </row>
    <row r="25" spans="1:23" x14ac:dyDescent="0.3">
      <c r="A25" t="s">
        <v>121</v>
      </c>
      <c r="B25" s="7">
        <v>45430</v>
      </c>
      <c r="C25" s="2">
        <v>45435</v>
      </c>
      <c r="D25" s="4">
        <f t="shared" si="6"/>
        <v>5</v>
      </c>
      <c r="E25" s="4" t="str">
        <f>TEXT(Data!B25,"MMM-YYYY")</f>
        <v>Feb-2023</v>
      </c>
      <c r="F25" s="4" t="str">
        <f t="shared" si="1"/>
        <v>Q2-2024</v>
      </c>
      <c r="G25" t="s">
        <v>52</v>
      </c>
      <c r="H25" t="s">
        <v>122</v>
      </c>
      <c r="I25" t="s">
        <v>123</v>
      </c>
      <c r="J25" t="s">
        <v>105</v>
      </c>
      <c r="K25" t="s">
        <v>20</v>
      </c>
      <c r="L25" t="s">
        <v>92</v>
      </c>
      <c r="M25" t="s">
        <v>57</v>
      </c>
      <c r="N25" t="s">
        <v>124</v>
      </c>
      <c r="O25" s="4">
        <v>1274.5899999999999</v>
      </c>
      <c r="P25" s="8" t="str">
        <f t="shared" si="2"/>
        <v>High</v>
      </c>
      <c r="Q25" s="4">
        <v>2553.69</v>
      </c>
      <c r="R25" s="4">
        <v>0.01</v>
      </c>
      <c r="S25" s="4">
        <v>8</v>
      </c>
      <c r="T25" s="4">
        <f t="shared" si="3"/>
        <v>14187.650399999999</v>
      </c>
      <c r="U25">
        <f t="shared" si="0"/>
        <v>10196.719999999999</v>
      </c>
      <c r="V25" s="4">
        <f t="shared" si="4"/>
        <v>3990.9303999999993</v>
      </c>
      <c r="W25" s="4">
        <f t="shared" si="5"/>
        <v>0.28129607704458237</v>
      </c>
    </row>
    <row r="26" spans="1:23" x14ac:dyDescent="0.3">
      <c r="A26" t="s">
        <v>125</v>
      </c>
      <c r="B26" s="7">
        <v>44964</v>
      </c>
      <c r="C26" s="2">
        <v>44969</v>
      </c>
      <c r="D26" s="4">
        <f t="shared" si="6"/>
        <v>5</v>
      </c>
      <c r="E26" s="4" t="str">
        <f>TEXT(Data!B26,"MMM-YYYY")</f>
        <v>Jun-2024</v>
      </c>
      <c r="F26" s="4" t="str">
        <f t="shared" si="1"/>
        <v>Q1-2023</v>
      </c>
      <c r="G26" t="s">
        <v>52</v>
      </c>
      <c r="H26" t="s">
        <v>73</v>
      </c>
      <c r="I26" t="s">
        <v>74</v>
      </c>
      <c r="J26" t="s">
        <v>27</v>
      </c>
      <c r="K26" t="s">
        <v>28</v>
      </c>
      <c r="L26" t="s">
        <v>126</v>
      </c>
      <c r="M26" t="s">
        <v>22</v>
      </c>
      <c r="N26" t="s">
        <v>127</v>
      </c>
      <c r="O26" s="4">
        <v>948.55</v>
      </c>
      <c r="P26" s="8" t="str">
        <f t="shared" si="2"/>
        <v>High</v>
      </c>
      <c r="Q26" s="4">
        <v>2089.16</v>
      </c>
      <c r="R26" s="4">
        <v>7.0000000000000001E-3</v>
      </c>
      <c r="S26" s="4">
        <v>12</v>
      </c>
      <c r="T26" s="4">
        <f t="shared" si="3"/>
        <v>31336.100999999999</v>
      </c>
      <c r="U26">
        <f t="shared" si="0"/>
        <v>11382.599999999999</v>
      </c>
      <c r="V26" s="4">
        <f t="shared" si="4"/>
        <v>19953.501</v>
      </c>
      <c r="W26" s="4">
        <f t="shared" si="5"/>
        <v>0.63675761703729516</v>
      </c>
    </row>
    <row r="27" spans="1:23" x14ac:dyDescent="0.3">
      <c r="A27" t="s">
        <v>128</v>
      </c>
      <c r="B27" s="7">
        <v>45473</v>
      </c>
      <c r="C27" s="2">
        <v>45487</v>
      </c>
      <c r="D27" s="4">
        <f t="shared" si="6"/>
        <v>14</v>
      </c>
      <c r="E27" s="4" t="str">
        <f>TEXT(Data!B27,"MMM-YYYY")</f>
        <v>Nov-2024</v>
      </c>
      <c r="F27" s="4" t="str">
        <f t="shared" si="1"/>
        <v>Q2-2024</v>
      </c>
      <c r="G27" t="s">
        <v>52</v>
      </c>
      <c r="H27" t="s">
        <v>73</v>
      </c>
      <c r="I27" t="s">
        <v>87</v>
      </c>
      <c r="J27" t="s">
        <v>27</v>
      </c>
      <c r="K27" t="s">
        <v>20</v>
      </c>
      <c r="L27" t="s">
        <v>21</v>
      </c>
      <c r="M27" t="s">
        <v>81</v>
      </c>
      <c r="N27" t="s">
        <v>129</v>
      </c>
      <c r="O27" s="4">
        <v>1491.85</v>
      </c>
      <c r="P27" s="8" t="str">
        <f t="shared" si="2"/>
        <v>High</v>
      </c>
      <c r="Q27" s="4">
        <v>2583.02</v>
      </c>
      <c r="R27" s="4">
        <v>0.16800000000000001</v>
      </c>
      <c r="S27" s="4">
        <v>4</v>
      </c>
      <c r="T27" s="4">
        <f t="shared" si="3"/>
        <v>353.76639999999998</v>
      </c>
      <c r="U27">
        <f t="shared" si="0"/>
        <v>5967.4</v>
      </c>
      <c r="V27" s="4">
        <f t="shared" si="4"/>
        <v>-5613.6335999999992</v>
      </c>
      <c r="W27" s="4">
        <f t="shared" si="5"/>
        <v>-15.868193248426079</v>
      </c>
    </row>
    <row r="28" spans="1:23" x14ac:dyDescent="0.3">
      <c r="A28" t="s">
        <v>130</v>
      </c>
      <c r="B28" s="7">
        <v>45626</v>
      </c>
      <c r="C28" s="2">
        <v>45656</v>
      </c>
      <c r="D28" s="4">
        <f t="shared" si="6"/>
        <v>0</v>
      </c>
      <c r="E28" s="4" t="str">
        <f>TEXT(Data!B28,"MMM-YYYY")</f>
        <v>Jul-2024</v>
      </c>
      <c r="F28" s="4" t="str">
        <f t="shared" si="1"/>
        <v>Q4-2024</v>
      </c>
      <c r="G28" t="s">
        <v>78</v>
      </c>
      <c r="H28" t="s">
        <v>90</v>
      </c>
      <c r="I28" t="s">
        <v>91</v>
      </c>
      <c r="J28" t="s">
        <v>48</v>
      </c>
      <c r="K28" t="s">
        <v>40</v>
      </c>
      <c r="L28" t="s">
        <v>84</v>
      </c>
      <c r="M28" t="s">
        <v>30</v>
      </c>
      <c r="N28" t="s">
        <v>131</v>
      </c>
      <c r="O28" s="4">
        <v>117.64</v>
      </c>
      <c r="P28" s="8" t="str">
        <f t="shared" si="2"/>
        <v>Medium</v>
      </c>
      <c r="Q28" s="4">
        <v>175.67</v>
      </c>
      <c r="R28" s="4">
        <v>0</v>
      </c>
      <c r="S28" s="4">
        <v>10</v>
      </c>
      <c r="T28" s="4">
        <f t="shared" si="3"/>
        <v>3857.2000000000003</v>
      </c>
      <c r="U28">
        <f t="shared" si="0"/>
        <v>1176.4000000000001</v>
      </c>
      <c r="V28" s="4">
        <f t="shared" si="4"/>
        <v>2680.8</v>
      </c>
      <c r="W28" s="4">
        <f t="shared" si="5"/>
        <v>0.69501192574924819</v>
      </c>
    </row>
    <row r="29" spans="1:23" x14ac:dyDescent="0.3">
      <c r="A29" t="s">
        <v>132</v>
      </c>
      <c r="B29" s="7">
        <v>45492</v>
      </c>
      <c r="C29" s="2">
        <v>45492</v>
      </c>
      <c r="D29" s="4">
        <f t="shared" si="6"/>
        <v>0</v>
      </c>
      <c r="E29" s="4" t="str">
        <f>TEXT(Data!B29,"MMM-YYYY")</f>
        <v>Apr-2023</v>
      </c>
      <c r="F29" s="4" t="str">
        <f t="shared" si="1"/>
        <v>Q3-2024</v>
      </c>
      <c r="G29" t="s">
        <v>16</v>
      </c>
      <c r="H29" t="s">
        <v>17</v>
      </c>
      <c r="I29" t="s">
        <v>18</v>
      </c>
      <c r="J29" t="s">
        <v>62</v>
      </c>
      <c r="K29" t="s">
        <v>20</v>
      </c>
      <c r="L29" t="s">
        <v>75</v>
      </c>
      <c r="M29" t="s">
        <v>42</v>
      </c>
      <c r="N29" t="s">
        <v>133</v>
      </c>
      <c r="O29" s="4">
        <v>857.24</v>
      </c>
      <c r="P29" s="8" t="str">
        <f t="shared" si="2"/>
        <v>High</v>
      </c>
      <c r="Q29" s="4">
        <v>758.23</v>
      </c>
      <c r="R29" s="4">
        <v>0.125</v>
      </c>
      <c r="S29" s="4">
        <v>6</v>
      </c>
      <c r="T29" s="4">
        <f t="shared" si="3"/>
        <v>1243.5675000000001</v>
      </c>
      <c r="U29">
        <f t="shared" si="0"/>
        <v>5143.4400000000005</v>
      </c>
      <c r="V29" s="4">
        <f t="shared" si="4"/>
        <v>-3899.8725000000004</v>
      </c>
      <c r="W29" s="4">
        <f t="shared" si="5"/>
        <v>-3.1360360414694015</v>
      </c>
    </row>
    <row r="30" spans="1:23" x14ac:dyDescent="0.3">
      <c r="A30" t="s">
        <v>134</v>
      </c>
      <c r="B30" s="7">
        <v>45030</v>
      </c>
      <c r="C30" s="2">
        <v>45060</v>
      </c>
      <c r="D30" s="4">
        <f t="shared" si="6"/>
        <v>0</v>
      </c>
      <c r="E30" s="4" t="str">
        <f>TEXT(Data!B30,"MMM-YYYY")</f>
        <v>Apr-2025</v>
      </c>
      <c r="F30" s="4" t="str">
        <f t="shared" si="1"/>
        <v>Q2-2023</v>
      </c>
      <c r="G30" t="s">
        <v>16</v>
      </c>
      <c r="H30" t="s">
        <v>17</v>
      </c>
      <c r="I30" t="s">
        <v>135</v>
      </c>
      <c r="J30" t="s">
        <v>48</v>
      </c>
      <c r="K30" t="s">
        <v>40</v>
      </c>
      <c r="L30" t="s">
        <v>110</v>
      </c>
      <c r="M30" t="s">
        <v>42</v>
      </c>
      <c r="N30" t="s">
        <v>136</v>
      </c>
      <c r="O30" s="4">
        <v>209.25</v>
      </c>
      <c r="P30" s="8" t="str">
        <f t="shared" si="2"/>
        <v>High</v>
      </c>
      <c r="Q30" s="4">
        <v>434.8</v>
      </c>
      <c r="R30" s="4">
        <v>0</v>
      </c>
      <c r="S30" s="4">
        <v>9</v>
      </c>
      <c r="T30" s="4">
        <f t="shared" si="3"/>
        <v>377.09999999999997</v>
      </c>
      <c r="U30">
        <f t="shared" si="0"/>
        <v>1883.25</v>
      </c>
      <c r="V30" s="4">
        <f t="shared" si="4"/>
        <v>-1506.15</v>
      </c>
      <c r="W30" s="4">
        <f t="shared" si="5"/>
        <v>-3.9940334128878288</v>
      </c>
    </row>
    <row r="31" spans="1:23" x14ac:dyDescent="0.3">
      <c r="A31" t="s">
        <v>137</v>
      </c>
      <c r="B31" s="7">
        <v>45754</v>
      </c>
      <c r="C31" s="2">
        <v>45758</v>
      </c>
      <c r="D31" s="4">
        <f t="shared" si="6"/>
        <v>4</v>
      </c>
      <c r="E31" s="4" t="str">
        <f>TEXT(Data!B31,"MMM-YYYY")</f>
        <v>Dec-2024</v>
      </c>
      <c r="F31" s="4" t="str">
        <f t="shared" si="1"/>
        <v>Q2-2025</v>
      </c>
      <c r="G31" t="s">
        <v>78</v>
      </c>
      <c r="H31" t="s">
        <v>90</v>
      </c>
      <c r="I31" t="s">
        <v>138</v>
      </c>
      <c r="J31" t="s">
        <v>27</v>
      </c>
      <c r="K31" t="s">
        <v>20</v>
      </c>
      <c r="L31" t="s">
        <v>63</v>
      </c>
      <c r="M31" t="s">
        <v>35</v>
      </c>
      <c r="N31" t="s">
        <v>139</v>
      </c>
      <c r="O31" s="4">
        <v>754.77</v>
      </c>
      <c r="P31" s="8" t="str">
        <f t="shared" si="2"/>
        <v>High</v>
      </c>
      <c r="Q31" s="4">
        <v>1666.18</v>
      </c>
      <c r="R31" s="4">
        <v>0.13900000000000001</v>
      </c>
      <c r="S31" s="4">
        <v>14</v>
      </c>
      <c r="T31" s="4">
        <f t="shared" si="3"/>
        <v>11781.338519999999</v>
      </c>
      <c r="U31">
        <f t="shared" si="0"/>
        <v>10566.779999999999</v>
      </c>
      <c r="V31" s="4">
        <f t="shared" si="4"/>
        <v>1214.5585200000005</v>
      </c>
      <c r="W31" s="4">
        <f t="shared" si="5"/>
        <v>0.10309172577786183</v>
      </c>
    </row>
    <row r="32" spans="1:23" x14ac:dyDescent="0.3">
      <c r="A32" t="s">
        <v>140</v>
      </c>
      <c r="B32" s="7">
        <v>45653</v>
      </c>
      <c r="C32" s="2">
        <v>45672</v>
      </c>
      <c r="D32" s="4">
        <f t="shared" si="6"/>
        <v>19</v>
      </c>
      <c r="E32" s="4" t="str">
        <f>TEXT(Data!B32,"MMM-YYYY")</f>
        <v>Feb-2023</v>
      </c>
      <c r="F32" s="4" t="str">
        <f t="shared" si="1"/>
        <v>Q4-2024</v>
      </c>
      <c r="G32" t="s">
        <v>45</v>
      </c>
      <c r="H32" t="s">
        <v>60</v>
      </c>
      <c r="I32" t="s">
        <v>141</v>
      </c>
      <c r="J32" t="s">
        <v>39</v>
      </c>
      <c r="K32" t="s">
        <v>55</v>
      </c>
      <c r="L32" t="s">
        <v>41</v>
      </c>
      <c r="M32" t="s">
        <v>22</v>
      </c>
      <c r="N32" t="s">
        <v>142</v>
      </c>
      <c r="O32" s="4">
        <v>495.59</v>
      </c>
      <c r="P32" s="8" t="str">
        <f t="shared" si="2"/>
        <v>High</v>
      </c>
      <c r="Q32" s="4">
        <v>631.78</v>
      </c>
      <c r="R32" s="4">
        <v>8.6999999999999994E-2</v>
      </c>
      <c r="S32" s="4">
        <v>17</v>
      </c>
      <c r="T32" s="4">
        <f t="shared" si="3"/>
        <v>43367.691729999999</v>
      </c>
      <c r="U32">
        <f t="shared" si="0"/>
        <v>8425.0299999999988</v>
      </c>
      <c r="V32" s="4">
        <f t="shared" si="4"/>
        <v>34942.66173</v>
      </c>
      <c r="W32" s="4">
        <f t="shared" si="5"/>
        <v>0.8057302645376464</v>
      </c>
    </row>
    <row r="33" spans="1:23" x14ac:dyDescent="0.3">
      <c r="A33" t="s">
        <v>143</v>
      </c>
      <c r="B33" s="7">
        <v>44980</v>
      </c>
      <c r="C33" s="2">
        <v>45010</v>
      </c>
      <c r="D33" s="4">
        <f t="shared" si="6"/>
        <v>2</v>
      </c>
      <c r="E33" s="4" t="str">
        <f>TEXT(Data!B33,"MMM-YYYY")</f>
        <v>Jul-2025</v>
      </c>
      <c r="F33" s="4" t="str">
        <f t="shared" si="1"/>
        <v>Q1-2023</v>
      </c>
      <c r="G33" t="s">
        <v>52</v>
      </c>
      <c r="H33" t="s">
        <v>53</v>
      </c>
      <c r="I33" t="s">
        <v>144</v>
      </c>
      <c r="J33" t="s">
        <v>105</v>
      </c>
      <c r="K33" t="s">
        <v>28</v>
      </c>
      <c r="L33" t="s">
        <v>145</v>
      </c>
      <c r="M33" t="s">
        <v>42</v>
      </c>
      <c r="N33" t="s">
        <v>146</v>
      </c>
      <c r="O33" s="4">
        <v>1242.6600000000001</v>
      </c>
      <c r="P33" s="8" t="str">
        <f t="shared" si="2"/>
        <v>High</v>
      </c>
      <c r="Q33" s="4">
        <v>1794.07</v>
      </c>
      <c r="R33" s="4">
        <v>8.8999999999999996E-2</v>
      </c>
      <c r="S33" s="4">
        <v>16</v>
      </c>
      <c r="T33" s="4">
        <f t="shared" si="3"/>
        <v>10231.623200000002</v>
      </c>
      <c r="U33">
        <f t="shared" si="0"/>
        <v>19882.560000000001</v>
      </c>
      <c r="V33" s="4">
        <f t="shared" si="4"/>
        <v>-9650.9367999999995</v>
      </c>
      <c r="W33" s="4">
        <f t="shared" si="5"/>
        <v>-0.94324591624914389</v>
      </c>
    </row>
    <row r="34" spans="1:23" x14ac:dyDescent="0.3">
      <c r="A34" t="s">
        <v>147</v>
      </c>
      <c r="B34" s="7">
        <v>45862</v>
      </c>
      <c r="C34" s="2">
        <v>45875</v>
      </c>
      <c r="D34" s="4">
        <f t="shared" si="6"/>
        <v>13</v>
      </c>
      <c r="E34" s="4" t="str">
        <f>TEXT(Data!B34,"MMM-YYYY")</f>
        <v>Apr-2024</v>
      </c>
      <c r="F34" s="4" t="str">
        <f t="shared" si="1"/>
        <v>Q3-2025</v>
      </c>
      <c r="G34" t="s">
        <v>16</v>
      </c>
      <c r="H34" t="s">
        <v>148</v>
      </c>
      <c r="I34" t="s">
        <v>149</v>
      </c>
      <c r="J34" t="s">
        <v>27</v>
      </c>
      <c r="K34" t="s">
        <v>40</v>
      </c>
      <c r="L34" t="s">
        <v>145</v>
      </c>
      <c r="M34" t="s">
        <v>35</v>
      </c>
      <c r="N34" t="s">
        <v>150</v>
      </c>
      <c r="O34" s="4">
        <v>1463.9</v>
      </c>
      <c r="P34" s="8" t="str">
        <f t="shared" si="2"/>
        <v>High</v>
      </c>
      <c r="Q34" s="4">
        <v>2633.02</v>
      </c>
      <c r="R34" s="4">
        <v>8.4000000000000005E-2</v>
      </c>
      <c r="S34" s="4">
        <v>4</v>
      </c>
      <c r="T34" s="4">
        <f t="shared" si="3"/>
        <v>-19.309279999999998</v>
      </c>
      <c r="U34">
        <f t="shared" si="0"/>
        <v>5855.6</v>
      </c>
      <c r="V34" s="4">
        <f t="shared" si="4"/>
        <v>-5874.9092800000008</v>
      </c>
      <c r="W34" s="4">
        <f t="shared" si="5"/>
        <v>304.25315081660227</v>
      </c>
    </row>
    <row r="35" spans="1:23" x14ac:dyDescent="0.3">
      <c r="A35" t="s">
        <v>151</v>
      </c>
      <c r="B35" s="7">
        <v>45400</v>
      </c>
      <c r="C35" s="2">
        <v>45420</v>
      </c>
      <c r="D35" s="4">
        <f t="shared" si="6"/>
        <v>20</v>
      </c>
      <c r="E35" s="4" t="str">
        <f>TEXT(Data!B35,"MMM-YYYY")</f>
        <v>Aug-2024</v>
      </c>
      <c r="F35" s="4" t="str">
        <f t="shared" si="1"/>
        <v>Q2-2024</v>
      </c>
      <c r="G35" t="s">
        <v>78</v>
      </c>
      <c r="H35" t="s">
        <v>108</v>
      </c>
      <c r="I35" t="s">
        <v>152</v>
      </c>
      <c r="J35" t="s">
        <v>39</v>
      </c>
      <c r="K35" t="s">
        <v>1364</v>
      </c>
      <c r="L35" t="s">
        <v>145</v>
      </c>
      <c r="M35" t="s">
        <v>57</v>
      </c>
      <c r="N35" t="s">
        <v>153</v>
      </c>
      <c r="O35" s="4">
        <v>645.33000000000004</v>
      </c>
      <c r="P35" s="8" t="str">
        <f t="shared" si="2"/>
        <v>High</v>
      </c>
      <c r="Q35" s="4">
        <v>1321.85</v>
      </c>
      <c r="R35" s="4">
        <v>0</v>
      </c>
      <c r="S35" s="4">
        <v>10</v>
      </c>
      <c r="T35" s="4">
        <f t="shared" si="3"/>
        <v>14370.599999999999</v>
      </c>
      <c r="U35">
        <f t="shared" si="0"/>
        <v>6453.3</v>
      </c>
      <c r="V35" s="4">
        <f t="shared" si="4"/>
        <v>7917.2999999999984</v>
      </c>
      <c r="W35" s="4">
        <f t="shared" si="5"/>
        <v>0.55093733038286496</v>
      </c>
    </row>
    <row r="36" spans="1:23" x14ac:dyDescent="0.3">
      <c r="A36" t="s">
        <v>154</v>
      </c>
      <c r="B36" s="7">
        <v>45527</v>
      </c>
      <c r="C36" s="2">
        <v>45525</v>
      </c>
      <c r="D36" s="4">
        <f>DATEDIF(C36,B36, "MD")</f>
        <v>2</v>
      </c>
      <c r="E36" s="4" t="str">
        <f>TEXT(Data!B36,"MMM-YYYY")</f>
        <v>Mar-2023</v>
      </c>
      <c r="F36" s="4" t="str">
        <f t="shared" si="1"/>
        <v>Q3-2024</v>
      </c>
      <c r="G36" t="s">
        <v>16</v>
      </c>
      <c r="H36" t="s">
        <v>148</v>
      </c>
      <c r="I36" t="s">
        <v>149</v>
      </c>
      <c r="J36" t="s">
        <v>27</v>
      </c>
      <c r="K36" t="s">
        <v>20</v>
      </c>
      <c r="L36" t="s">
        <v>63</v>
      </c>
      <c r="M36" t="s">
        <v>22</v>
      </c>
      <c r="N36" t="s">
        <v>155</v>
      </c>
      <c r="O36" s="4">
        <v>1432.52</v>
      </c>
      <c r="P36" s="8" t="str">
        <f t="shared" si="2"/>
        <v>High</v>
      </c>
      <c r="Q36" s="4">
        <v>3036.87</v>
      </c>
      <c r="R36" s="4">
        <v>0</v>
      </c>
      <c r="S36" s="4">
        <v>9</v>
      </c>
      <c r="T36" s="4">
        <f t="shared" si="3"/>
        <v>17207.010000000002</v>
      </c>
      <c r="U36">
        <f t="shared" si="0"/>
        <v>12892.68</v>
      </c>
      <c r="V36" s="4">
        <f t="shared" si="4"/>
        <v>4314.3300000000017</v>
      </c>
      <c r="W36" s="4">
        <f t="shared" si="5"/>
        <v>0.25073095209452434</v>
      </c>
    </row>
    <row r="37" spans="1:23" x14ac:dyDescent="0.3">
      <c r="A37" t="s">
        <v>156</v>
      </c>
      <c r="B37" s="7">
        <v>45012</v>
      </c>
      <c r="C37" s="2">
        <v>45038</v>
      </c>
      <c r="D37" s="4">
        <f t="shared" si="6"/>
        <v>26</v>
      </c>
      <c r="E37" s="4" t="str">
        <f>TEXT(Data!B37,"MMM-YYYY")</f>
        <v>Mar-2024</v>
      </c>
      <c r="F37" s="4" t="str">
        <f t="shared" si="1"/>
        <v>Q1-2023</v>
      </c>
      <c r="G37" t="s">
        <v>45</v>
      </c>
      <c r="H37" t="s">
        <v>60</v>
      </c>
      <c r="I37" t="s">
        <v>141</v>
      </c>
      <c r="J37" t="s">
        <v>39</v>
      </c>
      <c r="K37" t="s">
        <v>40</v>
      </c>
      <c r="L37" t="s">
        <v>29</v>
      </c>
      <c r="M37" t="s">
        <v>30</v>
      </c>
      <c r="N37" t="s">
        <v>157</v>
      </c>
      <c r="O37" s="4">
        <v>178.53</v>
      </c>
      <c r="P37" s="8" t="str">
        <f t="shared" si="2"/>
        <v>Medium</v>
      </c>
      <c r="Q37" s="4">
        <v>199.37</v>
      </c>
      <c r="R37" s="4">
        <v>0.10100000000000001</v>
      </c>
      <c r="S37" s="4">
        <v>37</v>
      </c>
      <c r="T37" s="4">
        <f t="shared" si="3"/>
        <v>86276.904139999999</v>
      </c>
      <c r="U37">
        <f t="shared" si="0"/>
        <v>6605.61</v>
      </c>
      <c r="V37" s="4">
        <f t="shared" si="4"/>
        <v>79671.294139999998</v>
      </c>
      <c r="W37" s="4">
        <f t="shared" si="5"/>
        <v>0.92343709981432354</v>
      </c>
    </row>
    <row r="38" spans="1:23" x14ac:dyDescent="0.3">
      <c r="A38" t="s">
        <v>158</v>
      </c>
      <c r="B38" s="7">
        <v>45358</v>
      </c>
      <c r="C38" s="2">
        <v>45376</v>
      </c>
      <c r="D38" s="4">
        <f t="shared" si="6"/>
        <v>18</v>
      </c>
      <c r="E38" s="4" t="str">
        <f>TEXT(Data!B38,"MMM-YYYY")</f>
        <v>Jun-2025</v>
      </c>
      <c r="F38" s="4" t="str">
        <f t="shared" si="1"/>
        <v>Q1-2024</v>
      </c>
      <c r="G38" t="s">
        <v>78</v>
      </c>
      <c r="H38" t="s">
        <v>79</v>
      </c>
      <c r="I38" t="s">
        <v>159</v>
      </c>
      <c r="J38" t="s">
        <v>19</v>
      </c>
      <c r="K38" t="s">
        <v>28</v>
      </c>
      <c r="L38" t="s">
        <v>56</v>
      </c>
      <c r="M38" t="s">
        <v>22</v>
      </c>
      <c r="N38" t="s">
        <v>160</v>
      </c>
      <c r="O38" s="4">
        <v>712.84</v>
      </c>
      <c r="P38" s="8" t="str">
        <f t="shared" si="2"/>
        <v>High</v>
      </c>
      <c r="Q38" s="4">
        <v>927.51</v>
      </c>
      <c r="R38" s="4">
        <v>0.24299999999999999</v>
      </c>
      <c r="S38" s="4">
        <v>27</v>
      </c>
      <c r="T38" s="4">
        <f t="shared" si="3"/>
        <v>25427.751119999997</v>
      </c>
      <c r="U38">
        <f t="shared" si="0"/>
        <v>19246.68</v>
      </c>
      <c r="V38" s="4">
        <f t="shared" si="4"/>
        <v>6181.0711199999969</v>
      </c>
      <c r="W38" s="4">
        <f t="shared" si="5"/>
        <v>0.24308367227718869</v>
      </c>
    </row>
    <row r="39" spans="1:23" x14ac:dyDescent="0.3">
      <c r="A39" t="s">
        <v>161</v>
      </c>
      <c r="B39" s="7">
        <v>45832</v>
      </c>
      <c r="C39" s="2">
        <v>45848</v>
      </c>
      <c r="D39" s="4">
        <f t="shared" si="6"/>
        <v>16</v>
      </c>
      <c r="E39" s="4" t="str">
        <f>TEXT(Data!B39,"MMM-YYYY")</f>
        <v>Apr-2024</v>
      </c>
      <c r="F39" s="4" t="str">
        <f t="shared" si="1"/>
        <v>Q2-2025</v>
      </c>
      <c r="G39" t="s">
        <v>45</v>
      </c>
      <c r="H39" t="s">
        <v>116</v>
      </c>
      <c r="I39" t="s">
        <v>162</v>
      </c>
      <c r="J39" t="s">
        <v>105</v>
      </c>
      <c r="K39" t="s">
        <v>98</v>
      </c>
      <c r="L39" t="s">
        <v>126</v>
      </c>
      <c r="M39" t="s">
        <v>22</v>
      </c>
      <c r="N39" t="s">
        <v>163</v>
      </c>
      <c r="O39" s="4">
        <v>757.19</v>
      </c>
      <c r="P39" s="8" t="str">
        <f t="shared" si="2"/>
        <v>High</v>
      </c>
      <c r="Q39" s="4">
        <v>1735.41</v>
      </c>
      <c r="R39" s="4">
        <v>0.13600000000000001</v>
      </c>
      <c r="S39" s="4">
        <v>8</v>
      </c>
      <c r="T39" s="4">
        <f t="shared" si="3"/>
        <v>13219.269119999999</v>
      </c>
      <c r="U39">
        <f t="shared" si="0"/>
        <v>6057.52</v>
      </c>
      <c r="V39" s="4">
        <f t="shared" si="4"/>
        <v>7161.7491199999986</v>
      </c>
      <c r="W39" s="4">
        <f t="shared" si="5"/>
        <v>0.54176589151700383</v>
      </c>
    </row>
    <row r="40" spans="1:23" x14ac:dyDescent="0.3">
      <c r="A40" t="s">
        <v>164</v>
      </c>
      <c r="B40" s="7">
        <v>45401</v>
      </c>
      <c r="C40" s="2">
        <v>45418</v>
      </c>
      <c r="D40" s="4">
        <f t="shared" si="6"/>
        <v>17</v>
      </c>
      <c r="E40" s="4" t="str">
        <f>TEXT(Data!B40,"MMM-YYYY")</f>
        <v>Jun-2023</v>
      </c>
      <c r="F40" s="4" t="str">
        <f t="shared" si="1"/>
        <v>Q2-2024</v>
      </c>
      <c r="G40" t="s">
        <v>16</v>
      </c>
      <c r="H40" t="s">
        <v>25</v>
      </c>
      <c r="I40" t="s">
        <v>26</v>
      </c>
      <c r="J40" t="s">
        <v>39</v>
      </c>
      <c r="K40" t="s">
        <v>28</v>
      </c>
      <c r="L40" t="s">
        <v>75</v>
      </c>
      <c r="M40" t="s">
        <v>30</v>
      </c>
      <c r="N40" t="s">
        <v>165</v>
      </c>
      <c r="O40" s="4">
        <v>865.33</v>
      </c>
      <c r="P40" s="8" t="str">
        <f t="shared" si="2"/>
        <v>High</v>
      </c>
      <c r="Q40" s="4">
        <v>1395.64</v>
      </c>
      <c r="R40" s="4">
        <v>0.17499999999999999</v>
      </c>
      <c r="S40" s="4">
        <v>13</v>
      </c>
      <c r="T40" s="4">
        <f t="shared" si="3"/>
        <v>8106.7057499999992</v>
      </c>
      <c r="U40">
        <f t="shared" si="0"/>
        <v>11249.29</v>
      </c>
      <c r="V40" s="4">
        <f t="shared" si="4"/>
        <v>-3142.5842500000017</v>
      </c>
      <c r="W40" s="4">
        <f t="shared" si="5"/>
        <v>-0.38765243822991874</v>
      </c>
    </row>
    <row r="41" spans="1:23" x14ac:dyDescent="0.3">
      <c r="A41" t="s">
        <v>166</v>
      </c>
      <c r="B41" s="7">
        <v>45094</v>
      </c>
      <c r="C41" s="2">
        <v>45101</v>
      </c>
      <c r="D41" s="4">
        <f t="shared" si="6"/>
        <v>7</v>
      </c>
      <c r="E41" s="4" t="str">
        <f>TEXT(Data!B41,"MMM-YYYY")</f>
        <v>Aug-2024</v>
      </c>
      <c r="F41" s="4" t="str">
        <f t="shared" si="1"/>
        <v>Q2-2023</v>
      </c>
      <c r="G41" t="s">
        <v>52</v>
      </c>
      <c r="H41" t="s">
        <v>122</v>
      </c>
      <c r="I41" t="s">
        <v>167</v>
      </c>
      <c r="J41" t="s">
        <v>19</v>
      </c>
      <c r="K41" t="s">
        <v>20</v>
      </c>
      <c r="L41" t="s">
        <v>34</v>
      </c>
      <c r="M41" t="s">
        <v>30</v>
      </c>
      <c r="N41" t="s">
        <v>168</v>
      </c>
      <c r="O41" s="4">
        <v>313.99</v>
      </c>
      <c r="P41" s="8" t="str">
        <f t="shared" si="2"/>
        <v>High</v>
      </c>
      <c r="Q41" s="4">
        <v>454.42</v>
      </c>
      <c r="R41" s="4">
        <v>0.129</v>
      </c>
      <c r="S41" s="4">
        <v>9</v>
      </c>
      <c r="T41" s="4">
        <f t="shared" si="3"/>
        <v>8980.9071300000014</v>
      </c>
      <c r="U41">
        <f t="shared" si="0"/>
        <v>2825.91</v>
      </c>
      <c r="V41" s="4">
        <f t="shared" si="4"/>
        <v>6154.9971300000016</v>
      </c>
      <c r="W41" s="4">
        <f t="shared" si="5"/>
        <v>0.68534247608904963</v>
      </c>
    </row>
    <row r="42" spans="1:23" x14ac:dyDescent="0.3">
      <c r="A42" t="s">
        <v>169</v>
      </c>
      <c r="B42" s="7">
        <v>45531</v>
      </c>
      <c r="C42" s="2">
        <v>45554</v>
      </c>
      <c r="D42" s="4">
        <f t="shared" si="6"/>
        <v>23</v>
      </c>
      <c r="E42" s="4" t="str">
        <f>TEXT(Data!B42,"MMM-YYYY")</f>
        <v>Jan-2024</v>
      </c>
      <c r="F42" s="4" t="str">
        <f t="shared" si="1"/>
        <v>Q3-2024</v>
      </c>
      <c r="G42" t="s">
        <v>78</v>
      </c>
      <c r="H42" t="s">
        <v>79</v>
      </c>
      <c r="I42" t="s">
        <v>80</v>
      </c>
      <c r="J42" t="s">
        <v>62</v>
      </c>
      <c r="K42" t="s">
        <v>98</v>
      </c>
      <c r="L42" t="s">
        <v>145</v>
      </c>
      <c r="M42" t="s">
        <v>64</v>
      </c>
      <c r="N42" t="s">
        <v>170</v>
      </c>
      <c r="O42" s="4">
        <v>1024.01</v>
      </c>
      <c r="P42" s="8" t="str">
        <f t="shared" si="2"/>
        <v>High</v>
      </c>
      <c r="Q42" s="4">
        <v>1580.97</v>
      </c>
      <c r="R42" s="4">
        <v>3.6999999999999998E-2</v>
      </c>
      <c r="S42" s="4">
        <v>27</v>
      </c>
      <c r="T42" s="4">
        <f t="shared" si="3"/>
        <v>32087.834099999996</v>
      </c>
      <c r="U42">
        <f t="shared" si="0"/>
        <v>27648.27</v>
      </c>
      <c r="V42" s="4">
        <f t="shared" si="4"/>
        <v>4439.564099999996</v>
      </c>
      <c r="W42" s="4">
        <f t="shared" si="5"/>
        <v>0.13835661472707492</v>
      </c>
    </row>
    <row r="43" spans="1:23" x14ac:dyDescent="0.3">
      <c r="A43" t="s">
        <v>171</v>
      </c>
      <c r="B43" s="7">
        <v>45302</v>
      </c>
      <c r="C43" s="2">
        <v>45324</v>
      </c>
      <c r="D43" s="4">
        <f t="shared" si="6"/>
        <v>22</v>
      </c>
      <c r="E43" s="4" t="str">
        <f>TEXT(Data!B43,"MMM-YYYY")</f>
        <v>Oct-2024</v>
      </c>
      <c r="F43" s="4" t="str">
        <f t="shared" si="1"/>
        <v>Q1-2024</v>
      </c>
      <c r="G43" t="s">
        <v>16</v>
      </c>
      <c r="H43" t="s">
        <v>148</v>
      </c>
      <c r="I43" t="s">
        <v>172</v>
      </c>
      <c r="J43" t="s">
        <v>48</v>
      </c>
      <c r="K43" t="s">
        <v>28</v>
      </c>
      <c r="L43" t="s">
        <v>95</v>
      </c>
      <c r="M43" t="s">
        <v>35</v>
      </c>
      <c r="N43" t="s">
        <v>173</v>
      </c>
      <c r="O43" s="4">
        <v>1206.2</v>
      </c>
      <c r="P43" s="8" t="str">
        <f t="shared" si="2"/>
        <v>High</v>
      </c>
      <c r="Q43" s="4">
        <v>1759.79</v>
      </c>
      <c r="R43" s="4">
        <v>0</v>
      </c>
      <c r="S43" s="4">
        <v>6</v>
      </c>
      <c r="T43" s="4">
        <f t="shared" si="3"/>
        <v>7368.0599999999995</v>
      </c>
      <c r="U43">
        <f t="shared" si="0"/>
        <v>7237.2000000000007</v>
      </c>
      <c r="V43" s="4">
        <f t="shared" si="4"/>
        <v>130.85999999999876</v>
      </c>
      <c r="W43" s="4">
        <f t="shared" si="5"/>
        <v>1.7760441690214082E-2</v>
      </c>
    </row>
    <row r="44" spans="1:23" x14ac:dyDescent="0.3">
      <c r="A44" t="s">
        <v>174</v>
      </c>
      <c r="B44" s="7">
        <v>45590</v>
      </c>
      <c r="C44" s="2">
        <v>45610</v>
      </c>
      <c r="D44" s="4">
        <f t="shared" si="6"/>
        <v>20</v>
      </c>
      <c r="E44" s="4" t="str">
        <f>TEXT(Data!B44,"MMM-YYYY")</f>
        <v>May-2025</v>
      </c>
      <c r="F44" s="4" t="str">
        <f t="shared" si="1"/>
        <v>Q4-2024</v>
      </c>
      <c r="G44" t="s">
        <v>16</v>
      </c>
      <c r="H44" t="s">
        <v>17</v>
      </c>
      <c r="I44" t="s">
        <v>113</v>
      </c>
      <c r="J44" t="s">
        <v>19</v>
      </c>
      <c r="K44" t="s">
        <v>98</v>
      </c>
      <c r="L44" t="s">
        <v>92</v>
      </c>
      <c r="M44" t="s">
        <v>30</v>
      </c>
      <c r="N44" t="s">
        <v>175</v>
      </c>
      <c r="O44" s="4">
        <v>1396.48</v>
      </c>
      <c r="P44" s="8" t="str">
        <f t="shared" si="2"/>
        <v>High</v>
      </c>
      <c r="Q44" s="4">
        <v>3204.5</v>
      </c>
      <c r="R44" s="4">
        <v>0.318</v>
      </c>
      <c r="S44" s="4">
        <v>14</v>
      </c>
      <c r="T44" s="4">
        <f t="shared" si="3"/>
        <v>5778.7360400000007</v>
      </c>
      <c r="U44">
        <f t="shared" si="0"/>
        <v>19550.72</v>
      </c>
      <c r="V44" s="4">
        <f t="shared" si="4"/>
        <v>-13771.983960000001</v>
      </c>
      <c r="W44" s="4">
        <f t="shared" si="5"/>
        <v>-2.3832173445319715</v>
      </c>
    </row>
    <row r="45" spans="1:23" x14ac:dyDescent="0.3">
      <c r="A45" t="s">
        <v>176</v>
      </c>
      <c r="B45" s="7">
        <v>45806</v>
      </c>
      <c r="C45" s="2">
        <v>45828</v>
      </c>
      <c r="D45" s="4">
        <f t="shared" si="6"/>
        <v>22</v>
      </c>
      <c r="E45" s="4" t="str">
        <f>TEXT(Data!B45,"MMM-YYYY")</f>
        <v>May-2024</v>
      </c>
      <c r="F45" s="4" t="str">
        <f t="shared" si="1"/>
        <v>Q2-2025</v>
      </c>
      <c r="G45" t="s">
        <v>78</v>
      </c>
      <c r="H45" t="s">
        <v>79</v>
      </c>
      <c r="I45" t="s">
        <v>80</v>
      </c>
      <c r="J45" t="s">
        <v>19</v>
      </c>
      <c r="K45" t="s">
        <v>98</v>
      </c>
      <c r="L45" t="s">
        <v>75</v>
      </c>
      <c r="M45" t="s">
        <v>30</v>
      </c>
      <c r="N45" t="s">
        <v>177</v>
      </c>
      <c r="O45" s="4">
        <v>483.47</v>
      </c>
      <c r="P45" s="8" t="str">
        <f t="shared" si="2"/>
        <v>High</v>
      </c>
      <c r="Q45" s="4">
        <v>1135.43</v>
      </c>
      <c r="R45" s="4">
        <v>0.14599999999999999</v>
      </c>
      <c r="S45" s="4">
        <v>11</v>
      </c>
      <c r="T45" s="4">
        <f t="shared" si="3"/>
        <v>17662.129100000002</v>
      </c>
      <c r="U45">
        <f t="shared" si="0"/>
        <v>5318.17</v>
      </c>
      <c r="V45" s="4">
        <f t="shared" si="4"/>
        <v>12343.959100000002</v>
      </c>
      <c r="W45" s="4">
        <f t="shared" si="5"/>
        <v>0.6988941723905755</v>
      </c>
    </row>
    <row r="46" spans="1:23" x14ac:dyDescent="0.3">
      <c r="A46" t="s">
        <v>178</v>
      </c>
      <c r="B46" s="7">
        <v>45432</v>
      </c>
      <c r="C46" s="2">
        <v>45445</v>
      </c>
      <c r="D46" s="4">
        <f t="shared" si="6"/>
        <v>13</v>
      </c>
      <c r="E46" s="4" t="str">
        <f>TEXT(Data!B46,"MMM-YYYY")</f>
        <v>Apr-2023</v>
      </c>
      <c r="F46" s="4" t="str">
        <f t="shared" si="1"/>
        <v>Q2-2024</v>
      </c>
      <c r="G46" t="s">
        <v>52</v>
      </c>
      <c r="H46" t="s">
        <v>53</v>
      </c>
      <c r="I46" t="s">
        <v>179</v>
      </c>
      <c r="J46" t="s">
        <v>105</v>
      </c>
      <c r="K46" t="s">
        <v>40</v>
      </c>
      <c r="L46" t="s">
        <v>95</v>
      </c>
      <c r="M46" t="s">
        <v>22</v>
      </c>
      <c r="N46" t="s">
        <v>180</v>
      </c>
      <c r="O46" s="4">
        <v>675.43</v>
      </c>
      <c r="P46" s="8" t="str">
        <f t="shared" si="2"/>
        <v>High</v>
      </c>
      <c r="Q46" s="4">
        <v>996.36</v>
      </c>
      <c r="R46" s="4">
        <v>0.182</v>
      </c>
      <c r="S46" s="4">
        <v>22</v>
      </c>
      <c r="T46" s="4">
        <f t="shared" si="3"/>
        <v>22844.122400000004</v>
      </c>
      <c r="U46">
        <f t="shared" si="0"/>
        <v>14859.46</v>
      </c>
      <c r="V46" s="4">
        <f t="shared" si="4"/>
        <v>7984.6624000000047</v>
      </c>
      <c r="W46" s="4">
        <f t="shared" si="5"/>
        <v>0.34952808692707771</v>
      </c>
    </row>
    <row r="47" spans="1:23" x14ac:dyDescent="0.3">
      <c r="A47" t="s">
        <v>181</v>
      </c>
      <c r="B47" s="7">
        <v>45035</v>
      </c>
      <c r="C47" s="2">
        <v>45046</v>
      </c>
      <c r="D47" s="4">
        <f t="shared" si="6"/>
        <v>11</v>
      </c>
      <c r="E47" s="4" t="str">
        <f>TEXT(Data!B47,"MMM-YYYY")</f>
        <v>Jun-2023</v>
      </c>
      <c r="F47" s="4" t="str">
        <f t="shared" si="1"/>
        <v>Q2-2023</v>
      </c>
      <c r="G47" t="s">
        <v>45</v>
      </c>
      <c r="H47" t="s">
        <v>60</v>
      </c>
      <c r="I47" t="s">
        <v>141</v>
      </c>
      <c r="J47" t="s">
        <v>62</v>
      </c>
      <c r="K47" t="s">
        <v>20</v>
      </c>
      <c r="L47" t="s">
        <v>75</v>
      </c>
      <c r="M47" t="s">
        <v>35</v>
      </c>
      <c r="N47" t="s">
        <v>182</v>
      </c>
      <c r="O47" s="4">
        <v>826.55</v>
      </c>
      <c r="P47" s="8" t="str">
        <f t="shared" si="2"/>
        <v>High</v>
      </c>
      <c r="Q47" s="4">
        <v>1397.05</v>
      </c>
      <c r="R47" s="4">
        <v>0.16900000000000001</v>
      </c>
      <c r="S47" s="4">
        <v>28</v>
      </c>
      <c r="T47" s="4">
        <f t="shared" si="3"/>
        <v>14447.799239999997</v>
      </c>
      <c r="U47">
        <f t="shared" si="0"/>
        <v>23143.399999999998</v>
      </c>
      <c r="V47" s="4">
        <f t="shared" si="4"/>
        <v>-8695.6007600000012</v>
      </c>
      <c r="W47" s="4">
        <f t="shared" si="5"/>
        <v>-0.6018633437212686</v>
      </c>
    </row>
    <row r="48" spans="1:23" x14ac:dyDescent="0.3">
      <c r="A48" t="s">
        <v>183</v>
      </c>
      <c r="B48" s="7">
        <v>45100</v>
      </c>
      <c r="C48" s="2">
        <v>45110</v>
      </c>
      <c r="D48" s="4">
        <f t="shared" si="6"/>
        <v>10</v>
      </c>
      <c r="E48" s="4" t="str">
        <f>TEXT(Data!B48,"MMM-YYYY")</f>
        <v>May-2024</v>
      </c>
      <c r="F48" s="4" t="str">
        <f t="shared" si="1"/>
        <v>Q2-2023</v>
      </c>
      <c r="G48" t="s">
        <v>16</v>
      </c>
      <c r="H48" t="s">
        <v>25</v>
      </c>
      <c r="I48" t="s">
        <v>67</v>
      </c>
      <c r="J48" t="s">
        <v>48</v>
      </c>
      <c r="K48" t="s">
        <v>28</v>
      </c>
      <c r="L48" t="s">
        <v>29</v>
      </c>
      <c r="M48" t="s">
        <v>30</v>
      </c>
      <c r="N48" t="s">
        <v>184</v>
      </c>
      <c r="O48" s="4">
        <v>337.75</v>
      </c>
      <c r="P48" s="8" t="str">
        <f t="shared" si="2"/>
        <v>High</v>
      </c>
      <c r="Q48" s="4">
        <v>548.89</v>
      </c>
      <c r="R48" s="4">
        <v>0</v>
      </c>
      <c r="S48" s="4">
        <v>13</v>
      </c>
      <c r="T48" s="4">
        <f t="shared" si="3"/>
        <v>18926.830000000002</v>
      </c>
      <c r="U48">
        <f t="shared" si="0"/>
        <v>4390.75</v>
      </c>
      <c r="V48" s="4">
        <f t="shared" si="4"/>
        <v>14536.080000000002</v>
      </c>
      <c r="W48" s="4">
        <f t="shared" si="5"/>
        <v>0.76801450639119173</v>
      </c>
    </row>
    <row r="49" spans="1:23" x14ac:dyDescent="0.3">
      <c r="A49" t="s">
        <v>185</v>
      </c>
      <c r="B49" s="7">
        <v>45426</v>
      </c>
      <c r="C49" s="2">
        <v>45440</v>
      </c>
      <c r="D49" s="4">
        <f t="shared" si="6"/>
        <v>14</v>
      </c>
      <c r="E49" s="4" t="str">
        <f>TEXT(Data!B49,"MMM-YYYY")</f>
        <v>Oct-2024</v>
      </c>
      <c r="F49" s="4" t="str">
        <f t="shared" si="1"/>
        <v>Q2-2024</v>
      </c>
      <c r="G49" t="s">
        <v>78</v>
      </c>
      <c r="H49" t="s">
        <v>108</v>
      </c>
      <c r="I49" t="s">
        <v>109</v>
      </c>
      <c r="J49" t="s">
        <v>48</v>
      </c>
      <c r="K49" t="s">
        <v>20</v>
      </c>
      <c r="L49" t="s">
        <v>56</v>
      </c>
      <c r="M49" t="s">
        <v>35</v>
      </c>
      <c r="N49" t="s">
        <v>186</v>
      </c>
      <c r="O49" s="4">
        <v>1421.14</v>
      </c>
      <c r="P49" s="8" t="str">
        <f t="shared" si="2"/>
        <v>High</v>
      </c>
      <c r="Q49" s="4">
        <v>3524</v>
      </c>
      <c r="R49" s="4">
        <v>0</v>
      </c>
      <c r="S49" s="4">
        <v>31</v>
      </c>
      <c r="T49" s="4">
        <f t="shared" si="3"/>
        <v>16939.329999999998</v>
      </c>
      <c r="U49">
        <f t="shared" si="0"/>
        <v>44055.340000000004</v>
      </c>
      <c r="V49" s="4">
        <f t="shared" si="4"/>
        <v>-27116.010000000006</v>
      </c>
      <c r="W49" s="4">
        <f t="shared" si="5"/>
        <v>-1.6007722855626527</v>
      </c>
    </row>
    <row r="50" spans="1:23" x14ac:dyDescent="0.3">
      <c r="A50" t="s">
        <v>187</v>
      </c>
      <c r="B50" s="7">
        <v>45579</v>
      </c>
      <c r="C50" s="2">
        <v>45604</v>
      </c>
      <c r="D50" s="4">
        <f t="shared" si="6"/>
        <v>25</v>
      </c>
      <c r="E50" s="4" t="str">
        <f>TEXT(Data!B50,"MMM-YYYY")</f>
        <v>Jul-2023</v>
      </c>
      <c r="F50" s="4" t="str">
        <f t="shared" si="1"/>
        <v>Q4-2024</v>
      </c>
      <c r="G50" t="s">
        <v>16</v>
      </c>
      <c r="H50" t="s">
        <v>25</v>
      </c>
      <c r="I50" t="s">
        <v>38</v>
      </c>
      <c r="J50" t="s">
        <v>105</v>
      </c>
      <c r="K50" t="s">
        <v>28</v>
      </c>
      <c r="L50" t="s">
        <v>68</v>
      </c>
      <c r="M50" t="s">
        <v>35</v>
      </c>
      <c r="N50" t="s">
        <v>188</v>
      </c>
      <c r="O50" s="4">
        <v>859.35</v>
      </c>
      <c r="P50" s="8" t="str">
        <f t="shared" si="2"/>
        <v>High</v>
      </c>
      <c r="Q50" s="4">
        <v>1825.61</v>
      </c>
      <c r="R50" s="4">
        <v>0.187</v>
      </c>
      <c r="S50" s="4">
        <v>24</v>
      </c>
      <c r="T50" s="4">
        <f t="shared" si="3"/>
        <v>26300.615040000001</v>
      </c>
      <c r="U50">
        <f t="shared" si="0"/>
        <v>20624.400000000001</v>
      </c>
      <c r="V50" s="4">
        <f t="shared" si="4"/>
        <v>5676.2150399999991</v>
      </c>
      <c r="W50" s="4">
        <f t="shared" si="5"/>
        <v>0.21582061983596865</v>
      </c>
    </row>
    <row r="51" spans="1:23" x14ac:dyDescent="0.3">
      <c r="A51" t="s">
        <v>189</v>
      </c>
      <c r="B51" s="7">
        <v>45117</v>
      </c>
      <c r="C51" s="2">
        <v>45139</v>
      </c>
      <c r="D51" s="4">
        <f t="shared" si="6"/>
        <v>22</v>
      </c>
      <c r="E51" s="4" t="str">
        <f>TEXT(Data!B51,"MMM-YYYY")</f>
        <v>Nov-2024</v>
      </c>
      <c r="F51" s="4" t="str">
        <f t="shared" si="1"/>
        <v>Q3-2023</v>
      </c>
      <c r="G51" t="s">
        <v>78</v>
      </c>
      <c r="H51" t="s">
        <v>90</v>
      </c>
      <c r="I51" t="s">
        <v>91</v>
      </c>
      <c r="J51" t="s">
        <v>48</v>
      </c>
      <c r="K51" t="s">
        <v>40</v>
      </c>
      <c r="L51" t="s">
        <v>56</v>
      </c>
      <c r="M51" t="s">
        <v>30</v>
      </c>
      <c r="N51" t="s">
        <v>190</v>
      </c>
      <c r="O51" s="4">
        <v>1303.56</v>
      </c>
      <c r="P51" s="8" t="str">
        <f t="shared" si="2"/>
        <v>High</v>
      </c>
      <c r="Q51" s="4">
        <v>1791.37</v>
      </c>
      <c r="R51" s="4">
        <v>0.126</v>
      </c>
      <c r="S51" s="4">
        <v>22</v>
      </c>
      <c r="T51" s="4">
        <f t="shared" si="3"/>
        <v>21312.892040000002</v>
      </c>
      <c r="U51">
        <f t="shared" si="0"/>
        <v>28678.32</v>
      </c>
      <c r="V51" s="4">
        <f t="shared" si="4"/>
        <v>-7365.4279599999973</v>
      </c>
      <c r="W51" s="4">
        <f t="shared" si="5"/>
        <v>-0.34558557075110097</v>
      </c>
    </row>
    <row r="52" spans="1:23" x14ac:dyDescent="0.3">
      <c r="A52" t="s">
        <v>191</v>
      </c>
      <c r="B52" s="7">
        <v>45602</v>
      </c>
      <c r="C52" s="2">
        <v>45618</v>
      </c>
      <c r="D52" s="4">
        <f t="shared" si="6"/>
        <v>16</v>
      </c>
      <c r="E52" s="4" t="str">
        <f>TEXT(Data!B52,"MMM-YYYY")</f>
        <v>Oct-2024</v>
      </c>
      <c r="F52" s="4" t="str">
        <f t="shared" si="1"/>
        <v>Q4-2024</v>
      </c>
      <c r="G52" t="s">
        <v>52</v>
      </c>
      <c r="H52" t="s">
        <v>53</v>
      </c>
      <c r="I52" t="s">
        <v>54</v>
      </c>
      <c r="J52" t="s">
        <v>39</v>
      </c>
      <c r="K52" t="s">
        <v>55</v>
      </c>
      <c r="L52" t="s">
        <v>145</v>
      </c>
      <c r="M52" t="s">
        <v>81</v>
      </c>
      <c r="N52" t="s">
        <v>192</v>
      </c>
      <c r="O52" s="4">
        <v>1454.11</v>
      </c>
      <c r="P52" s="8" t="str">
        <f t="shared" si="2"/>
        <v>High</v>
      </c>
      <c r="Q52" s="4">
        <v>2629.75</v>
      </c>
      <c r="R52" s="4">
        <v>0.29199999999999998</v>
      </c>
      <c r="S52" s="4">
        <v>8</v>
      </c>
      <c r="T52" s="4">
        <f t="shared" si="3"/>
        <v>17808.182399999998</v>
      </c>
      <c r="U52">
        <f t="shared" si="0"/>
        <v>11632.88</v>
      </c>
      <c r="V52" s="4">
        <f t="shared" si="4"/>
        <v>6175.3023999999987</v>
      </c>
      <c r="W52" s="4">
        <f t="shared" si="5"/>
        <v>0.34676769707839467</v>
      </c>
    </row>
    <row r="53" spans="1:23" x14ac:dyDescent="0.3">
      <c r="A53" t="s">
        <v>193</v>
      </c>
      <c r="B53" s="7">
        <v>45582</v>
      </c>
      <c r="C53" s="2">
        <v>45602</v>
      </c>
      <c r="D53" s="4">
        <f t="shared" si="6"/>
        <v>20</v>
      </c>
      <c r="E53" s="4" t="str">
        <f>TEXT(Data!B53,"MMM-YYYY")</f>
        <v>Mar-2023</v>
      </c>
      <c r="F53" s="4" t="str">
        <f t="shared" si="1"/>
        <v>Q4-2024</v>
      </c>
      <c r="G53" t="s">
        <v>45</v>
      </c>
      <c r="H53" t="s">
        <v>60</v>
      </c>
      <c r="I53" t="s">
        <v>61</v>
      </c>
      <c r="J53" t="s">
        <v>105</v>
      </c>
      <c r="K53" t="s">
        <v>55</v>
      </c>
      <c r="L53" t="s">
        <v>68</v>
      </c>
      <c r="M53" t="s">
        <v>64</v>
      </c>
      <c r="N53" t="s">
        <v>194</v>
      </c>
      <c r="O53" s="4">
        <v>72.94</v>
      </c>
      <c r="P53" s="8" t="str">
        <f t="shared" si="2"/>
        <v>Medium</v>
      </c>
      <c r="Q53" s="4">
        <v>106.3</v>
      </c>
      <c r="R53" s="4">
        <v>0.29499999999999998</v>
      </c>
      <c r="S53" s="4">
        <v>8</v>
      </c>
      <c r="T53" s="4">
        <f t="shared" si="3"/>
        <v>11819.917200000002</v>
      </c>
      <c r="U53">
        <f t="shared" si="0"/>
        <v>583.52</v>
      </c>
      <c r="V53" s="4">
        <f t="shared" si="4"/>
        <v>11236.397200000001</v>
      </c>
      <c r="W53" s="4">
        <f t="shared" si="5"/>
        <v>0.95063247989588284</v>
      </c>
    </row>
    <row r="54" spans="1:23" x14ac:dyDescent="0.3">
      <c r="A54" t="s">
        <v>195</v>
      </c>
      <c r="B54" s="7">
        <v>45016</v>
      </c>
      <c r="C54" s="2">
        <v>45021</v>
      </c>
      <c r="D54" s="4">
        <f t="shared" si="6"/>
        <v>5</v>
      </c>
      <c r="E54" s="4" t="str">
        <f>TEXT(Data!B54,"MMM-YYYY")</f>
        <v>Jan-2025</v>
      </c>
      <c r="F54" s="4" t="str">
        <f t="shared" si="1"/>
        <v>Q1-2023</v>
      </c>
      <c r="G54" t="s">
        <v>16</v>
      </c>
      <c r="H54" t="s">
        <v>17</v>
      </c>
      <c r="I54" t="s">
        <v>135</v>
      </c>
      <c r="J54" t="s">
        <v>27</v>
      </c>
      <c r="K54" t="s">
        <v>40</v>
      </c>
      <c r="L54" t="s">
        <v>56</v>
      </c>
      <c r="M54" t="s">
        <v>57</v>
      </c>
      <c r="N54" t="s">
        <v>196</v>
      </c>
      <c r="O54" s="4">
        <v>533.26</v>
      </c>
      <c r="P54" s="8" t="str">
        <f t="shared" si="2"/>
        <v>High</v>
      </c>
      <c r="Q54" s="4">
        <v>385.72</v>
      </c>
      <c r="R54" s="4">
        <v>0</v>
      </c>
      <c r="S54" s="4">
        <v>15</v>
      </c>
      <c r="T54" s="4">
        <f t="shared" si="3"/>
        <v>10554.3</v>
      </c>
      <c r="U54">
        <f t="shared" si="0"/>
        <v>7998.9</v>
      </c>
      <c r="V54" s="4">
        <f t="shared" si="4"/>
        <v>2555.3999999999996</v>
      </c>
      <c r="W54" s="4">
        <f t="shared" si="5"/>
        <v>0.24211932577243397</v>
      </c>
    </row>
    <row r="55" spans="1:23" x14ac:dyDescent="0.3">
      <c r="A55" t="s">
        <v>197</v>
      </c>
      <c r="B55" s="7">
        <v>45678</v>
      </c>
      <c r="C55" s="2">
        <v>45704</v>
      </c>
      <c r="D55" s="4">
        <f t="shared" si="6"/>
        <v>26</v>
      </c>
      <c r="E55" s="4" t="str">
        <f>TEXT(Data!B55,"MMM-YYYY")</f>
        <v>Aug-2023</v>
      </c>
      <c r="F55" s="4" t="str">
        <f t="shared" si="1"/>
        <v>Q1-2025</v>
      </c>
      <c r="G55" t="s">
        <v>78</v>
      </c>
      <c r="H55" t="s">
        <v>90</v>
      </c>
      <c r="I55" t="s">
        <v>138</v>
      </c>
      <c r="J55" t="s">
        <v>19</v>
      </c>
      <c r="K55" t="s">
        <v>55</v>
      </c>
      <c r="L55" t="s">
        <v>68</v>
      </c>
      <c r="M55" t="s">
        <v>57</v>
      </c>
      <c r="N55" t="s">
        <v>198</v>
      </c>
      <c r="O55" s="4">
        <v>204.11</v>
      </c>
      <c r="P55" s="8" t="str">
        <f t="shared" si="2"/>
        <v>High</v>
      </c>
      <c r="Q55" s="4">
        <v>236.87</v>
      </c>
      <c r="R55" s="4">
        <v>0.182</v>
      </c>
      <c r="S55" s="4">
        <v>13</v>
      </c>
      <c r="T55" s="4">
        <f t="shared" si="3"/>
        <v>21238.118460000002</v>
      </c>
      <c r="U55">
        <f t="shared" si="0"/>
        <v>2653.4300000000003</v>
      </c>
      <c r="V55" s="4">
        <f t="shared" si="4"/>
        <v>18584.688460000001</v>
      </c>
      <c r="W55" s="4">
        <f t="shared" si="5"/>
        <v>0.87506284961177294</v>
      </c>
    </row>
    <row r="56" spans="1:23" x14ac:dyDescent="0.3">
      <c r="A56" t="s">
        <v>199</v>
      </c>
      <c r="B56" s="7">
        <v>45168</v>
      </c>
      <c r="C56" s="2">
        <v>45170</v>
      </c>
      <c r="D56" s="4">
        <f t="shared" si="6"/>
        <v>2</v>
      </c>
      <c r="E56" s="4" t="str">
        <f>TEXT(Data!B56,"MMM-YYYY")</f>
        <v>Apr-2025</v>
      </c>
      <c r="F56" s="4" t="str">
        <f t="shared" si="1"/>
        <v>Q3-2023</v>
      </c>
      <c r="G56" t="s">
        <v>78</v>
      </c>
      <c r="H56" t="s">
        <v>79</v>
      </c>
      <c r="I56" t="s">
        <v>159</v>
      </c>
      <c r="J56" t="s">
        <v>19</v>
      </c>
      <c r="K56" t="s">
        <v>98</v>
      </c>
      <c r="L56" t="s">
        <v>126</v>
      </c>
      <c r="M56" t="s">
        <v>35</v>
      </c>
      <c r="N56" t="s">
        <v>200</v>
      </c>
      <c r="O56" s="4">
        <v>44.42</v>
      </c>
      <c r="P56" s="8" t="str">
        <f t="shared" si="2"/>
        <v>Low</v>
      </c>
      <c r="Q56" s="4">
        <v>41.9</v>
      </c>
      <c r="R56" s="4">
        <v>0.14399999999999999</v>
      </c>
      <c r="S56" s="4">
        <v>6</v>
      </c>
      <c r="T56" s="4">
        <f t="shared" si="3"/>
        <v>14195.647199999998</v>
      </c>
      <c r="U56">
        <f t="shared" si="0"/>
        <v>266.52</v>
      </c>
      <c r="V56" s="4">
        <f t="shared" si="4"/>
        <v>13929.127199999997</v>
      </c>
      <c r="W56" s="4">
        <f t="shared" si="5"/>
        <v>0.9812252307876459</v>
      </c>
    </row>
    <row r="57" spans="1:23" x14ac:dyDescent="0.3">
      <c r="A57" t="s">
        <v>201</v>
      </c>
      <c r="B57" s="7">
        <v>45753</v>
      </c>
      <c r="C57" s="2">
        <v>45777</v>
      </c>
      <c r="D57" s="4">
        <f t="shared" si="6"/>
        <v>24</v>
      </c>
      <c r="E57" s="4" t="str">
        <f>TEXT(Data!B57,"MMM-YYYY")</f>
        <v>Feb-2025</v>
      </c>
      <c r="F57" s="4" t="str">
        <f t="shared" si="1"/>
        <v>Q2-2025</v>
      </c>
      <c r="G57" t="s">
        <v>52</v>
      </c>
      <c r="H57" t="s">
        <v>73</v>
      </c>
      <c r="I57" t="s">
        <v>87</v>
      </c>
      <c r="J57" t="s">
        <v>27</v>
      </c>
      <c r="K57" t="s">
        <v>28</v>
      </c>
      <c r="L57" t="s">
        <v>95</v>
      </c>
      <c r="M57" t="s">
        <v>64</v>
      </c>
      <c r="N57" t="s">
        <v>202</v>
      </c>
      <c r="O57" s="4">
        <v>855.78</v>
      </c>
      <c r="P57" s="8" t="str">
        <f t="shared" si="2"/>
        <v>High</v>
      </c>
      <c r="Q57" s="4">
        <v>977.38</v>
      </c>
      <c r="R57" s="4">
        <v>0.14699999999999999</v>
      </c>
      <c r="S57" s="4">
        <v>38</v>
      </c>
      <c r="T57" s="4">
        <f t="shared" si="3"/>
        <v>48735.421419999999</v>
      </c>
      <c r="U57">
        <f t="shared" si="0"/>
        <v>32519.64</v>
      </c>
      <c r="V57" s="4">
        <f t="shared" si="4"/>
        <v>16215.781419999999</v>
      </c>
      <c r="W57" s="4">
        <f t="shared" si="5"/>
        <v>0.33273091619036216</v>
      </c>
    </row>
    <row r="58" spans="1:23" x14ac:dyDescent="0.3">
      <c r="A58" t="s">
        <v>203</v>
      </c>
      <c r="B58" s="7">
        <v>45697</v>
      </c>
      <c r="C58" s="2">
        <v>45717</v>
      </c>
      <c r="D58" s="4">
        <f t="shared" si="6"/>
        <v>20</v>
      </c>
      <c r="E58" s="4" t="str">
        <f>TEXT(Data!B58,"MMM-YYYY")</f>
        <v>Dec-2024</v>
      </c>
      <c r="F58" s="4" t="str">
        <f t="shared" si="1"/>
        <v>Q1-2025</v>
      </c>
      <c r="G58" t="s">
        <v>52</v>
      </c>
      <c r="H58" t="s">
        <v>73</v>
      </c>
      <c r="I58" t="s">
        <v>74</v>
      </c>
      <c r="J58" t="s">
        <v>19</v>
      </c>
      <c r="K58" t="s">
        <v>55</v>
      </c>
      <c r="L58" t="s">
        <v>56</v>
      </c>
      <c r="M58" t="s">
        <v>57</v>
      </c>
      <c r="N58" t="s">
        <v>204</v>
      </c>
      <c r="O58" s="4">
        <v>1154.6400000000001</v>
      </c>
      <c r="P58" s="8" t="str">
        <f t="shared" si="2"/>
        <v>High</v>
      </c>
      <c r="Q58" s="4">
        <v>2794.13</v>
      </c>
      <c r="R58" s="4">
        <v>3.5000000000000003E-2</v>
      </c>
      <c r="S58" s="4">
        <v>11</v>
      </c>
      <c r="T58" s="4">
        <f t="shared" si="3"/>
        <v>4119.0446000000002</v>
      </c>
      <c r="U58">
        <f t="shared" si="0"/>
        <v>12701.04</v>
      </c>
      <c r="V58" s="4">
        <f t="shared" si="4"/>
        <v>-8581.9953999999998</v>
      </c>
      <c r="W58" s="4">
        <f t="shared" si="5"/>
        <v>-2.0834917398078185</v>
      </c>
    </row>
    <row r="59" spans="1:23" x14ac:dyDescent="0.3">
      <c r="A59" t="s">
        <v>205</v>
      </c>
      <c r="B59" s="7">
        <v>45643</v>
      </c>
      <c r="C59" s="2">
        <v>45644</v>
      </c>
      <c r="D59" s="4">
        <f t="shared" si="6"/>
        <v>1</v>
      </c>
      <c r="E59" s="4" t="str">
        <f>TEXT(Data!B59,"MMM-YYYY")</f>
        <v>Jun-2025</v>
      </c>
      <c r="F59" s="4" t="str">
        <f t="shared" si="1"/>
        <v>Q4-2024</v>
      </c>
      <c r="G59" t="s">
        <v>78</v>
      </c>
      <c r="H59" t="s">
        <v>79</v>
      </c>
      <c r="I59" t="s">
        <v>159</v>
      </c>
      <c r="J59" t="s">
        <v>27</v>
      </c>
      <c r="K59" t="s">
        <v>20</v>
      </c>
      <c r="L59" t="s">
        <v>49</v>
      </c>
      <c r="M59" t="s">
        <v>81</v>
      </c>
      <c r="N59" t="s">
        <v>206</v>
      </c>
      <c r="O59" s="4">
        <v>346.82</v>
      </c>
      <c r="P59" s="8" t="str">
        <f t="shared" si="2"/>
        <v>High</v>
      </c>
      <c r="Q59" s="4">
        <v>701.95</v>
      </c>
      <c r="R59" s="4">
        <v>0.14699999999999999</v>
      </c>
      <c r="S59" s="4">
        <v>8</v>
      </c>
      <c r="T59" s="4">
        <f t="shared" si="3"/>
        <v>304.14567999999997</v>
      </c>
      <c r="U59">
        <f t="shared" si="0"/>
        <v>2774.56</v>
      </c>
      <c r="V59" s="4">
        <f t="shared" si="4"/>
        <v>-2470.4143199999999</v>
      </c>
      <c r="W59" s="4">
        <f t="shared" si="5"/>
        <v>-8.122470521363315</v>
      </c>
    </row>
    <row r="60" spans="1:23" x14ac:dyDescent="0.3">
      <c r="A60" t="s">
        <v>207</v>
      </c>
      <c r="B60" s="7">
        <v>45817</v>
      </c>
      <c r="C60" s="2">
        <v>45826</v>
      </c>
      <c r="D60" s="4">
        <f t="shared" si="6"/>
        <v>9</v>
      </c>
      <c r="E60" s="4" t="str">
        <f>TEXT(Data!B60,"MMM-YYYY")</f>
        <v>May-2025</v>
      </c>
      <c r="F60" s="4" t="str">
        <f t="shared" si="1"/>
        <v>Q2-2025</v>
      </c>
      <c r="G60" t="s">
        <v>78</v>
      </c>
      <c r="H60" t="s">
        <v>90</v>
      </c>
      <c r="I60" t="s">
        <v>91</v>
      </c>
      <c r="J60" t="s">
        <v>62</v>
      </c>
      <c r="K60" t="s">
        <v>40</v>
      </c>
      <c r="L60" t="s">
        <v>92</v>
      </c>
      <c r="M60" t="s">
        <v>81</v>
      </c>
      <c r="N60" t="s">
        <v>208</v>
      </c>
      <c r="O60" s="4">
        <v>1225.5</v>
      </c>
      <c r="P60" s="8" t="str">
        <f t="shared" si="2"/>
        <v>Low</v>
      </c>
      <c r="Q60" s="4">
        <v>-5.27</v>
      </c>
      <c r="R60" s="4">
        <v>7.4999999999999997E-2</v>
      </c>
      <c r="S60" s="4">
        <v>56</v>
      </c>
      <c r="T60" s="4">
        <f t="shared" si="3"/>
        <v>93667.868000000002</v>
      </c>
      <c r="U60">
        <f t="shared" si="0"/>
        <v>68628</v>
      </c>
      <c r="V60" s="4">
        <f t="shared" si="4"/>
        <v>25039.868000000002</v>
      </c>
      <c r="W60" s="4">
        <f t="shared" si="5"/>
        <v>0.2673261229774121</v>
      </c>
    </row>
    <row r="61" spans="1:23" x14ac:dyDescent="0.3">
      <c r="A61" t="s">
        <v>209</v>
      </c>
      <c r="B61" s="7">
        <v>45779</v>
      </c>
      <c r="C61" s="2">
        <v>45790</v>
      </c>
      <c r="D61" s="4">
        <f t="shared" si="6"/>
        <v>11</v>
      </c>
      <c r="E61" s="4" t="str">
        <f>TEXT(Data!B61,"MMM-YYYY")</f>
        <v>Mar-2024</v>
      </c>
      <c r="F61" s="4" t="str">
        <f t="shared" si="1"/>
        <v>Q2-2025</v>
      </c>
      <c r="G61" t="s">
        <v>16</v>
      </c>
      <c r="H61" t="s">
        <v>17</v>
      </c>
      <c r="I61" t="s">
        <v>135</v>
      </c>
      <c r="J61" t="s">
        <v>62</v>
      </c>
      <c r="K61" t="s">
        <v>28</v>
      </c>
      <c r="L61" t="s">
        <v>75</v>
      </c>
      <c r="M61" t="s">
        <v>81</v>
      </c>
      <c r="N61" t="s">
        <v>210</v>
      </c>
      <c r="O61" s="4">
        <v>1057.5999999999999</v>
      </c>
      <c r="P61" s="8" t="str">
        <f t="shared" si="2"/>
        <v>High</v>
      </c>
      <c r="Q61" s="4">
        <v>1437.06</v>
      </c>
      <c r="R61" s="4">
        <v>0.20499999999999999</v>
      </c>
      <c r="S61" s="4">
        <v>4</v>
      </c>
      <c r="T61" s="4">
        <f t="shared" si="3"/>
        <v>4086.5861999999997</v>
      </c>
      <c r="U61">
        <f t="shared" si="0"/>
        <v>4230.3999999999996</v>
      </c>
      <c r="V61" s="4">
        <f t="shared" si="4"/>
        <v>-143.8137999999999</v>
      </c>
      <c r="W61" s="4">
        <f t="shared" si="5"/>
        <v>-3.5191671718560573E-2</v>
      </c>
    </row>
    <row r="62" spans="1:23" x14ac:dyDescent="0.3">
      <c r="A62" t="s">
        <v>211</v>
      </c>
      <c r="B62" s="7">
        <v>45361</v>
      </c>
      <c r="C62" s="2">
        <v>45391</v>
      </c>
      <c r="D62" s="4">
        <f t="shared" si="6"/>
        <v>30</v>
      </c>
      <c r="E62" s="4" t="str">
        <f>TEXT(Data!B62,"MMM-YYYY")</f>
        <v>Sept-2025</v>
      </c>
      <c r="F62" s="4" t="str">
        <f t="shared" si="1"/>
        <v>Q1-2024</v>
      </c>
      <c r="G62" t="s">
        <v>78</v>
      </c>
      <c r="H62" t="s">
        <v>90</v>
      </c>
      <c r="I62" t="s">
        <v>138</v>
      </c>
      <c r="J62" t="s">
        <v>19</v>
      </c>
      <c r="K62" t="s">
        <v>98</v>
      </c>
      <c r="L62" t="s">
        <v>34</v>
      </c>
      <c r="M62" t="s">
        <v>22</v>
      </c>
      <c r="N62" t="s">
        <v>212</v>
      </c>
      <c r="O62" s="4">
        <v>1176.56</v>
      </c>
      <c r="P62" s="8" t="str">
        <f t="shared" si="2"/>
        <v>High</v>
      </c>
      <c r="Q62" s="4">
        <v>1911.89</v>
      </c>
      <c r="R62" s="4">
        <v>0.11899999999999999</v>
      </c>
      <c r="S62" s="4">
        <v>20</v>
      </c>
      <c r="T62" s="4">
        <f t="shared" si="3"/>
        <v>29568.826800000003</v>
      </c>
      <c r="U62">
        <f t="shared" si="0"/>
        <v>23531.199999999997</v>
      </c>
      <c r="V62" s="4">
        <f t="shared" si="4"/>
        <v>6037.6268000000055</v>
      </c>
      <c r="W62" s="4">
        <f t="shared" si="5"/>
        <v>0.20418891966319086</v>
      </c>
    </row>
    <row r="63" spans="1:23" x14ac:dyDescent="0.3">
      <c r="A63" t="s">
        <v>213</v>
      </c>
      <c r="B63" s="7">
        <v>45910</v>
      </c>
      <c r="C63" s="2">
        <v>45912</v>
      </c>
      <c r="D63" s="4">
        <f t="shared" si="6"/>
        <v>2</v>
      </c>
      <c r="E63" s="4" t="str">
        <f>TEXT(Data!B63,"MMM-YYYY")</f>
        <v>Apr-2025</v>
      </c>
      <c r="F63" s="4" t="str">
        <f t="shared" si="1"/>
        <v>Q3-2025</v>
      </c>
      <c r="G63" t="s">
        <v>45</v>
      </c>
      <c r="H63" t="s">
        <v>46</v>
      </c>
      <c r="I63" t="s">
        <v>214</v>
      </c>
      <c r="J63" t="s">
        <v>48</v>
      </c>
      <c r="K63" t="s">
        <v>28</v>
      </c>
      <c r="L63" t="s">
        <v>68</v>
      </c>
      <c r="M63" t="s">
        <v>22</v>
      </c>
      <c r="N63" t="s">
        <v>215</v>
      </c>
      <c r="O63" s="4">
        <v>1470.15</v>
      </c>
      <c r="P63" s="8" t="str">
        <f t="shared" si="2"/>
        <v>High</v>
      </c>
      <c r="Q63" s="4">
        <v>2593.7800000000002</v>
      </c>
      <c r="R63" s="4">
        <v>0.11</v>
      </c>
      <c r="S63" s="4">
        <v>12</v>
      </c>
      <c r="T63" s="4">
        <f t="shared" si="3"/>
        <v>7255.4580000000005</v>
      </c>
      <c r="U63">
        <f t="shared" si="0"/>
        <v>17641.800000000003</v>
      </c>
      <c r="V63" s="4">
        <f t="shared" si="4"/>
        <v>-10386.342000000002</v>
      </c>
      <c r="W63" s="4">
        <f t="shared" si="5"/>
        <v>-1.4315212078961799</v>
      </c>
    </row>
    <row r="64" spans="1:23" x14ac:dyDescent="0.3">
      <c r="A64" t="s">
        <v>216</v>
      </c>
      <c r="B64" s="7">
        <v>45774</v>
      </c>
      <c r="C64" s="2">
        <v>45802</v>
      </c>
      <c r="D64" s="4">
        <f t="shared" si="6"/>
        <v>28</v>
      </c>
      <c r="E64" s="4" t="str">
        <f>TEXT(Data!B64,"MMM-YYYY")</f>
        <v>Nov-2024</v>
      </c>
      <c r="F64" s="4" t="str">
        <f t="shared" si="1"/>
        <v>Q2-2025</v>
      </c>
      <c r="G64" t="s">
        <v>78</v>
      </c>
      <c r="H64" t="s">
        <v>90</v>
      </c>
      <c r="I64" t="s">
        <v>217</v>
      </c>
      <c r="J64" t="s">
        <v>62</v>
      </c>
      <c r="K64" t="s">
        <v>40</v>
      </c>
      <c r="L64" t="s">
        <v>34</v>
      </c>
      <c r="M64" t="s">
        <v>42</v>
      </c>
      <c r="N64" t="s">
        <v>218</v>
      </c>
      <c r="O64" s="4">
        <v>603.45000000000005</v>
      </c>
      <c r="P64" s="8" t="str">
        <f t="shared" si="2"/>
        <v>High</v>
      </c>
      <c r="Q64" s="4">
        <v>1244.08</v>
      </c>
      <c r="R64" s="4">
        <v>0.2</v>
      </c>
      <c r="S64" s="4">
        <v>11</v>
      </c>
      <c r="T64" s="4">
        <f t="shared" si="3"/>
        <v>9767.2960000000003</v>
      </c>
      <c r="U64">
        <f t="shared" si="0"/>
        <v>6637.9500000000007</v>
      </c>
      <c r="V64" s="4">
        <f t="shared" si="4"/>
        <v>3129.3459999999995</v>
      </c>
      <c r="W64" s="4">
        <f t="shared" si="5"/>
        <v>0.32039020830330106</v>
      </c>
    </row>
    <row r="65" spans="1:23" x14ac:dyDescent="0.3">
      <c r="A65" t="s">
        <v>219</v>
      </c>
      <c r="B65" s="7">
        <v>45598</v>
      </c>
      <c r="C65" s="2">
        <v>45614</v>
      </c>
      <c r="D65" s="4">
        <f t="shared" si="6"/>
        <v>16</v>
      </c>
      <c r="E65" s="4" t="str">
        <f>TEXT(Data!B65,"MMM-YYYY")</f>
        <v>Feb-2023</v>
      </c>
      <c r="F65" s="4" t="str">
        <f t="shared" si="1"/>
        <v>Q4-2024</v>
      </c>
      <c r="G65" t="s">
        <v>45</v>
      </c>
      <c r="H65" t="s">
        <v>60</v>
      </c>
      <c r="I65" t="s">
        <v>220</v>
      </c>
      <c r="J65" t="s">
        <v>62</v>
      </c>
      <c r="K65" t="s">
        <v>55</v>
      </c>
      <c r="L65" t="s">
        <v>68</v>
      </c>
      <c r="M65" t="s">
        <v>64</v>
      </c>
      <c r="N65" t="s">
        <v>221</v>
      </c>
      <c r="O65" s="4">
        <v>1233.58</v>
      </c>
      <c r="P65" s="8" t="str">
        <f t="shared" si="2"/>
        <v>High</v>
      </c>
      <c r="Q65" s="4">
        <v>1912.51</v>
      </c>
      <c r="R65" s="4">
        <v>0.255</v>
      </c>
      <c r="S65" s="4">
        <v>51</v>
      </c>
      <c r="T65" s="4">
        <f t="shared" si="3"/>
        <v>3175.2421499999996</v>
      </c>
      <c r="U65">
        <f t="shared" si="0"/>
        <v>62912.579999999994</v>
      </c>
      <c r="V65" s="4">
        <f t="shared" si="4"/>
        <v>-59737.337849999996</v>
      </c>
      <c r="W65" s="4">
        <f t="shared" si="5"/>
        <v>-18.813474698299782</v>
      </c>
    </row>
    <row r="66" spans="1:23" x14ac:dyDescent="0.3">
      <c r="A66" t="s">
        <v>222</v>
      </c>
      <c r="B66" s="7">
        <v>44972</v>
      </c>
      <c r="C66" s="2">
        <v>44983</v>
      </c>
      <c r="D66" s="4">
        <f t="shared" si="6"/>
        <v>11</v>
      </c>
      <c r="E66" s="4" t="str">
        <f>TEXT(Data!B66,"MMM-YYYY")</f>
        <v>Dec-2023</v>
      </c>
      <c r="F66" s="4" t="str">
        <f t="shared" si="1"/>
        <v>Q1-2023</v>
      </c>
      <c r="G66" t="s">
        <v>16</v>
      </c>
      <c r="H66" t="s">
        <v>148</v>
      </c>
      <c r="I66" t="s">
        <v>149</v>
      </c>
      <c r="J66" t="s">
        <v>39</v>
      </c>
      <c r="K66" t="s">
        <v>20</v>
      </c>
      <c r="L66" t="s">
        <v>95</v>
      </c>
      <c r="M66" t="s">
        <v>57</v>
      </c>
      <c r="N66" t="s">
        <v>223</v>
      </c>
      <c r="O66" s="4">
        <v>498.5</v>
      </c>
      <c r="P66" s="8" t="str">
        <f t="shared" si="2"/>
        <v>High</v>
      </c>
      <c r="Q66" s="4">
        <v>755.87</v>
      </c>
      <c r="R66" s="4">
        <v>0.13</v>
      </c>
      <c r="S66" s="4">
        <v>40</v>
      </c>
      <c r="T66" s="4">
        <f t="shared" ref="T66:T129" si="7">(Q92*S66)*(1-R66)</f>
        <v>44693.64</v>
      </c>
      <c r="U66">
        <f t="shared" ref="U66:U129" si="8">(O66*S66)</f>
        <v>19940</v>
      </c>
      <c r="V66" s="4">
        <f t="shared" si="4"/>
        <v>24753.64</v>
      </c>
      <c r="W66" s="4">
        <f t="shared" si="5"/>
        <v>0.55385150996875621</v>
      </c>
    </row>
    <row r="67" spans="1:23" x14ac:dyDescent="0.3">
      <c r="A67" t="s">
        <v>224</v>
      </c>
      <c r="B67" s="7">
        <v>45263</v>
      </c>
      <c r="C67" s="2">
        <v>45286</v>
      </c>
      <c r="D67" s="4">
        <f t="shared" si="6"/>
        <v>23</v>
      </c>
      <c r="E67" s="4" t="str">
        <f>TEXT(Data!B67,"MMM-YYYY")</f>
        <v>Mar-2023</v>
      </c>
      <c r="F67" s="4" t="str">
        <f t="shared" ref="F67:F130" si="9">"Q"&amp;ROUNDUP(MONTH(B67)/3,0)&amp;"-"&amp;YEAR(B67)</f>
        <v>Q4-2023</v>
      </c>
      <c r="G67" t="s">
        <v>52</v>
      </c>
      <c r="H67" t="s">
        <v>73</v>
      </c>
      <c r="I67" t="s">
        <v>225</v>
      </c>
      <c r="J67" t="s">
        <v>27</v>
      </c>
      <c r="K67" t="s">
        <v>20</v>
      </c>
      <c r="L67" t="s">
        <v>68</v>
      </c>
      <c r="M67" t="s">
        <v>42</v>
      </c>
      <c r="N67" t="s">
        <v>226</v>
      </c>
      <c r="O67" s="4">
        <v>1303.1099999999999</v>
      </c>
      <c r="P67" s="8" t="str">
        <f t="shared" ref="P67:P130" si="10">IF(Q67&lt;50, "Low", IF(Q67&lt;200, "Medium", "High"))</f>
        <v>High</v>
      </c>
      <c r="Q67" s="4">
        <v>1145.67</v>
      </c>
      <c r="R67" s="4">
        <v>0.184</v>
      </c>
      <c r="S67" s="4">
        <v>13</v>
      </c>
      <c r="T67" s="4">
        <f t="shared" si="7"/>
        <v>9671.5257600000004</v>
      </c>
      <c r="U67">
        <f t="shared" si="8"/>
        <v>16940.43</v>
      </c>
      <c r="V67" s="4">
        <f t="shared" ref="V67:V130" si="11">(T67-U67)</f>
        <v>-7268.9042399999998</v>
      </c>
      <c r="W67" s="4">
        <f t="shared" ref="W67:W130" si="12">IF(T67=0, 0, V67/T67)</f>
        <v>-0.75157781929952694</v>
      </c>
    </row>
    <row r="68" spans="1:23" x14ac:dyDescent="0.3">
      <c r="A68" t="s">
        <v>227</v>
      </c>
      <c r="B68" s="7">
        <v>45004</v>
      </c>
      <c r="C68" s="2">
        <v>45025</v>
      </c>
      <c r="D68" s="4">
        <f t="shared" ref="D68:D131" si="13">DATEDIF(B68,C68, "MD")</f>
        <v>21</v>
      </c>
      <c r="E68" s="4" t="str">
        <f>TEXT(Data!B68,"MMM-YYYY")</f>
        <v>May-2024</v>
      </c>
      <c r="F68" s="4" t="str">
        <f t="shared" si="9"/>
        <v>Q1-2023</v>
      </c>
      <c r="G68" t="s">
        <v>78</v>
      </c>
      <c r="H68" t="s">
        <v>108</v>
      </c>
      <c r="I68" t="s">
        <v>228</v>
      </c>
      <c r="J68" t="s">
        <v>48</v>
      </c>
      <c r="K68" t="s">
        <v>20</v>
      </c>
      <c r="L68" t="s">
        <v>49</v>
      </c>
      <c r="M68" t="s">
        <v>81</v>
      </c>
      <c r="N68" t="s">
        <v>229</v>
      </c>
      <c r="O68" s="4">
        <v>1082.17</v>
      </c>
      <c r="P68" s="8" t="str">
        <f t="shared" si="10"/>
        <v>High</v>
      </c>
      <c r="Q68" s="4">
        <v>1234.0999999999999</v>
      </c>
      <c r="R68" s="4">
        <v>0.189</v>
      </c>
      <c r="S68" s="4">
        <v>16</v>
      </c>
      <c r="T68" s="4">
        <f t="shared" si="7"/>
        <v>18232.188319999997</v>
      </c>
      <c r="U68">
        <f t="shared" si="8"/>
        <v>17314.72</v>
      </c>
      <c r="V68" s="4">
        <f t="shared" si="11"/>
        <v>917.46831999999631</v>
      </c>
      <c r="W68" s="4">
        <f t="shared" si="12"/>
        <v>5.0321349467061474E-2</v>
      </c>
    </row>
    <row r="69" spans="1:23" x14ac:dyDescent="0.3">
      <c r="A69" t="s">
        <v>230</v>
      </c>
      <c r="B69" s="7">
        <v>45434</v>
      </c>
      <c r="C69" s="2">
        <v>45449</v>
      </c>
      <c r="D69" s="4">
        <f t="shared" si="13"/>
        <v>15</v>
      </c>
      <c r="E69" s="4" t="str">
        <f>TEXT(Data!B69,"MMM-YYYY")</f>
        <v>Aug-2023</v>
      </c>
      <c r="F69" s="4" t="str">
        <f t="shared" si="9"/>
        <v>Q2-2024</v>
      </c>
      <c r="G69" t="s">
        <v>45</v>
      </c>
      <c r="H69" t="s">
        <v>46</v>
      </c>
      <c r="I69" t="s">
        <v>231</v>
      </c>
      <c r="J69" t="s">
        <v>19</v>
      </c>
      <c r="K69" t="s">
        <v>55</v>
      </c>
      <c r="L69" t="s">
        <v>21</v>
      </c>
      <c r="M69" t="s">
        <v>64</v>
      </c>
      <c r="N69" t="s">
        <v>232</v>
      </c>
      <c r="O69" s="4">
        <v>673.88</v>
      </c>
      <c r="P69" s="8" t="str">
        <f t="shared" si="10"/>
        <v>High</v>
      </c>
      <c r="Q69" s="4">
        <v>1228.01</v>
      </c>
      <c r="R69" s="4">
        <v>0.105</v>
      </c>
      <c r="S69" s="4">
        <v>13</v>
      </c>
      <c r="T69" s="4">
        <f t="shared" si="7"/>
        <v>11273.616900000001</v>
      </c>
      <c r="U69">
        <f t="shared" si="8"/>
        <v>8760.44</v>
      </c>
      <c r="V69" s="4">
        <f t="shared" si="11"/>
        <v>2513.1769000000004</v>
      </c>
      <c r="W69" s="4">
        <f t="shared" si="12"/>
        <v>0.22292551913840536</v>
      </c>
    </row>
    <row r="70" spans="1:23" x14ac:dyDescent="0.3">
      <c r="A70" t="s">
        <v>233</v>
      </c>
      <c r="B70" s="7">
        <v>45157</v>
      </c>
      <c r="C70" s="2">
        <v>45176</v>
      </c>
      <c r="D70" s="4">
        <f t="shared" si="13"/>
        <v>19</v>
      </c>
      <c r="E70" s="4" t="str">
        <f>TEXT(Data!B70,"MMM-YYYY")</f>
        <v>Apr-2023</v>
      </c>
      <c r="F70" s="4" t="str">
        <f t="shared" si="9"/>
        <v>Q3-2023</v>
      </c>
      <c r="G70" t="s">
        <v>16</v>
      </c>
      <c r="H70" t="s">
        <v>148</v>
      </c>
      <c r="I70" t="s">
        <v>149</v>
      </c>
      <c r="J70" t="s">
        <v>105</v>
      </c>
      <c r="K70" t="s">
        <v>20</v>
      </c>
      <c r="L70" t="s">
        <v>145</v>
      </c>
      <c r="M70" t="s">
        <v>64</v>
      </c>
      <c r="N70" t="s">
        <v>234</v>
      </c>
      <c r="O70" s="4">
        <v>494.61</v>
      </c>
      <c r="P70" s="8" t="str">
        <f t="shared" si="10"/>
        <v>High</v>
      </c>
      <c r="Q70" s="4">
        <v>605.23</v>
      </c>
      <c r="R70" s="4">
        <v>0.20399999999999999</v>
      </c>
      <c r="S70" s="4">
        <v>18</v>
      </c>
      <c r="T70" s="4">
        <f t="shared" si="7"/>
        <v>15600.46968</v>
      </c>
      <c r="U70">
        <f t="shared" si="8"/>
        <v>8902.98</v>
      </c>
      <c r="V70" s="4">
        <f t="shared" si="11"/>
        <v>6697.4896800000006</v>
      </c>
      <c r="W70" s="4">
        <f t="shared" si="12"/>
        <v>0.42931333590464055</v>
      </c>
    </row>
    <row r="71" spans="1:23" x14ac:dyDescent="0.3">
      <c r="A71" t="s">
        <v>235</v>
      </c>
      <c r="B71" s="7">
        <v>45037</v>
      </c>
      <c r="C71" s="2">
        <v>45056</v>
      </c>
      <c r="D71" s="4">
        <f t="shared" si="13"/>
        <v>19</v>
      </c>
      <c r="E71" s="4" t="str">
        <f>TEXT(Data!B71,"MMM-YYYY")</f>
        <v>Mar-2024</v>
      </c>
      <c r="F71" s="4" t="str">
        <f t="shared" si="9"/>
        <v>Q2-2023</v>
      </c>
      <c r="G71" t="s">
        <v>45</v>
      </c>
      <c r="H71" t="s">
        <v>116</v>
      </c>
      <c r="I71" t="s">
        <v>162</v>
      </c>
      <c r="J71" t="s">
        <v>19</v>
      </c>
      <c r="K71" t="s">
        <v>20</v>
      </c>
      <c r="L71" t="s">
        <v>75</v>
      </c>
      <c r="M71" t="s">
        <v>22</v>
      </c>
      <c r="N71" t="s">
        <v>236</v>
      </c>
      <c r="O71" s="4">
        <v>882.33</v>
      </c>
      <c r="P71" s="8" t="str">
        <f t="shared" si="10"/>
        <v>High</v>
      </c>
      <c r="Q71" s="4">
        <v>1880.15</v>
      </c>
      <c r="R71" s="4">
        <v>0.05</v>
      </c>
      <c r="S71" s="4">
        <v>5</v>
      </c>
      <c r="T71" s="4">
        <f t="shared" si="7"/>
        <v>11803.702499999998</v>
      </c>
      <c r="U71">
        <f t="shared" si="8"/>
        <v>4411.6500000000005</v>
      </c>
      <c r="V71" s="4">
        <f t="shared" si="11"/>
        <v>7392.0524999999971</v>
      </c>
      <c r="W71" s="4">
        <f t="shared" si="12"/>
        <v>0.6262486283435218</v>
      </c>
    </row>
    <row r="72" spans="1:23" x14ac:dyDescent="0.3">
      <c r="A72" t="s">
        <v>237</v>
      </c>
      <c r="B72" s="7">
        <v>45369</v>
      </c>
      <c r="C72" s="2">
        <v>45372</v>
      </c>
      <c r="D72" s="4">
        <f t="shared" si="13"/>
        <v>3</v>
      </c>
      <c r="E72" s="4" t="str">
        <f>TEXT(Data!B72,"MMM-YYYY")</f>
        <v>Apr-2025</v>
      </c>
      <c r="F72" s="4" t="str">
        <f t="shared" si="9"/>
        <v>Q1-2024</v>
      </c>
      <c r="G72" t="s">
        <v>78</v>
      </c>
      <c r="H72" t="s">
        <v>79</v>
      </c>
      <c r="I72" t="s">
        <v>159</v>
      </c>
      <c r="J72" t="s">
        <v>62</v>
      </c>
      <c r="K72" t="s">
        <v>28</v>
      </c>
      <c r="L72" t="s">
        <v>110</v>
      </c>
      <c r="M72" t="s">
        <v>81</v>
      </c>
      <c r="N72" t="s">
        <v>238</v>
      </c>
      <c r="O72" s="4">
        <v>910.63</v>
      </c>
      <c r="P72" s="8" t="str">
        <f t="shared" si="10"/>
        <v>High</v>
      </c>
      <c r="Q72" s="4">
        <v>1269.4000000000001</v>
      </c>
      <c r="R72" s="4">
        <v>6.8000000000000005E-2</v>
      </c>
      <c r="S72" s="4">
        <v>9</v>
      </c>
      <c r="T72" s="4">
        <f t="shared" si="7"/>
        <v>240.65172000000001</v>
      </c>
      <c r="U72">
        <f t="shared" si="8"/>
        <v>8195.67</v>
      </c>
      <c r="V72" s="4">
        <f t="shared" si="11"/>
        <v>-7955.0182800000002</v>
      </c>
      <c r="W72" s="4">
        <f t="shared" si="12"/>
        <v>-33.05614553679483</v>
      </c>
    </row>
    <row r="73" spans="1:23" x14ac:dyDescent="0.3">
      <c r="A73" t="s">
        <v>239</v>
      </c>
      <c r="B73" s="7">
        <v>45756</v>
      </c>
      <c r="C73" s="2">
        <v>45783</v>
      </c>
      <c r="D73" s="4">
        <f t="shared" si="13"/>
        <v>27</v>
      </c>
      <c r="E73" s="4" t="str">
        <f>TEXT(Data!B73,"MMM-YYYY")</f>
        <v>Apr-2024</v>
      </c>
      <c r="F73" s="4" t="str">
        <f t="shared" si="9"/>
        <v>Q2-2025</v>
      </c>
      <c r="G73" t="s">
        <v>52</v>
      </c>
      <c r="H73" t="s">
        <v>73</v>
      </c>
      <c r="I73" t="s">
        <v>87</v>
      </c>
      <c r="J73" t="s">
        <v>105</v>
      </c>
      <c r="K73" t="s">
        <v>40</v>
      </c>
      <c r="L73" t="s">
        <v>84</v>
      </c>
      <c r="M73" t="s">
        <v>57</v>
      </c>
      <c r="N73" t="s">
        <v>240</v>
      </c>
      <c r="O73" s="4">
        <v>264.19</v>
      </c>
      <c r="P73" s="8" t="str">
        <f t="shared" si="10"/>
        <v>High</v>
      </c>
      <c r="Q73" s="4">
        <v>620.92999999999995</v>
      </c>
      <c r="R73" s="4">
        <v>0.14199999999999999</v>
      </c>
      <c r="S73" s="4">
        <v>12</v>
      </c>
      <c r="T73" s="4">
        <f t="shared" si="7"/>
        <v>19527.59952</v>
      </c>
      <c r="U73">
        <f t="shared" si="8"/>
        <v>3170.2799999999997</v>
      </c>
      <c r="V73" s="4">
        <f t="shared" si="11"/>
        <v>16357.319520000001</v>
      </c>
      <c r="W73" s="4">
        <f t="shared" si="12"/>
        <v>0.83765132028885447</v>
      </c>
    </row>
    <row r="74" spans="1:23" x14ac:dyDescent="0.3">
      <c r="A74" t="s">
        <v>241</v>
      </c>
      <c r="B74" s="7">
        <v>45394</v>
      </c>
      <c r="C74" s="2">
        <v>45419</v>
      </c>
      <c r="D74" s="4">
        <f t="shared" si="13"/>
        <v>25</v>
      </c>
      <c r="E74" s="4" t="str">
        <f>TEXT(Data!B74,"MMM-YYYY")</f>
        <v>Dec-2024</v>
      </c>
      <c r="F74" s="4" t="str">
        <f t="shared" si="9"/>
        <v>Q2-2024</v>
      </c>
      <c r="G74" t="s">
        <v>16</v>
      </c>
      <c r="H74" t="s">
        <v>148</v>
      </c>
      <c r="I74" t="s">
        <v>149</v>
      </c>
      <c r="J74" t="s">
        <v>27</v>
      </c>
      <c r="K74" t="s">
        <v>55</v>
      </c>
      <c r="L74" t="s">
        <v>75</v>
      </c>
      <c r="M74" t="s">
        <v>57</v>
      </c>
      <c r="N74" t="s">
        <v>242</v>
      </c>
      <c r="O74" s="4">
        <v>1376.51</v>
      </c>
      <c r="P74" s="8" t="str">
        <f t="shared" si="10"/>
        <v>High</v>
      </c>
      <c r="Q74" s="4">
        <v>1455.91</v>
      </c>
      <c r="R74" s="4">
        <v>0.185</v>
      </c>
      <c r="S74" s="4">
        <v>17</v>
      </c>
      <c r="T74" s="4">
        <f t="shared" si="7"/>
        <v>5807.6003499999997</v>
      </c>
      <c r="U74">
        <f t="shared" si="8"/>
        <v>23400.67</v>
      </c>
      <c r="V74" s="4">
        <f t="shared" si="11"/>
        <v>-17593.069649999998</v>
      </c>
      <c r="W74" s="4">
        <f t="shared" si="12"/>
        <v>-3.0293182364037841</v>
      </c>
    </row>
    <row r="75" spans="1:23" x14ac:dyDescent="0.3">
      <c r="A75" t="s">
        <v>243</v>
      </c>
      <c r="B75" s="7">
        <v>45641</v>
      </c>
      <c r="C75" s="2">
        <v>45646</v>
      </c>
      <c r="D75" s="4">
        <f t="shared" si="13"/>
        <v>5</v>
      </c>
      <c r="E75" s="4" t="str">
        <f>TEXT(Data!B75,"MMM-YYYY")</f>
        <v>May-2023</v>
      </c>
      <c r="F75" s="4" t="str">
        <f t="shared" si="9"/>
        <v>Q4-2024</v>
      </c>
      <c r="G75" t="s">
        <v>45</v>
      </c>
      <c r="H75" t="s">
        <v>116</v>
      </c>
      <c r="I75" t="s">
        <v>117</v>
      </c>
      <c r="J75" t="s">
        <v>62</v>
      </c>
      <c r="K75" t="s">
        <v>98</v>
      </c>
      <c r="L75" t="s">
        <v>29</v>
      </c>
      <c r="M75" t="s">
        <v>35</v>
      </c>
      <c r="N75" t="s">
        <v>244</v>
      </c>
      <c r="O75" s="4">
        <v>717.55</v>
      </c>
      <c r="P75" s="8" t="str">
        <f t="shared" si="10"/>
        <v>High</v>
      </c>
      <c r="Q75" s="4">
        <v>546.42999999999995</v>
      </c>
      <c r="R75" s="4">
        <v>4.7E-2</v>
      </c>
      <c r="S75" s="4">
        <v>18</v>
      </c>
      <c r="T75" s="4">
        <f t="shared" si="7"/>
        <v>34328.070179999995</v>
      </c>
      <c r="U75">
        <f t="shared" si="8"/>
        <v>12915.9</v>
      </c>
      <c r="V75" s="4">
        <f t="shared" si="11"/>
        <v>21412.170179999994</v>
      </c>
      <c r="W75" s="4">
        <f t="shared" si="12"/>
        <v>0.62375106050893059</v>
      </c>
    </row>
    <row r="76" spans="1:23" x14ac:dyDescent="0.3">
      <c r="A76" t="s">
        <v>245</v>
      </c>
      <c r="B76" s="7">
        <v>45066</v>
      </c>
      <c r="C76" s="2">
        <v>45064</v>
      </c>
      <c r="D76" s="4">
        <f>DATEDIF(C76,B76, "MD")</f>
        <v>2</v>
      </c>
      <c r="E76" s="4" t="str">
        <f>TEXT(Data!B76,"MMM-YYYY")</f>
        <v>Sept-2023</v>
      </c>
      <c r="F76" s="4" t="str">
        <f t="shared" si="9"/>
        <v>Q2-2023</v>
      </c>
      <c r="G76" t="s">
        <v>16</v>
      </c>
      <c r="H76" t="s">
        <v>148</v>
      </c>
      <c r="I76" t="s">
        <v>172</v>
      </c>
      <c r="J76" t="s">
        <v>19</v>
      </c>
      <c r="K76" t="s">
        <v>55</v>
      </c>
      <c r="L76" t="s">
        <v>75</v>
      </c>
      <c r="M76" t="s">
        <v>22</v>
      </c>
      <c r="N76" t="s">
        <v>246</v>
      </c>
      <c r="O76" s="4">
        <v>917.88</v>
      </c>
      <c r="P76" s="8" t="str">
        <f t="shared" si="10"/>
        <v>High</v>
      </c>
      <c r="Q76" s="4">
        <v>1347.92</v>
      </c>
      <c r="R76" s="4">
        <v>0.34300000000000003</v>
      </c>
      <c r="S76" s="4">
        <v>5</v>
      </c>
      <c r="T76" s="4">
        <f t="shared" si="7"/>
        <v>10198.97235</v>
      </c>
      <c r="U76">
        <f t="shared" si="8"/>
        <v>4589.3999999999996</v>
      </c>
      <c r="V76" s="4">
        <f t="shared" si="11"/>
        <v>5609.5723500000004</v>
      </c>
      <c r="W76" s="4">
        <f t="shared" si="12"/>
        <v>0.55001348738826616</v>
      </c>
    </row>
    <row r="77" spans="1:23" x14ac:dyDescent="0.3">
      <c r="A77" t="s">
        <v>247</v>
      </c>
      <c r="B77" s="7">
        <v>45187</v>
      </c>
      <c r="C77" s="2">
        <v>45207</v>
      </c>
      <c r="D77" s="4">
        <f t="shared" si="13"/>
        <v>20</v>
      </c>
      <c r="E77" s="4" t="str">
        <f>TEXT(Data!B77,"MMM-YYYY")</f>
        <v>Aug-2024</v>
      </c>
      <c r="F77" s="4" t="str">
        <f t="shared" si="9"/>
        <v>Q3-2023</v>
      </c>
      <c r="G77" t="s">
        <v>45</v>
      </c>
      <c r="H77" t="s">
        <v>60</v>
      </c>
      <c r="I77" t="s">
        <v>141</v>
      </c>
      <c r="J77" t="s">
        <v>62</v>
      </c>
      <c r="K77" t="s">
        <v>98</v>
      </c>
      <c r="L77" t="s">
        <v>56</v>
      </c>
      <c r="M77" t="s">
        <v>22</v>
      </c>
      <c r="N77" t="s">
        <v>248</v>
      </c>
      <c r="O77" s="4">
        <v>825.64</v>
      </c>
      <c r="P77" s="8" t="str">
        <f t="shared" si="10"/>
        <v>High</v>
      </c>
      <c r="Q77" s="4">
        <v>1108.43</v>
      </c>
      <c r="R77" s="4">
        <v>0.114</v>
      </c>
      <c r="S77" s="4">
        <v>7</v>
      </c>
      <c r="T77" s="4">
        <f t="shared" si="7"/>
        <v>2073.2045600000001</v>
      </c>
      <c r="U77">
        <f t="shared" si="8"/>
        <v>5779.48</v>
      </c>
      <c r="V77" s="4">
        <f t="shared" si="11"/>
        <v>-3706.2754399999994</v>
      </c>
      <c r="W77" s="4">
        <f t="shared" si="12"/>
        <v>-1.7877036890175464</v>
      </c>
    </row>
    <row r="78" spans="1:23" x14ac:dyDescent="0.3">
      <c r="A78" t="s">
        <v>249</v>
      </c>
      <c r="B78" s="7">
        <v>45532</v>
      </c>
      <c r="C78" s="2">
        <v>45560</v>
      </c>
      <c r="D78" s="4">
        <f t="shared" si="13"/>
        <v>28</v>
      </c>
      <c r="E78" s="4" t="str">
        <f>TEXT(Data!B78,"MMM-YYYY")</f>
        <v>Jun-2024</v>
      </c>
      <c r="F78" s="4" t="str">
        <f t="shared" si="9"/>
        <v>Q3-2024</v>
      </c>
      <c r="G78" t="s">
        <v>52</v>
      </c>
      <c r="H78" t="s">
        <v>73</v>
      </c>
      <c r="I78" t="s">
        <v>225</v>
      </c>
      <c r="J78" t="s">
        <v>39</v>
      </c>
      <c r="K78" t="s">
        <v>28</v>
      </c>
      <c r="L78" t="s">
        <v>1364</v>
      </c>
      <c r="M78" t="s">
        <v>81</v>
      </c>
      <c r="N78" t="s">
        <v>250</v>
      </c>
      <c r="O78" s="4">
        <v>1394.65</v>
      </c>
      <c r="P78" s="8" t="str">
        <f t="shared" si="10"/>
        <v>High</v>
      </c>
      <c r="Q78" s="4">
        <v>3144.1</v>
      </c>
      <c r="R78" s="4">
        <v>0.13400000000000001</v>
      </c>
      <c r="S78" s="4">
        <v>13</v>
      </c>
      <c r="T78" s="4">
        <f t="shared" si="7"/>
        <v>21984.960139999999</v>
      </c>
      <c r="U78">
        <f t="shared" si="8"/>
        <v>18130.45</v>
      </c>
      <c r="V78" s="4">
        <f t="shared" si="11"/>
        <v>3854.5101399999985</v>
      </c>
      <c r="W78" s="4">
        <f t="shared" si="12"/>
        <v>0.17532486370020767</v>
      </c>
    </row>
    <row r="79" spans="1:23" x14ac:dyDescent="0.3">
      <c r="A79" t="s">
        <v>251</v>
      </c>
      <c r="B79" s="7">
        <v>45473</v>
      </c>
      <c r="C79" s="2">
        <v>45471</v>
      </c>
      <c r="D79" s="4">
        <f>DATEDIF(C79,B79, "MD")</f>
        <v>2</v>
      </c>
      <c r="E79" s="4" t="str">
        <f>TEXT(Data!B79,"MMM-YYYY")</f>
        <v>Jun-2023</v>
      </c>
      <c r="F79" s="4" t="str">
        <f t="shared" si="9"/>
        <v>Q2-2024</v>
      </c>
      <c r="G79" t="s">
        <v>52</v>
      </c>
      <c r="H79" t="s">
        <v>73</v>
      </c>
      <c r="I79" t="s">
        <v>225</v>
      </c>
      <c r="J79" t="s">
        <v>62</v>
      </c>
      <c r="K79" t="s">
        <v>98</v>
      </c>
      <c r="L79" t="s">
        <v>49</v>
      </c>
      <c r="M79" t="s">
        <v>81</v>
      </c>
      <c r="N79" t="s">
        <v>252</v>
      </c>
      <c r="O79" s="4">
        <v>1112.98</v>
      </c>
      <c r="P79" s="8" t="str">
        <f t="shared" si="10"/>
        <v>High</v>
      </c>
      <c r="Q79" s="4">
        <v>2095.73</v>
      </c>
      <c r="R79" s="4">
        <v>7.1999999999999995E-2</v>
      </c>
      <c r="S79" s="4">
        <v>17</v>
      </c>
      <c r="T79" s="4">
        <f t="shared" si="7"/>
        <v>3822.3670400000005</v>
      </c>
      <c r="U79">
        <f t="shared" si="8"/>
        <v>18920.66</v>
      </c>
      <c r="V79" s="4">
        <f t="shared" si="11"/>
        <v>-15098.292959999999</v>
      </c>
      <c r="W79" s="4">
        <f t="shared" si="12"/>
        <v>-3.9499851275402365</v>
      </c>
    </row>
    <row r="80" spans="1:23" x14ac:dyDescent="0.3">
      <c r="A80" t="s">
        <v>253</v>
      </c>
      <c r="B80" s="7">
        <v>45091</v>
      </c>
      <c r="C80" s="2">
        <v>45093</v>
      </c>
      <c r="D80" s="4">
        <f t="shared" si="13"/>
        <v>2</v>
      </c>
      <c r="E80" s="4" t="str">
        <f>TEXT(Data!B80,"MMM-YYYY")</f>
        <v>Nov-2024</v>
      </c>
      <c r="F80" s="4" t="str">
        <f t="shared" si="9"/>
        <v>Q2-2023</v>
      </c>
      <c r="G80" t="s">
        <v>78</v>
      </c>
      <c r="H80" t="s">
        <v>108</v>
      </c>
      <c r="I80" t="s">
        <v>228</v>
      </c>
      <c r="J80" t="s">
        <v>39</v>
      </c>
      <c r="K80" t="s">
        <v>98</v>
      </c>
      <c r="L80" t="s">
        <v>95</v>
      </c>
      <c r="M80" t="s">
        <v>22</v>
      </c>
      <c r="N80" t="s">
        <v>254</v>
      </c>
      <c r="O80" s="4">
        <v>357.36</v>
      </c>
      <c r="P80" s="8" t="str">
        <f t="shared" si="10"/>
        <v>High</v>
      </c>
      <c r="Q80" s="4">
        <v>703.62</v>
      </c>
      <c r="R80" s="4">
        <v>0.25700000000000001</v>
      </c>
      <c r="S80" s="4">
        <v>20</v>
      </c>
      <c r="T80" s="4">
        <f t="shared" si="7"/>
        <v>44117.408199999998</v>
      </c>
      <c r="U80">
        <f t="shared" si="8"/>
        <v>7147.2000000000007</v>
      </c>
      <c r="V80" s="4">
        <f t="shared" si="11"/>
        <v>36970.208199999994</v>
      </c>
      <c r="W80" s="4">
        <f t="shared" si="12"/>
        <v>0.83799592288832592</v>
      </c>
    </row>
    <row r="81" spans="1:23" x14ac:dyDescent="0.3">
      <c r="A81" t="s">
        <v>255</v>
      </c>
      <c r="B81" s="7">
        <v>45617</v>
      </c>
      <c r="C81" s="2">
        <v>45647</v>
      </c>
      <c r="D81" s="4">
        <f t="shared" si="13"/>
        <v>0</v>
      </c>
      <c r="E81" s="4" t="str">
        <f>TEXT(Data!B81,"MMM-YYYY")</f>
        <v>Feb-2023</v>
      </c>
      <c r="F81" s="4" t="str">
        <f t="shared" si="9"/>
        <v>Q4-2024</v>
      </c>
      <c r="G81" t="s">
        <v>78</v>
      </c>
      <c r="H81" t="s">
        <v>90</v>
      </c>
      <c r="I81" t="s">
        <v>91</v>
      </c>
      <c r="J81" t="s">
        <v>62</v>
      </c>
      <c r="K81" t="s">
        <v>98</v>
      </c>
      <c r="L81" t="s">
        <v>34</v>
      </c>
      <c r="M81" t="s">
        <v>64</v>
      </c>
      <c r="N81" t="s">
        <v>256</v>
      </c>
      <c r="O81" s="4">
        <v>1122.68</v>
      </c>
      <c r="P81" s="8" t="str">
        <f t="shared" si="10"/>
        <v>High</v>
      </c>
      <c r="Q81" s="4">
        <v>1997.19</v>
      </c>
      <c r="R81" s="4">
        <v>0.186</v>
      </c>
      <c r="S81" s="4">
        <v>3</v>
      </c>
      <c r="T81" s="4">
        <f t="shared" si="7"/>
        <v>3404.8806</v>
      </c>
      <c r="U81">
        <f t="shared" si="8"/>
        <v>3368.04</v>
      </c>
      <c r="V81" s="4">
        <f t="shared" si="11"/>
        <v>36.840599999999995</v>
      </c>
      <c r="W81" s="4">
        <f t="shared" si="12"/>
        <v>1.081993888420052E-2</v>
      </c>
    </row>
    <row r="82" spans="1:23" x14ac:dyDescent="0.3">
      <c r="A82" t="s">
        <v>257</v>
      </c>
      <c r="B82" s="7">
        <v>44965</v>
      </c>
      <c r="C82" s="2">
        <v>44968</v>
      </c>
      <c r="D82" s="4">
        <f t="shared" si="13"/>
        <v>3</v>
      </c>
      <c r="E82" s="4" t="str">
        <f>TEXT(Data!B82,"MMM-YYYY")</f>
        <v>Aug-2023</v>
      </c>
      <c r="F82" s="4" t="str">
        <f t="shared" si="9"/>
        <v>Q1-2023</v>
      </c>
      <c r="G82" t="s">
        <v>16</v>
      </c>
      <c r="H82" t="s">
        <v>148</v>
      </c>
      <c r="I82" t="s">
        <v>258</v>
      </c>
      <c r="J82" t="s">
        <v>19</v>
      </c>
      <c r="K82" t="s">
        <v>98</v>
      </c>
      <c r="L82" t="s">
        <v>110</v>
      </c>
      <c r="M82" t="s">
        <v>35</v>
      </c>
      <c r="N82" t="s">
        <v>259</v>
      </c>
      <c r="O82" s="4">
        <v>1410.05</v>
      </c>
      <c r="P82" s="8" t="str">
        <f t="shared" si="10"/>
        <v>High</v>
      </c>
      <c r="Q82" s="4">
        <v>2763.95</v>
      </c>
      <c r="R82" s="4">
        <v>0.161</v>
      </c>
      <c r="S82" s="4">
        <v>26</v>
      </c>
      <c r="T82" s="4">
        <f t="shared" si="7"/>
        <v>336.15374000000003</v>
      </c>
      <c r="U82">
        <f t="shared" si="8"/>
        <v>36661.299999999996</v>
      </c>
      <c r="V82" s="4">
        <f t="shared" si="11"/>
        <v>-36325.146259999994</v>
      </c>
      <c r="W82" s="4">
        <f t="shared" si="12"/>
        <v>-108.06110995522462</v>
      </c>
    </row>
    <row r="83" spans="1:23" x14ac:dyDescent="0.3">
      <c r="A83" t="s">
        <v>260</v>
      </c>
      <c r="B83" s="7">
        <v>45157</v>
      </c>
      <c r="C83" s="2">
        <v>45181</v>
      </c>
      <c r="D83" s="4">
        <f t="shared" si="13"/>
        <v>24</v>
      </c>
      <c r="E83" s="4" t="str">
        <f>TEXT(Data!B83,"MMM-YYYY")</f>
        <v>May-2025</v>
      </c>
      <c r="F83" s="4" t="str">
        <f t="shared" si="9"/>
        <v>Q3-2023</v>
      </c>
      <c r="G83" t="s">
        <v>52</v>
      </c>
      <c r="H83" t="s">
        <v>53</v>
      </c>
      <c r="I83" t="s">
        <v>179</v>
      </c>
      <c r="J83" t="s">
        <v>105</v>
      </c>
      <c r="K83" t="s">
        <v>20</v>
      </c>
      <c r="L83" t="s">
        <v>34</v>
      </c>
      <c r="M83" t="s">
        <v>30</v>
      </c>
      <c r="N83" t="s">
        <v>261</v>
      </c>
      <c r="O83" s="4">
        <v>1183.95</v>
      </c>
      <c r="P83" s="8" t="str">
        <f t="shared" si="10"/>
        <v>High</v>
      </c>
      <c r="Q83" s="4">
        <v>1503.53</v>
      </c>
      <c r="R83" s="4">
        <v>0.24099999999999999</v>
      </c>
      <c r="S83" s="4">
        <v>16</v>
      </c>
      <c r="T83" s="4">
        <f t="shared" si="7"/>
        <v>27333.836640000001</v>
      </c>
      <c r="U83">
        <f t="shared" si="8"/>
        <v>18943.2</v>
      </c>
      <c r="V83" s="4">
        <f t="shared" si="11"/>
        <v>8390.6366400000006</v>
      </c>
      <c r="W83" s="4">
        <f t="shared" si="12"/>
        <v>0.30696885879976488</v>
      </c>
    </row>
    <row r="84" spans="1:23" x14ac:dyDescent="0.3">
      <c r="A84" t="s">
        <v>262</v>
      </c>
      <c r="B84" s="7">
        <v>45791</v>
      </c>
      <c r="C84" s="2">
        <v>45801</v>
      </c>
      <c r="D84" s="4">
        <f t="shared" si="13"/>
        <v>10</v>
      </c>
      <c r="E84" s="4" t="str">
        <f>TEXT(Data!B84,"MMM-YYYY")</f>
        <v>Apr-2025</v>
      </c>
      <c r="F84" s="4" t="str">
        <f t="shared" si="9"/>
        <v>Q2-2025</v>
      </c>
      <c r="G84" t="s">
        <v>78</v>
      </c>
      <c r="H84" t="s">
        <v>90</v>
      </c>
      <c r="I84" t="s">
        <v>217</v>
      </c>
      <c r="J84" t="s">
        <v>62</v>
      </c>
      <c r="K84" t="s">
        <v>40</v>
      </c>
      <c r="L84" t="s">
        <v>95</v>
      </c>
      <c r="M84" t="s">
        <v>22</v>
      </c>
      <c r="N84" t="s">
        <v>263</v>
      </c>
      <c r="O84" s="4">
        <v>170.39</v>
      </c>
      <c r="P84" s="8" t="str">
        <f t="shared" si="10"/>
        <v>High</v>
      </c>
      <c r="Q84" s="4">
        <v>388.04</v>
      </c>
      <c r="R84" s="4">
        <v>8.4000000000000005E-2</v>
      </c>
      <c r="S84" s="4">
        <v>15</v>
      </c>
      <c r="T84" s="4">
        <f t="shared" si="7"/>
        <v>2281.3896</v>
      </c>
      <c r="U84">
        <f t="shared" si="8"/>
        <v>2555.85</v>
      </c>
      <c r="V84" s="4">
        <f t="shared" si="11"/>
        <v>-274.46039999999994</v>
      </c>
      <c r="W84" s="4">
        <f t="shared" si="12"/>
        <v>-0.12030404627074653</v>
      </c>
    </row>
    <row r="85" spans="1:23" x14ac:dyDescent="0.3">
      <c r="A85" t="s">
        <v>264</v>
      </c>
      <c r="B85" s="7">
        <v>45770</v>
      </c>
      <c r="C85" s="2">
        <v>45769</v>
      </c>
      <c r="D85" s="4">
        <f>DATEDIF(C85,B85, "MD")</f>
        <v>1</v>
      </c>
      <c r="E85" s="4" t="str">
        <f>TEXT(Data!B85,"MMM-YYYY")</f>
        <v>Mar-2025</v>
      </c>
      <c r="F85" s="4" t="str">
        <f t="shared" si="9"/>
        <v>Q2-2025</v>
      </c>
      <c r="G85" t="s">
        <v>52</v>
      </c>
      <c r="H85" t="s">
        <v>122</v>
      </c>
      <c r="I85" t="s">
        <v>167</v>
      </c>
      <c r="J85" t="s">
        <v>39</v>
      </c>
      <c r="K85" t="s">
        <v>55</v>
      </c>
      <c r="L85" t="s">
        <v>145</v>
      </c>
      <c r="M85" t="s">
        <v>64</v>
      </c>
      <c r="N85" t="s">
        <v>265</v>
      </c>
      <c r="O85" s="4">
        <v>23.24</v>
      </c>
      <c r="P85" s="8" t="str">
        <f t="shared" si="10"/>
        <v>Low</v>
      </c>
      <c r="Q85" s="4">
        <v>44.57</v>
      </c>
      <c r="R85" s="4">
        <v>0.215</v>
      </c>
      <c r="S85" s="4">
        <v>15</v>
      </c>
      <c r="T85" s="4">
        <f t="shared" si="7"/>
        <v>4198.3762500000003</v>
      </c>
      <c r="U85">
        <f t="shared" si="8"/>
        <v>348.59999999999997</v>
      </c>
      <c r="V85" s="4">
        <f t="shared" si="11"/>
        <v>3849.7762500000003</v>
      </c>
      <c r="W85" s="4">
        <f t="shared" si="12"/>
        <v>0.91696789919674304</v>
      </c>
    </row>
    <row r="86" spans="1:23" x14ac:dyDescent="0.3">
      <c r="A86" t="s">
        <v>266</v>
      </c>
      <c r="B86" s="7">
        <v>45741</v>
      </c>
      <c r="C86" s="2">
        <v>45764</v>
      </c>
      <c r="D86" s="4">
        <f t="shared" si="13"/>
        <v>23</v>
      </c>
      <c r="E86" s="4" t="str">
        <f>TEXT(Data!B86,"MMM-YYYY")</f>
        <v>Dec-2023</v>
      </c>
      <c r="F86" s="4" t="str">
        <f t="shared" si="9"/>
        <v>Q1-2025</v>
      </c>
      <c r="G86" t="s">
        <v>78</v>
      </c>
      <c r="H86" t="s">
        <v>108</v>
      </c>
      <c r="I86" t="s">
        <v>152</v>
      </c>
      <c r="J86" t="s">
        <v>48</v>
      </c>
      <c r="K86" t="s">
        <v>20</v>
      </c>
      <c r="L86" t="s">
        <v>92</v>
      </c>
      <c r="M86" t="s">
        <v>35</v>
      </c>
      <c r="N86" t="s">
        <v>267</v>
      </c>
      <c r="O86" s="4">
        <v>1421.19</v>
      </c>
      <c r="P86" s="8" t="str">
        <f t="shared" si="10"/>
        <v>High</v>
      </c>
      <c r="Q86" s="4">
        <v>1808.26</v>
      </c>
      <c r="R86" s="4">
        <v>0.104</v>
      </c>
      <c r="S86" s="4">
        <v>13</v>
      </c>
      <c r="T86" s="4">
        <f t="shared" si="7"/>
        <v>11939.7824</v>
      </c>
      <c r="U86">
        <f t="shared" si="8"/>
        <v>18475.47</v>
      </c>
      <c r="V86" s="4">
        <f t="shared" si="11"/>
        <v>-6535.6876000000011</v>
      </c>
      <c r="W86" s="4">
        <f t="shared" si="12"/>
        <v>-0.54738749677716081</v>
      </c>
    </row>
    <row r="87" spans="1:23" x14ac:dyDescent="0.3">
      <c r="A87" t="s">
        <v>268</v>
      </c>
      <c r="B87" s="7">
        <v>45282</v>
      </c>
      <c r="C87" s="2">
        <v>45283</v>
      </c>
      <c r="D87" s="4">
        <f t="shared" si="13"/>
        <v>1</v>
      </c>
      <c r="E87" s="4" t="str">
        <f>TEXT(Data!B87,"MMM-YYYY")</f>
        <v>Apr-2024</v>
      </c>
      <c r="F87" s="4" t="str">
        <f t="shared" si="9"/>
        <v>Q4-2023</v>
      </c>
      <c r="G87" t="s">
        <v>16</v>
      </c>
      <c r="H87" t="s">
        <v>148</v>
      </c>
      <c r="I87" t="s">
        <v>258</v>
      </c>
      <c r="J87" t="s">
        <v>39</v>
      </c>
      <c r="K87" t="s">
        <v>40</v>
      </c>
      <c r="L87" t="s">
        <v>145</v>
      </c>
      <c r="M87" t="s">
        <v>22</v>
      </c>
      <c r="N87" t="s">
        <v>269</v>
      </c>
      <c r="O87" s="4">
        <v>1186.18</v>
      </c>
      <c r="P87" s="8" t="str">
        <f t="shared" si="10"/>
        <v>High</v>
      </c>
      <c r="Q87" s="4">
        <v>1285.0899999999999</v>
      </c>
      <c r="R87" s="4">
        <v>7.0000000000000007E-2</v>
      </c>
      <c r="S87" s="4">
        <v>11</v>
      </c>
      <c r="T87" s="4">
        <f t="shared" si="7"/>
        <v>18364.589100000001</v>
      </c>
      <c r="U87">
        <f t="shared" si="8"/>
        <v>13047.980000000001</v>
      </c>
      <c r="V87" s="4">
        <f t="shared" si="11"/>
        <v>5316.6090999999997</v>
      </c>
      <c r="W87" s="4">
        <f t="shared" si="12"/>
        <v>0.28950329740838032</v>
      </c>
    </row>
    <row r="88" spans="1:23" x14ac:dyDescent="0.3">
      <c r="A88" t="s">
        <v>270</v>
      </c>
      <c r="B88" s="7">
        <v>45388</v>
      </c>
      <c r="C88" s="2">
        <v>45407</v>
      </c>
      <c r="D88" s="4">
        <f t="shared" si="13"/>
        <v>19</v>
      </c>
      <c r="E88" s="4" t="str">
        <f>TEXT(Data!B88,"MMM-YYYY")</f>
        <v>Aug-2025</v>
      </c>
      <c r="F88" s="4" t="str">
        <f t="shared" si="9"/>
        <v>Q2-2024</v>
      </c>
      <c r="G88" t="s">
        <v>45</v>
      </c>
      <c r="H88" t="s">
        <v>116</v>
      </c>
      <c r="I88" t="s">
        <v>162</v>
      </c>
      <c r="J88" t="s">
        <v>19</v>
      </c>
      <c r="K88" t="s">
        <v>20</v>
      </c>
      <c r="L88" t="s">
        <v>95</v>
      </c>
      <c r="M88" t="s">
        <v>22</v>
      </c>
      <c r="N88" t="s">
        <v>271</v>
      </c>
      <c r="O88" s="4">
        <v>1366.48</v>
      </c>
      <c r="P88" s="8" t="str">
        <f t="shared" si="10"/>
        <v>High</v>
      </c>
      <c r="Q88" s="4">
        <v>1678.14</v>
      </c>
      <c r="R88" s="4">
        <v>0.154</v>
      </c>
      <c r="S88" s="4">
        <v>10</v>
      </c>
      <c r="T88" s="4">
        <f t="shared" si="7"/>
        <v>36.970199999999998</v>
      </c>
      <c r="U88">
        <f t="shared" si="8"/>
        <v>13664.8</v>
      </c>
      <c r="V88" s="4">
        <f t="shared" si="11"/>
        <v>-13627.8298</v>
      </c>
      <c r="W88" s="4">
        <f t="shared" si="12"/>
        <v>-368.61661013464897</v>
      </c>
    </row>
    <row r="89" spans="1:23" x14ac:dyDescent="0.3">
      <c r="A89" t="s">
        <v>272</v>
      </c>
      <c r="B89" s="7">
        <v>45876</v>
      </c>
      <c r="C89" s="2">
        <v>45888</v>
      </c>
      <c r="D89" s="4">
        <f t="shared" si="13"/>
        <v>12</v>
      </c>
      <c r="E89" s="4" t="str">
        <f>TEXT(Data!B89,"MMM-YYYY")</f>
        <v>Jan-2024</v>
      </c>
      <c r="F89" s="4" t="str">
        <f t="shared" si="9"/>
        <v>Q3-2025</v>
      </c>
      <c r="G89" t="s">
        <v>16</v>
      </c>
      <c r="H89" t="s">
        <v>17</v>
      </c>
      <c r="I89" t="s">
        <v>135</v>
      </c>
      <c r="J89" t="s">
        <v>19</v>
      </c>
      <c r="K89" t="s">
        <v>1364</v>
      </c>
      <c r="L89" t="s">
        <v>110</v>
      </c>
      <c r="M89" t="s">
        <v>22</v>
      </c>
      <c r="N89" t="s">
        <v>273</v>
      </c>
      <c r="O89" s="4">
        <v>601.51</v>
      </c>
      <c r="P89" s="8" t="str">
        <f t="shared" si="10"/>
        <v>High</v>
      </c>
      <c r="Q89" s="4">
        <v>679.35</v>
      </c>
      <c r="R89" s="4">
        <v>0.188</v>
      </c>
      <c r="S89" s="4">
        <v>3</v>
      </c>
      <c r="T89" s="4">
        <f t="shared" si="7"/>
        <v>532.26600000000008</v>
      </c>
      <c r="U89">
        <f t="shared" si="8"/>
        <v>1804.53</v>
      </c>
      <c r="V89" s="4">
        <f t="shared" si="11"/>
        <v>-1272.2639999999999</v>
      </c>
      <c r="W89" s="4">
        <f t="shared" si="12"/>
        <v>-2.3902785449380568</v>
      </c>
    </row>
    <row r="90" spans="1:23" x14ac:dyDescent="0.3">
      <c r="A90" t="s">
        <v>274</v>
      </c>
      <c r="B90" s="7">
        <v>45312</v>
      </c>
      <c r="C90" s="2">
        <v>45316</v>
      </c>
      <c r="D90" s="4">
        <f t="shared" si="13"/>
        <v>4</v>
      </c>
      <c r="E90" s="4" t="str">
        <f>TEXT(Data!B90,"MMM-YYYY")</f>
        <v>Jun-2023</v>
      </c>
      <c r="F90" s="4" t="str">
        <f t="shared" si="9"/>
        <v>Q1-2024</v>
      </c>
      <c r="G90" t="s">
        <v>45</v>
      </c>
      <c r="H90" t="s">
        <v>60</v>
      </c>
      <c r="I90" t="s">
        <v>141</v>
      </c>
      <c r="J90" t="s">
        <v>48</v>
      </c>
      <c r="K90" t="s">
        <v>98</v>
      </c>
      <c r="L90" t="s">
        <v>21</v>
      </c>
      <c r="M90" t="s">
        <v>64</v>
      </c>
      <c r="N90" t="s">
        <v>275</v>
      </c>
      <c r="O90" s="4">
        <v>523.70000000000005</v>
      </c>
      <c r="P90" s="8" t="str">
        <f t="shared" si="10"/>
        <v>High</v>
      </c>
      <c r="Q90" s="4">
        <v>1109.92</v>
      </c>
      <c r="R90" s="4">
        <v>0.03</v>
      </c>
      <c r="S90" s="4">
        <v>11</v>
      </c>
      <c r="T90" s="4">
        <f t="shared" si="7"/>
        <v>2666.1129000000001</v>
      </c>
      <c r="U90">
        <f t="shared" si="8"/>
        <v>5760.7000000000007</v>
      </c>
      <c r="V90" s="4">
        <f t="shared" si="11"/>
        <v>-3094.5871000000006</v>
      </c>
      <c r="W90" s="4">
        <f t="shared" si="12"/>
        <v>-1.160711198689298</v>
      </c>
    </row>
    <row r="91" spans="1:23" x14ac:dyDescent="0.3">
      <c r="A91" t="s">
        <v>276</v>
      </c>
      <c r="B91" s="7">
        <v>45106</v>
      </c>
      <c r="C91" s="2">
        <v>45109</v>
      </c>
      <c r="D91" s="4">
        <f t="shared" si="13"/>
        <v>3</v>
      </c>
      <c r="E91" s="4" t="str">
        <f>TEXT(Data!B91,"MMM-YYYY")</f>
        <v>Apr-2025</v>
      </c>
      <c r="F91" s="4" t="str">
        <f t="shared" si="9"/>
        <v>Q2-2023</v>
      </c>
      <c r="G91" t="s">
        <v>45</v>
      </c>
      <c r="H91" t="s">
        <v>46</v>
      </c>
      <c r="I91" t="s">
        <v>231</v>
      </c>
      <c r="J91" t="s">
        <v>27</v>
      </c>
      <c r="K91" t="s">
        <v>40</v>
      </c>
      <c r="L91" t="s">
        <v>84</v>
      </c>
      <c r="M91" t="s">
        <v>64</v>
      </c>
      <c r="N91" t="s">
        <v>277</v>
      </c>
      <c r="O91" s="4">
        <v>55.65</v>
      </c>
      <c r="P91" s="8" t="str">
        <f t="shared" si="10"/>
        <v>Medium</v>
      </c>
      <c r="Q91" s="4">
        <v>83.57</v>
      </c>
      <c r="R91" s="4">
        <v>6.6000000000000003E-2</v>
      </c>
      <c r="S91" s="4">
        <v>8</v>
      </c>
      <c r="T91" s="4">
        <f t="shared" si="7"/>
        <v>25677.677439999999</v>
      </c>
      <c r="U91">
        <f t="shared" si="8"/>
        <v>445.2</v>
      </c>
      <c r="V91" s="4">
        <f t="shared" si="11"/>
        <v>25232.477439999999</v>
      </c>
      <c r="W91" s="4">
        <f t="shared" si="12"/>
        <v>0.98266198331059018</v>
      </c>
    </row>
    <row r="92" spans="1:23" x14ac:dyDescent="0.3">
      <c r="A92" t="s">
        <v>278</v>
      </c>
      <c r="B92" s="7">
        <v>45775</v>
      </c>
      <c r="C92" s="2">
        <v>45792</v>
      </c>
      <c r="D92" s="4">
        <f t="shared" si="13"/>
        <v>17</v>
      </c>
      <c r="E92" s="4" t="str">
        <f>TEXT(Data!B92,"MMM-YYYY")</f>
        <v>Jun-2025</v>
      </c>
      <c r="F92" s="4" t="str">
        <f t="shared" si="9"/>
        <v>Q2-2025</v>
      </c>
      <c r="G92" t="s">
        <v>45</v>
      </c>
      <c r="H92" t="s">
        <v>46</v>
      </c>
      <c r="I92" t="s">
        <v>231</v>
      </c>
      <c r="J92" t="s">
        <v>27</v>
      </c>
      <c r="K92" t="s">
        <v>98</v>
      </c>
      <c r="L92" t="s">
        <v>126</v>
      </c>
      <c r="M92" t="s">
        <v>35</v>
      </c>
      <c r="N92" t="s">
        <v>279</v>
      </c>
      <c r="O92" s="4">
        <v>691.19</v>
      </c>
      <c r="P92" s="8" t="str">
        <f t="shared" si="10"/>
        <v>High</v>
      </c>
      <c r="Q92" s="4">
        <v>1284.3</v>
      </c>
      <c r="R92" s="4">
        <v>7.3999999999999996E-2</v>
      </c>
      <c r="S92" s="4">
        <v>7</v>
      </c>
      <c r="T92" s="4">
        <f t="shared" si="7"/>
        <v>346.46290000000005</v>
      </c>
      <c r="U92">
        <f t="shared" si="8"/>
        <v>4838.33</v>
      </c>
      <c r="V92" s="4">
        <f t="shared" si="11"/>
        <v>-4491.8670999999995</v>
      </c>
      <c r="W92" s="4">
        <f t="shared" si="12"/>
        <v>-12.964929578318483</v>
      </c>
    </row>
    <row r="93" spans="1:23" x14ac:dyDescent="0.3">
      <c r="A93" t="s">
        <v>280</v>
      </c>
      <c r="B93" s="7">
        <v>45817</v>
      </c>
      <c r="C93" s="2">
        <v>45833</v>
      </c>
      <c r="D93" s="4">
        <f t="shared" si="13"/>
        <v>16</v>
      </c>
      <c r="E93" s="4" t="str">
        <f>TEXT(Data!B93,"MMM-YYYY")</f>
        <v>Jun-2023</v>
      </c>
      <c r="F93" s="4" t="str">
        <f t="shared" si="9"/>
        <v>Q2-2025</v>
      </c>
      <c r="G93" t="s">
        <v>45</v>
      </c>
      <c r="H93" t="s">
        <v>60</v>
      </c>
      <c r="I93" t="s">
        <v>281</v>
      </c>
      <c r="J93" t="s">
        <v>105</v>
      </c>
      <c r="K93" t="s">
        <v>55</v>
      </c>
      <c r="L93" t="s">
        <v>110</v>
      </c>
      <c r="M93" t="s">
        <v>42</v>
      </c>
      <c r="N93" t="s">
        <v>282</v>
      </c>
      <c r="O93" s="4">
        <v>527.33000000000004</v>
      </c>
      <c r="P93" s="8" t="str">
        <f t="shared" si="10"/>
        <v>High</v>
      </c>
      <c r="Q93" s="4">
        <v>911.72</v>
      </c>
      <c r="R93" s="4">
        <v>0.14399999999999999</v>
      </c>
      <c r="S93" s="4">
        <v>25</v>
      </c>
      <c r="T93" s="4">
        <f t="shared" si="7"/>
        <v>74251.58</v>
      </c>
      <c r="U93">
        <f t="shared" si="8"/>
        <v>13183.250000000002</v>
      </c>
      <c r="V93" s="4">
        <f t="shared" si="11"/>
        <v>61068.33</v>
      </c>
      <c r="W93" s="4">
        <f t="shared" si="12"/>
        <v>0.82245158958233622</v>
      </c>
    </row>
    <row r="94" spans="1:23" x14ac:dyDescent="0.3">
      <c r="A94" t="s">
        <v>283</v>
      </c>
      <c r="B94" s="7">
        <v>45101</v>
      </c>
      <c r="C94" s="2">
        <v>45100</v>
      </c>
      <c r="D94" s="4">
        <f>DATEDIF(C94,B94, "MD")</f>
        <v>1</v>
      </c>
      <c r="E94" s="4" t="str">
        <f>TEXT(Data!B94,"MMM-YYYY")</f>
        <v>Oct-2024</v>
      </c>
      <c r="F94" s="4" t="str">
        <f t="shared" si="9"/>
        <v>Q2-2023</v>
      </c>
      <c r="G94" t="s">
        <v>52</v>
      </c>
      <c r="H94" t="s">
        <v>73</v>
      </c>
      <c r="I94" t="s">
        <v>225</v>
      </c>
      <c r="J94" t="s">
        <v>39</v>
      </c>
      <c r="K94" t="s">
        <v>20</v>
      </c>
      <c r="L94" t="s">
        <v>63</v>
      </c>
      <c r="M94" t="s">
        <v>30</v>
      </c>
      <c r="N94" t="s">
        <v>284</v>
      </c>
      <c r="O94" s="4">
        <v>804.01</v>
      </c>
      <c r="P94" s="8" t="str">
        <f t="shared" si="10"/>
        <v>High</v>
      </c>
      <c r="Q94" s="4">
        <v>1405.07</v>
      </c>
      <c r="R94" s="4">
        <v>9.6000000000000002E-2</v>
      </c>
      <c r="S94" s="4">
        <v>8</v>
      </c>
      <c r="T94" s="4">
        <f t="shared" si="7"/>
        <v>4491.2166399999996</v>
      </c>
      <c r="U94">
        <f t="shared" si="8"/>
        <v>6432.08</v>
      </c>
      <c r="V94" s="4">
        <f t="shared" si="11"/>
        <v>-1940.8633600000003</v>
      </c>
      <c r="W94" s="4">
        <f t="shared" si="12"/>
        <v>-0.43214645731273393</v>
      </c>
    </row>
    <row r="95" spans="1:23" x14ac:dyDescent="0.3">
      <c r="A95" t="s">
        <v>285</v>
      </c>
      <c r="B95" s="7">
        <v>45569</v>
      </c>
      <c r="C95" s="2">
        <v>45598</v>
      </c>
      <c r="D95" s="4">
        <f t="shared" si="13"/>
        <v>29</v>
      </c>
      <c r="E95" s="4" t="str">
        <f>TEXT(Data!B95,"MMM-YYYY")</f>
        <v>Sept-2025</v>
      </c>
      <c r="F95" s="4" t="str">
        <f t="shared" si="9"/>
        <v>Q4-2024</v>
      </c>
      <c r="G95" t="s">
        <v>16</v>
      </c>
      <c r="H95" t="s">
        <v>25</v>
      </c>
      <c r="I95" t="s">
        <v>67</v>
      </c>
      <c r="J95" t="s">
        <v>19</v>
      </c>
      <c r="K95" t="s">
        <v>55</v>
      </c>
      <c r="L95" t="s">
        <v>84</v>
      </c>
      <c r="M95" t="s">
        <v>81</v>
      </c>
      <c r="N95" t="s">
        <v>286</v>
      </c>
      <c r="O95" s="4">
        <v>412.09</v>
      </c>
      <c r="P95" s="8" t="str">
        <f t="shared" si="10"/>
        <v>High</v>
      </c>
      <c r="Q95" s="4">
        <v>968.94</v>
      </c>
      <c r="R95" s="4">
        <v>9.9000000000000005E-2</v>
      </c>
      <c r="S95" s="4">
        <v>23</v>
      </c>
      <c r="T95" s="4">
        <f t="shared" si="7"/>
        <v>1834.19273</v>
      </c>
      <c r="U95">
        <f t="shared" si="8"/>
        <v>9478.07</v>
      </c>
      <c r="V95" s="4">
        <f t="shared" si="11"/>
        <v>-7643.87727</v>
      </c>
      <c r="W95" s="4">
        <f t="shared" si="12"/>
        <v>-4.1674340678473847</v>
      </c>
    </row>
    <row r="96" spans="1:23" x14ac:dyDescent="0.3">
      <c r="A96" t="s">
        <v>287</v>
      </c>
      <c r="B96" s="7">
        <v>45910</v>
      </c>
      <c r="C96" s="2">
        <v>45930</v>
      </c>
      <c r="D96" s="4">
        <f t="shared" si="13"/>
        <v>20</v>
      </c>
      <c r="E96" s="4" t="str">
        <f>TEXT(Data!B96,"MMM-YYYY")</f>
        <v>Apr-2023</v>
      </c>
      <c r="F96" s="4" t="str">
        <f t="shared" si="9"/>
        <v>Q3-2025</v>
      </c>
      <c r="G96" t="s">
        <v>16</v>
      </c>
      <c r="H96" t="s">
        <v>17</v>
      </c>
      <c r="I96" t="s">
        <v>113</v>
      </c>
      <c r="J96" t="s">
        <v>19</v>
      </c>
      <c r="K96" t="s">
        <v>98</v>
      </c>
      <c r="L96" t="s">
        <v>49</v>
      </c>
      <c r="M96" t="s">
        <v>42</v>
      </c>
      <c r="N96" t="s">
        <v>288</v>
      </c>
      <c r="O96" s="4">
        <v>1009.48</v>
      </c>
      <c r="P96" s="8" t="str">
        <f t="shared" si="10"/>
        <v>High</v>
      </c>
      <c r="Q96" s="4">
        <v>1088.81</v>
      </c>
      <c r="R96" s="4">
        <v>0.16</v>
      </c>
      <c r="S96" s="4">
        <v>6</v>
      </c>
      <c r="T96" s="4">
        <f t="shared" si="7"/>
        <v>9873.8135999999995</v>
      </c>
      <c r="U96">
        <f t="shared" si="8"/>
        <v>6056.88</v>
      </c>
      <c r="V96" s="4">
        <f t="shared" si="11"/>
        <v>3816.9335999999994</v>
      </c>
      <c r="W96" s="4">
        <f t="shared" si="12"/>
        <v>0.38657136488782812</v>
      </c>
    </row>
    <row r="97" spans="1:23" x14ac:dyDescent="0.3">
      <c r="A97" t="s">
        <v>289</v>
      </c>
      <c r="B97" s="7">
        <v>45022</v>
      </c>
      <c r="C97" s="2">
        <v>45043</v>
      </c>
      <c r="D97" s="4">
        <f t="shared" si="13"/>
        <v>21</v>
      </c>
      <c r="E97" s="4" t="str">
        <f>TEXT(Data!B97,"MMM-YYYY")</f>
        <v>Aug-2025</v>
      </c>
      <c r="F97" s="4" t="str">
        <f t="shared" si="9"/>
        <v>Q2-2023</v>
      </c>
      <c r="G97" t="s">
        <v>78</v>
      </c>
      <c r="H97" t="s">
        <v>108</v>
      </c>
      <c r="I97" t="s">
        <v>228</v>
      </c>
      <c r="J97" t="s">
        <v>105</v>
      </c>
      <c r="K97" t="s">
        <v>55</v>
      </c>
      <c r="L97" t="s">
        <v>34</v>
      </c>
      <c r="M97" t="s">
        <v>30</v>
      </c>
      <c r="N97" t="s">
        <v>290</v>
      </c>
      <c r="O97" s="4">
        <v>1084.79</v>
      </c>
      <c r="P97" s="8" t="str">
        <f t="shared" si="10"/>
        <v>High</v>
      </c>
      <c r="Q97" s="4">
        <v>2484.9899999999998</v>
      </c>
      <c r="R97" s="4">
        <v>3.4000000000000002E-2</v>
      </c>
      <c r="S97" s="4">
        <v>18</v>
      </c>
      <c r="T97" s="4">
        <f t="shared" si="7"/>
        <v>47694.762360000001</v>
      </c>
      <c r="U97">
        <f t="shared" si="8"/>
        <v>19526.22</v>
      </c>
      <c r="V97" s="4">
        <f t="shared" si="11"/>
        <v>28168.542359999999</v>
      </c>
      <c r="W97" s="4">
        <f t="shared" si="12"/>
        <v>0.59060032939013052</v>
      </c>
    </row>
    <row r="98" spans="1:23" x14ac:dyDescent="0.3">
      <c r="A98" t="s">
        <v>291</v>
      </c>
      <c r="B98" s="7">
        <v>45870</v>
      </c>
      <c r="C98" s="2">
        <v>45885</v>
      </c>
      <c r="D98" s="4">
        <f t="shared" si="13"/>
        <v>15</v>
      </c>
      <c r="E98" s="4" t="str">
        <f>TEXT(Data!B98,"MMM-YYYY")</f>
        <v>May-2024</v>
      </c>
      <c r="F98" s="4" t="str">
        <f t="shared" si="9"/>
        <v>Q3-2025</v>
      </c>
      <c r="G98" t="s">
        <v>45</v>
      </c>
      <c r="H98" t="s">
        <v>60</v>
      </c>
      <c r="I98" t="s">
        <v>1364</v>
      </c>
      <c r="J98" t="s">
        <v>105</v>
      </c>
      <c r="K98" t="s">
        <v>98</v>
      </c>
      <c r="L98" t="s">
        <v>68</v>
      </c>
      <c r="M98" t="s">
        <v>64</v>
      </c>
      <c r="N98" t="s">
        <v>292</v>
      </c>
      <c r="O98" s="4">
        <v>24.44</v>
      </c>
      <c r="P98" s="8" t="str">
        <f t="shared" si="10"/>
        <v>Low</v>
      </c>
      <c r="Q98" s="4">
        <v>28.69</v>
      </c>
      <c r="R98" s="4">
        <v>0.14599999999999999</v>
      </c>
      <c r="S98" s="4">
        <v>6</v>
      </c>
      <c r="T98" s="4">
        <f t="shared" si="7"/>
        <v>8605.3480799999998</v>
      </c>
      <c r="U98">
        <f t="shared" si="8"/>
        <v>146.64000000000001</v>
      </c>
      <c r="V98" s="4">
        <f t="shared" si="11"/>
        <v>8458.7080800000003</v>
      </c>
      <c r="W98" s="4">
        <f t="shared" si="12"/>
        <v>0.98295943422197984</v>
      </c>
    </row>
    <row r="99" spans="1:23" x14ac:dyDescent="0.3">
      <c r="A99" t="s">
        <v>293</v>
      </c>
      <c r="B99" s="7">
        <v>45440</v>
      </c>
      <c r="C99" s="2">
        <v>45438</v>
      </c>
      <c r="D99" s="4">
        <f>DATEDIF(C99,B99, "MD")</f>
        <v>2</v>
      </c>
      <c r="E99" s="4" t="str">
        <f>TEXT(Data!B99,"MMM-YYYY")</f>
        <v>Jul-2025</v>
      </c>
      <c r="F99" s="4" t="str">
        <f t="shared" si="9"/>
        <v>Q2-2024</v>
      </c>
      <c r="G99" t="s">
        <v>16</v>
      </c>
      <c r="H99" t="s">
        <v>25</v>
      </c>
      <c r="I99" t="s">
        <v>67</v>
      </c>
      <c r="J99" t="s">
        <v>105</v>
      </c>
      <c r="K99" t="s">
        <v>28</v>
      </c>
      <c r="L99" t="s">
        <v>84</v>
      </c>
      <c r="M99" t="s">
        <v>81</v>
      </c>
      <c r="N99" t="s">
        <v>294</v>
      </c>
      <c r="O99" s="4">
        <v>1227.08</v>
      </c>
      <c r="P99" s="8" t="str">
        <f t="shared" si="10"/>
        <v>High</v>
      </c>
      <c r="Q99" s="4">
        <v>1896.62</v>
      </c>
      <c r="R99" s="4">
        <v>0</v>
      </c>
      <c r="S99" s="4">
        <v>18</v>
      </c>
      <c r="T99" s="4">
        <f t="shared" si="7"/>
        <v>25810.2</v>
      </c>
      <c r="U99">
        <f t="shared" si="8"/>
        <v>22087.439999999999</v>
      </c>
      <c r="V99" s="4">
        <f t="shared" si="11"/>
        <v>3722.760000000002</v>
      </c>
      <c r="W99" s="4">
        <f t="shared" si="12"/>
        <v>0.14423599972104059</v>
      </c>
    </row>
    <row r="100" spans="1:23" x14ac:dyDescent="0.3">
      <c r="A100" t="s">
        <v>295</v>
      </c>
      <c r="B100" s="7">
        <v>45860</v>
      </c>
      <c r="C100" s="2">
        <v>45887</v>
      </c>
      <c r="D100" s="4">
        <f t="shared" si="13"/>
        <v>27</v>
      </c>
      <c r="E100" s="4" t="str">
        <f>TEXT(Data!B100,"MMM-YYYY")</f>
        <v>Feb-2023</v>
      </c>
      <c r="F100" s="4" t="str">
        <f t="shared" si="9"/>
        <v>Q3-2025</v>
      </c>
      <c r="G100" t="s">
        <v>45</v>
      </c>
      <c r="H100" t="s">
        <v>116</v>
      </c>
      <c r="I100" t="s">
        <v>117</v>
      </c>
      <c r="J100" t="s">
        <v>39</v>
      </c>
      <c r="K100" t="s">
        <v>40</v>
      </c>
      <c r="L100" t="s">
        <v>110</v>
      </c>
      <c r="M100" t="s">
        <v>35</v>
      </c>
      <c r="N100" t="s">
        <v>296</v>
      </c>
      <c r="O100" s="4">
        <v>547.32000000000005</v>
      </c>
      <c r="P100" s="8" t="str">
        <f t="shared" si="10"/>
        <v>High</v>
      </c>
      <c r="Q100" s="4">
        <v>419.17</v>
      </c>
      <c r="R100" s="4">
        <v>9.1999999999999998E-2</v>
      </c>
      <c r="S100" s="4">
        <v>14</v>
      </c>
      <c r="T100" s="4">
        <f t="shared" si="7"/>
        <v>3615.67416</v>
      </c>
      <c r="U100">
        <f t="shared" si="8"/>
        <v>7662.4800000000005</v>
      </c>
      <c r="V100" s="4">
        <f t="shared" si="11"/>
        <v>-4046.8058400000004</v>
      </c>
      <c r="W100" s="4">
        <f t="shared" si="12"/>
        <v>-1.1192396385630061</v>
      </c>
    </row>
    <row r="101" spans="1:23" x14ac:dyDescent="0.3">
      <c r="A101" t="s">
        <v>297</v>
      </c>
      <c r="B101" s="7">
        <v>44985</v>
      </c>
      <c r="C101" s="2">
        <v>45005</v>
      </c>
      <c r="D101" s="4">
        <f t="shared" si="13"/>
        <v>20</v>
      </c>
      <c r="E101" s="4" t="str">
        <f>TEXT(Data!B101,"MMM-YYYY")</f>
        <v>Jan-2025</v>
      </c>
      <c r="F101" s="4" t="str">
        <f t="shared" si="9"/>
        <v>Q1-2023</v>
      </c>
      <c r="G101" t="s">
        <v>78</v>
      </c>
      <c r="H101" t="s">
        <v>79</v>
      </c>
      <c r="I101" t="s">
        <v>80</v>
      </c>
      <c r="J101" t="s">
        <v>62</v>
      </c>
      <c r="K101" t="s">
        <v>98</v>
      </c>
      <c r="L101" t="s">
        <v>92</v>
      </c>
      <c r="M101" t="s">
        <v>57</v>
      </c>
      <c r="N101" t="s">
        <v>298</v>
      </c>
      <c r="O101" s="4">
        <v>1200.78</v>
      </c>
      <c r="P101" s="8" t="str">
        <f t="shared" si="10"/>
        <v>High</v>
      </c>
      <c r="Q101" s="4">
        <v>2001.17</v>
      </c>
      <c r="R101" s="4">
        <v>0.29199999999999998</v>
      </c>
      <c r="S101" s="4">
        <v>18</v>
      </c>
      <c r="T101" s="4">
        <f t="shared" si="7"/>
        <v>8854.276319999999</v>
      </c>
      <c r="U101">
        <f t="shared" si="8"/>
        <v>21614.04</v>
      </c>
      <c r="V101" s="4">
        <f t="shared" si="11"/>
        <v>-12759.763680000002</v>
      </c>
      <c r="W101" s="4">
        <f t="shared" si="12"/>
        <v>-1.4410848745682701</v>
      </c>
    </row>
    <row r="102" spans="1:23" x14ac:dyDescent="0.3">
      <c r="A102" t="s">
        <v>299</v>
      </c>
      <c r="B102" s="7">
        <v>45684</v>
      </c>
      <c r="C102" s="2">
        <v>45703</v>
      </c>
      <c r="D102" s="4">
        <f t="shared" si="13"/>
        <v>19</v>
      </c>
      <c r="E102" s="4" t="str">
        <f>TEXT(Data!B102,"MMM-YYYY")</f>
        <v>Jan-2024</v>
      </c>
      <c r="F102" s="4" t="str">
        <f t="shared" si="9"/>
        <v>Q1-2025</v>
      </c>
      <c r="G102" t="s">
        <v>45</v>
      </c>
      <c r="H102" t="s">
        <v>116</v>
      </c>
      <c r="I102" t="s">
        <v>117</v>
      </c>
      <c r="J102" t="s">
        <v>39</v>
      </c>
      <c r="K102" t="s">
        <v>98</v>
      </c>
      <c r="L102" t="s">
        <v>49</v>
      </c>
      <c r="M102" t="s">
        <v>42</v>
      </c>
      <c r="N102" t="s">
        <v>300</v>
      </c>
      <c r="O102" s="4">
        <v>1253.22</v>
      </c>
      <c r="P102" s="8" t="str">
        <f t="shared" si="10"/>
        <v>High</v>
      </c>
      <c r="Q102" s="4">
        <v>3104.71</v>
      </c>
      <c r="R102" s="4">
        <v>0</v>
      </c>
      <c r="S102" s="4">
        <v>17</v>
      </c>
      <c r="T102" s="4">
        <f t="shared" si="7"/>
        <v>31422.63</v>
      </c>
      <c r="U102">
        <f t="shared" si="8"/>
        <v>21304.74</v>
      </c>
      <c r="V102" s="4">
        <f t="shared" si="11"/>
        <v>10117.89</v>
      </c>
      <c r="W102" s="4">
        <f t="shared" si="12"/>
        <v>0.3219937350883742</v>
      </c>
    </row>
    <row r="103" spans="1:23" x14ac:dyDescent="0.3">
      <c r="A103" t="s">
        <v>301</v>
      </c>
      <c r="B103" s="7">
        <v>45304</v>
      </c>
      <c r="C103" s="2">
        <v>45313</v>
      </c>
      <c r="D103" s="4">
        <f t="shared" si="13"/>
        <v>9</v>
      </c>
      <c r="E103" s="4" t="str">
        <f>TEXT(Data!B103,"MMM-YYYY")</f>
        <v>Mar-2025</v>
      </c>
      <c r="F103" s="4" t="str">
        <f t="shared" si="9"/>
        <v>Q1-2024</v>
      </c>
      <c r="G103" t="s">
        <v>45</v>
      </c>
      <c r="H103" t="s">
        <v>60</v>
      </c>
      <c r="I103" t="s">
        <v>220</v>
      </c>
      <c r="J103" t="s">
        <v>105</v>
      </c>
      <c r="K103" t="s">
        <v>40</v>
      </c>
      <c r="L103" t="s">
        <v>29</v>
      </c>
      <c r="M103" t="s">
        <v>22</v>
      </c>
      <c r="N103" t="s">
        <v>302</v>
      </c>
      <c r="O103" s="4">
        <v>313.60000000000002</v>
      </c>
      <c r="P103" s="8" t="str">
        <f t="shared" si="10"/>
        <v>High</v>
      </c>
      <c r="Q103" s="4">
        <v>334.28</v>
      </c>
      <c r="R103" s="4">
        <v>0.14000000000000001</v>
      </c>
      <c r="S103" s="4">
        <v>22</v>
      </c>
      <c r="T103" s="4">
        <f t="shared" si="7"/>
        <v>854.99479999999994</v>
      </c>
      <c r="U103">
        <f t="shared" si="8"/>
        <v>6899.2000000000007</v>
      </c>
      <c r="V103" s="4">
        <f t="shared" si="11"/>
        <v>-6044.2052000000003</v>
      </c>
      <c r="W103" s="4">
        <f t="shared" si="12"/>
        <v>-7.0692888424584579</v>
      </c>
    </row>
    <row r="104" spans="1:23" x14ac:dyDescent="0.3">
      <c r="A104" t="s">
        <v>303</v>
      </c>
      <c r="B104" s="7">
        <v>45747</v>
      </c>
      <c r="C104" s="2">
        <v>45751</v>
      </c>
      <c r="D104" s="4">
        <f t="shared" si="13"/>
        <v>4</v>
      </c>
      <c r="E104" s="4" t="str">
        <f>TEXT(Data!B104,"MMM-YYYY")</f>
        <v>Dec-2024</v>
      </c>
      <c r="F104" s="4" t="str">
        <f t="shared" si="9"/>
        <v>Q1-2025</v>
      </c>
      <c r="G104" t="s">
        <v>16</v>
      </c>
      <c r="H104" t="s">
        <v>17</v>
      </c>
      <c r="I104" t="s">
        <v>135</v>
      </c>
      <c r="J104" t="s">
        <v>19</v>
      </c>
      <c r="K104" t="s">
        <v>98</v>
      </c>
      <c r="L104" t="s">
        <v>21</v>
      </c>
      <c r="M104" t="s">
        <v>57</v>
      </c>
      <c r="N104" t="s">
        <v>304</v>
      </c>
      <c r="O104" s="4">
        <v>862.08</v>
      </c>
      <c r="P104" s="8" t="str">
        <f t="shared" si="10"/>
        <v>High</v>
      </c>
      <c r="Q104" s="4">
        <v>1952.83</v>
      </c>
      <c r="R104" s="4">
        <v>0</v>
      </c>
      <c r="S104" s="4">
        <v>7</v>
      </c>
      <c r="T104" s="4">
        <f t="shared" si="7"/>
        <v>2527.7000000000003</v>
      </c>
      <c r="U104">
        <f t="shared" si="8"/>
        <v>6034.56</v>
      </c>
      <c r="V104" s="4">
        <f t="shared" si="11"/>
        <v>-3506.86</v>
      </c>
      <c r="W104" s="4">
        <f t="shared" si="12"/>
        <v>-1.3873719191359732</v>
      </c>
    </row>
    <row r="105" spans="1:23" x14ac:dyDescent="0.3">
      <c r="A105" t="s">
        <v>305</v>
      </c>
      <c r="B105" s="7">
        <v>45631</v>
      </c>
      <c r="C105" s="2">
        <v>45654</v>
      </c>
      <c r="D105" s="4">
        <f t="shared" si="13"/>
        <v>23</v>
      </c>
      <c r="E105" s="4" t="str">
        <f>TEXT(Data!B105,"MMM-YYYY")</f>
        <v>Sept-2024</v>
      </c>
      <c r="F105" s="4" t="str">
        <f t="shared" si="9"/>
        <v>Q4-2024</v>
      </c>
      <c r="G105" t="s">
        <v>52</v>
      </c>
      <c r="H105" t="s">
        <v>53</v>
      </c>
      <c r="I105" t="s">
        <v>179</v>
      </c>
      <c r="J105" t="s">
        <v>19</v>
      </c>
      <c r="K105" t="s">
        <v>98</v>
      </c>
      <c r="L105" t="s">
        <v>84</v>
      </c>
      <c r="M105" t="s">
        <v>81</v>
      </c>
      <c r="N105" t="s">
        <v>306</v>
      </c>
      <c r="O105" s="4">
        <v>107.03</v>
      </c>
      <c r="P105" s="8" t="str">
        <f t="shared" si="10"/>
        <v>High</v>
      </c>
      <c r="Q105" s="4">
        <v>242.29</v>
      </c>
      <c r="R105" s="4">
        <v>0.18</v>
      </c>
      <c r="S105" s="4">
        <v>30</v>
      </c>
      <c r="T105" s="4">
        <f t="shared" si="7"/>
        <v>24706.764000000003</v>
      </c>
      <c r="U105">
        <f t="shared" si="8"/>
        <v>3210.9</v>
      </c>
      <c r="V105" s="4">
        <f t="shared" si="11"/>
        <v>21495.864000000001</v>
      </c>
      <c r="W105" s="4">
        <f t="shared" si="12"/>
        <v>0.87003963772835646</v>
      </c>
    </row>
    <row r="106" spans="1:23" x14ac:dyDescent="0.3">
      <c r="A106" t="s">
        <v>307</v>
      </c>
      <c r="B106" s="7">
        <v>45549</v>
      </c>
      <c r="C106" s="2">
        <v>45570</v>
      </c>
      <c r="D106" s="4">
        <f t="shared" si="13"/>
        <v>21</v>
      </c>
      <c r="E106" s="4" t="str">
        <f>TEXT(Data!B106,"MMM-YYYY")</f>
        <v>May-2024</v>
      </c>
      <c r="F106" s="4" t="str">
        <f t="shared" si="9"/>
        <v>Q3-2024</v>
      </c>
      <c r="G106" t="s">
        <v>45</v>
      </c>
      <c r="H106" t="s">
        <v>116</v>
      </c>
      <c r="I106" t="s">
        <v>162</v>
      </c>
      <c r="J106" t="s">
        <v>62</v>
      </c>
      <c r="K106" t="s">
        <v>28</v>
      </c>
      <c r="L106" t="s">
        <v>92</v>
      </c>
      <c r="M106" t="s">
        <v>57</v>
      </c>
      <c r="N106" t="s">
        <v>308</v>
      </c>
      <c r="O106" s="4">
        <v>1405.56</v>
      </c>
      <c r="P106" s="8" t="str">
        <f t="shared" si="10"/>
        <v>High</v>
      </c>
      <c r="Q106" s="4">
        <v>2968.87</v>
      </c>
      <c r="R106" s="4">
        <v>0.16900000000000001</v>
      </c>
      <c r="S106" s="4">
        <v>5</v>
      </c>
      <c r="T106" s="4">
        <f t="shared" si="7"/>
        <v>4270.2181499999997</v>
      </c>
      <c r="U106">
        <f t="shared" si="8"/>
        <v>7027.7999999999993</v>
      </c>
      <c r="V106" s="4">
        <f t="shared" si="11"/>
        <v>-2757.5818499999996</v>
      </c>
      <c r="W106" s="4">
        <f t="shared" si="12"/>
        <v>-0.64577072016800818</v>
      </c>
    </row>
    <row r="107" spans="1:23" x14ac:dyDescent="0.3">
      <c r="A107" t="s">
        <v>309</v>
      </c>
      <c r="B107" s="7">
        <v>45433</v>
      </c>
      <c r="C107" s="2">
        <v>45439</v>
      </c>
      <c r="D107" s="4">
        <f t="shared" si="13"/>
        <v>6</v>
      </c>
      <c r="E107" s="4" t="str">
        <f>TEXT(Data!B107,"MMM-YYYY")</f>
        <v>May-2023</v>
      </c>
      <c r="F107" s="4" t="str">
        <f t="shared" si="9"/>
        <v>Q2-2024</v>
      </c>
      <c r="G107" t="s">
        <v>16</v>
      </c>
      <c r="H107" t="s">
        <v>148</v>
      </c>
      <c r="I107" t="s">
        <v>149</v>
      </c>
      <c r="J107" t="s">
        <v>39</v>
      </c>
      <c r="K107" t="s">
        <v>28</v>
      </c>
      <c r="L107" t="s">
        <v>110</v>
      </c>
      <c r="M107" t="s">
        <v>22</v>
      </c>
      <c r="N107" t="s">
        <v>310</v>
      </c>
      <c r="O107" s="4">
        <v>1157.51</v>
      </c>
      <c r="P107" s="8" t="str">
        <f t="shared" si="10"/>
        <v>High</v>
      </c>
      <c r="Q107" s="4">
        <v>1394.3</v>
      </c>
      <c r="R107" s="4">
        <v>0.27800000000000002</v>
      </c>
      <c r="S107" s="4">
        <v>12</v>
      </c>
      <c r="T107" s="4">
        <f t="shared" si="7"/>
        <v>4055.5317599999998</v>
      </c>
      <c r="U107">
        <f t="shared" si="8"/>
        <v>13890.119999999999</v>
      </c>
      <c r="V107" s="4">
        <f t="shared" si="11"/>
        <v>-9834.5882399999991</v>
      </c>
      <c r="W107" s="4">
        <f t="shared" si="12"/>
        <v>-2.4249811916156712</v>
      </c>
    </row>
    <row r="108" spans="1:23" x14ac:dyDescent="0.3">
      <c r="A108" t="s">
        <v>311</v>
      </c>
      <c r="B108" s="7">
        <v>45057</v>
      </c>
      <c r="C108" s="2">
        <v>45084</v>
      </c>
      <c r="D108" s="4">
        <f t="shared" si="13"/>
        <v>27</v>
      </c>
      <c r="E108" s="4" t="str">
        <f>TEXT(Data!B108,"MMM-YYYY")</f>
        <v>Aug-2024</v>
      </c>
      <c r="F108" s="4" t="str">
        <f t="shared" si="9"/>
        <v>Q2-2023</v>
      </c>
      <c r="G108" t="s">
        <v>16</v>
      </c>
      <c r="H108" t="s">
        <v>17</v>
      </c>
      <c r="I108" t="s">
        <v>113</v>
      </c>
      <c r="J108" t="s">
        <v>19</v>
      </c>
      <c r="K108" t="s">
        <v>28</v>
      </c>
      <c r="L108" t="s">
        <v>29</v>
      </c>
      <c r="M108" t="s">
        <v>42</v>
      </c>
      <c r="N108" t="s">
        <v>312</v>
      </c>
      <c r="O108" s="4">
        <v>12.85</v>
      </c>
      <c r="P108" s="8" t="str">
        <f t="shared" si="10"/>
        <v>Low</v>
      </c>
      <c r="Q108" s="4">
        <v>15.41</v>
      </c>
      <c r="R108" s="4">
        <v>0.13700000000000001</v>
      </c>
      <c r="S108" s="4">
        <v>39</v>
      </c>
      <c r="T108" s="4">
        <f t="shared" si="7"/>
        <v>22483.549139999999</v>
      </c>
      <c r="U108">
        <f t="shared" si="8"/>
        <v>501.15</v>
      </c>
      <c r="V108" s="4">
        <f t="shared" si="11"/>
        <v>21982.399139999998</v>
      </c>
      <c r="W108" s="4">
        <f t="shared" si="12"/>
        <v>0.97771036961827273</v>
      </c>
    </row>
    <row r="109" spans="1:23" x14ac:dyDescent="0.3">
      <c r="A109" t="s">
        <v>313</v>
      </c>
      <c r="B109" s="7">
        <v>45518</v>
      </c>
      <c r="C109" s="2">
        <v>45539</v>
      </c>
      <c r="D109" s="4">
        <f t="shared" si="13"/>
        <v>21</v>
      </c>
      <c r="E109" s="4" t="str">
        <f>TEXT(Data!B109,"MMM-YYYY")</f>
        <v>Oct-2024</v>
      </c>
      <c r="F109" s="4" t="str">
        <f t="shared" si="9"/>
        <v>Q3-2024</v>
      </c>
      <c r="G109" t="s">
        <v>78</v>
      </c>
      <c r="H109" t="s">
        <v>108</v>
      </c>
      <c r="I109" t="s">
        <v>228</v>
      </c>
      <c r="J109" t="s">
        <v>39</v>
      </c>
      <c r="K109" t="s">
        <v>28</v>
      </c>
      <c r="L109" t="s">
        <v>29</v>
      </c>
      <c r="M109" t="s">
        <v>42</v>
      </c>
      <c r="N109" t="s">
        <v>314</v>
      </c>
      <c r="O109" s="4">
        <v>1138.8</v>
      </c>
      <c r="P109" s="8" t="str">
        <f t="shared" si="10"/>
        <v>High</v>
      </c>
      <c r="Q109" s="4">
        <v>2250.81</v>
      </c>
      <c r="R109" s="4">
        <v>0.123</v>
      </c>
      <c r="S109" s="4">
        <v>12</v>
      </c>
      <c r="T109" s="4">
        <f t="shared" si="7"/>
        <v>5654.22948</v>
      </c>
      <c r="U109">
        <f t="shared" si="8"/>
        <v>13665.599999999999</v>
      </c>
      <c r="V109" s="4">
        <f t="shared" si="11"/>
        <v>-8011.3705199999986</v>
      </c>
      <c r="W109" s="4">
        <f t="shared" si="12"/>
        <v>-1.4168810353979475</v>
      </c>
    </row>
    <row r="110" spans="1:23" x14ac:dyDescent="0.3">
      <c r="A110" t="s">
        <v>315</v>
      </c>
      <c r="B110" s="7">
        <v>45581</v>
      </c>
      <c r="C110" s="2">
        <v>45604</v>
      </c>
      <c r="D110" s="4">
        <f t="shared" si="13"/>
        <v>23</v>
      </c>
      <c r="E110" s="4" t="str">
        <f>TEXT(Data!B110,"MMM-YYYY")</f>
        <v>Jun-2024</v>
      </c>
      <c r="F110" s="4" t="str">
        <f t="shared" si="9"/>
        <v>Q4-2024</v>
      </c>
      <c r="G110" t="s">
        <v>45</v>
      </c>
      <c r="H110" t="s">
        <v>46</v>
      </c>
      <c r="I110" t="s">
        <v>47</v>
      </c>
      <c r="J110" t="s">
        <v>62</v>
      </c>
      <c r="K110" t="s">
        <v>20</v>
      </c>
      <c r="L110" t="s">
        <v>29</v>
      </c>
      <c r="M110" t="s">
        <v>35</v>
      </c>
      <c r="N110" t="s">
        <v>316</v>
      </c>
      <c r="O110" s="4">
        <v>82.14</v>
      </c>
      <c r="P110" s="8" t="str">
        <f t="shared" si="10"/>
        <v>Medium</v>
      </c>
      <c r="Q110" s="4">
        <v>166.04</v>
      </c>
      <c r="R110" s="4">
        <v>0</v>
      </c>
      <c r="S110" s="4">
        <v>10</v>
      </c>
      <c r="T110" s="4">
        <f t="shared" si="7"/>
        <v>5727.1</v>
      </c>
      <c r="U110">
        <f t="shared" si="8"/>
        <v>821.4</v>
      </c>
      <c r="V110" s="4">
        <f t="shared" si="11"/>
        <v>4905.7000000000007</v>
      </c>
      <c r="W110" s="4">
        <f t="shared" si="12"/>
        <v>0.85657662691414516</v>
      </c>
    </row>
    <row r="111" spans="1:23" x14ac:dyDescent="0.3">
      <c r="A111" t="s">
        <v>317</v>
      </c>
      <c r="B111" s="7">
        <v>45445</v>
      </c>
      <c r="C111" s="2">
        <v>45451</v>
      </c>
      <c r="D111" s="4">
        <f t="shared" si="13"/>
        <v>6</v>
      </c>
      <c r="E111" s="4" t="str">
        <f>TEXT(Data!B111,"MMM-YYYY")</f>
        <v>Jun-2024</v>
      </c>
      <c r="F111" s="4" t="str">
        <f t="shared" si="9"/>
        <v>Q2-2024</v>
      </c>
      <c r="G111" t="s">
        <v>16</v>
      </c>
      <c r="H111" t="s">
        <v>17</v>
      </c>
      <c r="I111" t="s">
        <v>18</v>
      </c>
      <c r="J111" t="s">
        <v>48</v>
      </c>
      <c r="K111" t="s">
        <v>40</v>
      </c>
      <c r="L111" t="s">
        <v>75</v>
      </c>
      <c r="M111" t="s">
        <v>81</v>
      </c>
      <c r="N111" t="s">
        <v>318</v>
      </c>
      <c r="O111" s="4">
        <v>292.94</v>
      </c>
      <c r="P111" s="8" t="str">
        <f t="shared" si="10"/>
        <v>High</v>
      </c>
      <c r="Q111" s="4">
        <v>356.55</v>
      </c>
      <c r="R111" s="4">
        <v>0.22900000000000001</v>
      </c>
      <c r="S111" s="4">
        <v>2</v>
      </c>
      <c r="T111" s="4">
        <f t="shared" si="7"/>
        <v>3583.4075399999997</v>
      </c>
      <c r="U111">
        <f t="shared" si="8"/>
        <v>585.88</v>
      </c>
      <c r="V111" s="4">
        <f t="shared" si="11"/>
        <v>2997.5275399999996</v>
      </c>
      <c r="W111" s="4">
        <f t="shared" si="12"/>
        <v>0.83650199050482543</v>
      </c>
    </row>
    <row r="112" spans="1:23" x14ac:dyDescent="0.3">
      <c r="A112" t="s">
        <v>319</v>
      </c>
      <c r="B112" s="7">
        <v>45452</v>
      </c>
      <c r="C112" s="2">
        <v>45480</v>
      </c>
      <c r="D112" s="4">
        <f t="shared" si="13"/>
        <v>28</v>
      </c>
      <c r="E112" s="4" t="str">
        <f>TEXT(Data!B112,"MMM-YYYY")</f>
        <v>Jun-2024</v>
      </c>
      <c r="F112" s="4" t="str">
        <f t="shared" si="9"/>
        <v>Q2-2024</v>
      </c>
      <c r="G112" t="s">
        <v>45</v>
      </c>
      <c r="H112" t="s">
        <v>116</v>
      </c>
      <c r="I112" t="s">
        <v>117</v>
      </c>
      <c r="J112" t="s">
        <v>19</v>
      </c>
      <c r="K112" t="s">
        <v>28</v>
      </c>
      <c r="L112" t="s">
        <v>29</v>
      </c>
      <c r="M112" t="s">
        <v>22</v>
      </c>
      <c r="N112" t="s">
        <v>320</v>
      </c>
      <c r="O112" s="4">
        <v>550.22</v>
      </c>
      <c r="P112" s="8" t="str">
        <f t="shared" si="10"/>
        <v>High</v>
      </c>
      <c r="Q112" s="4">
        <v>1025.05</v>
      </c>
      <c r="R112" s="4">
        <v>0</v>
      </c>
      <c r="S112" s="4">
        <v>27</v>
      </c>
      <c r="T112" s="4">
        <f t="shared" si="7"/>
        <v>44038.080000000002</v>
      </c>
      <c r="U112">
        <f t="shared" si="8"/>
        <v>14855.94</v>
      </c>
      <c r="V112" s="4">
        <f t="shared" si="11"/>
        <v>29182.14</v>
      </c>
      <c r="W112" s="4">
        <f t="shared" si="12"/>
        <v>0.66265695507161071</v>
      </c>
    </row>
    <row r="113" spans="1:23" x14ac:dyDescent="0.3">
      <c r="A113" t="s">
        <v>321</v>
      </c>
      <c r="B113" s="7">
        <v>45453</v>
      </c>
      <c r="C113" s="2">
        <v>45454</v>
      </c>
      <c r="D113" s="4">
        <f t="shared" si="13"/>
        <v>1</v>
      </c>
      <c r="E113" s="4" t="str">
        <f>TEXT(Data!B113,"MMM-YYYY")</f>
        <v>Jun-2024</v>
      </c>
      <c r="F113" s="4" t="str">
        <f t="shared" si="9"/>
        <v>Q2-2024</v>
      </c>
      <c r="G113" t="s">
        <v>78</v>
      </c>
      <c r="H113" t="s">
        <v>108</v>
      </c>
      <c r="I113" t="s">
        <v>109</v>
      </c>
      <c r="J113" t="s">
        <v>62</v>
      </c>
      <c r="K113" t="s">
        <v>40</v>
      </c>
      <c r="L113" t="s">
        <v>110</v>
      </c>
      <c r="M113" t="s">
        <v>57</v>
      </c>
      <c r="N113" t="s">
        <v>322</v>
      </c>
      <c r="O113" s="4">
        <v>1187.1300000000001</v>
      </c>
      <c r="P113" s="8" t="str">
        <f t="shared" si="10"/>
        <v>High</v>
      </c>
      <c r="Q113" s="4">
        <v>1795.17</v>
      </c>
      <c r="R113" s="4">
        <v>1.2E-2</v>
      </c>
      <c r="S113" s="4">
        <v>17</v>
      </c>
      <c r="T113" s="4">
        <f t="shared" si="7"/>
        <v>6606.0347600000005</v>
      </c>
      <c r="U113">
        <f t="shared" si="8"/>
        <v>20181.210000000003</v>
      </c>
      <c r="V113" s="4">
        <f t="shared" si="11"/>
        <v>-13575.175240000002</v>
      </c>
      <c r="W113" s="4">
        <f t="shared" si="12"/>
        <v>-2.0549657598229172</v>
      </c>
    </row>
    <row r="114" spans="1:23" x14ac:dyDescent="0.3">
      <c r="A114" t="s">
        <v>323</v>
      </c>
      <c r="B114" s="7">
        <v>45472</v>
      </c>
      <c r="C114" s="2">
        <v>45499</v>
      </c>
      <c r="D114" s="4">
        <f t="shared" si="13"/>
        <v>27</v>
      </c>
      <c r="E114" s="4" t="str">
        <f>TEXT(Data!B114,"MMM-YYYY")</f>
        <v>Jan-2025</v>
      </c>
      <c r="F114" s="4" t="str">
        <f t="shared" si="9"/>
        <v>Q2-2024</v>
      </c>
      <c r="G114" t="s">
        <v>16</v>
      </c>
      <c r="H114" t="s">
        <v>148</v>
      </c>
      <c r="I114" t="s">
        <v>172</v>
      </c>
      <c r="J114" t="s">
        <v>105</v>
      </c>
      <c r="K114" t="s">
        <v>55</v>
      </c>
      <c r="L114" t="s">
        <v>56</v>
      </c>
      <c r="M114" t="s">
        <v>35</v>
      </c>
      <c r="N114" t="s">
        <v>324</v>
      </c>
      <c r="O114" s="4">
        <v>5.36</v>
      </c>
      <c r="P114" s="8" t="str">
        <f t="shared" si="10"/>
        <v>Low</v>
      </c>
      <c r="Q114" s="4">
        <v>4.37</v>
      </c>
      <c r="R114" s="4">
        <v>0.11799999999999999</v>
      </c>
      <c r="S114" s="4">
        <v>9</v>
      </c>
      <c r="T114" s="4">
        <f t="shared" si="7"/>
        <v>14734.198080000002</v>
      </c>
      <c r="U114">
        <f t="shared" si="8"/>
        <v>48.24</v>
      </c>
      <c r="V114" s="4">
        <f t="shared" si="11"/>
        <v>14685.958080000002</v>
      </c>
      <c r="W114" s="4">
        <f t="shared" si="12"/>
        <v>0.99672598401771995</v>
      </c>
    </row>
    <row r="115" spans="1:23" x14ac:dyDescent="0.3">
      <c r="A115" t="s">
        <v>325</v>
      </c>
      <c r="B115" s="7">
        <v>45674</v>
      </c>
      <c r="C115" s="2">
        <v>45681</v>
      </c>
      <c r="D115" s="4">
        <f t="shared" si="13"/>
        <v>7</v>
      </c>
      <c r="E115" s="4" t="str">
        <f>TEXT(Data!B115,"MMM-YYYY")</f>
        <v>Nov-2023</v>
      </c>
      <c r="F115" s="4" t="str">
        <f t="shared" si="9"/>
        <v>Q1-2025</v>
      </c>
      <c r="G115" t="s">
        <v>52</v>
      </c>
      <c r="H115" t="s">
        <v>122</v>
      </c>
      <c r="I115" t="s">
        <v>326</v>
      </c>
      <c r="J115" t="s">
        <v>105</v>
      </c>
      <c r="K115" t="s">
        <v>28</v>
      </c>
      <c r="L115" t="s">
        <v>41</v>
      </c>
      <c r="M115" t="s">
        <v>81</v>
      </c>
      <c r="N115" t="s">
        <v>327</v>
      </c>
      <c r="O115" s="4">
        <v>142.09</v>
      </c>
      <c r="P115" s="8" t="str">
        <f t="shared" si="10"/>
        <v>High</v>
      </c>
      <c r="Q115" s="4">
        <v>218.5</v>
      </c>
      <c r="R115" s="4">
        <v>0.11899999999999999</v>
      </c>
      <c r="S115" s="4">
        <v>11</v>
      </c>
      <c r="T115" s="4">
        <f t="shared" si="7"/>
        <v>822.7659000000001</v>
      </c>
      <c r="U115">
        <f t="shared" si="8"/>
        <v>1562.99</v>
      </c>
      <c r="V115" s="4">
        <f t="shared" si="11"/>
        <v>-740.22409999999991</v>
      </c>
      <c r="W115" s="4">
        <f t="shared" si="12"/>
        <v>-0.89967766043779862</v>
      </c>
    </row>
    <row r="116" spans="1:23" x14ac:dyDescent="0.3">
      <c r="A116" t="s">
        <v>328</v>
      </c>
      <c r="B116" s="7">
        <v>45250</v>
      </c>
      <c r="C116" s="2">
        <v>45265</v>
      </c>
      <c r="D116" s="4">
        <f t="shared" si="13"/>
        <v>15</v>
      </c>
      <c r="E116" s="4" t="str">
        <f>TEXT(Data!B116,"MMM-YYYY")</f>
        <v>Mar-2023</v>
      </c>
      <c r="F116" s="4" t="str">
        <f t="shared" si="9"/>
        <v>Q4-2023</v>
      </c>
      <c r="G116" t="s">
        <v>45</v>
      </c>
      <c r="H116" t="s">
        <v>46</v>
      </c>
      <c r="I116" t="s">
        <v>214</v>
      </c>
      <c r="J116" t="s">
        <v>105</v>
      </c>
      <c r="K116" t="s">
        <v>20</v>
      </c>
      <c r="L116" t="s">
        <v>49</v>
      </c>
      <c r="M116" t="s">
        <v>35</v>
      </c>
      <c r="N116" t="s">
        <v>329</v>
      </c>
      <c r="O116" s="4">
        <v>354.24</v>
      </c>
      <c r="P116" s="8" t="str">
        <f t="shared" si="10"/>
        <v>High</v>
      </c>
      <c r="Q116" s="4">
        <v>249.87</v>
      </c>
      <c r="R116" s="4">
        <v>0</v>
      </c>
      <c r="S116" s="4">
        <v>6</v>
      </c>
      <c r="T116" s="4">
        <f t="shared" si="7"/>
        <v>13513.439999999999</v>
      </c>
      <c r="U116">
        <f t="shared" si="8"/>
        <v>2125.44</v>
      </c>
      <c r="V116" s="4">
        <f t="shared" si="11"/>
        <v>11387.999999999998</v>
      </c>
      <c r="W116" s="4">
        <f t="shared" si="12"/>
        <v>0.84271658437821895</v>
      </c>
    </row>
    <row r="117" spans="1:23" x14ac:dyDescent="0.3">
      <c r="A117" t="s">
        <v>330</v>
      </c>
      <c r="B117" s="7">
        <v>44987</v>
      </c>
      <c r="C117" s="2">
        <v>44990</v>
      </c>
      <c r="D117" s="4">
        <f t="shared" si="13"/>
        <v>3</v>
      </c>
      <c r="E117" s="4" t="str">
        <f>TEXT(Data!B117,"MMM-YYYY")</f>
        <v>Jun-2025</v>
      </c>
      <c r="F117" s="4" t="str">
        <f t="shared" si="9"/>
        <v>Q1-2023</v>
      </c>
      <c r="G117" t="s">
        <v>52</v>
      </c>
      <c r="H117" t="s">
        <v>73</v>
      </c>
      <c r="I117" t="s">
        <v>87</v>
      </c>
      <c r="J117" t="s">
        <v>105</v>
      </c>
      <c r="K117" t="s">
        <v>98</v>
      </c>
      <c r="L117" t="s">
        <v>41</v>
      </c>
      <c r="M117" t="s">
        <v>64</v>
      </c>
      <c r="N117" t="s">
        <v>331</v>
      </c>
      <c r="O117" s="4">
        <v>1473.58</v>
      </c>
      <c r="P117" s="8" t="str">
        <f t="shared" si="10"/>
        <v>High</v>
      </c>
      <c r="Q117" s="4">
        <v>3436.52</v>
      </c>
      <c r="R117" s="4">
        <v>0.108</v>
      </c>
      <c r="S117" s="4">
        <v>8</v>
      </c>
      <c r="T117" s="4">
        <f t="shared" si="7"/>
        <v>6576.6803200000004</v>
      </c>
      <c r="U117">
        <f t="shared" si="8"/>
        <v>11788.64</v>
      </c>
      <c r="V117" s="4">
        <f t="shared" si="11"/>
        <v>-5211.959679999999</v>
      </c>
      <c r="W117" s="4">
        <f t="shared" si="12"/>
        <v>-0.79249095689662452</v>
      </c>
    </row>
    <row r="118" spans="1:23" x14ac:dyDescent="0.3">
      <c r="A118" t="s">
        <v>332</v>
      </c>
      <c r="B118" s="7">
        <v>45811</v>
      </c>
      <c r="C118" s="2">
        <v>45818</v>
      </c>
      <c r="D118" s="4">
        <f t="shared" si="13"/>
        <v>7</v>
      </c>
      <c r="E118" s="4" t="str">
        <f>TEXT(Data!B118,"MMM-YYYY")</f>
        <v>Dec-2024</v>
      </c>
      <c r="F118" s="4" t="str">
        <f t="shared" si="9"/>
        <v>Q2-2025</v>
      </c>
      <c r="G118" t="s">
        <v>52</v>
      </c>
      <c r="H118" t="s">
        <v>53</v>
      </c>
      <c r="I118" t="s">
        <v>54</v>
      </c>
      <c r="J118" t="s">
        <v>48</v>
      </c>
      <c r="K118" t="s">
        <v>55</v>
      </c>
      <c r="L118" t="s">
        <v>68</v>
      </c>
      <c r="M118" t="s">
        <v>30</v>
      </c>
      <c r="N118" t="s">
        <v>333</v>
      </c>
      <c r="O118" s="4">
        <v>75.180000000000007</v>
      </c>
      <c r="P118" s="8" t="str">
        <f t="shared" si="10"/>
        <v>Medium</v>
      </c>
      <c r="Q118" s="4">
        <v>53.45</v>
      </c>
      <c r="R118" s="4">
        <v>0.157</v>
      </c>
      <c r="S118" s="4">
        <v>17</v>
      </c>
      <c r="T118" s="4">
        <f t="shared" si="7"/>
        <v>23548.41258</v>
      </c>
      <c r="U118">
        <f t="shared" si="8"/>
        <v>1278.0600000000002</v>
      </c>
      <c r="V118" s="4">
        <f t="shared" si="11"/>
        <v>22270.352579999999</v>
      </c>
      <c r="W118" s="4">
        <f t="shared" si="12"/>
        <v>0.94572627791117114</v>
      </c>
    </row>
    <row r="119" spans="1:23" x14ac:dyDescent="0.3">
      <c r="A119" t="s">
        <v>334</v>
      </c>
      <c r="B119" s="7">
        <v>45653</v>
      </c>
      <c r="C119" s="2">
        <v>45659</v>
      </c>
      <c r="D119" s="4">
        <f t="shared" si="13"/>
        <v>6</v>
      </c>
      <c r="E119" s="4" t="str">
        <f>TEXT(Data!B119,"MMM-YYYY")</f>
        <v>Jun-2023</v>
      </c>
      <c r="F119" s="4" t="str">
        <f t="shared" si="9"/>
        <v>Q4-2024</v>
      </c>
      <c r="G119" t="s">
        <v>78</v>
      </c>
      <c r="H119" t="s">
        <v>79</v>
      </c>
      <c r="I119" t="s">
        <v>335</v>
      </c>
      <c r="J119" t="s">
        <v>27</v>
      </c>
      <c r="K119" t="s">
        <v>98</v>
      </c>
      <c r="L119" t="s">
        <v>84</v>
      </c>
      <c r="M119" t="s">
        <v>57</v>
      </c>
      <c r="N119" t="s">
        <v>336</v>
      </c>
      <c r="O119" s="4">
        <v>1391.99</v>
      </c>
      <c r="P119" s="8" t="str">
        <f t="shared" si="10"/>
        <v>High</v>
      </c>
      <c r="Q119" s="4">
        <v>3469.7</v>
      </c>
      <c r="R119" s="4">
        <v>0.184</v>
      </c>
      <c r="S119" s="4">
        <v>23</v>
      </c>
      <c r="T119" s="4">
        <f t="shared" si="7"/>
        <v>27535.846560000005</v>
      </c>
      <c r="U119">
        <f t="shared" si="8"/>
        <v>32015.77</v>
      </c>
      <c r="V119" s="4">
        <f t="shared" si="11"/>
        <v>-4479.923439999995</v>
      </c>
      <c r="W119" s="4">
        <f t="shared" si="12"/>
        <v>-0.16269423314218215</v>
      </c>
    </row>
    <row r="120" spans="1:23" x14ac:dyDescent="0.3">
      <c r="A120" t="s">
        <v>337</v>
      </c>
      <c r="B120" s="7">
        <v>45086</v>
      </c>
      <c r="C120" s="2">
        <v>45096</v>
      </c>
      <c r="D120" s="4">
        <f t="shared" si="13"/>
        <v>10</v>
      </c>
      <c r="E120" s="4" t="str">
        <f>TEXT(Data!B120,"MMM-YYYY")</f>
        <v>Jul-2025</v>
      </c>
      <c r="F120" s="4" t="str">
        <f t="shared" si="9"/>
        <v>Q2-2023</v>
      </c>
      <c r="G120" t="s">
        <v>45</v>
      </c>
      <c r="H120" t="s">
        <v>116</v>
      </c>
      <c r="I120" t="s">
        <v>338</v>
      </c>
      <c r="J120" t="s">
        <v>105</v>
      </c>
      <c r="K120" t="s">
        <v>20</v>
      </c>
      <c r="L120" t="s">
        <v>84</v>
      </c>
      <c r="M120" t="s">
        <v>64</v>
      </c>
      <c r="N120" t="s">
        <v>339</v>
      </c>
      <c r="O120" s="4">
        <v>339.61</v>
      </c>
      <c r="P120" s="8" t="str">
        <f t="shared" si="10"/>
        <v>High</v>
      </c>
      <c r="Q120" s="4">
        <v>621.02</v>
      </c>
      <c r="R120" s="4">
        <v>7.0999999999999994E-2</v>
      </c>
      <c r="S120" s="4">
        <v>10</v>
      </c>
      <c r="T120" s="4">
        <f t="shared" si="7"/>
        <v>9278.4804000000004</v>
      </c>
      <c r="U120">
        <f t="shared" si="8"/>
        <v>3396.1000000000004</v>
      </c>
      <c r="V120" s="4">
        <f t="shared" si="11"/>
        <v>5882.3804</v>
      </c>
      <c r="W120" s="4">
        <f t="shared" si="12"/>
        <v>0.63398101266668616</v>
      </c>
    </row>
    <row r="121" spans="1:23" x14ac:dyDescent="0.3">
      <c r="A121" t="s">
        <v>340</v>
      </c>
      <c r="B121" s="7">
        <v>45847</v>
      </c>
      <c r="C121" s="2">
        <v>45856</v>
      </c>
      <c r="D121" s="4">
        <f t="shared" si="13"/>
        <v>9</v>
      </c>
      <c r="E121" s="4" t="str">
        <f>TEXT(Data!B121,"MMM-YYYY")</f>
        <v>Jun-2025</v>
      </c>
      <c r="F121" s="4" t="str">
        <f t="shared" si="9"/>
        <v>Q3-2025</v>
      </c>
      <c r="G121" t="s">
        <v>52</v>
      </c>
      <c r="H121" t="s">
        <v>53</v>
      </c>
      <c r="I121" t="s">
        <v>179</v>
      </c>
      <c r="J121" t="s">
        <v>27</v>
      </c>
      <c r="K121" t="s">
        <v>55</v>
      </c>
      <c r="L121" t="s">
        <v>34</v>
      </c>
      <c r="M121" t="s">
        <v>57</v>
      </c>
      <c r="N121" t="s">
        <v>341</v>
      </c>
      <c r="O121" s="4">
        <v>57.96</v>
      </c>
      <c r="P121" s="8" t="str">
        <f t="shared" si="10"/>
        <v>Medium</v>
      </c>
      <c r="Q121" s="4">
        <v>88.51</v>
      </c>
      <c r="R121" s="4">
        <v>4.2999999999999997E-2</v>
      </c>
      <c r="S121" s="4">
        <v>7</v>
      </c>
      <c r="T121" s="4">
        <f t="shared" si="7"/>
        <v>4225.1932799999995</v>
      </c>
      <c r="U121">
        <f t="shared" si="8"/>
        <v>405.72</v>
      </c>
      <c r="V121" s="4">
        <f t="shared" si="11"/>
        <v>3819.4732799999992</v>
      </c>
      <c r="W121" s="4">
        <f t="shared" si="12"/>
        <v>0.90397599041907017</v>
      </c>
    </row>
    <row r="122" spans="1:23" x14ac:dyDescent="0.3">
      <c r="A122" t="s">
        <v>342</v>
      </c>
      <c r="B122" s="7">
        <v>45827</v>
      </c>
      <c r="C122" s="2">
        <v>45850</v>
      </c>
      <c r="D122" s="4">
        <f t="shared" si="13"/>
        <v>23</v>
      </c>
      <c r="E122" s="4" t="str">
        <f>TEXT(Data!B122,"MMM-YYYY")</f>
        <v>Nov-2023</v>
      </c>
      <c r="F122" s="4" t="str">
        <f t="shared" si="9"/>
        <v>Q2-2025</v>
      </c>
      <c r="G122" t="s">
        <v>78</v>
      </c>
      <c r="H122" t="s">
        <v>108</v>
      </c>
      <c r="I122" t="s">
        <v>1364</v>
      </c>
      <c r="J122" t="s">
        <v>39</v>
      </c>
      <c r="K122" t="s">
        <v>98</v>
      </c>
      <c r="L122" t="s">
        <v>1364</v>
      </c>
      <c r="M122" t="s">
        <v>35</v>
      </c>
      <c r="N122" t="s">
        <v>343</v>
      </c>
      <c r="O122" s="4">
        <v>801.24</v>
      </c>
      <c r="P122" s="8" t="str">
        <f t="shared" si="10"/>
        <v>High</v>
      </c>
      <c r="Q122" s="4">
        <v>1959.09</v>
      </c>
      <c r="R122" s="4">
        <v>0.123</v>
      </c>
      <c r="S122" s="4">
        <v>23</v>
      </c>
      <c r="T122" s="4">
        <f t="shared" si="7"/>
        <v>14696.792309999999</v>
      </c>
      <c r="U122">
        <f t="shared" si="8"/>
        <v>18428.52</v>
      </c>
      <c r="V122" s="4">
        <f t="shared" si="11"/>
        <v>-3731.7276900000015</v>
      </c>
      <c r="W122" s="4">
        <f t="shared" si="12"/>
        <v>-0.25391443325091134</v>
      </c>
    </row>
    <row r="123" spans="1:23" x14ac:dyDescent="0.3">
      <c r="A123" t="s">
        <v>344</v>
      </c>
      <c r="B123" s="7">
        <v>45249</v>
      </c>
      <c r="C123" s="2">
        <v>45273</v>
      </c>
      <c r="D123" s="4">
        <f t="shared" si="13"/>
        <v>24</v>
      </c>
      <c r="E123" s="4" t="str">
        <f>TEXT(Data!B123,"MMM-YYYY")</f>
        <v>Dec-2023</v>
      </c>
      <c r="F123" s="4" t="str">
        <f t="shared" si="9"/>
        <v>Q4-2023</v>
      </c>
      <c r="G123" t="s">
        <v>78</v>
      </c>
      <c r="H123" t="s">
        <v>90</v>
      </c>
      <c r="I123" t="s">
        <v>138</v>
      </c>
      <c r="J123" t="s">
        <v>39</v>
      </c>
      <c r="K123" t="s">
        <v>98</v>
      </c>
      <c r="L123" t="s">
        <v>92</v>
      </c>
      <c r="M123" t="s">
        <v>64</v>
      </c>
      <c r="N123" t="s">
        <v>345</v>
      </c>
      <c r="O123" s="4">
        <v>1297.42</v>
      </c>
      <c r="P123" s="8" t="str">
        <f t="shared" si="10"/>
        <v>High</v>
      </c>
      <c r="Q123" s="4">
        <v>2742.97</v>
      </c>
      <c r="R123" s="4">
        <v>6.9000000000000006E-2</v>
      </c>
      <c r="S123" s="4">
        <v>9</v>
      </c>
      <c r="T123" s="4">
        <f t="shared" si="7"/>
        <v>7972.7022900000002</v>
      </c>
      <c r="U123">
        <f t="shared" si="8"/>
        <v>11676.78</v>
      </c>
      <c r="V123" s="4">
        <f t="shared" si="11"/>
        <v>-3704.0777100000005</v>
      </c>
      <c r="W123" s="4">
        <f t="shared" si="12"/>
        <v>-0.46459501123551927</v>
      </c>
    </row>
    <row r="124" spans="1:23" x14ac:dyDescent="0.3">
      <c r="A124" t="s">
        <v>346</v>
      </c>
      <c r="B124" s="7">
        <v>45289</v>
      </c>
      <c r="C124" s="2">
        <v>45311</v>
      </c>
      <c r="D124" s="4">
        <f t="shared" si="13"/>
        <v>22</v>
      </c>
      <c r="E124" s="4" t="str">
        <f>TEXT(Data!B124,"MMM-YYYY")</f>
        <v>Nov-2024</v>
      </c>
      <c r="F124" s="4" t="str">
        <f t="shared" si="9"/>
        <v>Q4-2023</v>
      </c>
      <c r="G124" t="s">
        <v>16</v>
      </c>
      <c r="H124" t="s">
        <v>17</v>
      </c>
      <c r="I124" t="s">
        <v>18</v>
      </c>
      <c r="J124" t="s">
        <v>19</v>
      </c>
      <c r="K124" t="s">
        <v>98</v>
      </c>
      <c r="L124" t="s">
        <v>49</v>
      </c>
      <c r="M124" t="s">
        <v>42</v>
      </c>
      <c r="N124" t="s">
        <v>347</v>
      </c>
      <c r="O124" s="4">
        <v>1395.49</v>
      </c>
      <c r="P124" s="8" t="str">
        <f t="shared" si="10"/>
        <v>High</v>
      </c>
      <c r="Q124" s="4">
        <v>1679.42</v>
      </c>
      <c r="R124" s="4">
        <v>0.20300000000000001</v>
      </c>
      <c r="S124" s="4">
        <v>12</v>
      </c>
      <c r="T124" s="4">
        <f t="shared" si="7"/>
        <v>7009.2643199999993</v>
      </c>
      <c r="U124">
        <f t="shared" si="8"/>
        <v>16745.88</v>
      </c>
      <c r="V124" s="4">
        <f t="shared" si="11"/>
        <v>-9736.6156800000026</v>
      </c>
      <c r="W124" s="4">
        <f t="shared" si="12"/>
        <v>-1.3891066502111884</v>
      </c>
    </row>
    <row r="125" spans="1:23" x14ac:dyDescent="0.3">
      <c r="A125" t="s">
        <v>348</v>
      </c>
      <c r="B125" s="7">
        <v>45598</v>
      </c>
      <c r="C125" s="2">
        <v>45625</v>
      </c>
      <c r="D125" s="4">
        <f t="shared" si="13"/>
        <v>27</v>
      </c>
      <c r="E125" s="4" t="str">
        <f>TEXT(Data!B125,"MMM-YYYY")</f>
        <v>Aug-2023</v>
      </c>
      <c r="F125" s="4" t="str">
        <f t="shared" si="9"/>
        <v>Q4-2024</v>
      </c>
      <c r="G125" t="s">
        <v>52</v>
      </c>
      <c r="H125" t="s">
        <v>73</v>
      </c>
      <c r="I125" t="s">
        <v>87</v>
      </c>
      <c r="J125" t="s">
        <v>62</v>
      </c>
      <c r="K125" t="s">
        <v>98</v>
      </c>
      <c r="L125" t="s">
        <v>34</v>
      </c>
      <c r="M125" t="s">
        <v>35</v>
      </c>
      <c r="N125" t="s">
        <v>349</v>
      </c>
      <c r="O125" s="4">
        <v>1363.51</v>
      </c>
      <c r="P125" s="8" t="str">
        <f t="shared" si="10"/>
        <v>High</v>
      </c>
      <c r="Q125" s="4">
        <v>1433.9</v>
      </c>
      <c r="R125" s="4">
        <v>5.7000000000000002E-2</v>
      </c>
      <c r="S125" s="4">
        <v>8</v>
      </c>
      <c r="T125" s="4">
        <f t="shared" si="7"/>
        <v>18192.506879999997</v>
      </c>
      <c r="U125">
        <f t="shared" si="8"/>
        <v>10908.08</v>
      </c>
      <c r="V125" s="4">
        <f t="shared" si="11"/>
        <v>7284.4268799999973</v>
      </c>
      <c r="W125" s="4">
        <f t="shared" si="12"/>
        <v>0.4004080871343883</v>
      </c>
    </row>
    <row r="126" spans="1:23" x14ac:dyDescent="0.3">
      <c r="A126" t="s">
        <v>350</v>
      </c>
      <c r="B126" s="7">
        <v>45159</v>
      </c>
      <c r="C126" s="2">
        <v>45173</v>
      </c>
      <c r="D126" s="4">
        <f t="shared" si="13"/>
        <v>14</v>
      </c>
      <c r="E126" s="4" t="str">
        <f>TEXT(Data!B126,"MMM-YYYY")</f>
        <v>Aug-2023</v>
      </c>
      <c r="F126" s="4" t="str">
        <f t="shared" si="9"/>
        <v>Q3-2023</v>
      </c>
      <c r="G126" t="s">
        <v>52</v>
      </c>
      <c r="H126" t="s">
        <v>53</v>
      </c>
      <c r="I126" t="s">
        <v>144</v>
      </c>
      <c r="J126" t="s">
        <v>27</v>
      </c>
      <c r="K126" t="s">
        <v>55</v>
      </c>
      <c r="L126" t="s">
        <v>84</v>
      </c>
      <c r="M126" t="s">
        <v>22</v>
      </c>
      <c r="N126" t="s">
        <v>351</v>
      </c>
      <c r="O126" s="4">
        <v>178.19</v>
      </c>
      <c r="P126" s="8" t="str">
        <f t="shared" si="10"/>
        <v>High</v>
      </c>
      <c r="Q126" s="4">
        <v>284.43</v>
      </c>
      <c r="R126" s="4">
        <v>8.8999999999999996E-2</v>
      </c>
      <c r="S126" s="4">
        <v>8</v>
      </c>
      <c r="T126" s="4">
        <f t="shared" si="7"/>
        <v>4141.6975199999997</v>
      </c>
      <c r="U126">
        <f t="shared" si="8"/>
        <v>1425.52</v>
      </c>
      <c r="V126" s="4">
        <f t="shared" si="11"/>
        <v>2716.1775199999997</v>
      </c>
      <c r="W126" s="4">
        <f t="shared" si="12"/>
        <v>0.65581262438498888</v>
      </c>
    </row>
    <row r="127" spans="1:23" x14ac:dyDescent="0.3">
      <c r="A127" t="s">
        <v>352</v>
      </c>
      <c r="B127" s="7">
        <v>45150</v>
      </c>
      <c r="C127" s="2">
        <v>45175</v>
      </c>
      <c r="D127" s="4">
        <f t="shared" si="13"/>
        <v>25</v>
      </c>
      <c r="E127" s="4" t="str">
        <f>TEXT(Data!B127,"MMM-YYYY")</f>
        <v>Jun-2024</v>
      </c>
      <c r="F127" s="4" t="str">
        <f t="shared" si="9"/>
        <v>Q3-2023</v>
      </c>
      <c r="G127" t="s">
        <v>45</v>
      </c>
      <c r="H127" t="s">
        <v>116</v>
      </c>
      <c r="I127" t="s">
        <v>162</v>
      </c>
      <c r="J127" t="s">
        <v>62</v>
      </c>
      <c r="K127" t="s">
        <v>20</v>
      </c>
      <c r="L127" t="s">
        <v>56</v>
      </c>
      <c r="M127" t="s">
        <v>22</v>
      </c>
      <c r="N127" t="s">
        <v>353</v>
      </c>
      <c r="O127" s="4">
        <v>950.77</v>
      </c>
      <c r="P127" s="8" t="str">
        <f t="shared" si="10"/>
        <v>High</v>
      </c>
      <c r="Q127" s="4">
        <v>694.78</v>
      </c>
      <c r="R127" s="4">
        <v>8.4000000000000005E-2</v>
      </c>
      <c r="S127" s="4">
        <v>14</v>
      </c>
      <c r="T127" s="4">
        <f t="shared" si="7"/>
        <v>16093.478800000001</v>
      </c>
      <c r="U127">
        <f t="shared" si="8"/>
        <v>13310.779999999999</v>
      </c>
      <c r="V127" s="4">
        <f t="shared" si="11"/>
        <v>2782.6988000000019</v>
      </c>
      <c r="W127" s="4">
        <f t="shared" si="12"/>
        <v>0.17290847023081185</v>
      </c>
    </row>
    <row r="128" spans="1:23" x14ac:dyDescent="0.3">
      <c r="A128" t="s">
        <v>354</v>
      </c>
      <c r="B128" s="7">
        <v>45450</v>
      </c>
      <c r="C128" s="2">
        <v>45469</v>
      </c>
      <c r="D128" s="4">
        <f t="shared" si="13"/>
        <v>19</v>
      </c>
      <c r="E128" s="4" t="str">
        <f>TEXT(Data!B128,"MMM-YYYY")</f>
        <v>Aug-2025</v>
      </c>
      <c r="F128" s="4" t="str">
        <f t="shared" si="9"/>
        <v>Q2-2024</v>
      </c>
      <c r="G128" t="s">
        <v>78</v>
      </c>
      <c r="H128" t="s">
        <v>79</v>
      </c>
      <c r="I128" t="s">
        <v>80</v>
      </c>
      <c r="J128" t="s">
        <v>39</v>
      </c>
      <c r="K128" t="s">
        <v>40</v>
      </c>
      <c r="L128" t="s">
        <v>110</v>
      </c>
      <c r="M128" t="s">
        <v>22</v>
      </c>
      <c r="N128" t="s">
        <v>355</v>
      </c>
      <c r="O128" s="4">
        <v>1064.32</v>
      </c>
      <c r="P128" s="8" t="str">
        <f t="shared" si="10"/>
        <v>High</v>
      </c>
      <c r="Q128" s="4">
        <v>1848.39</v>
      </c>
      <c r="R128" s="4">
        <v>7.2999999999999995E-2</v>
      </c>
      <c r="S128" s="4">
        <v>38</v>
      </c>
      <c r="T128" s="4">
        <f t="shared" si="7"/>
        <v>29785.344300000001</v>
      </c>
      <c r="U128">
        <f t="shared" si="8"/>
        <v>40444.159999999996</v>
      </c>
      <c r="V128" s="4">
        <f t="shared" si="11"/>
        <v>-10658.815699999996</v>
      </c>
      <c r="W128" s="4">
        <f t="shared" si="12"/>
        <v>-0.35785437269563458</v>
      </c>
    </row>
    <row r="129" spans="1:23" x14ac:dyDescent="0.3">
      <c r="A129" t="s">
        <v>356</v>
      </c>
      <c r="B129" s="7">
        <v>45874</v>
      </c>
      <c r="C129" s="2">
        <v>45883</v>
      </c>
      <c r="D129" s="4">
        <f t="shared" si="13"/>
        <v>9</v>
      </c>
      <c r="E129" s="4" t="str">
        <f>TEXT(Data!B129,"MMM-YYYY")</f>
        <v>May-2024</v>
      </c>
      <c r="F129" s="4" t="str">
        <f t="shared" si="9"/>
        <v>Q3-2025</v>
      </c>
      <c r="G129" t="s">
        <v>78</v>
      </c>
      <c r="H129" t="s">
        <v>108</v>
      </c>
      <c r="I129" t="s">
        <v>152</v>
      </c>
      <c r="J129" t="s">
        <v>39</v>
      </c>
      <c r="K129" t="s">
        <v>98</v>
      </c>
      <c r="L129" t="s">
        <v>63</v>
      </c>
      <c r="M129" t="s">
        <v>22</v>
      </c>
      <c r="N129" t="s">
        <v>357</v>
      </c>
      <c r="O129" s="4">
        <v>41.76</v>
      </c>
      <c r="P129" s="8" t="str">
        <f t="shared" si="10"/>
        <v>Low</v>
      </c>
      <c r="Q129" s="4">
        <v>45.19</v>
      </c>
      <c r="R129" s="4">
        <v>0.17899999999999999</v>
      </c>
      <c r="S129" s="4">
        <v>23</v>
      </c>
      <c r="T129" s="4">
        <f t="shared" si="7"/>
        <v>40507.245110000003</v>
      </c>
      <c r="U129">
        <f t="shared" si="8"/>
        <v>960.4799999999999</v>
      </c>
      <c r="V129" s="4">
        <f t="shared" si="11"/>
        <v>39546.76511</v>
      </c>
      <c r="W129" s="4">
        <f t="shared" si="12"/>
        <v>0.97628868619942533</v>
      </c>
    </row>
    <row r="130" spans="1:23" x14ac:dyDescent="0.3">
      <c r="A130" t="s">
        <v>358</v>
      </c>
      <c r="B130" s="7">
        <v>45442</v>
      </c>
      <c r="C130" s="2">
        <v>45456</v>
      </c>
      <c r="D130" s="4">
        <f t="shared" si="13"/>
        <v>14</v>
      </c>
      <c r="E130" s="4" t="str">
        <f>TEXT(Data!B130,"MMM-YYYY")</f>
        <v>Jan-2023</v>
      </c>
      <c r="F130" s="4" t="str">
        <f t="shared" si="9"/>
        <v>Q2-2024</v>
      </c>
      <c r="G130" t="s">
        <v>52</v>
      </c>
      <c r="H130" t="s">
        <v>122</v>
      </c>
      <c r="I130" t="s">
        <v>167</v>
      </c>
      <c r="J130" t="s">
        <v>62</v>
      </c>
      <c r="K130" t="s">
        <v>20</v>
      </c>
      <c r="L130" t="s">
        <v>84</v>
      </c>
      <c r="M130" t="s">
        <v>42</v>
      </c>
      <c r="N130" t="s">
        <v>359</v>
      </c>
      <c r="O130" s="4">
        <v>157.78</v>
      </c>
      <c r="P130" s="8" t="str">
        <f t="shared" si="10"/>
        <v>High</v>
      </c>
      <c r="Q130" s="4">
        <v>361.1</v>
      </c>
      <c r="R130" s="4">
        <v>0.187</v>
      </c>
      <c r="S130" s="4">
        <v>9</v>
      </c>
      <c r="T130" s="4">
        <f t="shared" ref="T130:T193" si="14">(Q156*S130)*(1-R130)</f>
        <v>9877.5109800000009</v>
      </c>
      <c r="U130">
        <f t="shared" ref="U130:U193" si="15">(O130*S130)</f>
        <v>1420.02</v>
      </c>
      <c r="V130" s="4">
        <f t="shared" si="11"/>
        <v>8457.4909800000005</v>
      </c>
      <c r="W130" s="4">
        <f t="shared" si="12"/>
        <v>0.85623706185948478</v>
      </c>
    </row>
    <row r="131" spans="1:23" x14ac:dyDescent="0.3">
      <c r="A131" t="s">
        <v>360</v>
      </c>
      <c r="B131" s="7">
        <v>44948</v>
      </c>
      <c r="C131" s="2">
        <v>44956</v>
      </c>
      <c r="D131" s="4">
        <f t="shared" si="13"/>
        <v>8</v>
      </c>
      <c r="E131" s="4" t="str">
        <f>TEXT(Data!B131,"MMM-YYYY")</f>
        <v>Feb-2025</v>
      </c>
      <c r="F131" s="4" t="str">
        <f t="shared" ref="F131:F194" si="16">"Q"&amp;ROUNDUP(MONTH(B131)/3,0)&amp;"-"&amp;YEAR(B131)</f>
        <v>Q1-2023</v>
      </c>
      <c r="G131" t="s">
        <v>52</v>
      </c>
      <c r="H131" t="s">
        <v>122</v>
      </c>
      <c r="I131" t="s">
        <v>167</v>
      </c>
      <c r="J131" t="s">
        <v>62</v>
      </c>
      <c r="K131" t="s">
        <v>28</v>
      </c>
      <c r="L131" t="s">
        <v>75</v>
      </c>
      <c r="M131" t="s">
        <v>35</v>
      </c>
      <c r="N131" t="s">
        <v>361</v>
      </c>
      <c r="O131" s="4">
        <v>413.52</v>
      </c>
      <c r="P131" s="8" t="str">
        <f t="shared" ref="P131:P194" si="17">IF(Q131&lt;50, "Low", IF(Q131&lt;200, "Medium", "High"))</f>
        <v>High</v>
      </c>
      <c r="Q131" s="4">
        <v>1004.34</v>
      </c>
      <c r="R131" s="4">
        <v>0.111</v>
      </c>
      <c r="S131" s="4">
        <v>18</v>
      </c>
      <c r="T131" s="4">
        <f t="shared" si="14"/>
        <v>8440.7349599999998</v>
      </c>
      <c r="U131">
        <f t="shared" si="15"/>
        <v>7443.36</v>
      </c>
      <c r="V131" s="4">
        <f t="shared" ref="V131:V194" si="18">(T131-U131)</f>
        <v>997.3749600000001</v>
      </c>
      <c r="W131" s="4">
        <f t="shared" ref="W131:W194" si="19">IF(T131=0, 0, V131/T131)</f>
        <v>0.11816209900281008</v>
      </c>
    </row>
    <row r="132" spans="1:23" x14ac:dyDescent="0.3">
      <c r="A132" t="s">
        <v>362</v>
      </c>
      <c r="B132" s="7">
        <v>45700</v>
      </c>
      <c r="C132" s="2">
        <v>45716</v>
      </c>
      <c r="D132" s="4">
        <f t="shared" ref="D132:D195" si="20">DATEDIF(B132,C132, "MD")</f>
        <v>16</v>
      </c>
      <c r="E132" s="4" t="str">
        <f>TEXT(Data!B132,"MMM-YYYY")</f>
        <v>Mar-2025</v>
      </c>
      <c r="F132" s="4" t="str">
        <f t="shared" si="16"/>
        <v>Q1-2025</v>
      </c>
      <c r="G132" t="s">
        <v>52</v>
      </c>
      <c r="H132" t="s">
        <v>73</v>
      </c>
      <c r="I132" t="s">
        <v>74</v>
      </c>
      <c r="J132" t="s">
        <v>39</v>
      </c>
      <c r="K132" t="s">
        <v>98</v>
      </c>
      <c r="L132" t="s">
        <v>56</v>
      </c>
      <c r="M132" t="s">
        <v>64</v>
      </c>
      <c r="N132" t="s">
        <v>363</v>
      </c>
      <c r="O132" s="4">
        <v>414.95</v>
      </c>
      <c r="P132" s="8" t="str">
        <f t="shared" si="17"/>
        <v>High</v>
      </c>
      <c r="Q132" s="4">
        <v>1027.73</v>
      </c>
      <c r="R132" s="4">
        <v>6.3E-2</v>
      </c>
      <c r="S132" s="4">
        <v>8</v>
      </c>
      <c r="T132" s="4">
        <f t="shared" si="14"/>
        <v>10997.906320000002</v>
      </c>
      <c r="U132">
        <f t="shared" si="15"/>
        <v>3319.6</v>
      </c>
      <c r="V132" s="4">
        <f t="shared" si="18"/>
        <v>7678.3063200000015</v>
      </c>
      <c r="W132" s="4">
        <f t="shared" si="19"/>
        <v>0.69816073137818835</v>
      </c>
    </row>
    <row r="133" spans="1:23" x14ac:dyDescent="0.3">
      <c r="A133" t="s">
        <v>364</v>
      </c>
      <c r="B133" s="7">
        <v>45719</v>
      </c>
      <c r="C133" s="2">
        <v>45740</v>
      </c>
      <c r="D133" s="4">
        <f t="shared" si="20"/>
        <v>21</v>
      </c>
      <c r="E133" s="4" t="str">
        <f>TEXT(Data!B133,"MMM-YYYY")</f>
        <v>Jan-2023</v>
      </c>
      <c r="F133" s="4" t="str">
        <f t="shared" si="16"/>
        <v>Q1-2025</v>
      </c>
      <c r="G133" t="s">
        <v>16</v>
      </c>
      <c r="H133" t="s">
        <v>25</v>
      </c>
      <c r="I133" t="s">
        <v>67</v>
      </c>
      <c r="J133" t="s">
        <v>105</v>
      </c>
      <c r="K133" t="s">
        <v>98</v>
      </c>
      <c r="L133" t="s">
        <v>92</v>
      </c>
      <c r="M133" t="s">
        <v>81</v>
      </c>
      <c r="N133" t="s">
        <v>365</v>
      </c>
      <c r="O133" s="4">
        <v>555.95000000000005</v>
      </c>
      <c r="P133" s="8" t="str">
        <f t="shared" si="17"/>
        <v>High</v>
      </c>
      <c r="Q133" s="4">
        <v>468.09</v>
      </c>
      <c r="R133" s="4">
        <v>0.14199999999999999</v>
      </c>
      <c r="S133" s="4">
        <v>11</v>
      </c>
      <c r="T133" s="4">
        <f t="shared" si="14"/>
        <v>15583.45932</v>
      </c>
      <c r="U133">
        <f t="shared" si="15"/>
        <v>6115.4500000000007</v>
      </c>
      <c r="V133" s="4">
        <f t="shared" si="18"/>
        <v>9468.0093199999992</v>
      </c>
      <c r="W133" s="4">
        <f t="shared" si="19"/>
        <v>0.60756787858063332</v>
      </c>
    </row>
    <row r="134" spans="1:23" x14ac:dyDescent="0.3">
      <c r="A134" t="s">
        <v>366</v>
      </c>
      <c r="B134" s="7">
        <v>44953</v>
      </c>
      <c r="C134" s="2">
        <v>44957</v>
      </c>
      <c r="D134" s="4">
        <f t="shared" si="20"/>
        <v>4</v>
      </c>
      <c r="E134" s="4" t="str">
        <f>TEXT(Data!B134,"MMM-YYYY")</f>
        <v>Jan-2025</v>
      </c>
      <c r="F134" s="4" t="str">
        <f t="shared" si="16"/>
        <v>Q1-2023</v>
      </c>
      <c r="G134" t="s">
        <v>78</v>
      </c>
      <c r="H134" t="s">
        <v>108</v>
      </c>
      <c r="I134" t="s">
        <v>228</v>
      </c>
      <c r="J134" t="s">
        <v>105</v>
      </c>
      <c r="K134" t="s">
        <v>28</v>
      </c>
      <c r="L134" t="s">
        <v>126</v>
      </c>
      <c r="M134" t="s">
        <v>57</v>
      </c>
      <c r="N134" t="s">
        <v>367</v>
      </c>
      <c r="O134" s="4">
        <v>941.2</v>
      </c>
      <c r="P134" s="8" t="str">
        <f t="shared" si="17"/>
        <v>High</v>
      </c>
      <c r="Q134" s="4">
        <v>668.02</v>
      </c>
      <c r="R134" s="4">
        <v>0.22</v>
      </c>
      <c r="S134" s="4">
        <v>16</v>
      </c>
      <c r="T134" s="4">
        <f t="shared" si="14"/>
        <v>24737.606400000001</v>
      </c>
      <c r="U134">
        <f t="shared" si="15"/>
        <v>15059.2</v>
      </c>
      <c r="V134" s="4">
        <f t="shared" si="18"/>
        <v>9678.4063999999998</v>
      </c>
      <c r="W134" s="4">
        <f t="shared" si="19"/>
        <v>0.3912426385763822</v>
      </c>
    </row>
    <row r="135" spans="1:23" x14ac:dyDescent="0.3">
      <c r="A135" t="s">
        <v>368</v>
      </c>
      <c r="B135" s="7">
        <v>45666</v>
      </c>
      <c r="C135" s="2">
        <v>45672</v>
      </c>
      <c r="D135" s="4">
        <f t="shared" si="20"/>
        <v>6</v>
      </c>
      <c r="E135" s="4" t="str">
        <f>TEXT(Data!B135,"MMM-YYYY")</f>
        <v>Dec-2024</v>
      </c>
      <c r="F135" s="4" t="str">
        <f t="shared" si="16"/>
        <v>Q1-2025</v>
      </c>
      <c r="G135" t="s">
        <v>45</v>
      </c>
      <c r="H135" t="s">
        <v>116</v>
      </c>
      <c r="I135" t="s">
        <v>338</v>
      </c>
      <c r="J135" t="s">
        <v>27</v>
      </c>
      <c r="K135" t="s">
        <v>28</v>
      </c>
      <c r="L135" t="s">
        <v>21</v>
      </c>
      <c r="M135" t="s">
        <v>42</v>
      </c>
      <c r="N135" t="s">
        <v>369</v>
      </c>
      <c r="O135" s="4">
        <v>304.77999999999997</v>
      </c>
      <c r="P135" s="8" t="str">
        <f t="shared" si="17"/>
        <v>High</v>
      </c>
      <c r="Q135" s="4">
        <v>537.27</v>
      </c>
      <c r="R135" s="4">
        <v>0.187</v>
      </c>
      <c r="S135" s="4">
        <v>8</v>
      </c>
      <c r="T135" s="4">
        <f t="shared" si="14"/>
        <v>16599.638879999999</v>
      </c>
      <c r="U135">
        <f t="shared" si="15"/>
        <v>2438.2399999999998</v>
      </c>
      <c r="V135" s="4">
        <f t="shared" si="18"/>
        <v>14161.398879999999</v>
      </c>
      <c r="W135" s="4">
        <f t="shared" si="19"/>
        <v>0.85311487691833454</v>
      </c>
    </row>
    <row r="136" spans="1:23" x14ac:dyDescent="0.3">
      <c r="A136" t="s">
        <v>370</v>
      </c>
      <c r="B136" s="7">
        <v>45647</v>
      </c>
      <c r="C136" s="2">
        <v>45652</v>
      </c>
      <c r="D136" s="4">
        <f t="shared" si="20"/>
        <v>5</v>
      </c>
      <c r="E136" s="4" t="str">
        <f>TEXT(Data!B136,"MMM-YYYY")</f>
        <v>Apr-2023</v>
      </c>
      <c r="F136" s="4" t="str">
        <f t="shared" si="16"/>
        <v>Q4-2024</v>
      </c>
      <c r="G136" t="s">
        <v>52</v>
      </c>
      <c r="H136" t="s">
        <v>122</v>
      </c>
      <c r="I136" t="s">
        <v>167</v>
      </c>
      <c r="J136" t="s">
        <v>48</v>
      </c>
      <c r="K136" t="s">
        <v>40</v>
      </c>
      <c r="L136" t="s">
        <v>110</v>
      </c>
      <c r="M136" t="s">
        <v>30</v>
      </c>
      <c r="N136" t="s">
        <v>371</v>
      </c>
      <c r="O136" s="4">
        <v>699.57</v>
      </c>
      <c r="P136" s="8" t="str">
        <f t="shared" si="17"/>
        <v>High</v>
      </c>
      <c r="Q136" s="4">
        <v>572.71</v>
      </c>
      <c r="R136" s="4">
        <v>0.192</v>
      </c>
      <c r="S136" s="4">
        <v>26</v>
      </c>
      <c r="T136" s="4">
        <f t="shared" si="14"/>
        <v>10987.39408</v>
      </c>
      <c r="U136">
        <f t="shared" si="15"/>
        <v>18188.82</v>
      </c>
      <c r="V136" s="4">
        <f t="shared" si="18"/>
        <v>-7201.4259199999997</v>
      </c>
      <c r="W136" s="4">
        <f t="shared" si="19"/>
        <v>-0.65542619729172391</v>
      </c>
    </row>
    <row r="137" spans="1:23" x14ac:dyDescent="0.3">
      <c r="A137" t="s">
        <v>372</v>
      </c>
      <c r="B137" s="7">
        <v>45028</v>
      </c>
      <c r="C137" s="2">
        <v>45033</v>
      </c>
      <c r="D137" s="4">
        <f t="shared" si="20"/>
        <v>5</v>
      </c>
      <c r="E137" s="4" t="str">
        <f>TEXT(Data!B137,"MMM-YYYY")</f>
        <v>Dec-2024</v>
      </c>
      <c r="F137" s="4" t="str">
        <f t="shared" si="16"/>
        <v>Q2-2023</v>
      </c>
      <c r="G137" t="s">
        <v>78</v>
      </c>
      <c r="H137" t="s">
        <v>90</v>
      </c>
      <c r="I137" t="s">
        <v>138</v>
      </c>
      <c r="J137" t="s">
        <v>105</v>
      </c>
      <c r="K137" t="s">
        <v>98</v>
      </c>
      <c r="L137" t="s">
        <v>63</v>
      </c>
      <c r="M137" t="s">
        <v>64</v>
      </c>
      <c r="N137" t="s">
        <v>373</v>
      </c>
      <c r="O137" s="4">
        <v>1087.81</v>
      </c>
      <c r="P137" s="8" t="str">
        <f t="shared" si="17"/>
        <v>High</v>
      </c>
      <c r="Q137" s="4">
        <v>2323.87</v>
      </c>
      <c r="R137" s="4">
        <v>9.4E-2</v>
      </c>
      <c r="S137" s="4">
        <v>13</v>
      </c>
      <c r="T137" s="4">
        <f t="shared" si="14"/>
        <v>14342.18838</v>
      </c>
      <c r="U137">
        <f t="shared" si="15"/>
        <v>14141.529999999999</v>
      </c>
      <c r="V137" s="4">
        <f t="shared" si="18"/>
        <v>200.65838000000076</v>
      </c>
      <c r="W137" s="4">
        <f t="shared" si="19"/>
        <v>1.399077844213902E-2</v>
      </c>
    </row>
    <row r="138" spans="1:23" x14ac:dyDescent="0.3">
      <c r="A138" t="s">
        <v>374</v>
      </c>
      <c r="B138" s="7">
        <v>45640</v>
      </c>
      <c r="C138" s="2">
        <v>45669</v>
      </c>
      <c r="D138" s="4">
        <f t="shared" si="20"/>
        <v>29</v>
      </c>
      <c r="E138" s="4" t="str">
        <f>TEXT(Data!B138,"MMM-YYYY")</f>
        <v>Mar-2023</v>
      </c>
      <c r="F138" s="4" t="str">
        <f t="shared" si="16"/>
        <v>Q4-2024</v>
      </c>
      <c r="G138" t="s">
        <v>45</v>
      </c>
      <c r="H138" t="s">
        <v>116</v>
      </c>
      <c r="I138" t="s">
        <v>117</v>
      </c>
      <c r="J138" t="s">
        <v>27</v>
      </c>
      <c r="K138" t="s">
        <v>28</v>
      </c>
      <c r="L138" t="s">
        <v>29</v>
      </c>
      <c r="M138" t="s">
        <v>22</v>
      </c>
      <c r="N138" t="s">
        <v>375</v>
      </c>
      <c r="O138" s="4">
        <v>1412.15</v>
      </c>
      <c r="P138" s="8" t="str">
        <f t="shared" si="17"/>
        <v>High</v>
      </c>
      <c r="Q138" s="4">
        <v>1631.04</v>
      </c>
      <c r="R138" s="4">
        <v>8.9999999999999993E-3</v>
      </c>
      <c r="S138" s="4">
        <v>6</v>
      </c>
      <c r="T138" s="4">
        <f t="shared" si="14"/>
        <v>7989.2834400000002</v>
      </c>
      <c r="U138">
        <f t="shared" si="15"/>
        <v>8472.9000000000015</v>
      </c>
      <c r="V138" s="4">
        <f t="shared" si="18"/>
        <v>-483.6165600000013</v>
      </c>
      <c r="W138" s="4">
        <f t="shared" si="19"/>
        <v>-6.0533158403002073E-2</v>
      </c>
    </row>
    <row r="139" spans="1:23" x14ac:dyDescent="0.3">
      <c r="A139" t="s">
        <v>376</v>
      </c>
      <c r="B139" s="7">
        <v>45016</v>
      </c>
      <c r="C139" s="2">
        <v>45028</v>
      </c>
      <c r="D139" s="4">
        <f t="shared" si="20"/>
        <v>12</v>
      </c>
      <c r="E139" s="4" t="str">
        <f>TEXT(Data!B139,"MMM-YYYY")</f>
        <v>Nov-2024</v>
      </c>
      <c r="F139" s="4" t="str">
        <f t="shared" si="16"/>
        <v>Q1-2023</v>
      </c>
      <c r="G139" t="s">
        <v>16</v>
      </c>
      <c r="H139" t="s">
        <v>17</v>
      </c>
      <c r="I139" t="s">
        <v>113</v>
      </c>
      <c r="J139" t="s">
        <v>62</v>
      </c>
      <c r="K139" t="s">
        <v>28</v>
      </c>
      <c r="L139" t="s">
        <v>21</v>
      </c>
      <c r="M139" t="s">
        <v>42</v>
      </c>
      <c r="N139" t="s">
        <v>377</v>
      </c>
      <c r="O139" s="4">
        <v>304.22000000000003</v>
      </c>
      <c r="P139" s="8" t="str">
        <f t="shared" si="17"/>
        <v>High</v>
      </c>
      <c r="Q139" s="4">
        <v>393.31</v>
      </c>
      <c r="R139" s="4">
        <v>0.26500000000000001</v>
      </c>
      <c r="S139" s="4">
        <v>15</v>
      </c>
      <c r="T139" s="4">
        <f t="shared" si="14"/>
        <v>3326.2424999999998</v>
      </c>
      <c r="U139">
        <f t="shared" si="15"/>
        <v>4563.3</v>
      </c>
      <c r="V139" s="4">
        <f t="shared" si="18"/>
        <v>-1237.0575000000003</v>
      </c>
      <c r="W139" s="4">
        <f t="shared" si="19"/>
        <v>-0.3719083921271526</v>
      </c>
    </row>
    <row r="140" spans="1:23" x14ac:dyDescent="0.3">
      <c r="A140" t="s">
        <v>378</v>
      </c>
      <c r="B140" s="7">
        <v>45616</v>
      </c>
      <c r="C140" s="2">
        <v>45641</v>
      </c>
      <c r="D140" s="4">
        <f t="shared" si="20"/>
        <v>25</v>
      </c>
      <c r="E140" s="4" t="str">
        <f>TEXT(Data!B140,"MMM-YYYY")</f>
        <v>Feb-2024</v>
      </c>
      <c r="F140" s="4" t="str">
        <f t="shared" si="16"/>
        <v>Q4-2024</v>
      </c>
      <c r="G140" t="s">
        <v>78</v>
      </c>
      <c r="H140" t="s">
        <v>90</v>
      </c>
      <c r="I140" t="s">
        <v>217</v>
      </c>
      <c r="J140" t="s">
        <v>19</v>
      </c>
      <c r="K140" t="s">
        <v>28</v>
      </c>
      <c r="L140" t="s">
        <v>41</v>
      </c>
      <c r="M140" t="s">
        <v>30</v>
      </c>
      <c r="N140" t="s">
        <v>379</v>
      </c>
      <c r="O140" s="4">
        <v>1203.58</v>
      </c>
      <c r="P140" s="8" t="str">
        <f t="shared" si="17"/>
        <v>High</v>
      </c>
      <c r="Q140" s="4">
        <v>1856.16</v>
      </c>
      <c r="R140" s="4">
        <v>0.129</v>
      </c>
      <c r="S140" s="4">
        <v>22</v>
      </c>
      <c r="T140" s="4">
        <f t="shared" si="14"/>
        <v>28967.387020000002</v>
      </c>
      <c r="U140">
        <f t="shared" si="15"/>
        <v>26478.76</v>
      </c>
      <c r="V140" s="4">
        <f t="shared" si="18"/>
        <v>2488.6270200000035</v>
      </c>
      <c r="W140" s="4">
        <f t="shared" si="19"/>
        <v>8.591133947572753E-2</v>
      </c>
    </row>
    <row r="141" spans="1:23" x14ac:dyDescent="0.3">
      <c r="A141" t="s">
        <v>380</v>
      </c>
      <c r="B141" s="7">
        <v>45336</v>
      </c>
      <c r="C141" s="2">
        <v>45336</v>
      </c>
      <c r="D141" s="4">
        <f t="shared" si="20"/>
        <v>0</v>
      </c>
      <c r="E141" s="4" t="str">
        <f>TEXT(Data!B141,"MMM-YYYY")</f>
        <v>May-2023</v>
      </c>
      <c r="F141" s="4" t="str">
        <f t="shared" si="16"/>
        <v>Q1-2024</v>
      </c>
      <c r="G141" t="s">
        <v>45</v>
      </c>
      <c r="H141" t="s">
        <v>116</v>
      </c>
      <c r="I141" t="s">
        <v>338</v>
      </c>
      <c r="J141" t="s">
        <v>19</v>
      </c>
      <c r="K141" t="s">
        <v>55</v>
      </c>
      <c r="L141" t="s">
        <v>49</v>
      </c>
      <c r="M141" t="s">
        <v>81</v>
      </c>
      <c r="N141" t="s">
        <v>381</v>
      </c>
      <c r="O141" s="4">
        <v>65.930000000000007</v>
      </c>
      <c r="P141" s="8" t="str">
        <f t="shared" si="17"/>
        <v>Medium</v>
      </c>
      <c r="Q141" s="4">
        <v>84.9</v>
      </c>
      <c r="R141" s="4">
        <v>0.25900000000000001</v>
      </c>
      <c r="S141" s="4">
        <v>23</v>
      </c>
      <c r="T141" s="4">
        <f t="shared" si="14"/>
        <v>35027.455319999994</v>
      </c>
      <c r="U141">
        <f t="shared" si="15"/>
        <v>1516.39</v>
      </c>
      <c r="V141" s="4">
        <f t="shared" si="18"/>
        <v>33511.065319999994</v>
      </c>
      <c r="W141" s="4">
        <f t="shared" si="19"/>
        <v>0.95670853088964847</v>
      </c>
    </row>
    <row r="142" spans="1:23" x14ac:dyDescent="0.3">
      <c r="A142" t="s">
        <v>382</v>
      </c>
      <c r="B142" s="7">
        <v>45048</v>
      </c>
      <c r="C142" s="2">
        <v>45064</v>
      </c>
      <c r="D142" s="4">
        <f t="shared" si="20"/>
        <v>16</v>
      </c>
      <c r="E142" s="4" t="str">
        <f>TEXT(Data!B142,"MMM-YYYY")</f>
        <v>Dec-2024</v>
      </c>
      <c r="F142" s="4" t="str">
        <f t="shared" si="16"/>
        <v>Q2-2023</v>
      </c>
      <c r="G142" t="s">
        <v>45</v>
      </c>
      <c r="H142" t="s">
        <v>60</v>
      </c>
      <c r="I142" t="s">
        <v>141</v>
      </c>
      <c r="J142" t="s">
        <v>62</v>
      </c>
      <c r="K142" t="s">
        <v>40</v>
      </c>
      <c r="L142" t="s">
        <v>95</v>
      </c>
      <c r="M142" t="s">
        <v>64</v>
      </c>
      <c r="N142" t="s">
        <v>383</v>
      </c>
      <c r="O142" s="4">
        <v>1463.92</v>
      </c>
      <c r="P142" s="8" t="str">
        <f t="shared" si="17"/>
        <v>High</v>
      </c>
      <c r="Q142" s="4">
        <v>2252.2399999999998</v>
      </c>
      <c r="R142" s="4">
        <v>0.11799999999999999</v>
      </c>
      <c r="S142" s="4">
        <v>44</v>
      </c>
      <c r="T142" s="4">
        <f t="shared" si="14"/>
        <v>15179.749199999998</v>
      </c>
      <c r="U142">
        <f t="shared" si="15"/>
        <v>64412.480000000003</v>
      </c>
      <c r="V142" s="4">
        <f t="shared" si="18"/>
        <v>-49232.730800000005</v>
      </c>
      <c r="W142" s="4">
        <f t="shared" si="19"/>
        <v>-3.2433164837795876</v>
      </c>
    </row>
    <row r="143" spans="1:23" x14ac:dyDescent="0.3">
      <c r="A143" t="s">
        <v>384</v>
      </c>
      <c r="B143" s="7">
        <v>45649</v>
      </c>
      <c r="C143" s="2">
        <v>45668</v>
      </c>
      <c r="D143" s="4">
        <f t="shared" si="20"/>
        <v>19</v>
      </c>
      <c r="E143" s="4" t="str">
        <f>TEXT(Data!B143,"MMM-YYYY")</f>
        <v>Jul-2023</v>
      </c>
      <c r="F143" s="4" t="str">
        <f t="shared" si="16"/>
        <v>Q4-2024</v>
      </c>
      <c r="G143" t="s">
        <v>78</v>
      </c>
      <c r="H143" t="s">
        <v>79</v>
      </c>
      <c r="I143" t="s">
        <v>80</v>
      </c>
      <c r="J143" t="s">
        <v>27</v>
      </c>
      <c r="K143" t="s">
        <v>20</v>
      </c>
      <c r="L143" t="s">
        <v>95</v>
      </c>
      <c r="M143" t="s">
        <v>42</v>
      </c>
      <c r="N143" t="s">
        <v>385</v>
      </c>
      <c r="O143" s="4">
        <v>501.81</v>
      </c>
      <c r="P143" s="8" t="str">
        <f t="shared" si="17"/>
        <v>High</v>
      </c>
      <c r="Q143" s="4">
        <v>921.62</v>
      </c>
      <c r="R143" s="4">
        <v>0.01</v>
      </c>
      <c r="S143" s="4">
        <v>9</v>
      </c>
      <c r="T143" s="4">
        <f t="shared" si="14"/>
        <v>16474.322700000001</v>
      </c>
      <c r="U143">
        <f t="shared" si="15"/>
        <v>4516.29</v>
      </c>
      <c r="V143" s="4">
        <f t="shared" si="18"/>
        <v>11958.0327</v>
      </c>
      <c r="W143" s="4">
        <f t="shared" si="19"/>
        <v>0.72585883606614066</v>
      </c>
    </row>
    <row r="144" spans="1:23" x14ac:dyDescent="0.3">
      <c r="A144" t="s">
        <v>386</v>
      </c>
      <c r="B144" s="7">
        <v>45133</v>
      </c>
      <c r="C144" s="2">
        <v>45163</v>
      </c>
      <c r="D144" s="4">
        <f t="shared" si="20"/>
        <v>30</v>
      </c>
      <c r="E144" s="4" t="str">
        <f>TEXT(Data!B144,"MMM-YYYY")</f>
        <v>Jun-2024</v>
      </c>
      <c r="F144" s="4" t="str">
        <f t="shared" si="16"/>
        <v>Q3-2023</v>
      </c>
      <c r="G144" t="s">
        <v>52</v>
      </c>
      <c r="H144" t="s">
        <v>122</v>
      </c>
      <c r="I144" t="s">
        <v>387</v>
      </c>
      <c r="J144" t="s">
        <v>48</v>
      </c>
      <c r="K144" t="s">
        <v>20</v>
      </c>
      <c r="L144" t="s">
        <v>110</v>
      </c>
      <c r="M144" t="s">
        <v>81</v>
      </c>
      <c r="N144" t="s">
        <v>388</v>
      </c>
      <c r="O144" s="4">
        <v>1261.48</v>
      </c>
      <c r="P144" s="8" t="str">
        <f t="shared" si="17"/>
        <v>High</v>
      </c>
      <c r="Q144" s="4">
        <v>1643.18</v>
      </c>
      <c r="R144" s="4">
        <v>0.151</v>
      </c>
      <c r="S144" s="4">
        <v>23</v>
      </c>
      <c r="T144" s="4">
        <f t="shared" si="14"/>
        <v>27251.100119999996</v>
      </c>
      <c r="U144">
        <f t="shared" si="15"/>
        <v>29014.04</v>
      </c>
      <c r="V144" s="4">
        <f t="shared" si="18"/>
        <v>-1762.9398800000054</v>
      </c>
      <c r="W144" s="4">
        <f t="shared" si="19"/>
        <v>-6.4692429745475011E-2</v>
      </c>
    </row>
    <row r="145" spans="1:23" x14ac:dyDescent="0.3">
      <c r="A145" t="s">
        <v>389</v>
      </c>
      <c r="B145" s="7">
        <v>45458</v>
      </c>
      <c r="C145" s="2">
        <v>45479</v>
      </c>
      <c r="D145" s="4">
        <f t="shared" si="20"/>
        <v>21</v>
      </c>
      <c r="E145" s="4" t="str">
        <f>TEXT(Data!B145,"MMM-YYYY")</f>
        <v>Jul-2023</v>
      </c>
      <c r="F145" s="4" t="str">
        <f t="shared" si="16"/>
        <v>Q2-2024</v>
      </c>
      <c r="G145" t="s">
        <v>52</v>
      </c>
      <c r="H145" t="s">
        <v>53</v>
      </c>
      <c r="I145" t="s">
        <v>54</v>
      </c>
      <c r="J145" t="s">
        <v>105</v>
      </c>
      <c r="K145" t="s">
        <v>55</v>
      </c>
      <c r="L145" t="s">
        <v>49</v>
      </c>
      <c r="M145" t="s">
        <v>30</v>
      </c>
      <c r="N145" t="s">
        <v>390</v>
      </c>
      <c r="O145" s="4">
        <v>817.23</v>
      </c>
      <c r="P145" s="8" t="str">
        <f t="shared" si="17"/>
        <v>High</v>
      </c>
      <c r="Q145" s="4">
        <v>1467.17</v>
      </c>
      <c r="R145" s="4">
        <v>0.245</v>
      </c>
      <c r="S145" s="4">
        <v>9</v>
      </c>
      <c r="T145" s="4">
        <f t="shared" si="14"/>
        <v>3655.9817999999996</v>
      </c>
      <c r="U145">
        <f t="shared" si="15"/>
        <v>7355.07</v>
      </c>
      <c r="V145" s="4">
        <f t="shared" si="18"/>
        <v>-3699.0882000000001</v>
      </c>
      <c r="W145" s="4">
        <f t="shared" si="19"/>
        <v>-1.0117906495048745</v>
      </c>
    </row>
    <row r="146" spans="1:23" x14ac:dyDescent="0.3">
      <c r="A146" t="s">
        <v>391</v>
      </c>
      <c r="B146" s="7">
        <v>45112</v>
      </c>
      <c r="C146" s="2">
        <v>45121</v>
      </c>
      <c r="D146" s="4">
        <f t="shared" si="20"/>
        <v>9</v>
      </c>
      <c r="E146" s="4" t="str">
        <f>TEXT(Data!B146,"MMM-YYYY")</f>
        <v>Nov-2023</v>
      </c>
      <c r="F146" s="4" t="str">
        <f t="shared" si="16"/>
        <v>Q3-2023</v>
      </c>
      <c r="G146" t="s">
        <v>52</v>
      </c>
      <c r="H146" t="s">
        <v>73</v>
      </c>
      <c r="I146" t="s">
        <v>87</v>
      </c>
      <c r="J146" t="s">
        <v>105</v>
      </c>
      <c r="K146" t="s">
        <v>98</v>
      </c>
      <c r="L146" t="s">
        <v>56</v>
      </c>
      <c r="M146" t="s">
        <v>35</v>
      </c>
      <c r="N146" t="s">
        <v>392</v>
      </c>
      <c r="O146" s="4">
        <v>578.85</v>
      </c>
      <c r="P146" s="8" t="str">
        <f t="shared" si="17"/>
        <v>High</v>
      </c>
      <c r="Q146" s="4">
        <v>998.76</v>
      </c>
      <c r="R146" s="4">
        <v>8.2000000000000003E-2</v>
      </c>
      <c r="S146" s="4">
        <v>28</v>
      </c>
      <c r="T146" s="4">
        <f t="shared" si="14"/>
        <v>31331.119680000003</v>
      </c>
      <c r="U146">
        <f t="shared" si="15"/>
        <v>16207.800000000001</v>
      </c>
      <c r="V146" s="4">
        <f t="shared" si="18"/>
        <v>15123.319680000002</v>
      </c>
      <c r="W146" s="4">
        <f t="shared" si="19"/>
        <v>0.4826932402819254</v>
      </c>
    </row>
    <row r="147" spans="1:23" x14ac:dyDescent="0.3">
      <c r="A147" t="s">
        <v>393</v>
      </c>
      <c r="B147" s="7">
        <v>45260</v>
      </c>
      <c r="C147" s="2">
        <v>45259</v>
      </c>
      <c r="D147" s="4">
        <f>DATEDIF(C147,B147, "MD")</f>
        <v>1</v>
      </c>
      <c r="E147" s="4" t="str">
        <f>TEXT(Data!B147,"MMM-YYYY")</f>
        <v>Sept-2025</v>
      </c>
      <c r="F147" s="4" t="str">
        <f t="shared" si="16"/>
        <v>Q4-2023</v>
      </c>
      <c r="G147" t="s">
        <v>16</v>
      </c>
      <c r="H147" t="s">
        <v>148</v>
      </c>
      <c r="I147" t="s">
        <v>172</v>
      </c>
      <c r="J147" t="s">
        <v>62</v>
      </c>
      <c r="K147" t="s">
        <v>40</v>
      </c>
      <c r="L147" t="s">
        <v>63</v>
      </c>
      <c r="M147" t="s">
        <v>57</v>
      </c>
      <c r="N147" t="s">
        <v>394</v>
      </c>
      <c r="O147" s="4">
        <v>275.56</v>
      </c>
      <c r="P147" s="8" t="str">
        <f t="shared" si="17"/>
        <v>High</v>
      </c>
      <c r="Q147" s="4">
        <v>630.72</v>
      </c>
      <c r="R147" s="4">
        <v>0.107</v>
      </c>
      <c r="S147" s="4">
        <v>23</v>
      </c>
      <c r="T147" s="4">
        <f t="shared" si="14"/>
        <v>42353.882679999995</v>
      </c>
      <c r="U147">
        <f t="shared" si="15"/>
        <v>6337.88</v>
      </c>
      <c r="V147" s="4">
        <f t="shared" si="18"/>
        <v>36016.002679999998</v>
      </c>
      <c r="W147" s="4">
        <f t="shared" si="19"/>
        <v>0.85035893762361436</v>
      </c>
    </row>
    <row r="148" spans="1:23" x14ac:dyDescent="0.3">
      <c r="A148" t="s">
        <v>395</v>
      </c>
      <c r="B148" s="7">
        <v>45911</v>
      </c>
      <c r="C148" s="2">
        <v>45928</v>
      </c>
      <c r="D148" s="4">
        <f t="shared" si="20"/>
        <v>17</v>
      </c>
      <c r="E148" s="4" t="str">
        <f>TEXT(Data!B148,"MMM-YYYY")</f>
        <v>Apr-2024</v>
      </c>
      <c r="F148" s="4" t="str">
        <f t="shared" si="16"/>
        <v>Q3-2025</v>
      </c>
      <c r="G148" t="s">
        <v>16</v>
      </c>
      <c r="H148" t="s">
        <v>17</v>
      </c>
      <c r="I148" t="s">
        <v>33</v>
      </c>
      <c r="J148" t="s">
        <v>39</v>
      </c>
      <c r="K148" t="s">
        <v>55</v>
      </c>
      <c r="L148" t="s">
        <v>29</v>
      </c>
      <c r="M148" t="s">
        <v>57</v>
      </c>
      <c r="N148" t="s">
        <v>396</v>
      </c>
      <c r="O148" s="4">
        <v>891.46</v>
      </c>
      <c r="P148" s="8" t="str">
        <f t="shared" si="17"/>
        <v>High</v>
      </c>
      <c r="Q148" s="4">
        <v>728.61</v>
      </c>
      <c r="R148" s="4">
        <v>0.185</v>
      </c>
      <c r="S148" s="4">
        <v>6</v>
      </c>
      <c r="T148" s="4">
        <f t="shared" si="14"/>
        <v>49.780199999999994</v>
      </c>
      <c r="U148">
        <f t="shared" si="15"/>
        <v>5348.76</v>
      </c>
      <c r="V148" s="4">
        <f t="shared" si="18"/>
        <v>-5298.9798000000001</v>
      </c>
      <c r="W148" s="4">
        <f t="shared" si="19"/>
        <v>-106.44753938312824</v>
      </c>
    </row>
    <row r="149" spans="1:23" x14ac:dyDescent="0.3">
      <c r="A149" t="s">
        <v>397</v>
      </c>
      <c r="B149" s="7">
        <v>45386</v>
      </c>
      <c r="C149" s="2">
        <v>45406</v>
      </c>
      <c r="D149" s="4">
        <f t="shared" si="20"/>
        <v>20</v>
      </c>
      <c r="E149" s="4" t="str">
        <f>TEXT(Data!B149,"MMM-YYYY")</f>
        <v>Sept-2023</v>
      </c>
      <c r="F149" s="4" t="str">
        <f t="shared" si="16"/>
        <v>Q2-2024</v>
      </c>
      <c r="G149" t="s">
        <v>78</v>
      </c>
      <c r="H149" t="s">
        <v>79</v>
      </c>
      <c r="I149" t="s">
        <v>335</v>
      </c>
      <c r="J149" t="s">
        <v>39</v>
      </c>
      <c r="K149" t="s">
        <v>98</v>
      </c>
      <c r="L149" t="s">
        <v>68</v>
      </c>
      <c r="M149" t="s">
        <v>81</v>
      </c>
      <c r="N149" t="s">
        <v>398</v>
      </c>
      <c r="O149" s="4">
        <v>683.42</v>
      </c>
      <c r="P149" s="8" t="str">
        <f t="shared" si="17"/>
        <v>High</v>
      </c>
      <c r="Q149" s="4">
        <v>951.51</v>
      </c>
      <c r="R149" s="4">
        <v>0</v>
      </c>
      <c r="S149" s="4">
        <v>14</v>
      </c>
      <c r="T149" s="4">
        <f t="shared" si="14"/>
        <v>31944.079999999998</v>
      </c>
      <c r="U149">
        <f t="shared" si="15"/>
        <v>9567.8799999999992</v>
      </c>
      <c r="V149" s="4">
        <f t="shared" si="18"/>
        <v>22376.199999999997</v>
      </c>
      <c r="W149" s="4">
        <f t="shared" si="19"/>
        <v>0.7004803393930894</v>
      </c>
    </row>
    <row r="150" spans="1:23" x14ac:dyDescent="0.3">
      <c r="A150" t="s">
        <v>399</v>
      </c>
      <c r="B150" s="7">
        <v>45183</v>
      </c>
      <c r="C150" s="2">
        <v>45185</v>
      </c>
      <c r="D150" s="4">
        <f t="shared" si="20"/>
        <v>2</v>
      </c>
      <c r="E150" s="4" t="str">
        <f>TEXT(Data!B150,"MMM-YYYY")</f>
        <v>Sept-2024</v>
      </c>
      <c r="F150" s="4" t="str">
        <f t="shared" si="16"/>
        <v>Q3-2023</v>
      </c>
      <c r="G150" t="s">
        <v>78</v>
      </c>
      <c r="H150" t="s">
        <v>90</v>
      </c>
      <c r="I150" t="s">
        <v>138</v>
      </c>
      <c r="J150" t="s">
        <v>39</v>
      </c>
      <c r="K150" t="s">
        <v>98</v>
      </c>
      <c r="L150" t="s">
        <v>56</v>
      </c>
      <c r="M150" t="s">
        <v>30</v>
      </c>
      <c r="N150" t="s">
        <v>400</v>
      </c>
      <c r="O150" s="4">
        <v>376.83</v>
      </c>
      <c r="P150" s="8" t="str">
        <f t="shared" si="17"/>
        <v>High</v>
      </c>
      <c r="Q150" s="4">
        <v>732.88</v>
      </c>
      <c r="R150" s="4">
        <v>0.188</v>
      </c>
      <c r="S150" s="4">
        <v>25</v>
      </c>
      <c r="T150" s="4">
        <f t="shared" si="14"/>
        <v>5066.2710000000006</v>
      </c>
      <c r="U150">
        <f t="shared" si="15"/>
        <v>9420.75</v>
      </c>
      <c r="V150" s="4">
        <f t="shared" si="18"/>
        <v>-4354.4789999999994</v>
      </c>
      <c r="W150" s="4">
        <f t="shared" si="19"/>
        <v>-0.85950376519534755</v>
      </c>
    </row>
    <row r="151" spans="1:23" x14ac:dyDescent="0.3">
      <c r="A151" t="s">
        <v>401</v>
      </c>
      <c r="B151" s="7">
        <v>45558</v>
      </c>
      <c r="C151" s="2">
        <v>45583</v>
      </c>
      <c r="D151" s="4">
        <f t="shared" si="20"/>
        <v>25</v>
      </c>
      <c r="E151" s="4" t="str">
        <f>TEXT(Data!B151,"MMM-YYYY")</f>
        <v>Apr-2025</v>
      </c>
      <c r="F151" s="4" t="str">
        <f t="shared" si="16"/>
        <v>Q3-2024</v>
      </c>
      <c r="G151" t="s">
        <v>52</v>
      </c>
      <c r="H151" t="s">
        <v>53</v>
      </c>
      <c r="I151" t="s">
        <v>179</v>
      </c>
      <c r="J151" t="s">
        <v>62</v>
      </c>
      <c r="K151" t="s">
        <v>28</v>
      </c>
      <c r="L151" t="s">
        <v>126</v>
      </c>
      <c r="M151" t="s">
        <v>42</v>
      </c>
      <c r="N151" t="s">
        <v>402</v>
      </c>
      <c r="O151" s="4">
        <v>1297</v>
      </c>
      <c r="P151" s="8" t="str">
        <f t="shared" si="17"/>
        <v>High</v>
      </c>
      <c r="Q151" s="4">
        <v>2411.52</v>
      </c>
      <c r="R151" s="4">
        <v>2.1000000000000001E-2</v>
      </c>
      <c r="S151" s="4">
        <v>18</v>
      </c>
      <c r="T151" s="4">
        <f t="shared" si="14"/>
        <v>57712.049999999996</v>
      </c>
      <c r="U151">
        <f t="shared" si="15"/>
        <v>23346</v>
      </c>
      <c r="V151" s="4">
        <f t="shared" si="18"/>
        <v>34366.049999999996</v>
      </c>
      <c r="W151" s="4">
        <f t="shared" si="19"/>
        <v>0.59547442865051581</v>
      </c>
    </row>
    <row r="152" spans="1:23" x14ac:dyDescent="0.3">
      <c r="A152" t="s">
        <v>403</v>
      </c>
      <c r="B152" s="7">
        <v>45763</v>
      </c>
      <c r="C152" s="2">
        <v>45793</v>
      </c>
      <c r="D152" s="4">
        <f t="shared" si="20"/>
        <v>0</v>
      </c>
      <c r="E152" s="4" t="str">
        <f>TEXT(Data!B152,"MMM-YYYY")</f>
        <v>Jul-2023</v>
      </c>
      <c r="F152" s="4" t="str">
        <f t="shared" si="16"/>
        <v>Q2-2025</v>
      </c>
      <c r="G152" t="s">
        <v>52</v>
      </c>
      <c r="H152" t="s">
        <v>53</v>
      </c>
      <c r="I152" t="s">
        <v>144</v>
      </c>
      <c r="J152" t="s">
        <v>105</v>
      </c>
      <c r="K152" t="s">
        <v>55</v>
      </c>
      <c r="L152" t="s">
        <v>95</v>
      </c>
      <c r="M152" t="s">
        <v>30</v>
      </c>
      <c r="N152" t="s">
        <v>404</v>
      </c>
      <c r="O152" s="4">
        <v>763.32</v>
      </c>
      <c r="P152" s="8" t="str">
        <f t="shared" si="17"/>
        <v>High</v>
      </c>
      <c r="Q152" s="4">
        <v>568.29</v>
      </c>
      <c r="R152" s="4">
        <v>0.13100000000000001</v>
      </c>
      <c r="S152" s="4">
        <v>16</v>
      </c>
      <c r="T152" s="4">
        <f t="shared" si="14"/>
        <v>26608.919040000001</v>
      </c>
      <c r="U152">
        <f t="shared" si="15"/>
        <v>12213.12</v>
      </c>
      <c r="V152" s="4">
        <f t="shared" si="18"/>
        <v>14395.79904</v>
      </c>
      <c r="W152" s="4">
        <f t="shared" si="19"/>
        <v>0.54101404940048248</v>
      </c>
    </row>
    <row r="153" spans="1:23" x14ac:dyDescent="0.3">
      <c r="A153" t="s">
        <v>405</v>
      </c>
      <c r="B153" s="7">
        <v>45110</v>
      </c>
      <c r="C153" s="2">
        <v>45130</v>
      </c>
      <c r="D153" s="4">
        <f t="shared" si="20"/>
        <v>20</v>
      </c>
      <c r="E153" s="4" t="str">
        <f>TEXT(Data!B153,"MMM-YYYY")</f>
        <v>Dec-2023</v>
      </c>
      <c r="F153" s="4" t="str">
        <f t="shared" si="16"/>
        <v>Q3-2023</v>
      </c>
      <c r="G153" t="s">
        <v>16</v>
      </c>
      <c r="H153" t="s">
        <v>148</v>
      </c>
      <c r="I153" t="s">
        <v>149</v>
      </c>
      <c r="J153" t="s">
        <v>62</v>
      </c>
      <c r="K153" t="s">
        <v>55</v>
      </c>
      <c r="L153" t="s">
        <v>84</v>
      </c>
      <c r="M153" t="s">
        <v>57</v>
      </c>
      <c r="N153" t="s">
        <v>406</v>
      </c>
      <c r="O153" s="4">
        <v>1001.96</v>
      </c>
      <c r="P153" s="8" t="str">
        <f t="shared" si="17"/>
        <v>High</v>
      </c>
      <c r="Q153" s="4">
        <v>1254.95</v>
      </c>
      <c r="R153" s="4">
        <v>4.4999999999999998E-2</v>
      </c>
      <c r="S153" s="4">
        <v>18</v>
      </c>
      <c r="T153" s="4">
        <f t="shared" si="14"/>
        <v>517.24709999999993</v>
      </c>
      <c r="U153">
        <f t="shared" si="15"/>
        <v>18035.28</v>
      </c>
      <c r="V153" s="4">
        <f t="shared" si="18"/>
        <v>-17518.032899999998</v>
      </c>
      <c r="W153" s="4">
        <f t="shared" si="19"/>
        <v>-33.867822361884677</v>
      </c>
    </row>
    <row r="154" spans="1:23" x14ac:dyDescent="0.3">
      <c r="A154" t="s">
        <v>407</v>
      </c>
      <c r="B154" s="7">
        <v>45267</v>
      </c>
      <c r="C154" s="2">
        <v>45265</v>
      </c>
      <c r="D154" s="4">
        <f>DATEDIF(C154,B154, "MD")</f>
        <v>2</v>
      </c>
      <c r="E154" s="4" t="str">
        <f>TEXT(Data!B154,"MMM-YYYY")</f>
        <v>Feb-2024</v>
      </c>
      <c r="F154" s="4" t="str">
        <f t="shared" si="16"/>
        <v>Q4-2023</v>
      </c>
      <c r="G154" t="s">
        <v>45</v>
      </c>
      <c r="H154" t="s">
        <v>46</v>
      </c>
      <c r="I154" t="s">
        <v>214</v>
      </c>
      <c r="J154" t="s">
        <v>39</v>
      </c>
      <c r="K154" t="s">
        <v>40</v>
      </c>
      <c r="L154" t="s">
        <v>92</v>
      </c>
      <c r="M154" t="s">
        <v>30</v>
      </c>
      <c r="N154" t="s">
        <v>408</v>
      </c>
      <c r="O154" s="4">
        <v>1097.5899999999999</v>
      </c>
      <c r="P154" s="8" t="str">
        <f t="shared" si="17"/>
        <v>High</v>
      </c>
      <c r="Q154" s="4">
        <v>845.55</v>
      </c>
      <c r="R154" s="4">
        <v>0.184</v>
      </c>
      <c r="S154" s="4">
        <v>6</v>
      </c>
      <c r="T154" s="4">
        <f t="shared" si="14"/>
        <v>2454.4137600000004</v>
      </c>
      <c r="U154">
        <f t="shared" si="15"/>
        <v>6585.5399999999991</v>
      </c>
      <c r="V154" s="4">
        <f t="shared" si="18"/>
        <v>-4131.1262399999987</v>
      </c>
      <c r="W154" s="4">
        <f t="shared" si="19"/>
        <v>-1.6831417372757875</v>
      </c>
    </row>
    <row r="155" spans="1:23" x14ac:dyDescent="0.3">
      <c r="A155" t="s">
        <v>409</v>
      </c>
      <c r="B155" s="7">
        <v>45340</v>
      </c>
      <c r="C155" s="2">
        <v>45355</v>
      </c>
      <c r="D155" s="4">
        <f t="shared" si="20"/>
        <v>15</v>
      </c>
      <c r="E155" s="4" t="str">
        <f>TEXT(Data!B155,"MMM-YYYY")</f>
        <v>Oct-2023</v>
      </c>
      <c r="F155" s="4" t="str">
        <f t="shared" si="16"/>
        <v>Q1-2024</v>
      </c>
      <c r="G155" t="s">
        <v>16</v>
      </c>
      <c r="H155" t="s">
        <v>17</v>
      </c>
      <c r="I155" t="s">
        <v>18</v>
      </c>
      <c r="J155" t="s">
        <v>27</v>
      </c>
      <c r="K155" t="s">
        <v>98</v>
      </c>
      <c r="L155" t="s">
        <v>95</v>
      </c>
      <c r="M155" t="s">
        <v>30</v>
      </c>
      <c r="N155" t="s">
        <v>410</v>
      </c>
      <c r="O155" s="4">
        <v>928.68</v>
      </c>
      <c r="P155" s="8" t="str">
        <f t="shared" si="17"/>
        <v>High</v>
      </c>
      <c r="Q155" s="4">
        <v>2145.17</v>
      </c>
      <c r="R155" s="4">
        <v>0.13600000000000001</v>
      </c>
      <c r="S155" s="4">
        <v>16</v>
      </c>
      <c r="T155" s="4">
        <f t="shared" si="14"/>
        <v>5684.1523200000001</v>
      </c>
      <c r="U155">
        <f t="shared" si="15"/>
        <v>14858.88</v>
      </c>
      <c r="V155" s="4">
        <f t="shared" si="18"/>
        <v>-9174.72768</v>
      </c>
      <c r="W155" s="4">
        <f t="shared" si="19"/>
        <v>-1.6140889904934848</v>
      </c>
    </row>
    <row r="156" spans="1:23" x14ac:dyDescent="0.3">
      <c r="A156" t="s">
        <v>411</v>
      </c>
      <c r="B156" s="7">
        <v>45230</v>
      </c>
      <c r="C156" s="2">
        <v>45232</v>
      </c>
      <c r="D156" s="4">
        <f t="shared" si="20"/>
        <v>2</v>
      </c>
      <c r="E156" s="4" t="str">
        <f>TEXT(Data!B156,"MMM-YYYY")</f>
        <v>Aug-2024</v>
      </c>
      <c r="F156" s="4" t="str">
        <f t="shared" si="16"/>
        <v>Q4-2023</v>
      </c>
      <c r="G156" t="s">
        <v>16</v>
      </c>
      <c r="H156" t="s">
        <v>17</v>
      </c>
      <c r="I156" t="s">
        <v>18</v>
      </c>
      <c r="J156" t="s">
        <v>27</v>
      </c>
      <c r="K156" t="s">
        <v>20</v>
      </c>
      <c r="L156" t="s">
        <v>68</v>
      </c>
      <c r="M156" t="s">
        <v>81</v>
      </c>
      <c r="N156" t="s">
        <v>412</v>
      </c>
      <c r="O156" s="4">
        <v>867.89</v>
      </c>
      <c r="P156" s="8" t="str">
        <f t="shared" si="17"/>
        <v>High</v>
      </c>
      <c r="Q156" s="4">
        <v>1349.94</v>
      </c>
      <c r="R156" s="4">
        <v>0.184</v>
      </c>
      <c r="S156" s="4">
        <v>10</v>
      </c>
      <c r="T156" s="4">
        <f t="shared" si="14"/>
        <v>48.307200000000009</v>
      </c>
      <c r="U156">
        <f t="shared" si="15"/>
        <v>8678.9</v>
      </c>
      <c r="V156" s="4">
        <f t="shared" si="18"/>
        <v>-8630.5928000000004</v>
      </c>
      <c r="W156" s="4">
        <f t="shared" si="19"/>
        <v>-178.66058889772123</v>
      </c>
    </row>
    <row r="157" spans="1:23" x14ac:dyDescent="0.3">
      <c r="A157" t="s">
        <v>413</v>
      </c>
      <c r="B157" s="7">
        <v>45511</v>
      </c>
      <c r="C157" s="2">
        <v>45521</v>
      </c>
      <c r="D157" s="4">
        <f t="shared" si="20"/>
        <v>10</v>
      </c>
      <c r="E157" s="4" t="str">
        <f>TEXT(Data!B157,"MMM-YYYY")</f>
        <v>Feb-2024</v>
      </c>
      <c r="F157" s="4" t="str">
        <f t="shared" si="16"/>
        <v>Q3-2024</v>
      </c>
      <c r="G157" t="s">
        <v>45</v>
      </c>
      <c r="H157" t="s">
        <v>46</v>
      </c>
      <c r="I157" t="s">
        <v>47</v>
      </c>
      <c r="J157" t="s">
        <v>48</v>
      </c>
      <c r="K157" t="s">
        <v>28</v>
      </c>
      <c r="L157" t="s">
        <v>95</v>
      </c>
      <c r="M157" t="s">
        <v>35</v>
      </c>
      <c r="N157" t="s">
        <v>414</v>
      </c>
      <c r="O157" s="4">
        <v>436.58</v>
      </c>
      <c r="P157" s="8" t="str">
        <f t="shared" si="17"/>
        <v>High</v>
      </c>
      <c r="Q157" s="4">
        <v>527.48</v>
      </c>
      <c r="R157" s="4">
        <v>0.111</v>
      </c>
      <c r="S157" s="4">
        <v>19</v>
      </c>
      <c r="T157" s="4">
        <f t="shared" si="14"/>
        <v>37272.187330000001</v>
      </c>
      <c r="U157">
        <f t="shared" si="15"/>
        <v>8295.02</v>
      </c>
      <c r="V157" s="4">
        <f t="shared" si="18"/>
        <v>28977.16733</v>
      </c>
      <c r="W157" s="4">
        <f t="shared" si="19"/>
        <v>0.77744745897101064</v>
      </c>
    </row>
    <row r="158" spans="1:23" x14ac:dyDescent="0.3">
      <c r="A158" t="s">
        <v>415</v>
      </c>
      <c r="B158" s="7">
        <v>45323</v>
      </c>
      <c r="C158" s="2">
        <v>45343</v>
      </c>
      <c r="D158" s="4">
        <f t="shared" si="20"/>
        <v>20</v>
      </c>
      <c r="E158" s="4" t="str">
        <f>TEXT(Data!B158,"MMM-YYYY")</f>
        <v>Aug-2024</v>
      </c>
      <c r="F158" s="4" t="str">
        <f t="shared" si="16"/>
        <v>Q1-2024</v>
      </c>
      <c r="G158" t="s">
        <v>78</v>
      </c>
      <c r="H158" t="s">
        <v>90</v>
      </c>
      <c r="I158" t="s">
        <v>217</v>
      </c>
      <c r="J158" t="s">
        <v>62</v>
      </c>
      <c r="K158" t="s">
        <v>40</v>
      </c>
      <c r="L158" t="s">
        <v>75</v>
      </c>
      <c r="M158" t="s">
        <v>35</v>
      </c>
      <c r="N158" t="s">
        <v>416</v>
      </c>
      <c r="O158" s="4">
        <v>656.2</v>
      </c>
      <c r="P158" s="8" t="str">
        <f t="shared" si="17"/>
        <v>High</v>
      </c>
      <c r="Q158" s="4">
        <v>1467.17</v>
      </c>
      <c r="R158" s="4">
        <v>1.7999999999999999E-2</v>
      </c>
      <c r="S158" s="4">
        <v>5</v>
      </c>
      <c r="T158" s="4">
        <f t="shared" si="14"/>
        <v>9391.848</v>
      </c>
      <c r="U158">
        <f t="shared" si="15"/>
        <v>3281</v>
      </c>
      <c r="V158" s="4">
        <f t="shared" si="18"/>
        <v>6110.848</v>
      </c>
      <c r="W158" s="4">
        <f t="shared" si="19"/>
        <v>0.65065448248310664</v>
      </c>
    </row>
    <row r="159" spans="1:23" x14ac:dyDescent="0.3">
      <c r="A159" t="s">
        <v>417</v>
      </c>
      <c r="B159" s="7">
        <v>45531</v>
      </c>
      <c r="C159" s="2">
        <v>45553</v>
      </c>
      <c r="D159" s="4">
        <f t="shared" si="20"/>
        <v>22</v>
      </c>
      <c r="E159" s="4" t="str">
        <f>TEXT(Data!B159,"MMM-YYYY")</f>
        <v>Feb-2025</v>
      </c>
      <c r="F159" s="4" t="str">
        <f t="shared" si="16"/>
        <v>Q3-2024</v>
      </c>
      <c r="G159" t="s">
        <v>45</v>
      </c>
      <c r="H159" t="s">
        <v>60</v>
      </c>
      <c r="I159" t="s">
        <v>141</v>
      </c>
      <c r="J159" t="s">
        <v>48</v>
      </c>
      <c r="K159" t="s">
        <v>98</v>
      </c>
      <c r="L159" t="s">
        <v>56</v>
      </c>
      <c r="M159" t="s">
        <v>22</v>
      </c>
      <c r="N159" t="s">
        <v>418</v>
      </c>
      <c r="O159" s="4">
        <v>896.75</v>
      </c>
      <c r="P159" s="8" t="str">
        <f t="shared" si="17"/>
        <v>High</v>
      </c>
      <c r="Q159" s="4">
        <v>1651.14</v>
      </c>
      <c r="R159" s="4">
        <v>2.5000000000000001E-2</v>
      </c>
      <c r="S159" s="4">
        <v>15</v>
      </c>
      <c r="T159" s="4">
        <f t="shared" si="14"/>
        <v>20216.283749999999</v>
      </c>
      <c r="U159">
        <f t="shared" si="15"/>
        <v>13451.25</v>
      </c>
      <c r="V159" s="4">
        <f t="shared" si="18"/>
        <v>6765.0337499999987</v>
      </c>
      <c r="W159" s="4">
        <f t="shared" si="19"/>
        <v>0.3346329045267778</v>
      </c>
    </row>
    <row r="160" spans="1:23" x14ac:dyDescent="0.3">
      <c r="A160" t="s">
        <v>419</v>
      </c>
      <c r="B160" s="7">
        <v>45703</v>
      </c>
      <c r="C160" s="2">
        <v>45703</v>
      </c>
      <c r="D160" s="4">
        <f t="shared" si="20"/>
        <v>0</v>
      </c>
      <c r="E160" s="4" t="str">
        <f>TEXT(Data!B160,"MMM-YYYY")</f>
        <v>Aug-2025</v>
      </c>
      <c r="F160" s="4" t="str">
        <f t="shared" si="16"/>
        <v>Q1-2025</v>
      </c>
      <c r="G160" t="s">
        <v>78</v>
      </c>
      <c r="H160" t="s">
        <v>79</v>
      </c>
      <c r="I160" t="s">
        <v>335</v>
      </c>
      <c r="J160" t="s">
        <v>62</v>
      </c>
      <c r="K160" t="s">
        <v>40</v>
      </c>
      <c r="L160" t="s">
        <v>49</v>
      </c>
      <c r="M160" t="s">
        <v>81</v>
      </c>
      <c r="N160" t="s">
        <v>420</v>
      </c>
      <c r="O160" s="4">
        <v>815.83</v>
      </c>
      <c r="P160" s="8" t="str">
        <f t="shared" si="17"/>
        <v>High</v>
      </c>
      <c r="Q160" s="4">
        <v>1982.18</v>
      </c>
      <c r="R160" s="4">
        <v>0.127</v>
      </c>
      <c r="S160" s="4">
        <v>6</v>
      </c>
      <c r="T160" s="4">
        <f t="shared" si="14"/>
        <v>7100.6851799999995</v>
      </c>
      <c r="U160">
        <f t="shared" si="15"/>
        <v>4894.9800000000005</v>
      </c>
      <c r="V160" s="4">
        <f t="shared" si="18"/>
        <v>2205.705179999999</v>
      </c>
      <c r="W160" s="4">
        <f t="shared" si="19"/>
        <v>0.31063272403804826</v>
      </c>
    </row>
    <row r="161" spans="1:23" x14ac:dyDescent="0.3">
      <c r="A161" t="s">
        <v>421</v>
      </c>
      <c r="B161" s="7">
        <v>45870</v>
      </c>
      <c r="C161" s="2">
        <v>45890</v>
      </c>
      <c r="D161" s="4">
        <f t="shared" si="20"/>
        <v>20</v>
      </c>
      <c r="E161" s="4" t="str">
        <f>TEXT(Data!B161,"MMM-YYYY")</f>
        <v>Feb-2023</v>
      </c>
      <c r="F161" s="4" t="str">
        <f t="shared" si="16"/>
        <v>Q3-2025</v>
      </c>
      <c r="G161" t="s">
        <v>45</v>
      </c>
      <c r="H161" t="s">
        <v>116</v>
      </c>
      <c r="I161" t="s">
        <v>162</v>
      </c>
      <c r="J161" t="s">
        <v>19</v>
      </c>
      <c r="K161" t="s">
        <v>98</v>
      </c>
      <c r="L161" t="s">
        <v>34</v>
      </c>
      <c r="M161" t="s">
        <v>42</v>
      </c>
      <c r="N161" t="s">
        <v>422</v>
      </c>
      <c r="O161" s="4">
        <v>1220.4100000000001</v>
      </c>
      <c r="P161" s="8" t="str">
        <f t="shared" si="17"/>
        <v>High</v>
      </c>
      <c r="Q161" s="4">
        <v>2552.2199999999998</v>
      </c>
      <c r="R161" s="4">
        <v>0.18099999999999999</v>
      </c>
      <c r="S161" s="4">
        <v>14</v>
      </c>
      <c r="T161" s="4">
        <f t="shared" si="14"/>
        <v>10180.661399999999</v>
      </c>
      <c r="U161">
        <f t="shared" si="15"/>
        <v>17085.740000000002</v>
      </c>
      <c r="V161" s="4">
        <f t="shared" si="18"/>
        <v>-6905.0786000000026</v>
      </c>
      <c r="W161" s="4">
        <f t="shared" si="19"/>
        <v>-0.6782544206803699</v>
      </c>
    </row>
    <row r="162" spans="1:23" x14ac:dyDescent="0.3">
      <c r="A162" t="s">
        <v>423</v>
      </c>
      <c r="B162" s="7">
        <v>44977</v>
      </c>
      <c r="C162" s="2">
        <v>44989</v>
      </c>
      <c r="D162" s="4">
        <f t="shared" si="20"/>
        <v>12</v>
      </c>
      <c r="E162" s="4" t="str">
        <f>TEXT(Data!B162,"MMM-YYYY")</f>
        <v>Oct-2024</v>
      </c>
      <c r="F162" s="4" t="str">
        <f t="shared" si="16"/>
        <v>Q1-2023</v>
      </c>
      <c r="G162" t="s">
        <v>45</v>
      </c>
      <c r="H162" t="s">
        <v>60</v>
      </c>
      <c r="I162" t="s">
        <v>141</v>
      </c>
      <c r="J162" t="s">
        <v>48</v>
      </c>
      <c r="K162" t="s">
        <v>55</v>
      </c>
      <c r="L162" t="s">
        <v>110</v>
      </c>
      <c r="M162" t="s">
        <v>64</v>
      </c>
      <c r="N162" t="s">
        <v>424</v>
      </c>
      <c r="O162" s="4">
        <v>299.75</v>
      </c>
      <c r="P162" s="8" t="str">
        <f t="shared" si="17"/>
        <v>High</v>
      </c>
      <c r="Q162" s="4">
        <v>523.01</v>
      </c>
      <c r="R162" s="4">
        <v>0.157</v>
      </c>
      <c r="S162" s="4">
        <v>50</v>
      </c>
      <c r="T162" s="4">
        <f t="shared" si="14"/>
        <v>43022.083500000001</v>
      </c>
      <c r="U162">
        <f t="shared" si="15"/>
        <v>14987.5</v>
      </c>
      <c r="V162" s="4">
        <f t="shared" si="18"/>
        <v>28034.583500000001</v>
      </c>
      <c r="W162" s="4">
        <f t="shared" si="19"/>
        <v>0.65163239943969709</v>
      </c>
    </row>
    <row r="163" spans="1:23" x14ac:dyDescent="0.3">
      <c r="A163" t="s">
        <v>425</v>
      </c>
      <c r="B163" s="7">
        <v>45595</v>
      </c>
      <c r="C163" s="2">
        <v>45620</v>
      </c>
      <c r="D163" s="4">
        <f t="shared" si="20"/>
        <v>25</v>
      </c>
      <c r="E163" s="4" t="str">
        <f>TEXT(Data!B163,"MMM-YYYY")</f>
        <v>Apr-2024</v>
      </c>
      <c r="F163" s="4" t="str">
        <f t="shared" si="16"/>
        <v>Q4-2024</v>
      </c>
      <c r="G163" t="s">
        <v>45</v>
      </c>
      <c r="H163" t="s">
        <v>116</v>
      </c>
      <c r="I163" t="s">
        <v>117</v>
      </c>
      <c r="J163" t="s">
        <v>62</v>
      </c>
      <c r="K163" t="s">
        <v>28</v>
      </c>
      <c r="L163" t="s">
        <v>63</v>
      </c>
      <c r="M163" t="s">
        <v>22</v>
      </c>
      <c r="N163" t="s">
        <v>426</v>
      </c>
      <c r="O163" s="4">
        <v>811.05</v>
      </c>
      <c r="P163" s="8" t="str">
        <f t="shared" si="17"/>
        <v>High</v>
      </c>
      <c r="Q163" s="4">
        <v>1217.71</v>
      </c>
      <c r="R163" s="4">
        <v>7.1999999999999995E-2</v>
      </c>
      <c r="S163" s="4">
        <v>5</v>
      </c>
      <c r="T163" s="4">
        <f t="shared" si="14"/>
        <v>6475.2592000000004</v>
      </c>
      <c r="U163">
        <f t="shared" si="15"/>
        <v>4055.25</v>
      </c>
      <c r="V163" s="4">
        <f t="shared" si="18"/>
        <v>2420.0092000000004</v>
      </c>
      <c r="W163" s="4">
        <f t="shared" si="19"/>
        <v>0.37373163378540897</v>
      </c>
    </row>
    <row r="164" spans="1:23" x14ac:dyDescent="0.3">
      <c r="A164" t="s">
        <v>427</v>
      </c>
      <c r="B164" s="7">
        <v>45385</v>
      </c>
      <c r="C164" s="2">
        <v>45389</v>
      </c>
      <c r="D164" s="4">
        <f t="shared" si="20"/>
        <v>4</v>
      </c>
      <c r="E164" s="4" t="str">
        <f>TEXT(Data!B164,"MMM-YYYY")</f>
        <v>Mar-2023</v>
      </c>
      <c r="F164" s="4" t="str">
        <f t="shared" si="16"/>
        <v>Q2-2024</v>
      </c>
      <c r="G164" t="s">
        <v>52</v>
      </c>
      <c r="H164" t="s">
        <v>73</v>
      </c>
      <c r="I164" t="s">
        <v>87</v>
      </c>
      <c r="J164" t="s">
        <v>39</v>
      </c>
      <c r="K164" t="s">
        <v>98</v>
      </c>
      <c r="L164" t="s">
        <v>126</v>
      </c>
      <c r="M164" t="s">
        <v>42</v>
      </c>
      <c r="N164" t="s">
        <v>428</v>
      </c>
      <c r="O164" s="4">
        <v>1023.27</v>
      </c>
      <c r="P164" s="8" t="str">
        <f t="shared" si="17"/>
        <v>High</v>
      </c>
      <c r="Q164" s="4">
        <v>1343.64</v>
      </c>
      <c r="R164" s="4">
        <v>0.13300000000000001</v>
      </c>
      <c r="S164" s="4">
        <v>7</v>
      </c>
      <c r="T164" s="4">
        <f t="shared" si="14"/>
        <v>13797.385980000001</v>
      </c>
      <c r="U164">
        <f t="shared" si="15"/>
        <v>7162.8899999999994</v>
      </c>
      <c r="V164" s="4">
        <f t="shared" si="18"/>
        <v>6634.4959800000015</v>
      </c>
      <c r="W164" s="4">
        <f t="shared" si="19"/>
        <v>0.48085166201895302</v>
      </c>
    </row>
    <row r="165" spans="1:23" x14ac:dyDescent="0.3">
      <c r="A165" t="s">
        <v>429</v>
      </c>
      <c r="B165" s="7">
        <v>45010</v>
      </c>
      <c r="C165" s="2">
        <v>45011</v>
      </c>
      <c r="D165" s="4">
        <f t="shared" si="20"/>
        <v>1</v>
      </c>
      <c r="E165" s="4" t="str">
        <f>TEXT(Data!B165,"MMM-YYYY")</f>
        <v>Jun-2024</v>
      </c>
      <c r="F165" s="4" t="str">
        <f t="shared" si="16"/>
        <v>Q1-2023</v>
      </c>
      <c r="G165" t="s">
        <v>45</v>
      </c>
      <c r="H165" t="s">
        <v>46</v>
      </c>
      <c r="I165" t="s">
        <v>47</v>
      </c>
      <c r="J165" t="s">
        <v>62</v>
      </c>
      <c r="K165" t="s">
        <v>55</v>
      </c>
      <c r="L165" t="s">
        <v>34</v>
      </c>
      <c r="M165" t="s">
        <v>64</v>
      </c>
      <c r="N165" t="s">
        <v>430</v>
      </c>
      <c r="O165" s="4">
        <v>135.12</v>
      </c>
      <c r="P165" s="8" t="str">
        <f t="shared" si="17"/>
        <v>High</v>
      </c>
      <c r="Q165" s="4">
        <v>301.7</v>
      </c>
      <c r="R165" s="4">
        <v>0.14000000000000001</v>
      </c>
      <c r="S165" s="4">
        <v>47</v>
      </c>
      <c r="T165" s="4">
        <f t="shared" si="14"/>
        <v>50207.703000000001</v>
      </c>
      <c r="U165">
        <f t="shared" si="15"/>
        <v>6350.64</v>
      </c>
      <c r="V165" s="4">
        <f t="shared" si="18"/>
        <v>43857.063000000002</v>
      </c>
      <c r="W165" s="4">
        <f t="shared" si="19"/>
        <v>0.87351263609888707</v>
      </c>
    </row>
    <row r="166" spans="1:23" x14ac:dyDescent="0.3">
      <c r="A166" t="s">
        <v>431</v>
      </c>
      <c r="B166" s="7">
        <v>45447</v>
      </c>
      <c r="C166" s="2">
        <v>45459</v>
      </c>
      <c r="D166" s="4">
        <f t="shared" si="20"/>
        <v>12</v>
      </c>
      <c r="E166" s="4" t="str">
        <f>TEXT(Data!B166,"MMM-YYYY")</f>
        <v>Feb-2023</v>
      </c>
      <c r="F166" s="4" t="str">
        <f t="shared" si="16"/>
        <v>Q2-2024</v>
      </c>
      <c r="G166" t="s">
        <v>45</v>
      </c>
      <c r="H166" t="s">
        <v>116</v>
      </c>
      <c r="I166" t="s">
        <v>162</v>
      </c>
      <c r="J166" t="s">
        <v>19</v>
      </c>
      <c r="K166" t="s">
        <v>20</v>
      </c>
      <c r="L166" t="s">
        <v>29</v>
      </c>
      <c r="M166" t="s">
        <v>30</v>
      </c>
      <c r="N166" t="s">
        <v>432</v>
      </c>
      <c r="O166" s="4">
        <v>918.42</v>
      </c>
      <c r="P166" s="8" t="str">
        <f t="shared" si="17"/>
        <v>High</v>
      </c>
      <c r="Q166" s="4">
        <v>1511.71</v>
      </c>
      <c r="R166" s="4">
        <v>0.02</v>
      </c>
      <c r="S166" s="4">
        <v>8</v>
      </c>
      <c r="T166" s="4">
        <f t="shared" si="14"/>
        <v>10272.6736</v>
      </c>
      <c r="U166">
        <f t="shared" si="15"/>
        <v>7347.36</v>
      </c>
      <c r="V166" s="4">
        <f t="shared" si="18"/>
        <v>2925.3136000000004</v>
      </c>
      <c r="W166" s="4">
        <f t="shared" si="19"/>
        <v>0.28476652855007489</v>
      </c>
    </row>
    <row r="167" spans="1:23" x14ac:dyDescent="0.3">
      <c r="A167" t="s">
        <v>433</v>
      </c>
      <c r="B167" s="7">
        <v>44976</v>
      </c>
      <c r="C167" s="2">
        <v>44997</v>
      </c>
      <c r="D167" s="4">
        <f t="shared" si="20"/>
        <v>21</v>
      </c>
      <c r="E167" s="4" t="str">
        <f>TEXT(Data!B167,"MMM-YYYY")</f>
        <v>Apr-2023</v>
      </c>
      <c r="F167" s="4" t="str">
        <f t="shared" si="16"/>
        <v>Q1-2023</v>
      </c>
      <c r="G167" t="s">
        <v>78</v>
      </c>
      <c r="H167" t="s">
        <v>79</v>
      </c>
      <c r="I167" t="s">
        <v>80</v>
      </c>
      <c r="J167" t="s">
        <v>62</v>
      </c>
      <c r="K167" t="s">
        <v>98</v>
      </c>
      <c r="L167" t="s">
        <v>49</v>
      </c>
      <c r="M167" t="s">
        <v>64</v>
      </c>
      <c r="N167" t="s">
        <v>434</v>
      </c>
      <c r="O167" s="4">
        <v>1234.81</v>
      </c>
      <c r="P167" s="8" t="str">
        <f t="shared" si="17"/>
        <v>High</v>
      </c>
      <c r="Q167" s="4">
        <v>2055.2399999999998</v>
      </c>
      <c r="R167" s="4">
        <v>5.2999999999999999E-2</v>
      </c>
      <c r="S167" s="4">
        <v>44</v>
      </c>
      <c r="T167" s="4">
        <f t="shared" si="14"/>
        <v>40303.373</v>
      </c>
      <c r="U167">
        <f t="shared" si="15"/>
        <v>54331.64</v>
      </c>
      <c r="V167" s="4">
        <f t="shared" si="18"/>
        <v>-14028.267</v>
      </c>
      <c r="W167" s="4">
        <f t="shared" si="19"/>
        <v>-0.34806682309195314</v>
      </c>
    </row>
    <row r="168" spans="1:23" x14ac:dyDescent="0.3">
      <c r="A168" t="s">
        <v>435</v>
      </c>
      <c r="B168" s="7">
        <v>45034</v>
      </c>
      <c r="C168" s="2">
        <v>45064</v>
      </c>
      <c r="D168" s="4">
        <f t="shared" si="20"/>
        <v>0</v>
      </c>
      <c r="E168" s="4" t="str">
        <f>TEXT(Data!B168,"MMM-YYYY")</f>
        <v>May-2024</v>
      </c>
      <c r="F168" s="4" t="str">
        <f t="shared" si="16"/>
        <v>Q2-2023</v>
      </c>
      <c r="G168" t="s">
        <v>45</v>
      </c>
      <c r="H168" t="s">
        <v>116</v>
      </c>
      <c r="I168" t="s">
        <v>117</v>
      </c>
      <c r="J168" t="s">
        <v>39</v>
      </c>
      <c r="K168" t="s">
        <v>20</v>
      </c>
      <c r="L168" t="s">
        <v>92</v>
      </c>
      <c r="M168" t="s">
        <v>57</v>
      </c>
      <c r="N168" t="s">
        <v>436</v>
      </c>
      <c r="O168" s="4">
        <v>329.03</v>
      </c>
      <c r="P168" s="8" t="str">
        <f t="shared" si="17"/>
        <v>High</v>
      </c>
      <c r="Q168" s="4">
        <v>391.15</v>
      </c>
      <c r="R168" s="4">
        <v>0.19700000000000001</v>
      </c>
      <c r="S168" s="4">
        <v>46</v>
      </c>
      <c r="T168" s="4">
        <f t="shared" si="14"/>
        <v>32735.194359999998</v>
      </c>
      <c r="U168">
        <f t="shared" si="15"/>
        <v>15135.38</v>
      </c>
      <c r="V168" s="4">
        <f t="shared" si="18"/>
        <v>17599.814359999997</v>
      </c>
      <c r="W168" s="4">
        <f t="shared" si="19"/>
        <v>0.53764196926552166</v>
      </c>
    </row>
    <row r="169" spans="1:23" x14ac:dyDescent="0.3">
      <c r="A169" t="s">
        <v>437</v>
      </c>
      <c r="B169" s="7">
        <v>45435</v>
      </c>
      <c r="C169" s="2">
        <v>45457</v>
      </c>
      <c r="D169" s="4">
        <f t="shared" si="20"/>
        <v>22</v>
      </c>
      <c r="E169" s="4" t="str">
        <f>TEXT(Data!B169,"MMM-YYYY")</f>
        <v>Oct-2023</v>
      </c>
      <c r="F169" s="4" t="str">
        <f t="shared" si="16"/>
        <v>Q2-2024</v>
      </c>
      <c r="G169" t="s">
        <v>78</v>
      </c>
      <c r="H169" t="s">
        <v>90</v>
      </c>
      <c r="I169" t="s">
        <v>91</v>
      </c>
      <c r="J169" t="s">
        <v>62</v>
      </c>
      <c r="K169" t="s">
        <v>28</v>
      </c>
      <c r="L169" t="s">
        <v>126</v>
      </c>
      <c r="M169" t="s">
        <v>64</v>
      </c>
      <c r="N169" t="s">
        <v>438</v>
      </c>
      <c r="O169" s="4">
        <v>1481.74</v>
      </c>
      <c r="P169" s="8" t="str">
        <f t="shared" si="17"/>
        <v>High</v>
      </c>
      <c r="Q169" s="4">
        <v>1848.97</v>
      </c>
      <c r="R169" s="4">
        <v>0.254</v>
      </c>
      <c r="S169" s="4">
        <v>9</v>
      </c>
      <c r="T169" s="4">
        <f t="shared" si="14"/>
        <v>5308.1555399999997</v>
      </c>
      <c r="U169">
        <f t="shared" si="15"/>
        <v>13335.66</v>
      </c>
      <c r="V169" s="4">
        <f t="shared" si="18"/>
        <v>-8027.5044600000001</v>
      </c>
      <c r="W169" s="4">
        <f t="shared" si="19"/>
        <v>-1.5122963898680333</v>
      </c>
    </row>
    <row r="170" spans="1:23" x14ac:dyDescent="0.3">
      <c r="A170" t="s">
        <v>439</v>
      </c>
      <c r="B170" s="7">
        <v>45206</v>
      </c>
      <c r="C170" s="2">
        <v>45222</v>
      </c>
      <c r="D170" s="4">
        <f t="shared" si="20"/>
        <v>16</v>
      </c>
      <c r="E170" s="4" t="str">
        <f>TEXT(Data!B170,"MMM-YYYY")</f>
        <v>Oct-2024</v>
      </c>
      <c r="F170" s="4" t="str">
        <f t="shared" si="16"/>
        <v>Q4-2023</v>
      </c>
      <c r="G170" t="s">
        <v>45</v>
      </c>
      <c r="H170" t="s">
        <v>60</v>
      </c>
      <c r="I170" t="s">
        <v>281</v>
      </c>
      <c r="J170" t="s">
        <v>48</v>
      </c>
      <c r="K170" t="s">
        <v>20</v>
      </c>
      <c r="L170" t="s">
        <v>41</v>
      </c>
      <c r="M170" t="s">
        <v>64</v>
      </c>
      <c r="N170" t="s">
        <v>440</v>
      </c>
      <c r="O170" s="4">
        <v>906.81</v>
      </c>
      <c r="P170" s="8" t="str">
        <f t="shared" si="17"/>
        <v>High</v>
      </c>
      <c r="Q170" s="4">
        <v>1395.56</v>
      </c>
      <c r="R170" s="4">
        <v>0.185</v>
      </c>
      <c r="S170" s="4">
        <v>6</v>
      </c>
      <c r="T170" s="4">
        <f t="shared" si="14"/>
        <v>1766.9036999999998</v>
      </c>
      <c r="U170">
        <f t="shared" si="15"/>
        <v>5440.86</v>
      </c>
      <c r="V170" s="4">
        <f t="shared" si="18"/>
        <v>-3673.9562999999998</v>
      </c>
      <c r="W170" s="4">
        <f t="shared" si="19"/>
        <v>-2.079318923832691</v>
      </c>
    </row>
    <row r="171" spans="1:23" x14ac:dyDescent="0.3">
      <c r="A171" t="s">
        <v>441</v>
      </c>
      <c r="B171" s="7">
        <v>45574</v>
      </c>
      <c r="C171" s="2">
        <v>45604</v>
      </c>
      <c r="D171" s="4">
        <f t="shared" si="20"/>
        <v>30</v>
      </c>
      <c r="E171" s="4" t="str">
        <f>TEXT(Data!B171,"MMM-YYYY")</f>
        <v>Jul-2024</v>
      </c>
      <c r="F171" s="4" t="str">
        <f t="shared" si="16"/>
        <v>Q4-2024</v>
      </c>
      <c r="G171" t="s">
        <v>78</v>
      </c>
      <c r="H171" t="s">
        <v>108</v>
      </c>
      <c r="I171" t="s">
        <v>228</v>
      </c>
      <c r="J171" t="s">
        <v>62</v>
      </c>
      <c r="K171" t="s">
        <v>55</v>
      </c>
      <c r="L171" t="s">
        <v>29</v>
      </c>
      <c r="M171" t="s">
        <v>22</v>
      </c>
      <c r="N171" t="s">
        <v>442</v>
      </c>
      <c r="O171" s="4">
        <v>343.85</v>
      </c>
      <c r="P171" s="8" t="str">
        <f t="shared" si="17"/>
        <v>High</v>
      </c>
      <c r="Q171" s="4">
        <v>538.04</v>
      </c>
      <c r="R171" s="4">
        <v>0.13900000000000001</v>
      </c>
      <c r="S171" s="4">
        <v>5</v>
      </c>
      <c r="T171" s="4">
        <f t="shared" si="14"/>
        <v>8403.5321999999996</v>
      </c>
      <c r="U171">
        <f t="shared" si="15"/>
        <v>1719.25</v>
      </c>
      <c r="V171" s="4">
        <f t="shared" si="18"/>
        <v>6684.2821999999996</v>
      </c>
      <c r="W171" s="4">
        <f t="shared" si="19"/>
        <v>0.79541340961363838</v>
      </c>
    </row>
    <row r="172" spans="1:23" x14ac:dyDescent="0.3">
      <c r="A172" t="s">
        <v>443</v>
      </c>
      <c r="B172" s="7">
        <v>45488</v>
      </c>
      <c r="C172" s="2">
        <v>45488</v>
      </c>
      <c r="D172" s="4">
        <f t="shared" si="20"/>
        <v>0</v>
      </c>
      <c r="E172" s="4" t="str">
        <f>TEXT(Data!B172,"MMM-YYYY")</f>
        <v>Sept-2023</v>
      </c>
      <c r="F172" s="4" t="str">
        <f t="shared" si="16"/>
        <v>Q3-2024</v>
      </c>
      <c r="G172" t="s">
        <v>45</v>
      </c>
      <c r="H172" t="s">
        <v>46</v>
      </c>
      <c r="I172" t="s">
        <v>214</v>
      </c>
      <c r="J172" t="s">
        <v>62</v>
      </c>
      <c r="K172" t="s">
        <v>40</v>
      </c>
      <c r="L172" t="s">
        <v>41</v>
      </c>
      <c r="M172" t="s">
        <v>81</v>
      </c>
      <c r="N172" t="s">
        <v>444</v>
      </c>
      <c r="O172" s="4">
        <v>801.77</v>
      </c>
      <c r="P172" s="8" t="str">
        <f t="shared" si="17"/>
        <v>High</v>
      </c>
      <c r="Q172" s="4">
        <v>1218.92</v>
      </c>
      <c r="R172" s="4">
        <v>0.254</v>
      </c>
      <c r="S172" s="4">
        <v>16</v>
      </c>
      <c r="T172" s="4">
        <f t="shared" si="14"/>
        <v>18676.97536</v>
      </c>
      <c r="U172">
        <f t="shared" si="15"/>
        <v>12828.32</v>
      </c>
      <c r="V172" s="4">
        <f t="shared" si="18"/>
        <v>5848.6553600000007</v>
      </c>
      <c r="W172" s="4">
        <f t="shared" si="19"/>
        <v>0.31314788648947495</v>
      </c>
    </row>
    <row r="173" spans="1:23" x14ac:dyDescent="0.3">
      <c r="A173" t="s">
        <v>445</v>
      </c>
      <c r="B173" s="7">
        <v>45190</v>
      </c>
      <c r="C173" s="2">
        <v>45209</v>
      </c>
      <c r="D173" s="4">
        <f t="shared" si="20"/>
        <v>19</v>
      </c>
      <c r="E173" s="4" t="str">
        <f>TEXT(Data!B173,"MMM-YYYY")</f>
        <v>Feb-2023</v>
      </c>
      <c r="F173" s="4" t="str">
        <f t="shared" si="16"/>
        <v>Q3-2023</v>
      </c>
      <c r="G173" t="s">
        <v>45</v>
      </c>
      <c r="H173" t="s">
        <v>46</v>
      </c>
      <c r="I173" t="s">
        <v>214</v>
      </c>
      <c r="J173" t="s">
        <v>27</v>
      </c>
      <c r="K173" t="s">
        <v>28</v>
      </c>
      <c r="L173" t="s">
        <v>145</v>
      </c>
      <c r="M173" t="s">
        <v>22</v>
      </c>
      <c r="N173" t="s">
        <v>446</v>
      </c>
      <c r="O173" s="4">
        <v>845.63</v>
      </c>
      <c r="P173" s="8" t="str">
        <f t="shared" si="17"/>
        <v>High</v>
      </c>
      <c r="Q173" s="4">
        <v>2062.12</v>
      </c>
      <c r="R173" s="4">
        <v>0.13400000000000001</v>
      </c>
      <c r="S173" s="4">
        <v>5</v>
      </c>
      <c r="T173" s="4">
        <f t="shared" si="14"/>
        <v>3691.4982</v>
      </c>
      <c r="U173">
        <f t="shared" si="15"/>
        <v>4228.1499999999996</v>
      </c>
      <c r="V173" s="4">
        <f t="shared" si="18"/>
        <v>-536.65179999999964</v>
      </c>
      <c r="W173" s="4">
        <f t="shared" si="19"/>
        <v>-0.1453750674996942</v>
      </c>
    </row>
    <row r="174" spans="1:23" x14ac:dyDescent="0.3">
      <c r="A174" t="s">
        <v>447</v>
      </c>
      <c r="B174" s="7">
        <v>44981</v>
      </c>
      <c r="C174" s="2">
        <v>44994</v>
      </c>
      <c r="D174" s="4">
        <f t="shared" si="20"/>
        <v>13</v>
      </c>
      <c r="E174" s="4" t="str">
        <f>TEXT(Data!B174,"MMM-YYYY")</f>
        <v>May-2025</v>
      </c>
      <c r="F174" s="4" t="str">
        <f t="shared" si="16"/>
        <v>Q1-2023</v>
      </c>
      <c r="G174" t="s">
        <v>52</v>
      </c>
      <c r="H174" t="s">
        <v>122</v>
      </c>
      <c r="I174" t="s">
        <v>387</v>
      </c>
      <c r="J174" t="s">
        <v>105</v>
      </c>
      <c r="K174" t="s">
        <v>28</v>
      </c>
      <c r="L174" t="s">
        <v>110</v>
      </c>
      <c r="M174" t="s">
        <v>22</v>
      </c>
      <c r="N174" t="s">
        <v>448</v>
      </c>
      <c r="O174" s="4">
        <v>6.85</v>
      </c>
      <c r="P174" s="8" t="str">
        <f t="shared" si="17"/>
        <v>Low</v>
      </c>
      <c r="Q174" s="4">
        <v>10.18</v>
      </c>
      <c r="R174" s="4">
        <v>4.7E-2</v>
      </c>
      <c r="S174" s="4">
        <v>10</v>
      </c>
      <c r="T174" s="4">
        <f t="shared" si="14"/>
        <v>13964.213699999998</v>
      </c>
      <c r="U174">
        <f t="shared" si="15"/>
        <v>68.5</v>
      </c>
      <c r="V174" s="4">
        <f t="shared" si="18"/>
        <v>13895.713699999998</v>
      </c>
      <c r="W174" s="4">
        <f t="shared" si="19"/>
        <v>0.99509460385871928</v>
      </c>
    </row>
    <row r="175" spans="1:23" x14ac:dyDescent="0.3">
      <c r="A175" t="s">
        <v>449</v>
      </c>
      <c r="B175" s="7">
        <v>45798</v>
      </c>
      <c r="C175" s="2">
        <v>45796</v>
      </c>
      <c r="D175" s="4">
        <f>DATEDIF(C175,B175, "MD")</f>
        <v>2</v>
      </c>
      <c r="E175" s="4" t="str">
        <f>TEXT(Data!B175,"MMM-YYYY")</f>
        <v>May-2024</v>
      </c>
      <c r="F175" s="4" t="str">
        <f t="shared" si="16"/>
        <v>Q2-2025</v>
      </c>
      <c r="G175" t="s">
        <v>16</v>
      </c>
      <c r="H175" t="s">
        <v>148</v>
      </c>
      <c r="I175" t="s">
        <v>149</v>
      </c>
      <c r="J175" t="s">
        <v>39</v>
      </c>
      <c r="K175" t="s">
        <v>55</v>
      </c>
      <c r="L175" t="s">
        <v>68</v>
      </c>
      <c r="M175" t="s">
        <v>57</v>
      </c>
      <c r="N175" t="s">
        <v>450</v>
      </c>
      <c r="O175" s="4">
        <v>1263.8399999999999</v>
      </c>
      <c r="P175" s="8" t="str">
        <f t="shared" si="17"/>
        <v>High</v>
      </c>
      <c r="Q175" s="4">
        <v>2281.7199999999998</v>
      </c>
      <c r="R175" s="4">
        <v>7.8E-2</v>
      </c>
      <c r="S175" s="4">
        <v>15</v>
      </c>
      <c r="T175" s="4">
        <f t="shared" si="14"/>
        <v>36583.530899999998</v>
      </c>
      <c r="U175">
        <f t="shared" si="15"/>
        <v>18957.599999999999</v>
      </c>
      <c r="V175" s="4">
        <f t="shared" si="18"/>
        <v>17625.930899999999</v>
      </c>
      <c r="W175" s="4">
        <f t="shared" si="19"/>
        <v>0.48179960945213191</v>
      </c>
    </row>
    <row r="176" spans="1:23" x14ac:dyDescent="0.3">
      <c r="A176" t="s">
        <v>451</v>
      </c>
      <c r="B176" s="7">
        <v>45435</v>
      </c>
      <c r="C176" s="2">
        <v>45446</v>
      </c>
      <c r="D176" s="4">
        <f t="shared" si="20"/>
        <v>11</v>
      </c>
      <c r="E176" s="4" t="str">
        <f>TEXT(Data!B176,"MMM-YYYY")</f>
        <v>Apr-2025</v>
      </c>
      <c r="F176" s="4" t="str">
        <f t="shared" si="16"/>
        <v>Q2-2024</v>
      </c>
      <c r="G176" t="s">
        <v>16</v>
      </c>
      <c r="H176" t="s">
        <v>148</v>
      </c>
      <c r="I176" t="s">
        <v>149</v>
      </c>
      <c r="J176" t="s">
        <v>62</v>
      </c>
      <c r="K176" t="s">
        <v>55</v>
      </c>
      <c r="L176" t="s">
        <v>84</v>
      </c>
      <c r="M176" t="s">
        <v>30</v>
      </c>
      <c r="N176" t="s">
        <v>452</v>
      </c>
      <c r="O176" s="4">
        <v>180.89</v>
      </c>
      <c r="P176" s="8" t="str">
        <f t="shared" si="17"/>
        <v>High</v>
      </c>
      <c r="Q176" s="4">
        <v>249.57</v>
      </c>
      <c r="R176" s="4">
        <v>2.1999999999999999E-2</v>
      </c>
      <c r="S176" s="4">
        <v>8</v>
      </c>
      <c r="T176" s="4">
        <f t="shared" si="14"/>
        <v>6897.4036800000003</v>
      </c>
      <c r="U176">
        <f t="shared" si="15"/>
        <v>1447.12</v>
      </c>
      <c r="V176" s="4">
        <f t="shared" si="18"/>
        <v>5450.2836800000005</v>
      </c>
      <c r="W176" s="4">
        <f t="shared" si="19"/>
        <v>0.79019351815000627</v>
      </c>
    </row>
    <row r="177" spans="1:23" x14ac:dyDescent="0.3">
      <c r="A177" t="s">
        <v>453</v>
      </c>
      <c r="B177" s="7">
        <v>45761</v>
      </c>
      <c r="C177" s="2">
        <v>45781</v>
      </c>
      <c r="D177" s="4">
        <f t="shared" si="20"/>
        <v>20</v>
      </c>
      <c r="E177" s="4" t="str">
        <f>TEXT(Data!B177,"MMM-YYYY")</f>
        <v>Aug-2023</v>
      </c>
      <c r="F177" s="4" t="str">
        <f t="shared" si="16"/>
        <v>Q2-2025</v>
      </c>
      <c r="G177" t="s">
        <v>78</v>
      </c>
      <c r="H177" t="s">
        <v>108</v>
      </c>
      <c r="I177" t="s">
        <v>109</v>
      </c>
      <c r="J177" t="s">
        <v>105</v>
      </c>
      <c r="K177" t="s">
        <v>40</v>
      </c>
      <c r="L177" t="s">
        <v>95</v>
      </c>
      <c r="M177" t="s">
        <v>64</v>
      </c>
      <c r="N177" t="s">
        <v>454</v>
      </c>
      <c r="O177" s="4">
        <v>1413.87</v>
      </c>
      <c r="P177" s="8" t="str">
        <f t="shared" si="17"/>
        <v>High</v>
      </c>
      <c r="Q177" s="4">
        <v>3275</v>
      </c>
      <c r="R177" s="4">
        <v>0.255</v>
      </c>
      <c r="S177" s="4">
        <v>38</v>
      </c>
      <c r="T177" s="4">
        <f t="shared" si="14"/>
        <v>17694.882399999999</v>
      </c>
      <c r="U177">
        <f t="shared" si="15"/>
        <v>53727.06</v>
      </c>
      <c r="V177" s="4">
        <f t="shared" si="18"/>
        <v>-36032.177599999995</v>
      </c>
      <c r="W177" s="4">
        <f t="shared" si="19"/>
        <v>-2.0363050053387188</v>
      </c>
    </row>
    <row r="178" spans="1:23" x14ac:dyDescent="0.3">
      <c r="A178" t="s">
        <v>455</v>
      </c>
      <c r="B178" s="7">
        <v>45165</v>
      </c>
      <c r="C178" s="2">
        <v>45180</v>
      </c>
      <c r="D178" s="4">
        <f t="shared" si="20"/>
        <v>15</v>
      </c>
      <c r="E178" s="4" t="str">
        <f>TEXT(Data!B178,"MMM-YYYY")</f>
        <v>Feb-2024</v>
      </c>
      <c r="F178" s="4" t="str">
        <f t="shared" si="16"/>
        <v>Q3-2023</v>
      </c>
      <c r="G178" t="s">
        <v>78</v>
      </c>
      <c r="H178" t="s">
        <v>108</v>
      </c>
      <c r="I178" t="s">
        <v>152</v>
      </c>
      <c r="J178" t="s">
        <v>48</v>
      </c>
      <c r="K178" t="s">
        <v>40</v>
      </c>
      <c r="L178" t="s">
        <v>126</v>
      </c>
      <c r="M178" t="s">
        <v>30</v>
      </c>
      <c r="N178" t="s">
        <v>456</v>
      </c>
      <c r="O178" s="4">
        <v>943.79</v>
      </c>
      <c r="P178" s="8" t="str">
        <f t="shared" si="17"/>
        <v>High</v>
      </c>
      <c r="Q178" s="4">
        <v>1913.76</v>
      </c>
      <c r="R178" s="4">
        <v>9.0999999999999998E-2</v>
      </c>
      <c r="S178" s="4">
        <v>9</v>
      </c>
      <c r="T178" s="4">
        <f t="shared" si="14"/>
        <v>7960.4402400000008</v>
      </c>
      <c r="U178">
        <f t="shared" si="15"/>
        <v>8494.11</v>
      </c>
      <c r="V178" s="4">
        <f t="shared" si="18"/>
        <v>-533.66975999999977</v>
      </c>
      <c r="W178" s="4">
        <f t="shared" si="19"/>
        <v>-6.7040231935715122E-2</v>
      </c>
    </row>
    <row r="179" spans="1:23" x14ac:dyDescent="0.3">
      <c r="A179" t="s">
        <v>457</v>
      </c>
      <c r="B179" s="7">
        <v>45325</v>
      </c>
      <c r="C179" s="2">
        <v>45343</v>
      </c>
      <c r="D179" s="4">
        <f t="shared" si="20"/>
        <v>18</v>
      </c>
      <c r="E179" s="4" t="str">
        <f>TEXT(Data!B179,"MMM-YYYY")</f>
        <v>Apr-2023</v>
      </c>
      <c r="F179" s="4" t="str">
        <f t="shared" si="16"/>
        <v>Q1-2024</v>
      </c>
      <c r="G179" t="s">
        <v>78</v>
      </c>
      <c r="H179" t="s">
        <v>79</v>
      </c>
      <c r="I179" t="s">
        <v>335</v>
      </c>
      <c r="J179" t="s">
        <v>19</v>
      </c>
      <c r="K179" t="s">
        <v>20</v>
      </c>
      <c r="L179" t="s">
        <v>92</v>
      </c>
      <c r="M179" t="s">
        <v>22</v>
      </c>
      <c r="N179" t="s">
        <v>458</v>
      </c>
      <c r="O179" s="4">
        <v>39.229999999999997</v>
      </c>
      <c r="P179" s="8" t="str">
        <f t="shared" si="17"/>
        <v>Low</v>
      </c>
      <c r="Q179" s="4">
        <v>30.09</v>
      </c>
      <c r="R179" s="4">
        <v>0.17699999999999999</v>
      </c>
      <c r="S179" s="4">
        <v>13</v>
      </c>
      <c r="T179" s="4">
        <f t="shared" si="14"/>
        <v>16533.592659999998</v>
      </c>
      <c r="U179">
        <f t="shared" si="15"/>
        <v>509.98999999999995</v>
      </c>
      <c r="V179" s="4">
        <f t="shared" si="18"/>
        <v>16023.602659999999</v>
      </c>
      <c r="W179" s="4">
        <f t="shared" si="19"/>
        <v>0.96915431446222655</v>
      </c>
    </row>
    <row r="180" spans="1:23" x14ac:dyDescent="0.3">
      <c r="A180" t="s">
        <v>459</v>
      </c>
      <c r="B180" s="7">
        <v>45021</v>
      </c>
      <c r="C180" s="2">
        <v>45032</v>
      </c>
      <c r="D180" s="4">
        <f t="shared" si="20"/>
        <v>11</v>
      </c>
      <c r="E180" s="4" t="str">
        <f>TEXT(Data!B180,"MMM-YYYY")</f>
        <v>Aug-2025</v>
      </c>
      <c r="F180" s="4" t="str">
        <f t="shared" si="16"/>
        <v>Q2-2023</v>
      </c>
      <c r="G180" t="s">
        <v>52</v>
      </c>
      <c r="H180" t="s">
        <v>53</v>
      </c>
      <c r="I180" t="s">
        <v>179</v>
      </c>
      <c r="J180" t="s">
        <v>39</v>
      </c>
      <c r="K180" t="s">
        <v>28</v>
      </c>
      <c r="L180" t="s">
        <v>68</v>
      </c>
      <c r="M180" t="s">
        <v>64</v>
      </c>
      <c r="N180" t="s">
        <v>460</v>
      </c>
      <c r="O180" s="4">
        <v>213.1</v>
      </c>
      <c r="P180" s="8" t="str">
        <f t="shared" si="17"/>
        <v>High</v>
      </c>
      <c r="Q180" s="4">
        <v>501.31</v>
      </c>
      <c r="R180" s="4">
        <v>5.6000000000000001E-2</v>
      </c>
      <c r="S180" s="4">
        <v>15</v>
      </c>
      <c r="T180" s="4">
        <f t="shared" si="14"/>
        <v>31908.427200000002</v>
      </c>
      <c r="U180">
        <f t="shared" si="15"/>
        <v>3196.5</v>
      </c>
      <c r="V180" s="4">
        <f t="shared" si="18"/>
        <v>28711.927200000002</v>
      </c>
      <c r="W180" s="4">
        <f t="shared" si="19"/>
        <v>0.89982270263700115</v>
      </c>
    </row>
    <row r="181" spans="1:23" x14ac:dyDescent="0.3">
      <c r="A181" t="s">
        <v>461</v>
      </c>
      <c r="B181" s="7">
        <v>45890</v>
      </c>
      <c r="C181" s="2">
        <v>45912</v>
      </c>
      <c r="D181" s="4">
        <f t="shared" si="20"/>
        <v>22</v>
      </c>
      <c r="E181" s="4" t="str">
        <f>TEXT(Data!B181,"MMM-YYYY")</f>
        <v>Sept-2025</v>
      </c>
      <c r="F181" s="4" t="str">
        <f t="shared" si="16"/>
        <v>Q3-2025</v>
      </c>
      <c r="G181" t="s">
        <v>45</v>
      </c>
      <c r="H181" t="s">
        <v>116</v>
      </c>
      <c r="I181" t="s">
        <v>117</v>
      </c>
      <c r="J181" t="s">
        <v>27</v>
      </c>
      <c r="K181" t="s">
        <v>20</v>
      </c>
      <c r="L181" t="s">
        <v>56</v>
      </c>
      <c r="M181" t="s">
        <v>30</v>
      </c>
      <c r="N181" t="s">
        <v>462</v>
      </c>
      <c r="O181" s="4">
        <v>352.66</v>
      </c>
      <c r="P181" s="8" t="str">
        <f t="shared" si="17"/>
        <v>High</v>
      </c>
      <c r="Q181" s="4">
        <v>411.18</v>
      </c>
      <c r="R181" s="4">
        <v>0.17299999999999999</v>
      </c>
      <c r="S181" s="4">
        <v>13</v>
      </c>
      <c r="T181" s="4">
        <f t="shared" si="14"/>
        <v>26302.966559999997</v>
      </c>
      <c r="U181">
        <f t="shared" si="15"/>
        <v>4584.58</v>
      </c>
      <c r="V181" s="4">
        <f t="shared" si="18"/>
        <v>21718.386559999999</v>
      </c>
      <c r="W181" s="4">
        <f t="shared" si="19"/>
        <v>0.82570102921501043</v>
      </c>
    </row>
    <row r="182" spans="1:23" x14ac:dyDescent="0.3">
      <c r="A182" t="s">
        <v>463</v>
      </c>
      <c r="B182" s="7">
        <v>45915</v>
      </c>
      <c r="C182" s="2">
        <v>45918</v>
      </c>
      <c r="D182" s="4">
        <f t="shared" si="20"/>
        <v>3</v>
      </c>
      <c r="E182" s="4" t="str">
        <f>TEXT(Data!B182,"MMM-YYYY")</f>
        <v>Oct-2024</v>
      </c>
      <c r="F182" s="4" t="str">
        <f t="shared" si="16"/>
        <v>Q3-2025</v>
      </c>
      <c r="G182" t="s">
        <v>52</v>
      </c>
      <c r="H182" t="s">
        <v>73</v>
      </c>
      <c r="I182" t="s">
        <v>225</v>
      </c>
      <c r="J182" t="s">
        <v>39</v>
      </c>
      <c r="K182" t="s">
        <v>98</v>
      </c>
      <c r="L182" t="s">
        <v>49</v>
      </c>
      <c r="M182" t="s">
        <v>81</v>
      </c>
      <c r="N182" t="s">
        <v>464</v>
      </c>
      <c r="O182" s="4">
        <v>5.5</v>
      </c>
      <c r="P182" s="8" t="str">
        <f t="shared" si="17"/>
        <v>Low</v>
      </c>
      <c r="Q182" s="4">
        <v>5.92</v>
      </c>
      <c r="R182" s="4">
        <v>0.21199999999999999</v>
      </c>
      <c r="S182" s="4">
        <v>4</v>
      </c>
      <c r="T182" s="4">
        <f t="shared" si="14"/>
        <v>593.52160000000003</v>
      </c>
      <c r="U182">
        <f t="shared" si="15"/>
        <v>22</v>
      </c>
      <c r="V182" s="4">
        <f t="shared" si="18"/>
        <v>571.52160000000003</v>
      </c>
      <c r="W182" s="4">
        <f t="shared" si="19"/>
        <v>0.96293310976382329</v>
      </c>
    </row>
    <row r="183" spans="1:23" x14ac:dyDescent="0.3">
      <c r="A183" t="s">
        <v>465</v>
      </c>
      <c r="B183" s="7">
        <v>45568</v>
      </c>
      <c r="C183" s="2">
        <v>45576</v>
      </c>
      <c r="D183" s="4">
        <f t="shared" si="20"/>
        <v>8</v>
      </c>
      <c r="E183" s="4" t="str">
        <f>TEXT(Data!B183,"MMM-YYYY")</f>
        <v>Feb-2025</v>
      </c>
      <c r="F183" s="4" t="str">
        <f t="shared" si="16"/>
        <v>Q4-2024</v>
      </c>
      <c r="G183" t="s">
        <v>45</v>
      </c>
      <c r="H183" t="s">
        <v>116</v>
      </c>
      <c r="I183" t="s">
        <v>338</v>
      </c>
      <c r="J183" t="s">
        <v>105</v>
      </c>
      <c r="K183" t="s">
        <v>98</v>
      </c>
      <c r="L183" t="s">
        <v>56</v>
      </c>
      <c r="M183" t="s">
        <v>42</v>
      </c>
      <c r="N183" t="s">
        <v>466</v>
      </c>
      <c r="O183" s="4">
        <v>1132.6099999999999</v>
      </c>
      <c r="P183" s="8" t="str">
        <f t="shared" si="17"/>
        <v>High</v>
      </c>
      <c r="Q183" s="4">
        <v>2206.63</v>
      </c>
      <c r="R183" s="4">
        <v>6.3E-2</v>
      </c>
      <c r="S183" s="4">
        <v>20</v>
      </c>
      <c r="T183" s="4">
        <f t="shared" si="14"/>
        <v>48027.621600000006</v>
      </c>
      <c r="U183">
        <f t="shared" si="15"/>
        <v>22652.199999999997</v>
      </c>
      <c r="V183" s="4">
        <f t="shared" si="18"/>
        <v>25375.421600000009</v>
      </c>
      <c r="W183" s="4">
        <f t="shared" si="19"/>
        <v>0.52835057732694402</v>
      </c>
    </row>
    <row r="184" spans="1:23" x14ac:dyDescent="0.3">
      <c r="A184" t="s">
        <v>467</v>
      </c>
      <c r="B184" s="7">
        <v>45690</v>
      </c>
      <c r="C184" s="2">
        <v>45720</v>
      </c>
      <c r="D184" s="4">
        <f t="shared" si="20"/>
        <v>2</v>
      </c>
      <c r="E184" s="4" t="str">
        <f>TEXT(Data!B184,"MMM-YYYY")</f>
        <v>Aug-2023</v>
      </c>
      <c r="F184" s="4" t="str">
        <f t="shared" si="16"/>
        <v>Q1-2025</v>
      </c>
      <c r="G184" t="s">
        <v>45</v>
      </c>
      <c r="H184" t="s">
        <v>46</v>
      </c>
      <c r="I184" t="s">
        <v>47</v>
      </c>
      <c r="J184" t="s">
        <v>27</v>
      </c>
      <c r="K184" t="s">
        <v>55</v>
      </c>
      <c r="L184" t="s">
        <v>49</v>
      </c>
      <c r="M184" t="s">
        <v>81</v>
      </c>
      <c r="N184" t="s">
        <v>468</v>
      </c>
      <c r="O184" s="4">
        <v>766.59</v>
      </c>
      <c r="P184" s="8" t="str">
        <f t="shared" si="17"/>
        <v>High</v>
      </c>
      <c r="Q184" s="4">
        <v>1912.8</v>
      </c>
      <c r="R184" s="4">
        <v>0.19600000000000001</v>
      </c>
      <c r="S184" s="4">
        <v>5</v>
      </c>
      <c r="T184" s="4">
        <f t="shared" si="14"/>
        <v>7256.5421999999999</v>
      </c>
      <c r="U184">
        <f t="shared" si="15"/>
        <v>3832.9500000000003</v>
      </c>
      <c r="V184" s="4">
        <f t="shared" si="18"/>
        <v>3423.5921999999996</v>
      </c>
      <c r="W184" s="4">
        <f t="shared" si="19"/>
        <v>0.47179388001078526</v>
      </c>
    </row>
    <row r="185" spans="1:23" x14ac:dyDescent="0.3">
      <c r="A185" t="s">
        <v>469</v>
      </c>
      <c r="B185" s="7">
        <v>45157</v>
      </c>
      <c r="C185" s="2">
        <v>45161</v>
      </c>
      <c r="D185" s="4">
        <f t="shared" si="20"/>
        <v>4</v>
      </c>
      <c r="E185" s="4" t="str">
        <f>TEXT(Data!B185,"MMM-YYYY")</f>
        <v>Oct-2024</v>
      </c>
      <c r="F185" s="4" t="str">
        <f t="shared" si="16"/>
        <v>Q3-2023</v>
      </c>
      <c r="G185" t="s">
        <v>16</v>
      </c>
      <c r="H185" t="s">
        <v>25</v>
      </c>
      <c r="I185" t="s">
        <v>67</v>
      </c>
      <c r="J185" t="s">
        <v>62</v>
      </c>
      <c r="K185" t="s">
        <v>28</v>
      </c>
      <c r="L185" t="s">
        <v>29</v>
      </c>
      <c r="M185" t="s">
        <v>64</v>
      </c>
      <c r="N185" t="s">
        <v>470</v>
      </c>
      <c r="O185" s="4">
        <v>790.63</v>
      </c>
      <c r="P185" s="8" t="str">
        <f t="shared" si="17"/>
        <v>High</v>
      </c>
      <c r="Q185" s="4">
        <v>1382.31</v>
      </c>
      <c r="R185" s="4">
        <v>0.10100000000000001</v>
      </c>
      <c r="S185" s="4">
        <v>7</v>
      </c>
      <c r="T185" s="4">
        <f t="shared" si="14"/>
        <v>12999.63889</v>
      </c>
      <c r="U185">
        <f t="shared" si="15"/>
        <v>5534.41</v>
      </c>
      <c r="V185" s="4">
        <f t="shared" si="18"/>
        <v>7465.2288900000003</v>
      </c>
      <c r="W185" s="4">
        <f t="shared" si="19"/>
        <v>0.57426432789164961</v>
      </c>
    </row>
    <row r="186" spans="1:23" x14ac:dyDescent="0.3">
      <c r="A186" t="s">
        <v>471</v>
      </c>
      <c r="B186" s="7">
        <v>45587</v>
      </c>
      <c r="C186" s="2">
        <v>45594</v>
      </c>
      <c r="D186" s="4">
        <f t="shared" si="20"/>
        <v>7</v>
      </c>
      <c r="E186" s="4" t="str">
        <f>TEXT(Data!B186,"MMM-YYYY")</f>
        <v>Jun-2023</v>
      </c>
      <c r="F186" s="4" t="str">
        <f t="shared" si="16"/>
        <v>Q4-2024</v>
      </c>
      <c r="G186" t="s">
        <v>16</v>
      </c>
      <c r="H186" t="s">
        <v>25</v>
      </c>
      <c r="I186" t="s">
        <v>26</v>
      </c>
      <c r="J186" t="s">
        <v>105</v>
      </c>
      <c r="K186" t="s">
        <v>55</v>
      </c>
      <c r="L186" t="s">
        <v>110</v>
      </c>
      <c r="M186" t="s">
        <v>64</v>
      </c>
      <c r="N186" t="s">
        <v>472</v>
      </c>
      <c r="O186" s="4">
        <v>1023.06</v>
      </c>
      <c r="P186" s="8" t="str">
        <f t="shared" si="17"/>
        <v>High</v>
      </c>
      <c r="Q186" s="4">
        <v>1355.61</v>
      </c>
      <c r="R186" s="4">
        <v>0.153</v>
      </c>
      <c r="S186" s="4">
        <v>23</v>
      </c>
      <c r="T186" s="4">
        <f t="shared" si="14"/>
        <v>46101.981310000003</v>
      </c>
      <c r="U186">
        <f t="shared" si="15"/>
        <v>23530.379999999997</v>
      </c>
      <c r="V186" s="4">
        <f t="shared" si="18"/>
        <v>22571.601310000005</v>
      </c>
      <c r="W186" s="4">
        <f t="shared" si="19"/>
        <v>0.4896015457171683</v>
      </c>
    </row>
    <row r="187" spans="1:23" x14ac:dyDescent="0.3">
      <c r="A187" t="s">
        <v>473</v>
      </c>
      <c r="B187" s="7">
        <v>45099</v>
      </c>
      <c r="C187" s="2">
        <v>45128</v>
      </c>
      <c r="D187" s="4">
        <f t="shared" si="20"/>
        <v>29</v>
      </c>
      <c r="E187" s="4" t="str">
        <f>TEXT(Data!B187,"MMM-YYYY")</f>
        <v>Jan-2025</v>
      </c>
      <c r="F187" s="4" t="str">
        <f t="shared" si="16"/>
        <v>Q2-2023</v>
      </c>
      <c r="G187" t="s">
        <v>78</v>
      </c>
      <c r="H187" t="s">
        <v>90</v>
      </c>
      <c r="I187" t="s">
        <v>138</v>
      </c>
      <c r="J187" t="s">
        <v>19</v>
      </c>
      <c r="K187" t="s">
        <v>20</v>
      </c>
      <c r="L187" t="s">
        <v>29</v>
      </c>
      <c r="M187" t="s">
        <v>81</v>
      </c>
      <c r="N187" t="s">
        <v>474</v>
      </c>
      <c r="O187" s="4">
        <v>734.34</v>
      </c>
      <c r="P187" s="8" t="str">
        <f t="shared" si="17"/>
        <v>High</v>
      </c>
      <c r="Q187" s="4">
        <v>887.9</v>
      </c>
      <c r="R187" s="4">
        <v>2.5000000000000001E-2</v>
      </c>
      <c r="S187" s="4">
        <v>12</v>
      </c>
      <c r="T187" s="4">
        <f t="shared" si="14"/>
        <v>1541.5919999999999</v>
      </c>
      <c r="U187">
        <f t="shared" si="15"/>
        <v>8812.08</v>
      </c>
      <c r="V187" s="4">
        <f t="shared" si="18"/>
        <v>-7270.4880000000003</v>
      </c>
      <c r="W187" s="4">
        <f t="shared" si="19"/>
        <v>-4.7162206342534221</v>
      </c>
    </row>
    <row r="188" spans="1:23" x14ac:dyDescent="0.3">
      <c r="A188" t="s">
        <v>475</v>
      </c>
      <c r="B188" s="7">
        <v>45670</v>
      </c>
      <c r="C188" s="2">
        <v>45696</v>
      </c>
      <c r="D188" s="4">
        <f t="shared" si="20"/>
        <v>26</v>
      </c>
      <c r="E188" s="4" t="str">
        <f>TEXT(Data!B188,"MMM-YYYY")</f>
        <v>Jan-2023</v>
      </c>
      <c r="F188" s="4" t="str">
        <f t="shared" si="16"/>
        <v>Q1-2025</v>
      </c>
      <c r="G188" t="s">
        <v>78</v>
      </c>
      <c r="H188" t="s">
        <v>90</v>
      </c>
      <c r="I188" t="s">
        <v>217</v>
      </c>
      <c r="J188" t="s">
        <v>39</v>
      </c>
      <c r="K188" t="s">
        <v>1364</v>
      </c>
      <c r="L188" t="s">
        <v>63</v>
      </c>
      <c r="M188" t="s">
        <v>64</v>
      </c>
      <c r="N188" t="s">
        <v>476</v>
      </c>
      <c r="O188" s="4">
        <v>594.74</v>
      </c>
      <c r="P188" s="8" t="str">
        <f t="shared" si="17"/>
        <v>High</v>
      </c>
      <c r="Q188" s="4">
        <v>1020.69</v>
      </c>
      <c r="R188" s="4">
        <v>0.21099999999999999</v>
      </c>
      <c r="S188" s="4">
        <v>6</v>
      </c>
      <c r="T188" s="4">
        <f t="shared" si="14"/>
        <v>6319.9846800000005</v>
      </c>
      <c r="U188">
        <f t="shared" si="15"/>
        <v>3568.44</v>
      </c>
      <c r="V188" s="4">
        <f t="shared" si="18"/>
        <v>2751.5446800000004</v>
      </c>
      <c r="W188" s="4">
        <f t="shared" si="19"/>
        <v>0.43537204903477711</v>
      </c>
    </row>
    <row r="189" spans="1:23" x14ac:dyDescent="0.3">
      <c r="A189" t="s">
        <v>360</v>
      </c>
      <c r="B189" s="7">
        <v>44955</v>
      </c>
      <c r="C189" s="2">
        <v>44985</v>
      </c>
      <c r="D189" s="4">
        <f t="shared" si="20"/>
        <v>30</v>
      </c>
      <c r="E189" s="4" t="str">
        <f>TEXT(Data!B189,"MMM-YYYY")</f>
        <v>Jul-2023</v>
      </c>
      <c r="F189" s="4" t="str">
        <f t="shared" si="16"/>
        <v>Q1-2023</v>
      </c>
      <c r="G189" t="s">
        <v>45</v>
      </c>
      <c r="H189" t="s">
        <v>60</v>
      </c>
      <c r="I189" t="s">
        <v>61</v>
      </c>
      <c r="J189" t="s">
        <v>39</v>
      </c>
      <c r="K189" t="s">
        <v>20</v>
      </c>
      <c r="L189" t="s">
        <v>56</v>
      </c>
      <c r="M189" t="s">
        <v>81</v>
      </c>
      <c r="N189" t="s">
        <v>477</v>
      </c>
      <c r="O189" s="4">
        <v>1262.0999999999999</v>
      </c>
      <c r="P189" s="8" t="str">
        <f t="shared" si="17"/>
        <v>High</v>
      </c>
      <c r="Q189" s="4">
        <v>1395.53</v>
      </c>
      <c r="R189" s="4">
        <v>0.23300000000000001</v>
      </c>
      <c r="S189" s="4">
        <v>25</v>
      </c>
      <c r="T189" s="4">
        <f t="shared" si="14"/>
        <v>51608.553749999999</v>
      </c>
      <c r="U189">
        <f t="shared" si="15"/>
        <v>31552.499999999996</v>
      </c>
      <c r="V189" s="4">
        <f t="shared" si="18"/>
        <v>20056.053750000003</v>
      </c>
      <c r="W189" s="4">
        <f t="shared" si="19"/>
        <v>0.38861879073679723</v>
      </c>
    </row>
    <row r="190" spans="1:23" x14ac:dyDescent="0.3">
      <c r="A190" t="s">
        <v>478</v>
      </c>
      <c r="B190" s="7">
        <v>45126</v>
      </c>
      <c r="C190" s="2">
        <v>45138</v>
      </c>
      <c r="D190" s="4">
        <f t="shared" si="20"/>
        <v>12</v>
      </c>
      <c r="E190" s="4" t="str">
        <f>TEXT(Data!B190,"MMM-YYYY")</f>
        <v>May-2024</v>
      </c>
      <c r="F190" s="4" t="str">
        <f t="shared" si="16"/>
        <v>Q3-2023</v>
      </c>
      <c r="G190" t="s">
        <v>52</v>
      </c>
      <c r="H190" t="s">
        <v>73</v>
      </c>
      <c r="I190" t="s">
        <v>225</v>
      </c>
      <c r="J190" t="s">
        <v>19</v>
      </c>
      <c r="K190" t="s">
        <v>20</v>
      </c>
      <c r="L190" t="s">
        <v>21</v>
      </c>
      <c r="M190" t="s">
        <v>64</v>
      </c>
      <c r="N190" t="s">
        <v>479</v>
      </c>
      <c r="O190" s="4">
        <v>1334.64</v>
      </c>
      <c r="P190" s="8" t="str">
        <f t="shared" si="17"/>
        <v>High</v>
      </c>
      <c r="Q190" s="4">
        <v>2273.42</v>
      </c>
      <c r="R190" s="4">
        <v>0.11799999999999999</v>
      </c>
      <c r="S190" s="4">
        <v>14</v>
      </c>
      <c r="T190" s="4">
        <f t="shared" si="14"/>
        <v>9587.7280800000008</v>
      </c>
      <c r="U190">
        <f t="shared" si="15"/>
        <v>18684.960000000003</v>
      </c>
      <c r="V190" s="4">
        <f t="shared" si="18"/>
        <v>-9097.231920000002</v>
      </c>
      <c r="W190" s="4">
        <f t="shared" si="19"/>
        <v>-0.94884125249409468</v>
      </c>
    </row>
    <row r="191" spans="1:23" x14ac:dyDescent="0.3">
      <c r="A191" t="s">
        <v>480</v>
      </c>
      <c r="B191" s="7">
        <v>45431</v>
      </c>
      <c r="C191" s="2">
        <v>45451</v>
      </c>
      <c r="D191" s="4">
        <f t="shared" si="20"/>
        <v>20</v>
      </c>
      <c r="E191" s="4" t="str">
        <f>TEXT(Data!B191,"MMM-YYYY")</f>
        <v>Feb-2024</v>
      </c>
      <c r="F191" s="4" t="str">
        <f t="shared" si="16"/>
        <v>Q2-2024</v>
      </c>
      <c r="G191" t="s">
        <v>52</v>
      </c>
      <c r="H191" t="s">
        <v>73</v>
      </c>
      <c r="I191" t="s">
        <v>87</v>
      </c>
      <c r="J191" t="s">
        <v>62</v>
      </c>
      <c r="K191" t="s">
        <v>20</v>
      </c>
      <c r="L191" t="s">
        <v>63</v>
      </c>
      <c r="M191" t="s">
        <v>64</v>
      </c>
      <c r="N191" t="s">
        <v>481</v>
      </c>
      <c r="O191" s="4">
        <v>1075.9000000000001</v>
      </c>
      <c r="P191" s="8" t="str">
        <f t="shared" si="17"/>
        <v>High</v>
      </c>
      <c r="Q191" s="4">
        <v>1242.1500000000001</v>
      </c>
      <c r="R191" s="4">
        <v>1.2E-2</v>
      </c>
      <c r="S191" s="4">
        <v>7</v>
      </c>
      <c r="T191" s="4">
        <f t="shared" si="14"/>
        <v>2200.4637200000002</v>
      </c>
      <c r="U191">
        <f t="shared" si="15"/>
        <v>7531.3000000000011</v>
      </c>
      <c r="V191" s="4">
        <f t="shared" si="18"/>
        <v>-5330.8362800000014</v>
      </c>
      <c r="W191" s="4">
        <f t="shared" si="19"/>
        <v>-2.4225967606500691</v>
      </c>
    </row>
    <row r="192" spans="1:23" x14ac:dyDescent="0.3">
      <c r="A192" t="s">
        <v>482</v>
      </c>
      <c r="B192" s="7">
        <v>45325</v>
      </c>
      <c r="C192" s="2">
        <v>45341</v>
      </c>
      <c r="D192" s="4">
        <f t="shared" si="20"/>
        <v>16</v>
      </c>
      <c r="E192" s="4" t="str">
        <f>TEXT(Data!B192,"MMM-YYYY")</f>
        <v>Aug-2023</v>
      </c>
      <c r="F192" s="4" t="str">
        <f t="shared" si="16"/>
        <v>Q1-2024</v>
      </c>
      <c r="G192" t="s">
        <v>45</v>
      </c>
      <c r="H192" t="s">
        <v>116</v>
      </c>
      <c r="I192" t="s">
        <v>117</v>
      </c>
      <c r="J192" t="s">
        <v>62</v>
      </c>
      <c r="K192" t="s">
        <v>28</v>
      </c>
      <c r="L192" t="s">
        <v>92</v>
      </c>
      <c r="M192" t="s">
        <v>57</v>
      </c>
      <c r="N192" t="s">
        <v>483</v>
      </c>
      <c r="O192" s="4">
        <v>993.75</v>
      </c>
      <c r="P192" s="8" t="str">
        <f t="shared" si="17"/>
        <v>High</v>
      </c>
      <c r="Q192" s="4">
        <v>1310.29</v>
      </c>
      <c r="R192" s="4">
        <v>0.215</v>
      </c>
      <c r="S192" s="4">
        <v>19</v>
      </c>
      <c r="T192" s="4">
        <f t="shared" si="14"/>
        <v>18590.205150000002</v>
      </c>
      <c r="U192">
        <f t="shared" si="15"/>
        <v>18881.25</v>
      </c>
      <c r="V192" s="4">
        <f t="shared" si="18"/>
        <v>-291.04484999999841</v>
      </c>
      <c r="W192" s="4">
        <f t="shared" si="19"/>
        <v>-1.5655817009636301E-2</v>
      </c>
    </row>
    <row r="193" spans="1:23" x14ac:dyDescent="0.3">
      <c r="A193" t="s">
        <v>484</v>
      </c>
      <c r="B193" s="7">
        <v>45146</v>
      </c>
      <c r="C193" s="2">
        <v>45160</v>
      </c>
      <c r="D193" s="4">
        <f t="shared" si="20"/>
        <v>14</v>
      </c>
      <c r="E193" s="4" t="str">
        <f>TEXT(Data!B193,"MMM-YYYY")</f>
        <v>Aug-2024</v>
      </c>
      <c r="F193" s="4" t="str">
        <f t="shared" si="16"/>
        <v>Q3-2023</v>
      </c>
      <c r="G193" t="s">
        <v>78</v>
      </c>
      <c r="H193" t="s">
        <v>108</v>
      </c>
      <c r="I193" t="s">
        <v>109</v>
      </c>
      <c r="J193" t="s">
        <v>39</v>
      </c>
      <c r="K193" t="s">
        <v>98</v>
      </c>
      <c r="L193" t="s">
        <v>126</v>
      </c>
      <c r="M193" t="s">
        <v>64</v>
      </c>
      <c r="N193" t="s">
        <v>485</v>
      </c>
      <c r="O193" s="4">
        <v>446.69</v>
      </c>
      <c r="P193" s="8" t="str">
        <f t="shared" si="17"/>
        <v>High</v>
      </c>
      <c r="Q193" s="4">
        <v>967.25</v>
      </c>
      <c r="R193" s="4">
        <v>9.4E-2</v>
      </c>
      <c r="S193" s="4">
        <v>10</v>
      </c>
      <c r="T193" s="4">
        <f t="shared" si="14"/>
        <v>3143.4576000000002</v>
      </c>
      <c r="U193">
        <f t="shared" si="15"/>
        <v>4466.8999999999996</v>
      </c>
      <c r="V193" s="4">
        <f t="shared" si="18"/>
        <v>-1323.4423999999995</v>
      </c>
      <c r="W193" s="4">
        <f t="shared" si="19"/>
        <v>-0.42101487228585471</v>
      </c>
    </row>
    <row r="194" spans="1:23" x14ac:dyDescent="0.3">
      <c r="A194" t="s">
        <v>486</v>
      </c>
      <c r="B194" s="7">
        <v>45516</v>
      </c>
      <c r="C194" s="2">
        <v>45538</v>
      </c>
      <c r="D194" s="4">
        <f t="shared" si="20"/>
        <v>22</v>
      </c>
      <c r="E194" s="4" t="str">
        <f>TEXT(Data!B194,"MMM-YYYY")</f>
        <v>Oct-2023</v>
      </c>
      <c r="F194" s="4" t="str">
        <f t="shared" si="16"/>
        <v>Q3-2024</v>
      </c>
      <c r="G194" t="s">
        <v>52</v>
      </c>
      <c r="H194" t="s">
        <v>122</v>
      </c>
      <c r="I194" t="s">
        <v>326</v>
      </c>
      <c r="J194" t="s">
        <v>48</v>
      </c>
      <c r="K194" t="s">
        <v>55</v>
      </c>
      <c r="L194" t="s">
        <v>34</v>
      </c>
      <c r="M194" t="s">
        <v>57</v>
      </c>
      <c r="N194" t="s">
        <v>487</v>
      </c>
      <c r="O194" s="4">
        <v>797.8</v>
      </c>
      <c r="P194" s="8" t="str">
        <f t="shared" si="17"/>
        <v>High</v>
      </c>
      <c r="Q194" s="4">
        <v>886.22</v>
      </c>
      <c r="R194" s="4">
        <v>0.23599999999999999</v>
      </c>
      <c r="S194" s="4">
        <v>36</v>
      </c>
      <c r="T194" s="4">
        <f t="shared" ref="T194:T257" si="21">(Q220*S194)*(1-R194)</f>
        <v>13882.919040000001</v>
      </c>
      <c r="U194">
        <f t="shared" ref="U194:U257" si="22">(O194*S194)</f>
        <v>28720.799999999999</v>
      </c>
      <c r="V194" s="4">
        <f t="shared" si="18"/>
        <v>-14837.880959999999</v>
      </c>
      <c r="W194" s="4">
        <f t="shared" si="19"/>
        <v>-1.06878682482038</v>
      </c>
    </row>
    <row r="195" spans="1:23" x14ac:dyDescent="0.3">
      <c r="A195" t="s">
        <v>488</v>
      </c>
      <c r="B195" s="7">
        <v>45214</v>
      </c>
      <c r="C195" s="2">
        <v>45243</v>
      </c>
      <c r="D195" s="4">
        <f t="shared" si="20"/>
        <v>29</v>
      </c>
      <c r="E195" s="4" t="str">
        <f>TEXT(Data!B195,"MMM-YYYY")</f>
        <v>May-2023</v>
      </c>
      <c r="F195" s="4" t="str">
        <f t="shared" ref="F195:F258" si="23">"Q"&amp;ROUNDUP(MONTH(B195)/3,0)&amp;"-"&amp;YEAR(B195)</f>
        <v>Q4-2023</v>
      </c>
      <c r="G195" t="s">
        <v>45</v>
      </c>
      <c r="H195" t="s">
        <v>116</v>
      </c>
      <c r="I195" t="s">
        <v>117</v>
      </c>
      <c r="J195" t="s">
        <v>39</v>
      </c>
      <c r="K195" t="s">
        <v>55</v>
      </c>
      <c r="L195" t="s">
        <v>29</v>
      </c>
      <c r="M195" t="s">
        <v>30</v>
      </c>
      <c r="N195" t="s">
        <v>489</v>
      </c>
      <c r="O195" s="4">
        <v>986.44</v>
      </c>
      <c r="P195" s="8" t="str">
        <f t="shared" ref="P195:P258" si="24">IF(Q195&lt;50, "Low", IF(Q195&lt;200, "Medium", "High"))</f>
        <v>High</v>
      </c>
      <c r="Q195" s="4">
        <v>790.61</v>
      </c>
      <c r="R195" s="4">
        <v>7.1999999999999995E-2</v>
      </c>
      <c r="S195" s="4">
        <v>6</v>
      </c>
      <c r="T195" s="4">
        <f t="shared" si="21"/>
        <v>5219.7772800000002</v>
      </c>
      <c r="U195">
        <f t="shared" si="22"/>
        <v>5918.64</v>
      </c>
      <c r="V195" s="4">
        <f t="shared" ref="V195:V258" si="25">(T195-U195)</f>
        <v>-698.86272000000008</v>
      </c>
      <c r="W195" s="4">
        <f t="shared" ref="W195:W258" si="26">IF(T195=0, 0, V195/T195)</f>
        <v>-0.13388745965804888</v>
      </c>
    </row>
    <row r="196" spans="1:23" x14ac:dyDescent="0.3">
      <c r="A196" t="s">
        <v>490</v>
      </c>
      <c r="B196" s="7">
        <v>45050</v>
      </c>
      <c r="C196" s="2">
        <v>45072</v>
      </c>
      <c r="D196" s="4">
        <f t="shared" ref="D196:D259" si="27">DATEDIF(B196,C196, "MD")</f>
        <v>22</v>
      </c>
      <c r="E196" s="4" t="str">
        <f>TEXT(Data!B196,"MMM-YYYY")</f>
        <v>Sept-2024</v>
      </c>
      <c r="F196" s="4" t="str">
        <f t="shared" si="23"/>
        <v>Q2-2023</v>
      </c>
      <c r="G196" t="s">
        <v>52</v>
      </c>
      <c r="H196" t="s">
        <v>122</v>
      </c>
      <c r="I196" t="s">
        <v>167</v>
      </c>
      <c r="J196" t="s">
        <v>105</v>
      </c>
      <c r="K196" t="s">
        <v>28</v>
      </c>
      <c r="L196" t="s">
        <v>29</v>
      </c>
      <c r="M196" t="s">
        <v>35</v>
      </c>
      <c r="N196" t="s">
        <v>491</v>
      </c>
      <c r="O196" s="4">
        <v>249.71</v>
      </c>
      <c r="P196" s="8" t="str">
        <f t="shared" si="24"/>
        <v>High</v>
      </c>
      <c r="Q196" s="4">
        <v>361.33</v>
      </c>
      <c r="R196" s="4">
        <v>9.4E-2</v>
      </c>
      <c r="S196" s="4">
        <v>12</v>
      </c>
      <c r="T196" s="4">
        <f t="shared" si="21"/>
        <v>14139.90576</v>
      </c>
      <c r="U196">
        <f t="shared" si="22"/>
        <v>2996.52</v>
      </c>
      <c r="V196" s="4">
        <f t="shared" si="25"/>
        <v>11143.385759999999</v>
      </c>
      <c r="W196" s="4">
        <f t="shared" si="26"/>
        <v>0.7880806243789279</v>
      </c>
    </row>
    <row r="197" spans="1:23" x14ac:dyDescent="0.3">
      <c r="A197" t="s">
        <v>492</v>
      </c>
      <c r="B197" s="7">
        <v>45557</v>
      </c>
      <c r="C197" s="2">
        <v>45566</v>
      </c>
      <c r="D197" s="4">
        <f t="shared" si="27"/>
        <v>9</v>
      </c>
      <c r="E197" s="4" t="str">
        <f>TEXT(Data!B197,"MMM-YYYY")</f>
        <v>Oct-2024</v>
      </c>
      <c r="F197" s="4" t="str">
        <f t="shared" si="23"/>
        <v>Q3-2024</v>
      </c>
      <c r="G197" t="s">
        <v>52</v>
      </c>
      <c r="H197" t="s">
        <v>73</v>
      </c>
      <c r="I197" t="s">
        <v>74</v>
      </c>
      <c r="J197" t="s">
        <v>39</v>
      </c>
      <c r="K197" t="s">
        <v>28</v>
      </c>
      <c r="L197" t="s">
        <v>95</v>
      </c>
      <c r="M197" t="s">
        <v>64</v>
      </c>
      <c r="N197" t="s">
        <v>493</v>
      </c>
      <c r="O197" s="4">
        <v>1378.8</v>
      </c>
      <c r="P197" s="8" t="str">
        <f t="shared" si="24"/>
        <v>High</v>
      </c>
      <c r="Q197" s="4">
        <v>1952.04</v>
      </c>
      <c r="R197" s="4">
        <v>0.159</v>
      </c>
      <c r="S197" s="4">
        <v>19</v>
      </c>
      <c r="T197" s="4">
        <f t="shared" si="21"/>
        <v>3645.6088500000001</v>
      </c>
      <c r="U197">
        <f t="shared" si="22"/>
        <v>26197.200000000001</v>
      </c>
      <c r="V197" s="4">
        <f t="shared" si="25"/>
        <v>-22551.59115</v>
      </c>
      <c r="W197" s="4">
        <f t="shared" si="26"/>
        <v>-6.1859601723317077</v>
      </c>
    </row>
    <row r="198" spans="1:23" x14ac:dyDescent="0.3">
      <c r="A198" t="s">
        <v>494</v>
      </c>
      <c r="B198" s="7">
        <v>45588</v>
      </c>
      <c r="C198" s="2">
        <v>45610</v>
      </c>
      <c r="D198" s="4">
        <f t="shared" si="27"/>
        <v>22</v>
      </c>
      <c r="E198" s="4" t="str">
        <f>TEXT(Data!B198,"MMM-YYYY")</f>
        <v>Feb-2024</v>
      </c>
      <c r="F198" s="4" t="str">
        <f t="shared" si="23"/>
        <v>Q4-2024</v>
      </c>
      <c r="G198" t="s">
        <v>45</v>
      </c>
      <c r="H198" t="s">
        <v>46</v>
      </c>
      <c r="I198" t="s">
        <v>47</v>
      </c>
      <c r="J198" t="s">
        <v>39</v>
      </c>
      <c r="K198" t="s">
        <v>98</v>
      </c>
      <c r="L198" t="s">
        <v>56</v>
      </c>
      <c r="M198" t="s">
        <v>42</v>
      </c>
      <c r="N198" t="s">
        <v>495</v>
      </c>
      <c r="O198" s="4">
        <v>1406.4</v>
      </c>
      <c r="P198" s="8" t="str">
        <f t="shared" si="24"/>
        <v>High</v>
      </c>
      <c r="Q198" s="4">
        <v>1564.76</v>
      </c>
      <c r="R198" s="4">
        <v>0.185</v>
      </c>
      <c r="S198" s="4">
        <v>17</v>
      </c>
      <c r="T198" s="4">
        <f t="shared" si="21"/>
        <v>6879.2846</v>
      </c>
      <c r="U198">
        <f t="shared" si="22"/>
        <v>23908.800000000003</v>
      </c>
      <c r="V198" s="4">
        <f t="shared" si="25"/>
        <v>-17029.515400000004</v>
      </c>
      <c r="W198" s="4">
        <f t="shared" si="26"/>
        <v>-2.4754776681284567</v>
      </c>
    </row>
    <row r="199" spans="1:23" x14ac:dyDescent="0.3">
      <c r="A199" t="s">
        <v>496</v>
      </c>
      <c r="B199" s="7">
        <v>45333</v>
      </c>
      <c r="C199" s="2">
        <v>45354</v>
      </c>
      <c r="D199" s="4">
        <f t="shared" si="27"/>
        <v>21</v>
      </c>
      <c r="E199" s="4" t="str">
        <f>TEXT(Data!B199,"MMM-YYYY")</f>
        <v>Jan-2023</v>
      </c>
      <c r="F199" s="4" t="str">
        <f t="shared" si="23"/>
        <v>Q1-2024</v>
      </c>
      <c r="G199" t="s">
        <v>16</v>
      </c>
      <c r="H199" t="s">
        <v>17</v>
      </c>
      <c r="I199" t="s">
        <v>18</v>
      </c>
      <c r="J199" t="s">
        <v>105</v>
      </c>
      <c r="K199" t="s">
        <v>28</v>
      </c>
      <c r="L199" t="s">
        <v>56</v>
      </c>
      <c r="M199" t="s">
        <v>42</v>
      </c>
      <c r="N199" t="s">
        <v>497</v>
      </c>
      <c r="O199" s="4">
        <v>516.86</v>
      </c>
      <c r="P199" s="8" t="str">
        <f t="shared" si="24"/>
        <v>High</v>
      </c>
      <c r="Q199" s="4">
        <v>852.54</v>
      </c>
      <c r="R199" s="4">
        <v>5.0999999999999997E-2</v>
      </c>
      <c r="S199" s="4">
        <v>14</v>
      </c>
      <c r="T199" s="4">
        <f t="shared" si="21"/>
        <v>39076.783199999991</v>
      </c>
      <c r="U199">
        <f t="shared" si="22"/>
        <v>7236.04</v>
      </c>
      <c r="V199" s="4">
        <f t="shared" si="25"/>
        <v>31840.74319999999</v>
      </c>
      <c r="W199" s="4">
        <f t="shared" si="26"/>
        <v>0.81482508519278518</v>
      </c>
    </row>
    <row r="200" spans="1:23" x14ac:dyDescent="0.3">
      <c r="A200" t="s">
        <v>498</v>
      </c>
      <c r="B200" s="7">
        <v>44956</v>
      </c>
      <c r="C200" s="2">
        <v>44978</v>
      </c>
      <c r="D200" s="4">
        <f t="shared" si="27"/>
        <v>22</v>
      </c>
      <c r="E200" s="4" t="str">
        <f>TEXT(Data!B200,"MMM-YYYY")</f>
        <v>Apr-2023</v>
      </c>
      <c r="F200" s="4" t="str">
        <f t="shared" si="23"/>
        <v>Q1-2023</v>
      </c>
      <c r="G200" t="s">
        <v>78</v>
      </c>
      <c r="H200" t="s">
        <v>79</v>
      </c>
      <c r="I200" t="s">
        <v>159</v>
      </c>
      <c r="J200" t="s">
        <v>62</v>
      </c>
      <c r="K200" t="s">
        <v>40</v>
      </c>
      <c r="L200" t="s">
        <v>41</v>
      </c>
      <c r="M200" t="s">
        <v>35</v>
      </c>
      <c r="N200" t="s">
        <v>499</v>
      </c>
      <c r="O200" s="4">
        <v>1142.8800000000001</v>
      </c>
      <c r="P200" s="8" t="str">
        <f t="shared" si="24"/>
        <v>High</v>
      </c>
      <c r="Q200" s="4">
        <v>1465.29</v>
      </c>
      <c r="R200" s="4">
        <v>0.186</v>
      </c>
      <c r="S200" s="4">
        <v>7</v>
      </c>
      <c r="T200" s="4">
        <f t="shared" si="21"/>
        <v>6200.5636000000013</v>
      </c>
      <c r="U200">
        <f t="shared" si="22"/>
        <v>8000.1600000000008</v>
      </c>
      <c r="V200" s="4">
        <f t="shared" si="25"/>
        <v>-1799.5963999999994</v>
      </c>
      <c r="W200" s="4">
        <f t="shared" si="26"/>
        <v>-0.29023110092766391</v>
      </c>
    </row>
    <row r="201" spans="1:23" x14ac:dyDescent="0.3">
      <c r="A201" t="s">
        <v>500</v>
      </c>
      <c r="B201" s="7">
        <v>45030</v>
      </c>
      <c r="C201" s="2">
        <v>45059</v>
      </c>
      <c r="D201" s="4">
        <f t="shared" si="27"/>
        <v>29</v>
      </c>
      <c r="E201" s="4" t="str">
        <f>TEXT(Data!B201,"MMM-YYYY")</f>
        <v>Jan-2023</v>
      </c>
      <c r="F201" s="4" t="str">
        <f t="shared" si="23"/>
        <v>Q2-2023</v>
      </c>
      <c r="G201" t="s">
        <v>78</v>
      </c>
      <c r="H201" t="s">
        <v>79</v>
      </c>
      <c r="I201" t="s">
        <v>335</v>
      </c>
      <c r="J201" t="s">
        <v>48</v>
      </c>
      <c r="K201" t="s">
        <v>98</v>
      </c>
      <c r="L201" t="s">
        <v>29</v>
      </c>
      <c r="M201" t="s">
        <v>30</v>
      </c>
      <c r="N201" t="s">
        <v>501</v>
      </c>
      <c r="O201" s="4">
        <v>1320.33</v>
      </c>
      <c r="P201" s="8" t="str">
        <f t="shared" si="24"/>
        <v>High</v>
      </c>
      <c r="Q201" s="4">
        <v>2645.23</v>
      </c>
      <c r="R201" s="4">
        <v>0.155</v>
      </c>
      <c r="S201" s="4">
        <v>25</v>
      </c>
      <c r="T201" s="4">
        <f t="shared" si="21"/>
        <v>53428.293749999997</v>
      </c>
      <c r="U201">
        <f t="shared" si="22"/>
        <v>33008.25</v>
      </c>
      <c r="V201" s="4">
        <f t="shared" si="25"/>
        <v>20420.043749999997</v>
      </c>
      <c r="W201" s="4">
        <f t="shared" si="26"/>
        <v>0.38219531856189959</v>
      </c>
    </row>
    <row r="202" spans="1:23" x14ac:dyDescent="0.3">
      <c r="A202" t="s">
        <v>502</v>
      </c>
      <c r="B202" s="7">
        <v>44939</v>
      </c>
      <c r="C202" s="2">
        <v>44945</v>
      </c>
      <c r="D202" s="4">
        <f t="shared" si="27"/>
        <v>6</v>
      </c>
      <c r="E202" s="4" t="str">
        <f>TEXT(Data!B202,"MMM-YYYY")</f>
        <v>Jan-2024</v>
      </c>
      <c r="F202" s="4" t="str">
        <f t="shared" si="23"/>
        <v>Q1-2023</v>
      </c>
      <c r="G202" t="s">
        <v>52</v>
      </c>
      <c r="H202" t="s">
        <v>122</v>
      </c>
      <c r="I202" t="s">
        <v>123</v>
      </c>
      <c r="J202" t="s">
        <v>19</v>
      </c>
      <c r="K202" t="s">
        <v>98</v>
      </c>
      <c r="L202" t="s">
        <v>92</v>
      </c>
      <c r="M202" t="s">
        <v>42</v>
      </c>
      <c r="N202" t="s">
        <v>503</v>
      </c>
      <c r="O202" s="4">
        <v>833.57</v>
      </c>
      <c r="P202" s="8" t="str">
        <f t="shared" si="24"/>
        <v>High</v>
      </c>
      <c r="Q202" s="4">
        <v>881.57</v>
      </c>
      <c r="R202" s="4">
        <v>5.7000000000000002E-2</v>
      </c>
      <c r="S202" s="4">
        <v>18</v>
      </c>
      <c r="T202" s="4">
        <f t="shared" si="21"/>
        <v>45796.021740000004</v>
      </c>
      <c r="U202">
        <f t="shared" si="22"/>
        <v>15004.26</v>
      </c>
      <c r="V202" s="4">
        <f t="shared" si="25"/>
        <v>30791.761740000002</v>
      </c>
      <c r="W202" s="4">
        <f t="shared" si="26"/>
        <v>0.67236761120464961</v>
      </c>
    </row>
    <row r="203" spans="1:23" x14ac:dyDescent="0.3">
      <c r="A203" t="s">
        <v>504</v>
      </c>
      <c r="B203" s="7">
        <v>45303</v>
      </c>
      <c r="C203" s="2">
        <v>45320</v>
      </c>
      <c r="D203" s="4">
        <f t="shared" si="27"/>
        <v>17</v>
      </c>
      <c r="E203" s="4" t="str">
        <f>TEXT(Data!B203,"MMM-YYYY")</f>
        <v>Aug-2023</v>
      </c>
      <c r="F203" s="4" t="str">
        <f t="shared" si="23"/>
        <v>Q1-2024</v>
      </c>
      <c r="G203" t="s">
        <v>52</v>
      </c>
      <c r="H203" t="s">
        <v>122</v>
      </c>
      <c r="I203" t="s">
        <v>123</v>
      </c>
      <c r="J203" t="s">
        <v>27</v>
      </c>
      <c r="K203" t="s">
        <v>55</v>
      </c>
      <c r="L203" t="s">
        <v>75</v>
      </c>
      <c r="M203" t="s">
        <v>30</v>
      </c>
      <c r="N203" t="s">
        <v>505</v>
      </c>
      <c r="O203" s="4">
        <v>493.76</v>
      </c>
      <c r="P203" s="8" t="str">
        <f t="shared" si="24"/>
        <v>High</v>
      </c>
      <c r="Q203" s="4">
        <v>625.04</v>
      </c>
      <c r="R203" s="4">
        <v>0.25800000000000001</v>
      </c>
      <c r="S203" s="4">
        <v>10</v>
      </c>
      <c r="T203" s="4">
        <f t="shared" si="21"/>
        <v>11002.004999999999</v>
      </c>
      <c r="U203">
        <f t="shared" si="22"/>
        <v>4937.6000000000004</v>
      </c>
      <c r="V203" s="4">
        <f t="shared" si="25"/>
        <v>6064.4049999999988</v>
      </c>
      <c r="W203" s="4">
        <f t="shared" si="26"/>
        <v>0.55120907507313432</v>
      </c>
    </row>
    <row r="204" spans="1:23" x14ac:dyDescent="0.3">
      <c r="A204" t="s">
        <v>506</v>
      </c>
      <c r="B204" s="7">
        <v>45153</v>
      </c>
      <c r="C204" s="2">
        <v>45176</v>
      </c>
      <c r="D204" s="4">
        <f t="shared" si="27"/>
        <v>23</v>
      </c>
      <c r="E204" s="4" t="str">
        <f>TEXT(Data!B204,"MMM-YYYY")</f>
        <v>Jan-2023</v>
      </c>
      <c r="F204" s="4" t="str">
        <f t="shared" si="23"/>
        <v>Q3-2023</v>
      </c>
      <c r="G204" t="s">
        <v>52</v>
      </c>
      <c r="H204" t="s">
        <v>122</v>
      </c>
      <c r="I204" t="s">
        <v>387</v>
      </c>
      <c r="J204" t="s">
        <v>105</v>
      </c>
      <c r="K204" t="s">
        <v>28</v>
      </c>
      <c r="L204" t="s">
        <v>95</v>
      </c>
      <c r="M204" t="s">
        <v>42</v>
      </c>
      <c r="N204" t="s">
        <v>507</v>
      </c>
      <c r="O204" s="4">
        <v>590.33000000000004</v>
      </c>
      <c r="P204" s="8" t="str">
        <f t="shared" si="24"/>
        <v>High</v>
      </c>
      <c r="Q204" s="4">
        <v>973.04</v>
      </c>
      <c r="R204" s="4">
        <v>0</v>
      </c>
      <c r="S204" s="4">
        <v>26</v>
      </c>
      <c r="T204" s="4">
        <f t="shared" si="21"/>
        <v>37877.06</v>
      </c>
      <c r="U204">
        <f t="shared" si="22"/>
        <v>15348.580000000002</v>
      </c>
      <c r="V204" s="4">
        <f t="shared" si="25"/>
        <v>22528.479999999996</v>
      </c>
      <c r="W204" s="4">
        <f t="shared" si="26"/>
        <v>0.59477900343902079</v>
      </c>
    </row>
    <row r="205" spans="1:23" x14ac:dyDescent="0.3">
      <c r="A205" t="s">
        <v>508</v>
      </c>
      <c r="B205" s="7">
        <v>44946</v>
      </c>
      <c r="C205" s="2">
        <v>44960</v>
      </c>
      <c r="D205" s="4">
        <f t="shared" si="27"/>
        <v>14</v>
      </c>
      <c r="E205" s="4" t="str">
        <f>TEXT(Data!B205,"MMM-YYYY")</f>
        <v>Feb-2025</v>
      </c>
      <c r="F205" s="4" t="str">
        <f t="shared" si="23"/>
        <v>Q1-2023</v>
      </c>
      <c r="G205" t="s">
        <v>16</v>
      </c>
      <c r="H205" t="s">
        <v>17</v>
      </c>
      <c r="I205" t="s">
        <v>18</v>
      </c>
      <c r="J205" t="s">
        <v>19</v>
      </c>
      <c r="K205" t="s">
        <v>20</v>
      </c>
      <c r="L205" t="s">
        <v>110</v>
      </c>
      <c r="M205" t="s">
        <v>35</v>
      </c>
      <c r="N205" t="s">
        <v>509</v>
      </c>
      <c r="O205" s="4">
        <v>884.36</v>
      </c>
      <c r="P205" s="8" t="str">
        <f t="shared" si="24"/>
        <v>High</v>
      </c>
      <c r="Q205" s="4">
        <v>1545.34</v>
      </c>
      <c r="R205" s="4">
        <v>0.24299999999999999</v>
      </c>
      <c r="S205" s="4">
        <v>41</v>
      </c>
      <c r="T205" s="4">
        <f t="shared" si="21"/>
        <v>28497.86303</v>
      </c>
      <c r="U205">
        <f t="shared" si="22"/>
        <v>36258.76</v>
      </c>
      <c r="V205" s="4">
        <f t="shared" si="25"/>
        <v>-7760.8969700000016</v>
      </c>
      <c r="W205" s="4">
        <f t="shared" si="26"/>
        <v>-0.27233259426610423</v>
      </c>
    </row>
    <row r="206" spans="1:23" x14ac:dyDescent="0.3">
      <c r="A206" t="s">
        <v>510</v>
      </c>
      <c r="B206" s="7">
        <v>45692</v>
      </c>
      <c r="C206" s="2">
        <v>45713</v>
      </c>
      <c r="D206" s="4">
        <f t="shared" si="27"/>
        <v>21</v>
      </c>
      <c r="E206" s="4" t="str">
        <f>TEXT(Data!B206,"MMM-YYYY")</f>
        <v>Apr-2023</v>
      </c>
      <c r="F206" s="4" t="str">
        <f t="shared" si="23"/>
        <v>Q1-2025</v>
      </c>
      <c r="G206" t="s">
        <v>78</v>
      </c>
      <c r="H206" t="s">
        <v>108</v>
      </c>
      <c r="I206" t="s">
        <v>109</v>
      </c>
      <c r="J206" t="s">
        <v>19</v>
      </c>
      <c r="K206" t="s">
        <v>40</v>
      </c>
      <c r="L206" t="s">
        <v>145</v>
      </c>
      <c r="M206" t="s">
        <v>64</v>
      </c>
      <c r="N206" t="s">
        <v>511</v>
      </c>
      <c r="O206" s="4">
        <v>1016.32</v>
      </c>
      <c r="P206" s="8" t="str">
        <f t="shared" si="24"/>
        <v>High</v>
      </c>
      <c r="Q206" s="4">
        <v>2253.42</v>
      </c>
      <c r="R206" s="4">
        <v>5.5E-2</v>
      </c>
      <c r="S206" s="4">
        <v>12</v>
      </c>
      <c r="T206" s="4">
        <f t="shared" si="21"/>
        <v>554.97959999999989</v>
      </c>
      <c r="U206">
        <f t="shared" si="22"/>
        <v>12195.84</v>
      </c>
      <c r="V206" s="4">
        <f t="shared" si="25"/>
        <v>-11640.8604</v>
      </c>
      <c r="W206" s="4">
        <f t="shared" si="26"/>
        <v>-20.97529422703105</v>
      </c>
    </row>
    <row r="207" spans="1:23" x14ac:dyDescent="0.3">
      <c r="A207" t="s">
        <v>512</v>
      </c>
      <c r="B207" s="7">
        <v>45035</v>
      </c>
      <c r="C207" s="2">
        <v>45044</v>
      </c>
      <c r="D207" s="4">
        <f t="shared" si="27"/>
        <v>9</v>
      </c>
      <c r="E207" s="4" t="str">
        <f>TEXT(Data!B207,"MMM-YYYY")</f>
        <v>Jul-2023</v>
      </c>
      <c r="F207" s="4" t="str">
        <f t="shared" si="23"/>
        <v>Q2-2023</v>
      </c>
      <c r="G207" t="s">
        <v>78</v>
      </c>
      <c r="H207" t="s">
        <v>79</v>
      </c>
      <c r="I207" t="s">
        <v>80</v>
      </c>
      <c r="J207" t="s">
        <v>27</v>
      </c>
      <c r="K207" t="s">
        <v>28</v>
      </c>
      <c r="L207" t="s">
        <v>63</v>
      </c>
      <c r="M207" t="s">
        <v>64</v>
      </c>
      <c r="N207" t="s">
        <v>513</v>
      </c>
      <c r="O207" s="4">
        <v>1178.42</v>
      </c>
      <c r="P207" s="8" t="str">
        <f t="shared" si="24"/>
        <v>High</v>
      </c>
      <c r="Q207" s="4">
        <v>2446.56</v>
      </c>
      <c r="R207" s="4">
        <v>2.9000000000000001E-2</v>
      </c>
      <c r="S207" s="4">
        <v>11</v>
      </c>
      <c r="T207" s="4">
        <f t="shared" si="21"/>
        <v>9957.7894899999992</v>
      </c>
      <c r="U207">
        <f t="shared" si="22"/>
        <v>12962.62</v>
      </c>
      <c r="V207" s="4">
        <f t="shared" si="25"/>
        <v>-3004.8305100000016</v>
      </c>
      <c r="W207" s="4">
        <f t="shared" si="26"/>
        <v>-0.30175678176542792</v>
      </c>
    </row>
    <row r="208" spans="1:23" x14ac:dyDescent="0.3">
      <c r="A208" t="s">
        <v>514</v>
      </c>
      <c r="B208" s="7">
        <v>45109</v>
      </c>
      <c r="C208" s="2">
        <v>45139</v>
      </c>
      <c r="D208" s="4">
        <f t="shared" si="27"/>
        <v>30</v>
      </c>
      <c r="E208" s="4" t="str">
        <f>TEXT(Data!B208,"MMM-YYYY")</f>
        <v>Jan-2025</v>
      </c>
      <c r="F208" s="4" t="str">
        <f t="shared" si="23"/>
        <v>Q3-2023</v>
      </c>
      <c r="G208" t="s">
        <v>78</v>
      </c>
      <c r="H208" t="s">
        <v>108</v>
      </c>
      <c r="I208" t="s">
        <v>109</v>
      </c>
      <c r="J208" t="s">
        <v>62</v>
      </c>
      <c r="K208" t="s">
        <v>20</v>
      </c>
      <c r="L208" t="s">
        <v>56</v>
      </c>
      <c r="M208" t="s">
        <v>22</v>
      </c>
      <c r="N208" t="s">
        <v>515</v>
      </c>
      <c r="O208" s="4">
        <v>137.46</v>
      </c>
      <c r="P208" s="8" t="str">
        <f t="shared" si="24"/>
        <v>Medium</v>
      </c>
      <c r="Q208" s="4">
        <v>188.3</v>
      </c>
      <c r="R208" s="4">
        <v>3.7999999999999999E-2</v>
      </c>
      <c r="S208" s="4">
        <v>37</v>
      </c>
      <c r="T208" s="4">
        <f t="shared" si="21"/>
        <v>11596.169260000001</v>
      </c>
      <c r="U208">
        <f t="shared" si="22"/>
        <v>5086.0200000000004</v>
      </c>
      <c r="V208" s="4">
        <f t="shared" si="25"/>
        <v>6510.1492600000001</v>
      </c>
      <c r="W208" s="4">
        <f t="shared" si="26"/>
        <v>0.56140516010370822</v>
      </c>
    </row>
    <row r="209" spans="1:23" x14ac:dyDescent="0.3">
      <c r="A209" t="s">
        <v>516</v>
      </c>
      <c r="B209" s="7">
        <v>45678</v>
      </c>
      <c r="C209" s="2">
        <v>45702</v>
      </c>
      <c r="D209" s="4">
        <f t="shared" si="27"/>
        <v>24</v>
      </c>
      <c r="E209" s="4" t="str">
        <f>TEXT(Data!B209,"MMM-YYYY")</f>
        <v>Sept-2024</v>
      </c>
      <c r="F209" s="4" t="str">
        <f t="shared" si="23"/>
        <v>Q1-2025</v>
      </c>
      <c r="G209" t="s">
        <v>16</v>
      </c>
      <c r="H209" t="s">
        <v>17</v>
      </c>
      <c r="I209" t="s">
        <v>33</v>
      </c>
      <c r="J209" t="s">
        <v>62</v>
      </c>
      <c r="K209" t="s">
        <v>20</v>
      </c>
      <c r="L209" t="s">
        <v>29</v>
      </c>
      <c r="M209" t="s">
        <v>81</v>
      </c>
      <c r="N209" t="s">
        <v>517</v>
      </c>
      <c r="O209" s="4">
        <v>1030.44</v>
      </c>
      <c r="P209" s="8" t="str">
        <f t="shared" si="24"/>
        <v>High</v>
      </c>
      <c r="Q209" s="4">
        <v>2562.84</v>
      </c>
      <c r="R209" s="4">
        <v>0.14799999999999999</v>
      </c>
      <c r="S209" s="4">
        <v>13</v>
      </c>
      <c r="T209" s="4">
        <f t="shared" si="21"/>
        <v>4496.5237200000001</v>
      </c>
      <c r="U209">
        <f t="shared" si="22"/>
        <v>13395.720000000001</v>
      </c>
      <c r="V209" s="4">
        <f t="shared" si="25"/>
        <v>-8899.1962800000001</v>
      </c>
      <c r="W209" s="4">
        <f t="shared" si="26"/>
        <v>-1.9791280629561541</v>
      </c>
    </row>
    <row r="210" spans="1:23" x14ac:dyDescent="0.3">
      <c r="A210" t="s">
        <v>518</v>
      </c>
      <c r="B210" s="7">
        <v>45545</v>
      </c>
      <c r="C210" s="2">
        <v>45572</v>
      </c>
      <c r="D210" s="4">
        <f t="shared" si="27"/>
        <v>27</v>
      </c>
      <c r="E210" s="4" t="str">
        <f>TEXT(Data!B210,"MMM-YYYY")</f>
        <v>Jul-2025</v>
      </c>
      <c r="F210" s="4" t="str">
        <f t="shared" si="23"/>
        <v>Q3-2024</v>
      </c>
      <c r="G210" t="s">
        <v>16</v>
      </c>
      <c r="H210" t="s">
        <v>17</v>
      </c>
      <c r="I210" t="s">
        <v>18</v>
      </c>
      <c r="J210" t="s">
        <v>48</v>
      </c>
      <c r="K210" t="s">
        <v>20</v>
      </c>
      <c r="L210" t="s">
        <v>49</v>
      </c>
      <c r="M210" t="s">
        <v>30</v>
      </c>
      <c r="N210" t="s">
        <v>519</v>
      </c>
      <c r="O210" s="4">
        <v>1248.3900000000001</v>
      </c>
      <c r="P210" s="8" t="str">
        <f t="shared" si="24"/>
        <v>High</v>
      </c>
      <c r="Q210" s="4">
        <v>1805.11</v>
      </c>
      <c r="R210" s="4">
        <v>0.20300000000000001</v>
      </c>
      <c r="S210" s="4">
        <v>11</v>
      </c>
      <c r="T210" s="4">
        <f t="shared" si="21"/>
        <v>13931.376689999999</v>
      </c>
      <c r="U210">
        <f t="shared" si="22"/>
        <v>13732.29</v>
      </c>
      <c r="V210" s="4">
        <f t="shared" si="25"/>
        <v>199.08668999999827</v>
      </c>
      <c r="W210" s="4">
        <f t="shared" si="26"/>
        <v>1.4290525224467122E-2</v>
      </c>
    </row>
    <row r="211" spans="1:23" x14ac:dyDescent="0.3">
      <c r="A211" t="s">
        <v>520</v>
      </c>
      <c r="B211" s="7">
        <v>45859</v>
      </c>
      <c r="C211" s="2">
        <v>45876</v>
      </c>
      <c r="D211" s="4">
        <f t="shared" si="27"/>
        <v>17</v>
      </c>
      <c r="E211" s="4" t="str">
        <f>TEXT(Data!B211,"MMM-YYYY")</f>
        <v>Oct-2024</v>
      </c>
      <c r="F211" s="4" t="str">
        <f t="shared" si="23"/>
        <v>Q3-2025</v>
      </c>
      <c r="G211" t="s">
        <v>16</v>
      </c>
      <c r="H211" t="s">
        <v>25</v>
      </c>
      <c r="I211" t="s">
        <v>38</v>
      </c>
      <c r="J211" t="s">
        <v>105</v>
      </c>
      <c r="K211" t="s">
        <v>98</v>
      </c>
      <c r="L211" t="s">
        <v>110</v>
      </c>
      <c r="M211" t="s">
        <v>81</v>
      </c>
      <c r="N211" t="s">
        <v>521</v>
      </c>
      <c r="O211" s="4">
        <v>1204.95</v>
      </c>
      <c r="P211" s="8" t="str">
        <f t="shared" si="24"/>
        <v>High</v>
      </c>
      <c r="Q211" s="4">
        <v>2065.73</v>
      </c>
      <c r="R211" s="4">
        <v>0.13600000000000001</v>
      </c>
      <c r="S211" s="4">
        <v>10</v>
      </c>
      <c r="T211" s="4">
        <f t="shared" si="21"/>
        <v>12379.392</v>
      </c>
      <c r="U211">
        <f t="shared" si="22"/>
        <v>12049.5</v>
      </c>
      <c r="V211" s="4">
        <f t="shared" si="25"/>
        <v>329.89199999999983</v>
      </c>
      <c r="W211" s="4">
        <f t="shared" si="26"/>
        <v>2.6648481605558643E-2</v>
      </c>
    </row>
    <row r="212" spans="1:23" x14ac:dyDescent="0.3">
      <c r="A212" t="s">
        <v>522</v>
      </c>
      <c r="B212" s="7">
        <v>45567</v>
      </c>
      <c r="C212" s="2">
        <v>45588</v>
      </c>
      <c r="D212" s="4">
        <f t="shared" si="27"/>
        <v>21</v>
      </c>
      <c r="E212" s="4" t="str">
        <f>TEXT(Data!B212,"MMM-YYYY")</f>
        <v>Jul-2025</v>
      </c>
      <c r="F212" s="4" t="str">
        <f t="shared" si="23"/>
        <v>Q4-2024</v>
      </c>
      <c r="G212" t="s">
        <v>16</v>
      </c>
      <c r="H212" t="s">
        <v>148</v>
      </c>
      <c r="I212" t="s">
        <v>172</v>
      </c>
      <c r="J212" t="s">
        <v>19</v>
      </c>
      <c r="K212" t="s">
        <v>40</v>
      </c>
      <c r="L212" t="s">
        <v>75</v>
      </c>
      <c r="M212" t="s">
        <v>22</v>
      </c>
      <c r="N212" t="s">
        <v>523</v>
      </c>
      <c r="O212" s="4">
        <v>1095.6099999999999</v>
      </c>
      <c r="P212" s="8" t="str">
        <f t="shared" si="24"/>
        <v>High</v>
      </c>
      <c r="Q212" s="4">
        <v>2366.5100000000002</v>
      </c>
      <c r="R212" s="4">
        <v>0.152</v>
      </c>
      <c r="S212" s="4">
        <v>9</v>
      </c>
      <c r="T212" s="4">
        <f t="shared" si="21"/>
        <v>13476.28032</v>
      </c>
      <c r="U212">
        <f t="shared" si="22"/>
        <v>9860.49</v>
      </c>
      <c r="V212" s="4">
        <f t="shared" si="25"/>
        <v>3615.7903200000001</v>
      </c>
      <c r="W212" s="4">
        <f t="shared" si="26"/>
        <v>0.26830774027710341</v>
      </c>
    </row>
    <row r="213" spans="1:23" x14ac:dyDescent="0.3">
      <c r="A213" t="s">
        <v>524</v>
      </c>
      <c r="B213" s="7">
        <v>45852</v>
      </c>
      <c r="C213" s="2">
        <v>45873</v>
      </c>
      <c r="D213" s="4">
        <f t="shared" si="27"/>
        <v>21</v>
      </c>
      <c r="E213" s="4" t="str">
        <f>TEXT(Data!B213,"MMM-YYYY")</f>
        <v>Sept-2024</v>
      </c>
      <c r="F213" s="4" t="str">
        <f t="shared" si="23"/>
        <v>Q3-2025</v>
      </c>
      <c r="G213" t="s">
        <v>52</v>
      </c>
      <c r="H213" t="s">
        <v>53</v>
      </c>
      <c r="I213" t="s">
        <v>144</v>
      </c>
      <c r="J213" t="s">
        <v>48</v>
      </c>
      <c r="K213" t="s">
        <v>28</v>
      </c>
      <c r="L213" t="s">
        <v>92</v>
      </c>
      <c r="M213" t="s">
        <v>64</v>
      </c>
      <c r="N213" t="s">
        <v>525</v>
      </c>
      <c r="O213" s="4">
        <v>90.3</v>
      </c>
      <c r="P213" s="8" t="str">
        <f t="shared" si="24"/>
        <v>Medium</v>
      </c>
      <c r="Q213" s="4">
        <v>131.76</v>
      </c>
      <c r="R213" s="4">
        <v>0.10199999999999999</v>
      </c>
      <c r="S213" s="4">
        <v>15</v>
      </c>
      <c r="T213" s="4">
        <f t="shared" si="21"/>
        <v>37144.063799999996</v>
      </c>
      <c r="U213">
        <f t="shared" si="22"/>
        <v>1354.5</v>
      </c>
      <c r="V213" s="4">
        <f t="shared" si="25"/>
        <v>35789.563799999996</v>
      </c>
      <c r="W213" s="4">
        <f t="shared" si="26"/>
        <v>0.96353387697982573</v>
      </c>
    </row>
    <row r="214" spans="1:23" x14ac:dyDescent="0.3">
      <c r="A214" t="s">
        <v>526</v>
      </c>
      <c r="B214" s="7">
        <v>45544</v>
      </c>
      <c r="C214" s="2">
        <v>45566</v>
      </c>
      <c r="D214" s="4">
        <f t="shared" si="27"/>
        <v>22</v>
      </c>
      <c r="E214" s="4" t="str">
        <f>TEXT(Data!B214,"MMM-YYYY")</f>
        <v>Jan-2025</v>
      </c>
      <c r="F214" s="4" t="str">
        <f t="shared" si="23"/>
        <v>Q3-2024</v>
      </c>
      <c r="G214" t="s">
        <v>45</v>
      </c>
      <c r="H214" t="s">
        <v>116</v>
      </c>
      <c r="I214" t="s">
        <v>117</v>
      </c>
      <c r="J214" t="s">
        <v>48</v>
      </c>
      <c r="K214" t="s">
        <v>98</v>
      </c>
      <c r="L214" t="s">
        <v>49</v>
      </c>
      <c r="M214" t="s">
        <v>30</v>
      </c>
      <c r="N214" t="s">
        <v>527</v>
      </c>
      <c r="O214" s="4">
        <v>1166.18</v>
      </c>
      <c r="P214" s="8" t="str">
        <f t="shared" si="24"/>
        <v>High</v>
      </c>
      <c r="Q214" s="4">
        <v>1335.02</v>
      </c>
      <c r="R214" s="4">
        <v>0.128</v>
      </c>
      <c r="S214" s="4">
        <v>6</v>
      </c>
      <c r="T214" s="4">
        <f t="shared" si="21"/>
        <v>4571.46</v>
      </c>
      <c r="U214">
        <f t="shared" si="22"/>
        <v>6997.08</v>
      </c>
      <c r="V214" s="4">
        <f t="shared" si="25"/>
        <v>-2425.62</v>
      </c>
      <c r="W214" s="4">
        <f t="shared" si="26"/>
        <v>-0.53060072712000106</v>
      </c>
    </row>
    <row r="215" spans="1:23" x14ac:dyDescent="0.3">
      <c r="A215" t="s">
        <v>528</v>
      </c>
      <c r="B215" s="7">
        <v>45686</v>
      </c>
      <c r="C215" s="2">
        <v>45694</v>
      </c>
      <c r="D215" s="4">
        <f t="shared" si="27"/>
        <v>8</v>
      </c>
      <c r="E215" s="4" t="str">
        <f>TEXT(Data!B215,"MMM-YYYY")</f>
        <v>Nov-2023</v>
      </c>
      <c r="F215" s="4" t="str">
        <f t="shared" si="23"/>
        <v>Q1-2025</v>
      </c>
      <c r="G215" t="s">
        <v>16</v>
      </c>
      <c r="H215" t="s">
        <v>17</v>
      </c>
      <c r="I215" t="s">
        <v>18</v>
      </c>
      <c r="J215" t="s">
        <v>27</v>
      </c>
      <c r="K215" t="s">
        <v>20</v>
      </c>
      <c r="L215" t="s">
        <v>56</v>
      </c>
      <c r="M215" t="s">
        <v>42</v>
      </c>
      <c r="N215" t="s">
        <v>529</v>
      </c>
      <c r="O215" s="4">
        <v>1445.27</v>
      </c>
      <c r="P215" s="8" t="str">
        <f t="shared" si="24"/>
        <v>High</v>
      </c>
      <c r="Q215" s="4">
        <v>2691.45</v>
      </c>
      <c r="R215" s="4">
        <v>0</v>
      </c>
      <c r="S215" s="4">
        <v>9</v>
      </c>
      <c r="T215" s="4">
        <f t="shared" si="21"/>
        <v>2326.6799999999998</v>
      </c>
      <c r="U215">
        <f t="shared" si="22"/>
        <v>13007.43</v>
      </c>
      <c r="V215" s="4">
        <f t="shared" si="25"/>
        <v>-10680.75</v>
      </c>
      <c r="W215" s="4">
        <f t="shared" si="26"/>
        <v>-4.5905539223270928</v>
      </c>
    </row>
    <row r="216" spans="1:23" x14ac:dyDescent="0.3">
      <c r="A216" t="s">
        <v>530</v>
      </c>
      <c r="B216" s="7">
        <v>45240</v>
      </c>
      <c r="C216" s="2">
        <v>45258</v>
      </c>
      <c r="D216" s="4">
        <f t="shared" si="27"/>
        <v>18</v>
      </c>
      <c r="E216" s="4" t="str">
        <f>TEXT(Data!B216,"MMM-YYYY")</f>
        <v>Feb-2024</v>
      </c>
      <c r="F216" s="4" t="str">
        <f t="shared" si="23"/>
        <v>Q4-2023</v>
      </c>
      <c r="G216" t="s">
        <v>52</v>
      </c>
      <c r="H216" t="s">
        <v>73</v>
      </c>
      <c r="I216" t="s">
        <v>87</v>
      </c>
      <c r="J216" t="s">
        <v>27</v>
      </c>
      <c r="K216" t="s">
        <v>40</v>
      </c>
      <c r="L216" t="s">
        <v>49</v>
      </c>
      <c r="M216" t="s">
        <v>81</v>
      </c>
      <c r="N216" t="s">
        <v>531</v>
      </c>
      <c r="O216" s="4">
        <v>388.51</v>
      </c>
      <c r="P216" s="8" t="str">
        <f t="shared" si="24"/>
        <v>High</v>
      </c>
      <c r="Q216" s="4">
        <v>776.46</v>
      </c>
      <c r="R216" s="4">
        <v>0.157</v>
      </c>
      <c r="S216" s="4">
        <v>12</v>
      </c>
      <c r="T216" s="4">
        <f t="shared" si="21"/>
        <v>6137.98416</v>
      </c>
      <c r="U216">
        <f t="shared" si="22"/>
        <v>4662.12</v>
      </c>
      <c r="V216" s="4">
        <f t="shared" si="25"/>
        <v>1475.8641600000001</v>
      </c>
      <c r="W216" s="4">
        <f t="shared" si="26"/>
        <v>0.24044769773403912</v>
      </c>
    </row>
    <row r="217" spans="1:23" x14ac:dyDescent="0.3">
      <c r="A217" t="s">
        <v>532</v>
      </c>
      <c r="B217" s="7">
        <v>45351</v>
      </c>
      <c r="C217" s="2">
        <v>45381</v>
      </c>
      <c r="D217" s="4">
        <f t="shared" si="27"/>
        <v>1</v>
      </c>
      <c r="E217" s="4" t="str">
        <f>TEXT(Data!B217,"MMM-YYYY")</f>
        <v>Dec-2023</v>
      </c>
      <c r="F217" s="4" t="str">
        <f t="shared" si="23"/>
        <v>Q1-2024</v>
      </c>
      <c r="G217" t="s">
        <v>45</v>
      </c>
      <c r="H217" t="s">
        <v>46</v>
      </c>
      <c r="I217" t="s">
        <v>231</v>
      </c>
      <c r="J217" t="s">
        <v>62</v>
      </c>
      <c r="K217" t="s">
        <v>98</v>
      </c>
      <c r="L217" t="s">
        <v>34</v>
      </c>
      <c r="M217" t="s">
        <v>35</v>
      </c>
      <c r="N217" t="s">
        <v>533</v>
      </c>
      <c r="O217" s="4">
        <v>231.11</v>
      </c>
      <c r="P217" s="8" t="str">
        <f t="shared" si="24"/>
        <v>High</v>
      </c>
      <c r="Q217" s="4">
        <v>318.17</v>
      </c>
      <c r="R217" s="4">
        <v>0.20100000000000001</v>
      </c>
      <c r="S217" s="4">
        <v>60</v>
      </c>
      <c r="T217" s="4">
        <f t="shared" si="21"/>
        <v>64128.8586</v>
      </c>
      <c r="U217">
        <f t="shared" si="22"/>
        <v>13866.6</v>
      </c>
      <c r="V217" s="4">
        <f t="shared" si="25"/>
        <v>50262.258600000001</v>
      </c>
      <c r="W217" s="4">
        <f t="shared" si="26"/>
        <v>0.7837697363913475</v>
      </c>
    </row>
    <row r="218" spans="1:23" x14ac:dyDescent="0.3">
      <c r="A218" t="s">
        <v>534</v>
      </c>
      <c r="B218" s="7">
        <v>45280</v>
      </c>
      <c r="C218" s="2">
        <v>45305</v>
      </c>
      <c r="D218" s="4">
        <f t="shared" si="27"/>
        <v>25</v>
      </c>
      <c r="E218" s="4" t="str">
        <f>TEXT(Data!B218,"MMM-YYYY")</f>
        <v>Jan-2023</v>
      </c>
      <c r="F218" s="4" t="str">
        <f t="shared" si="23"/>
        <v>Q4-2023</v>
      </c>
      <c r="G218" t="s">
        <v>45</v>
      </c>
      <c r="H218" t="s">
        <v>60</v>
      </c>
      <c r="I218" t="s">
        <v>220</v>
      </c>
      <c r="J218" t="s">
        <v>39</v>
      </c>
      <c r="K218" t="s">
        <v>40</v>
      </c>
      <c r="L218" t="s">
        <v>49</v>
      </c>
      <c r="M218" t="s">
        <v>64</v>
      </c>
      <c r="N218" t="s">
        <v>535</v>
      </c>
      <c r="O218" s="4">
        <v>1085.6099999999999</v>
      </c>
      <c r="P218" s="8" t="str">
        <f t="shared" si="24"/>
        <v>High</v>
      </c>
      <c r="Q218" s="4">
        <v>1246.4100000000001</v>
      </c>
      <c r="R218" s="4">
        <v>0.113</v>
      </c>
      <c r="S218" s="4">
        <v>7</v>
      </c>
      <c r="T218" s="4">
        <f t="shared" si="21"/>
        <v>11133.23372</v>
      </c>
      <c r="U218">
        <f t="shared" si="22"/>
        <v>7599.2699999999995</v>
      </c>
      <c r="V218" s="4">
        <f t="shared" si="25"/>
        <v>3533.9637200000006</v>
      </c>
      <c r="W218" s="4">
        <f t="shared" si="26"/>
        <v>0.31742473111397151</v>
      </c>
    </row>
    <row r="219" spans="1:23" x14ac:dyDescent="0.3">
      <c r="A219" t="s">
        <v>536</v>
      </c>
      <c r="B219" s="7">
        <v>44948</v>
      </c>
      <c r="C219" s="2">
        <v>44947</v>
      </c>
      <c r="D219" s="4">
        <f>DATEDIF(C219,B219, "MD")</f>
        <v>1</v>
      </c>
      <c r="E219" s="4" t="str">
        <f>TEXT(Data!B219,"MMM-YYYY")</f>
        <v>Oct-2024</v>
      </c>
      <c r="F219" s="4" t="str">
        <f t="shared" si="23"/>
        <v>Q1-2023</v>
      </c>
      <c r="G219" t="s">
        <v>78</v>
      </c>
      <c r="H219" t="s">
        <v>79</v>
      </c>
      <c r="I219" t="s">
        <v>159</v>
      </c>
      <c r="J219" t="s">
        <v>19</v>
      </c>
      <c r="K219" t="s">
        <v>98</v>
      </c>
      <c r="L219" t="s">
        <v>84</v>
      </c>
      <c r="M219" t="s">
        <v>64</v>
      </c>
      <c r="N219" t="s">
        <v>537</v>
      </c>
      <c r="O219" s="4">
        <v>150.86000000000001</v>
      </c>
      <c r="P219" s="8" t="str">
        <f t="shared" si="24"/>
        <v>High</v>
      </c>
      <c r="Q219" s="4">
        <v>346.96</v>
      </c>
      <c r="R219" s="4">
        <v>0.19600000000000001</v>
      </c>
      <c r="S219" s="4">
        <v>8</v>
      </c>
      <c r="T219" s="4">
        <f t="shared" si="21"/>
        <v>789.46368000000007</v>
      </c>
      <c r="U219">
        <f t="shared" si="22"/>
        <v>1206.8800000000001</v>
      </c>
      <c r="V219" s="4">
        <f t="shared" si="25"/>
        <v>-417.41632000000004</v>
      </c>
      <c r="W219" s="4">
        <f t="shared" si="26"/>
        <v>-0.52873403878440617</v>
      </c>
    </row>
    <row r="220" spans="1:23" x14ac:dyDescent="0.3">
      <c r="A220" t="s">
        <v>538</v>
      </c>
      <c r="B220" s="7">
        <v>45576</v>
      </c>
      <c r="C220" s="2">
        <v>45605</v>
      </c>
      <c r="D220" s="4">
        <f t="shared" si="27"/>
        <v>29</v>
      </c>
      <c r="E220" s="4" t="str">
        <f>TEXT(Data!B220,"MMM-YYYY")</f>
        <v>Sept-2024</v>
      </c>
      <c r="F220" s="4" t="str">
        <f t="shared" si="23"/>
        <v>Q4-2024</v>
      </c>
      <c r="G220" t="s">
        <v>45</v>
      </c>
      <c r="H220" t="s">
        <v>116</v>
      </c>
      <c r="I220" t="s">
        <v>162</v>
      </c>
      <c r="J220" t="s">
        <v>39</v>
      </c>
      <c r="K220" t="s">
        <v>28</v>
      </c>
      <c r="L220" t="s">
        <v>84</v>
      </c>
      <c r="M220" t="s">
        <v>30</v>
      </c>
      <c r="N220" t="s">
        <v>539</v>
      </c>
      <c r="O220" s="4">
        <v>391.64</v>
      </c>
      <c r="P220" s="8" t="str">
        <f t="shared" si="24"/>
        <v>High</v>
      </c>
      <c r="Q220" s="4">
        <v>504.76</v>
      </c>
      <c r="R220" s="4">
        <v>4.0000000000000001E-3</v>
      </c>
      <c r="S220" s="4">
        <v>13</v>
      </c>
      <c r="T220" s="4">
        <f t="shared" si="21"/>
        <v>12014.83764</v>
      </c>
      <c r="U220">
        <f t="shared" si="22"/>
        <v>5091.32</v>
      </c>
      <c r="V220" s="4">
        <f t="shared" si="25"/>
        <v>6923.51764</v>
      </c>
      <c r="W220" s="4">
        <f t="shared" si="26"/>
        <v>0.57624729084562143</v>
      </c>
    </row>
    <row r="221" spans="1:23" x14ac:dyDescent="0.3">
      <c r="A221" t="s">
        <v>540</v>
      </c>
      <c r="B221" s="7">
        <v>45554</v>
      </c>
      <c r="C221" s="2">
        <v>45579</v>
      </c>
      <c r="D221" s="4">
        <f t="shared" si="27"/>
        <v>25</v>
      </c>
      <c r="E221" s="4" t="str">
        <f>TEXT(Data!B221,"MMM-YYYY")</f>
        <v>Aug-2025</v>
      </c>
      <c r="F221" s="4" t="str">
        <f t="shared" si="23"/>
        <v>Q3-2024</v>
      </c>
      <c r="G221" t="s">
        <v>52</v>
      </c>
      <c r="H221" t="s">
        <v>73</v>
      </c>
      <c r="I221" t="s">
        <v>225</v>
      </c>
      <c r="J221" t="s">
        <v>62</v>
      </c>
      <c r="K221" t="s">
        <v>20</v>
      </c>
      <c r="L221" t="s">
        <v>95</v>
      </c>
      <c r="M221" t="s">
        <v>30</v>
      </c>
      <c r="N221" t="s">
        <v>541</v>
      </c>
      <c r="O221" s="4">
        <v>386.96</v>
      </c>
      <c r="P221" s="8" t="str">
        <f t="shared" si="24"/>
        <v>High</v>
      </c>
      <c r="Q221" s="4">
        <v>937.46</v>
      </c>
      <c r="R221" s="4">
        <v>0.26600000000000001</v>
      </c>
      <c r="S221" s="4">
        <v>41</v>
      </c>
      <c r="T221" s="4">
        <f t="shared" si="21"/>
        <v>4570.6767199999995</v>
      </c>
      <c r="U221">
        <f t="shared" si="22"/>
        <v>15865.359999999999</v>
      </c>
      <c r="V221" s="4">
        <f t="shared" si="25"/>
        <v>-11294.683279999999</v>
      </c>
      <c r="W221" s="4">
        <f t="shared" si="26"/>
        <v>-2.4711183861631763</v>
      </c>
    </row>
    <row r="222" spans="1:23" x14ac:dyDescent="0.3">
      <c r="A222" t="s">
        <v>542</v>
      </c>
      <c r="B222" s="7">
        <v>45894</v>
      </c>
      <c r="C222" s="2">
        <v>45924</v>
      </c>
      <c r="D222" s="4">
        <f t="shared" si="27"/>
        <v>30</v>
      </c>
      <c r="E222" s="4" t="str">
        <f>TEXT(Data!B222,"MMM-YYYY")</f>
        <v>Sept-2023</v>
      </c>
      <c r="F222" s="4" t="str">
        <f t="shared" si="23"/>
        <v>Q3-2025</v>
      </c>
      <c r="G222" t="s">
        <v>16</v>
      </c>
      <c r="H222" t="s">
        <v>17</v>
      </c>
      <c r="I222" t="s">
        <v>33</v>
      </c>
      <c r="J222" t="s">
        <v>48</v>
      </c>
      <c r="K222" t="s">
        <v>98</v>
      </c>
      <c r="L222" t="s">
        <v>56</v>
      </c>
      <c r="M222" t="s">
        <v>22</v>
      </c>
      <c r="N222" t="s">
        <v>543</v>
      </c>
      <c r="O222" s="4">
        <v>589.14</v>
      </c>
      <c r="P222" s="8" t="str">
        <f t="shared" si="24"/>
        <v>High</v>
      </c>
      <c r="Q222" s="4">
        <v>1300.58</v>
      </c>
      <c r="R222" s="4">
        <v>5.5E-2</v>
      </c>
      <c r="S222" s="4">
        <v>11</v>
      </c>
      <c r="T222" s="4">
        <f t="shared" si="21"/>
        <v>22977.108</v>
      </c>
      <c r="U222">
        <f t="shared" si="22"/>
        <v>6480.54</v>
      </c>
      <c r="V222" s="4">
        <f t="shared" si="25"/>
        <v>16496.567999999999</v>
      </c>
      <c r="W222" s="4">
        <f t="shared" si="26"/>
        <v>0.71795667235406646</v>
      </c>
    </row>
    <row r="223" spans="1:23" x14ac:dyDescent="0.3">
      <c r="A223" t="s">
        <v>544</v>
      </c>
      <c r="B223" s="7">
        <v>45194</v>
      </c>
      <c r="C223" s="2">
        <v>45201</v>
      </c>
      <c r="D223" s="4">
        <f t="shared" si="27"/>
        <v>7</v>
      </c>
      <c r="E223" s="4" t="str">
        <f>TEXT(Data!B223,"MMM-YYYY")</f>
        <v>Aug-2023</v>
      </c>
      <c r="F223" s="4" t="str">
        <f t="shared" si="23"/>
        <v>Q3-2023</v>
      </c>
      <c r="G223" t="s">
        <v>52</v>
      </c>
      <c r="H223" t="s">
        <v>122</v>
      </c>
      <c r="I223" t="s">
        <v>387</v>
      </c>
      <c r="J223" t="s">
        <v>27</v>
      </c>
      <c r="K223" t="s">
        <v>40</v>
      </c>
      <c r="L223" t="s">
        <v>34</v>
      </c>
      <c r="M223" t="s">
        <v>81</v>
      </c>
      <c r="N223" t="s">
        <v>545</v>
      </c>
      <c r="O223" s="4">
        <v>145.58000000000001</v>
      </c>
      <c r="P223" s="8" t="str">
        <f t="shared" si="24"/>
        <v>High</v>
      </c>
      <c r="Q223" s="4">
        <v>228.15</v>
      </c>
      <c r="R223" s="4">
        <v>0.20399999999999999</v>
      </c>
      <c r="S223" s="4">
        <v>5</v>
      </c>
      <c r="T223" s="4">
        <f t="shared" si="21"/>
        <v>158.16520000000003</v>
      </c>
      <c r="U223">
        <f t="shared" si="22"/>
        <v>727.90000000000009</v>
      </c>
      <c r="V223" s="4">
        <f t="shared" si="25"/>
        <v>-569.73480000000006</v>
      </c>
      <c r="W223" s="4">
        <f t="shared" si="26"/>
        <v>-3.602150156924532</v>
      </c>
    </row>
    <row r="224" spans="1:23" x14ac:dyDescent="0.3">
      <c r="A224" t="s">
        <v>546</v>
      </c>
      <c r="B224" s="7">
        <v>45164</v>
      </c>
      <c r="C224" s="2">
        <v>45179</v>
      </c>
      <c r="D224" s="4">
        <f t="shared" si="27"/>
        <v>15</v>
      </c>
      <c r="E224" s="4" t="str">
        <f>TEXT(Data!B224,"MMM-YYYY")</f>
        <v>Jul-2025</v>
      </c>
      <c r="F224" s="4" t="str">
        <f t="shared" si="23"/>
        <v>Q3-2023</v>
      </c>
      <c r="G224" t="s">
        <v>16</v>
      </c>
      <c r="H224" t="s">
        <v>148</v>
      </c>
      <c r="I224" t="s">
        <v>258</v>
      </c>
      <c r="J224" t="s">
        <v>39</v>
      </c>
      <c r="K224" t="s">
        <v>98</v>
      </c>
      <c r="L224" t="s">
        <v>126</v>
      </c>
      <c r="M224" t="s">
        <v>22</v>
      </c>
      <c r="N224" t="s">
        <v>547</v>
      </c>
      <c r="O224" s="4">
        <v>241.14</v>
      </c>
      <c r="P224" s="8" t="str">
        <f t="shared" si="24"/>
        <v>High</v>
      </c>
      <c r="Q224" s="4">
        <v>496.52</v>
      </c>
      <c r="R224" s="4">
        <v>9.2999999999999999E-2</v>
      </c>
      <c r="S224" s="4">
        <v>10</v>
      </c>
      <c r="T224" s="4">
        <f t="shared" si="21"/>
        <v>9151.630000000001</v>
      </c>
      <c r="U224">
        <f t="shared" si="22"/>
        <v>2411.3999999999996</v>
      </c>
      <c r="V224" s="4">
        <f t="shared" si="25"/>
        <v>6740.2300000000014</v>
      </c>
      <c r="W224" s="4">
        <f t="shared" si="26"/>
        <v>0.73650595576962796</v>
      </c>
    </row>
    <row r="225" spans="1:23" x14ac:dyDescent="0.3">
      <c r="A225" t="s">
        <v>548</v>
      </c>
      <c r="B225" s="7">
        <v>45854</v>
      </c>
      <c r="C225" s="2">
        <v>45855</v>
      </c>
      <c r="D225" s="4">
        <f t="shared" si="27"/>
        <v>1</v>
      </c>
      <c r="E225" s="4" t="str">
        <f>TEXT(Data!B225,"MMM-YYYY")</f>
        <v>Apr-2023</v>
      </c>
      <c r="F225" s="4" t="str">
        <f t="shared" si="23"/>
        <v>Q3-2025</v>
      </c>
      <c r="G225" t="s">
        <v>16</v>
      </c>
      <c r="H225" t="s">
        <v>148</v>
      </c>
      <c r="I225" t="s">
        <v>172</v>
      </c>
      <c r="J225" t="s">
        <v>62</v>
      </c>
      <c r="K225" t="s">
        <v>55</v>
      </c>
      <c r="L225" t="s">
        <v>56</v>
      </c>
      <c r="M225" t="s">
        <v>35</v>
      </c>
      <c r="N225" t="s">
        <v>549</v>
      </c>
      <c r="O225" s="4">
        <v>1198.9000000000001</v>
      </c>
      <c r="P225" s="8" t="str">
        <f t="shared" si="24"/>
        <v>High</v>
      </c>
      <c r="Q225" s="4">
        <v>2941.2</v>
      </c>
      <c r="R225" s="4">
        <v>5.0999999999999997E-2</v>
      </c>
      <c r="S225" s="4">
        <v>24</v>
      </c>
      <c r="T225" s="4">
        <f t="shared" si="21"/>
        <v>37663.304640000002</v>
      </c>
      <c r="U225">
        <f t="shared" si="22"/>
        <v>28773.600000000002</v>
      </c>
      <c r="V225" s="4">
        <f t="shared" si="25"/>
        <v>8889.7046399999999</v>
      </c>
      <c r="W225" s="4">
        <f t="shared" si="26"/>
        <v>0.23603092519286697</v>
      </c>
    </row>
    <row r="226" spans="1:23" x14ac:dyDescent="0.3">
      <c r="A226" t="s">
        <v>550</v>
      </c>
      <c r="B226" s="7">
        <v>45035</v>
      </c>
      <c r="C226" s="2">
        <v>45053</v>
      </c>
      <c r="D226" s="4">
        <f t="shared" si="27"/>
        <v>18</v>
      </c>
      <c r="E226" s="4" t="str">
        <f>TEXT(Data!B226,"MMM-YYYY")</f>
        <v>Dec-2023</v>
      </c>
      <c r="F226" s="4" t="str">
        <f t="shared" si="23"/>
        <v>Q2-2023</v>
      </c>
      <c r="G226" t="s">
        <v>78</v>
      </c>
      <c r="H226" t="s">
        <v>108</v>
      </c>
      <c r="I226" t="s">
        <v>109</v>
      </c>
      <c r="J226" t="s">
        <v>105</v>
      </c>
      <c r="K226" t="s">
        <v>20</v>
      </c>
      <c r="L226" t="s">
        <v>126</v>
      </c>
      <c r="M226" t="s">
        <v>57</v>
      </c>
      <c r="N226" t="s">
        <v>551</v>
      </c>
      <c r="O226" s="4">
        <v>1089.1500000000001</v>
      </c>
      <c r="P226" s="8" t="str">
        <f t="shared" si="24"/>
        <v>High</v>
      </c>
      <c r="Q226" s="4">
        <v>1088.2</v>
      </c>
      <c r="R226" s="4">
        <v>5.0999999999999997E-2</v>
      </c>
      <c r="S226" s="4">
        <v>15</v>
      </c>
      <c r="T226" s="4">
        <f t="shared" si="21"/>
        <v>14458.4895</v>
      </c>
      <c r="U226">
        <f t="shared" si="22"/>
        <v>16337.250000000002</v>
      </c>
      <c r="V226" s="4">
        <f t="shared" si="25"/>
        <v>-1878.7605000000021</v>
      </c>
      <c r="W226" s="4">
        <f t="shared" si="26"/>
        <v>-0.12994168581718044</v>
      </c>
    </row>
    <row r="227" spans="1:23" x14ac:dyDescent="0.3">
      <c r="A227" t="s">
        <v>552</v>
      </c>
      <c r="B227" s="7">
        <v>45279</v>
      </c>
      <c r="C227" s="2">
        <v>45280</v>
      </c>
      <c r="D227" s="4">
        <f t="shared" si="27"/>
        <v>1</v>
      </c>
      <c r="E227" s="4" t="str">
        <f>TEXT(Data!B227,"MMM-YYYY")</f>
        <v>Jul-2023</v>
      </c>
      <c r="F227" s="4" t="str">
        <f t="shared" si="23"/>
        <v>Q4-2023</v>
      </c>
      <c r="G227" t="s">
        <v>52</v>
      </c>
      <c r="H227" t="s">
        <v>73</v>
      </c>
      <c r="I227" t="s">
        <v>225</v>
      </c>
      <c r="J227" t="s">
        <v>48</v>
      </c>
      <c r="K227" t="s">
        <v>55</v>
      </c>
      <c r="L227" t="s">
        <v>29</v>
      </c>
      <c r="M227" t="s">
        <v>42</v>
      </c>
      <c r="N227" t="s">
        <v>553</v>
      </c>
      <c r="O227" s="4">
        <v>1080.43</v>
      </c>
      <c r="P227" s="8" t="str">
        <f t="shared" si="24"/>
        <v>High</v>
      </c>
      <c r="Q227" s="4">
        <v>2529.15</v>
      </c>
      <c r="R227" s="4">
        <v>0.14699999999999999</v>
      </c>
      <c r="S227" s="4">
        <v>10</v>
      </c>
      <c r="T227" s="4">
        <f t="shared" si="21"/>
        <v>7783.1984999999995</v>
      </c>
      <c r="U227">
        <f t="shared" si="22"/>
        <v>10804.300000000001</v>
      </c>
      <c r="V227" s="4">
        <f t="shared" si="25"/>
        <v>-3021.1015000000016</v>
      </c>
      <c r="W227" s="4">
        <f t="shared" si="26"/>
        <v>-0.38815680982567796</v>
      </c>
    </row>
    <row r="228" spans="1:23" x14ac:dyDescent="0.3">
      <c r="A228" t="s">
        <v>554</v>
      </c>
      <c r="B228" s="7">
        <v>45137</v>
      </c>
      <c r="C228" s="2">
        <v>45145</v>
      </c>
      <c r="D228" s="4">
        <f t="shared" si="27"/>
        <v>8</v>
      </c>
      <c r="E228" s="4" t="str">
        <f>TEXT(Data!B228,"MMM-YYYY")</f>
        <v>Oct-2023</v>
      </c>
      <c r="F228" s="4" t="str">
        <f t="shared" si="23"/>
        <v>Q3-2023</v>
      </c>
      <c r="G228" t="s">
        <v>45</v>
      </c>
      <c r="H228" t="s">
        <v>46</v>
      </c>
      <c r="I228" t="s">
        <v>231</v>
      </c>
      <c r="J228" t="s">
        <v>27</v>
      </c>
      <c r="K228" t="s">
        <v>40</v>
      </c>
      <c r="L228" t="s">
        <v>75</v>
      </c>
      <c r="M228" t="s">
        <v>35</v>
      </c>
      <c r="N228" t="s">
        <v>555</v>
      </c>
      <c r="O228" s="4">
        <v>1352.44</v>
      </c>
      <c r="P228" s="8" t="str">
        <f t="shared" si="24"/>
        <v>High</v>
      </c>
      <c r="Q228" s="4">
        <v>2698.01</v>
      </c>
      <c r="R228" s="4">
        <v>0.13100000000000001</v>
      </c>
      <c r="S228" s="4">
        <v>13</v>
      </c>
      <c r="T228" s="4">
        <f t="shared" si="21"/>
        <v>9209.201430000001</v>
      </c>
      <c r="U228">
        <f t="shared" si="22"/>
        <v>17581.72</v>
      </c>
      <c r="V228" s="4">
        <f t="shared" si="25"/>
        <v>-8372.5185700000002</v>
      </c>
      <c r="W228" s="4">
        <f t="shared" si="26"/>
        <v>-0.90914707791335603</v>
      </c>
    </row>
    <row r="229" spans="1:23" x14ac:dyDescent="0.3">
      <c r="A229" t="s">
        <v>556</v>
      </c>
      <c r="B229" s="7">
        <v>45203</v>
      </c>
      <c r="C229" s="2">
        <v>45228</v>
      </c>
      <c r="D229" s="4">
        <f t="shared" si="27"/>
        <v>25</v>
      </c>
      <c r="E229" s="4" t="str">
        <f>TEXT(Data!B229,"MMM-YYYY")</f>
        <v>Aug-2025</v>
      </c>
      <c r="F229" s="4" t="str">
        <f t="shared" si="23"/>
        <v>Q4-2023</v>
      </c>
      <c r="G229" t="s">
        <v>52</v>
      </c>
      <c r="H229" t="s">
        <v>122</v>
      </c>
      <c r="I229" t="s">
        <v>167</v>
      </c>
      <c r="J229" t="s">
        <v>62</v>
      </c>
      <c r="K229" t="s">
        <v>55</v>
      </c>
      <c r="L229" t="s">
        <v>68</v>
      </c>
      <c r="M229" t="s">
        <v>81</v>
      </c>
      <c r="N229" t="s">
        <v>557</v>
      </c>
      <c r="O229" s="4">
        <v>1239.8399999999999</v>
      </c>
      <c r="P229" s="8" t="str">
        <f t="shared" si="24"/>
        <v>High</v>
      </c>
      <c r="Q229" s="4">
        <v>1482.75</v>
      </c>
      <c r="R229" s="4">
        <v>6.7000000000000004E-2</v>
      </c>
      <c r="S229" s="4">
        <v>4</v>
      </c>
      <c r="T229" s="4">
        <f t="shared" si="21"/>
        <v>6770.0719200000003</v>
      </c>
      <c r="U229">
        <f t="shared" si="22"/>
        <v>4959.3599999999997</v>
      </c>
      <c r="V229" s="4">
        <f t="shared" si="25"/>
        <v>1810.7119200000006</v>
      </c>
      <c r="W229" s="4">
        <f t="shared" si="26"/>
        <v>0.26745829902498297</v>
      </c>
    </row>
    <row r="230" spans="1:23" x14ac:dyDescent="0.3">
      <c r="A230" t="s">
        <v>558</v>
      </c>
      <c r="B230" s="7">
        <v>45879</v>
      </c>
      <c r="C230" s="2">
        <v>45899</v>
      </c>
      <c r="D230" s="4">
        <f t="shared" si="27"/>
        <v>20</v>
      </c>
      <c r="E230" s="4" t="str">
        <f>TEXT(Data!B230,"MMM-YYYY")</f>
        <v>Mar-2023</v>
      </c>
      <c r="F230" s="4" t="str">
        <f t="shared" si="23"/>
        <v>Q3-2025</v>
      </c>
      <c r="G230" t="s">
        <v>52</v>
      </c>
      <c r="H230" t="s">
        <v>122</v>
      </c>
      <c r="I230" t="s">
        <v>167</v>
      </c>
      <c r="J230" t="s">
        <v>19</v>
      </c>
      <c r="K230" t="s">
        <v>40</v>
      </c>
      <c r="L230" t="s">
        <v>95</v>
      </c>
      <c r="M230" t="s">
        <v>30</v>
      </c>
      <c r="N230" t="s">
        <v>559</v>
      </c>
      <c r="O230" s="4">
        <v>933.29</v>
      </c>
      <c r="P230" s="8" t="str">
        <f t="shared" si="24"/>
        <v>High</v>
      </c>
      <c r="Q230" s="4">
        <v>1456.81</v>
      </c>
      <c r="R230" s="4">
        <v>0.123</v>
      </c>
      <c r="S230" s="4">
        <v>13</v>
      </c>
      <c r="T230" s="4">
        <f t="shared" si="21"/>
        <v>8652.4469199999985</v>
      </c>
      <c r="U230">
        <f t="shared" si="22"/>
        <v>12132.77</v>
      </c>
      <c r="V230" s="4">
        <f t="shared" si="25"/>
        <v>-3480.3230800000019</v>
      </c>
      <c r="W230" s="4">
        <f t="shared" si="26"/>
        <v>-0.4022357042093247</v>
      </c>
    </row>
    <row r="231" spans="1:23" x14ac:dyDescent="0.3">
      <c r="A231" t="s">
        <v>560</v>
      </c>
      <c r="B231" s="7">
        <v>44992</v>
      </c>
      <c r="C231" s="2">
        <v>45017</v>
      </c>
      <c r="D231" s="4">
        <f t="shared" si="27"/>
        <v>25</v>
      </c>
      <c r="E231" s="4" t="str">
        <f>TEXT(Data!B231,"MMM-YYYY")</f>
        <v>May-2023</v>
      </c>
      <c r="F231" s="4" t="str">
        <f t="shared" si="23"/>
        <v>Q1-2023</v>
      </c>
      <c r="G231" t="s">
        <v>16</v>
      </c>
      <c r="H231" t="s">
        <v>17</v>
      </c>
      <c r="I231" t="s">
        <v>33</v>
      </c>
      <c r="J231" t="s">
        <v>48</v>
      </c>
      <c r="K231" t="s">
        <v>40</v>
      </c>
      <c r="L231" t="s">
        <v>145</v>
      </c>
      <c r="M231" t="s">
        <v>30</v>
      </c>
      <c r="N231" t="s">
        <v>561</v>
      </c>
      <c r="O231" s="4">
        <v>1024.0999999999999</v>
      </c>
      <c r="P231" s="8" t="str">
        <f t="shared" si="24"/>
        <v>High</v>
      </c>
      <c r="Q231" s="4">
        <v>918.19</v>
      </c>
      <c r="R231" s="4">
        <v>0.189</v>
      </c>
      <c r="S231" s="4">
        <v>10</v>
      </c>
      <c r="T231" s="4">
        <f t="shared" si="21"/>
        <v>13522.938400000001</v>
      </c>
      <c r="U231">
        <f t="shared" si="22"/>
        <v>10241</v>
      </c>
      <c r="V231" s="4">
        <f t="shared" si="25"/>
        <v>3281.9384000000009</v>
      </c>
      <c r="W231" s="4">
        <f t="shared" si="26"/>
        <v>0.24269417658517181</v>
      </c>
    </row>
    <row r="232" spans="1:23" x14ac:dyDescent="0.3">
      <c r="A232" t="s">
        <v>562</v>
      </c>
      <c r="B232" s="7">
        <v>45069</v>
      </c>
      <c r="C232" s="2">
        <v>45087</v>
      </c>
      <c r="D232" s="4">
        <f t="shared" si="27"/>
        <v>18</v>
      </c>
      <c r="E232" s="4" t="str">
        <f>TEXT(Data!B232,"MMM-YYYY")</f>
        <v>Apr-2025</v>
      </c>
      <c r="F232" s="4" t="str">
        <f t="shared" si="23"/>
        <v>Q2-2023</v>
      </c>
      <c r="G232" t="s">
        <v>45</v>
      </c>
      <c r="H232" t="s">
        <v>116</v>
      </c>
      <c r="I232" t="s">
        <v>162</v>
      </c>
      <c r="J232" t="s">
        <v>19</v>
      </c>
      <c r="K232" t="s">
        <v>55</v>
      </c>
      <c r="L232" t="s">
        <v>63</v>
      </c>
      <c r="M232" t="s">
        <v>22</v>
      </c>
      <c r="N232" t="s">
        <v>563</v>
      </c>
      <c r="O232" s="4">
        <v>54.62</v>
      </c>
      <c r="P232" s="8" t="str">
        <f t="shared" si="24"/>
        <v>Low</v>
      </c>
      <c r="Q232" s="4">
        <v>48.94</v>
      </c>
      <c r="R232" s="4">
        <v>0.14799999999999999</v>
      </c>
      <c r="S232" s="4">
        <v>16</v>
      </c>
      <c r="T232" s="4">
        <f t="shared" si="21"/>
        <v>34932.681600000004</v>
      </c>
      <c r="U232">
        <f t="shared" si="22"/>
        <v>873.92</v>
      </c>
      <c r="V232" s="4">
        <f t="shared" si="25"/>
        <v>34058.761600000005</v>
      </c>
      <c r="W232" s="4">
        <f t="shared" si="26"/>
        <v>0.9749827393726338</v>
      </c>
    </row>
    <row r="233" spans="1:23" x14ac:dyDescent="0.3">
      <c r="A233" t="s">
        <v>564</v>
      </c>
      <c r="B233" s="7">
        <v>45771</v>
      </c>
      <c r="C233" s="2">
        <v>45783</v>
      </c>
      <c r="D233" s="4">
        <f t="shared" si="27"/>
        <v>12</v>
      </c>
      <c r="E233" s="4" t="str">
        <f>TEXT(Data!B233,"MMM-YYYY")</f>
        <v>Sept-2024</v>
      </c>
      <c r="F233" s="4" t="str">
        <f t="shared" si="23"/>
        <v>Q2-2025</v>
      </c>
      <c r="G233" t="s">
        <v>52</v>
      </c>
      <c r="H233" t="s">
        <v>73</v>
      </c>
      <c r="I233" t="s">
        <v>87</v>
      </c>
      <c r="J233" t="s">
        <v>48</v>
      </c>
      <c r="K233" t="s">
        <v>28</v>
      </c>
      <c r="L233" t="s">
        <v>21</v>
      </c>
      <c r="M233" t="s">
        <v>42</v>
      </c>
      <c r="N233" t="s">
        <v>565</v>
      </c>
      <c r="O233" s="4">
        <v>394.13</v>
      </c>
      <c r="P233" s="8" t="str">
        <f t="shared" si="24"/>
        <v>High</v>
      </c>
      <c r="Q233" s="4">
        <v>932.29</v>
      </c>
      <c r="R233" s="4">
        <v>0.109</v>
      </c>
      <c r="S233" s="4">
        <v>7</v>
      </c>
      <c r="T233" s="4">
        <f t="shared" si="21"/>
        <v>4648.9350599999998</v>
      </c>
      <c r="U233">
        <f t="shared" si="22"/>
        <v>2758.91</v>
      </c>
      <c r="V233" s="4">
        <f t="shared" si="25"/>
        <v>1890.0250599999999</v>
      </c>
      <c r="W233" s="4">
        <f t="shared" si="26"/>
        <v>0.40655010999443819</v>
      </c>
    </row>
    <row r="234" spans="1:23" x14ac:dyDescent="0.3">
      <c r="A234" t="s">
        <v>566</v>
      </c>
      <c r="B234" s="7">
        <v>45538</v>
      </c>
      <c r="C234" s="2">
        <v>45543</v>
      </c>
      <c r="D234" s="4">
        <f t="shared" si="27"/>
        <v>5</v>
      </c>
      <c r="E234" s="4" t="str">
        <f>TEXT(Data!B234,"MMM-YYYY")</f>
        <v>Sept-2024</v>
      </c>
      <c r="F234" s="4" t="str">
        <f t="shared" si="23"/>
        <v>Q3-2024</v>
      </c>
      <c r="G234" t="s">
        <v>16</v>
      </c>
      <c r="H234" t="s">
        <v>25</v>
      </c>
      <c r="I234" t="s">
        <v>38</v>
      </c>
      <c r="J234" t="s">
        <v>62</v>
      </c>
      <c r="K234" t="s">
        <v>98</v>
      </c>
      <c r="L234" t="s">
        <v>95</v>
      </c>
      <c r="M234" t="s">
        <v>30</v>
      </c>
      <c r="N234" t="s">
        <v>567</v>
      </c>
      <c r="O234" s="4">
        <v>197.63</v>
      </c>
      <c r="P234" s="8" t="str">
        <f t="shared" si="24"/>
        <v>High</v>
      </c>
      <c r="Q234" s="4">
        <v>325.79000000000002</v>
      </c>
      <c r="R234" s="4">
        <v>0.11600000000000001</v>
      </c>
      <c r="S234" s="4">
        <v>10</v>
      </c>
      <c r="T234" s="4">
        <f t="shared" si="21"/>
        <v>6081.4780000000001</v>
      </c>
      <c r="U234">
        <f t="shared" si="22"/>
        <v>1976.3</v>
      </c>
      <c r="V234" s="4">
        <f t="shared" si="25"/>
        <v>4105.1779999999999</v>
      </c>
      <c r="W234" s="4">
        <f t="shared" si="26"/>
        <v>0.67502965561990025</v>
      </c>
    </row>
    <row r="235" spans="1:23" x14ac:dyDescent="0.3">
      <c r="A235" t="s">
        <v>568</v>
      </c>
      <c r="B235" s="7">
        <v>45540</v>
      </c>
      <c r="C235" s="2">
        <v>45560</v>
      </c>
      <c r="D235" s="4">
        <f t="shared" si="27"/>
        <v>20</v>
      </c>
      <c r="E235" s="4" t="str">
        <f>TEXT(Data!B235,"MMM-YYYY")</f>
        <v>Mar-2023</v>
      </c>
      <c r="F235" s="4" t="str">
        <f t="shared" si="23"/>
        <v>Q3-2024</v>
      </c>
      <c r="G235" t="s">
        <v>45</v>
      </c>
      <c r="H235" t="s">
        <v>46</v>
      </c>
      <c r="I235" t="s">
        <v>47</v>
      </c>
      <c r="J235" t="s">
        <v>105</v>
      </c>
      <c r="K235" t="s">
        <v>55</v>
      </c>
      <c r="L235" t="s">
        <v>145</v>
      </c>
      <c r="M235" t="s">
        <v>64</v>
      </c>
      <c r="N235" t="s">
        <v>569</v>
      </c>
      <c r="O235" s="4">
        <v>195.54</v>
      </c>
      <c r="P235" s="8" t="str">
        <f t="shared" si="24"/>
        <v>High</v>
      </c>
      <c r="Q235" s="4">
        <v>405.97</v>
      </c>
      <c r="R235" s="4">
        <v>0.187</v>
      </c>
      <c r="S235" s="4">
        <v>16</v>
      </c>
      <c r="T235" s="4">
        <f t="shared" si="21"/>
        <v>7155.3105599999999</v>
      </c>
      <c r="U235">
        <f t="shared" si="22"/>
        <v>3128.64</v>
      </c>
      <c r="V235" s="4">
        <f t="shared" si="25"/>
        <v>4026.67056</v>
      </c>
      <c r="W235" s="4">
        <f t="shared" si="26"/>
        <v>0.56275273116866642</v>
      </c>
    </row>
    <row r="236" spans="1:23" x14ac:dyDescent="0.3">
      <c r="A236" t="s">
        <v>570</v>
      </c>
      <c r="B236" s="7">
        <v>44999</v>
      </c>
      <c r="C236" s="2">
        <v>45015</v>
      </c>
      <c r="D236" s="4">
        <f t="shared" si="27"/>
        <v>16</v>
      </c>
      <c r="E236" s="4" t="str">
        <f>TEXT(Data!B236,"MMM-YYYY")</f>
        <v>Jan-2024</v>
      </c>
      <c r="F236" s="4" t="str">
        <f t="shared" si="23"/>
        <v>Q1-2023</v>
      </c>
      <c r="G236" t="s">
        <v>16</v>
      </c>
      <c r="H236" t="s">
        <v>148</v>
      </c>
      <c r="I236" t="s">
        <v>258</v>
      </c>
      <c r="J236" t="s">
        <v>48</v>
      </c>
      <c r="K236" t="s">
        <v>55</v>
      </c>
      <c r="L236" t="s">
        <v>95</v>
      </c>
      <c r="M236" t="s">
        <v>22</v>
      </c>
      <c r="N236" t="s">
        <v>571</v>
      </c>
      <c r="O236" s="4">
        <v>1309.77</v>
      </c>
      <c r="P236" s="8" t="str">
        <f t="shared" si="24"/>
        <v>High</v>
      </c>
      <c r="Q236" s="4">
        <v>1589.07</v>
      </c>
      <c r="R236" s="4">
        <v>0.10199999999999999</v>
      </c>
      <c r="S236" s="4">
        <v>10</v>
      </c>
      <c r="T236" s="4">
        <f t="shared" si="21"/>
        <v>18572.525799999999</v>
      </c>
      <c r="U236">
        <f t="shared" si="22"/>
        <v>13097.7</v>
      </c>
      <c r="V236" s="4">
        <f t="shared" si="25"/>
        <v>5474.8257999999987</v>
      </c>
      <c r="W236" s="4">
        <f t="shared" si="26"/>
        <v>0.29478089619883574</v>
      </c>
    </row>
    <row r="237" spans="1:23" x14ac:dyDescent="0.3">
      <c r="A237" t="s">
        <v>572</v>
      </c>
      <c r="B237" s="7">
        <v>45302</v>
      </c>
      <c r="C237" s="2">
        <v>45324</v>
      </c>
      <c r="D237" s="4">
        <f t="shared" si="27"/>
        <v>22</v>
      </c>
      <c r="E237" s="4" t="str">
        <f>TEXT(Data!B237,"MMM-YYYY")</f>
        <v>Sept-2024</v>
      </c>
      <c r="F237" s="4" t="str">
        <f t="shared" si="23"/>
        <v>Q1-2024</v>
      </c>
      <c r="G237" t="s">
        <v>45</v>
      </c>
      <c r="H237" t="s">
        <v>46</v>
      </c>
      <c r="I237" t="s">
        <v>231</v>
      </c>
      <c r="J237" t="s">
        <v>62</v>
      </c>
      <c r="K237" t="s">
        <v>28</v>
      </c>
      <c r="L237" t="s">
        <v>1364</v>
      </c>
      <c r="M237" t="s">
        <v>30</v>
      </c>
      <c r="N237" t="s">
        <v>573</v>
      </c>
      <c r="O237" s="4">
        <v>1237.68</v>
      </c>
      <c r="P237" s="8" t="str">
        <f t="shared" si="24"/>
        <v>High</v>
      </c>
      <c r="Q237" s="4">
        <v>1432.8</v>
      </c>
      <c r="R237" s="4">
        <v>6.8000000000000005E-2</v>
      </c>
      <c r="S237" s="4">
        <v>13</v>
      </c>
      <c r="T237" s="4">
        <f t="shared" si="21"/>
        <v>31218.691400000003</v>
      </c>
      <c r="U237">
        <f t="shared" si="22"/>
        <v>16089.84</v>
      </c>
      <c r="V237" s="4">
        <f t="shared" si="25"/>
        <v>15128.851400000003</v>
      </c>
      <c r="W237" s="4">
        <f t="shared" si="26"/>
        <v>0.48460876230065175</v>
      </c>
    </row>
    <row r="238" spans="1:23" x14ac:dyDescent="0.3">
      <c r="A238" t="s">
        <v>574</v>
      </c>
      <c r="B238" s="7">
        <v>45548</v>
      </c>
      <c r="C238" s="2">
        <v>45567</v>
      </c>
      <c r="D238" s="4">
        <f t="shared" si="27"/>
        <v>19</v>
      </c>
      <c r="E238" s="4" t="str">
        <f>TEXT(Data!B238,"MMM-YYYY")</f>
        <v>Jul-2025</v>
      </c>
      <c r="F238" s="4" t="str">
        <f t="shared" si="23"/>
        <v>Q3-2024</v>
      </c>
      <c r="G238" t="s">
        <v>16</v>
      </c>
      <c r="H238" t="s">
        <v>17</v>
      </c>
      <c r="I238" t="s">
        <v>113</v>
      </c>
      <c r="J238" t="s">
        <v>62</v>
      </c>
      <c r="K238" t="s">
        <v>20</v>
      </c>
      <c r="L238" t="s">
        <v>110</v>
      </c>
      <c r="M238" t="s">
        <v>42</v>
      </c>
      <c r="N238" t="s">
        <v>575</v>
      </c>
      <c r="O238" s="4">
        <v>1338.99</v>
      </c>
      <c r="P238" s="8" t="str">
        <f t="shared" si="24"/>
        <v>High</v>
      </c>
      <c r="Q238" s="4">
        <v>1765.76</v>
      </c>
      <c r="R238" s="4">
        <v>0.126</v>
      </c>
      <c r="S238" s="4">
        <v>24</v>
      </c>
      <c r="T238" s="4">
        <f t="shared" si="21"/>
        <v>21901.880639999999</v>
      </c>
      <c r="U238">
        <f t="shared" si="22"/>
        <v>32135.760000000002</v>
      </c>
      <c r="V238" s="4">
        <f t="shared" si="25"/>
        <v>-10233.879360000003</v>
      </c>
      <c r="W238" s="4">
        <f t="shared" si="26"/>
        <v>-0.46726030189889678</v>
      </c>
    </row>
    <row r="239" spans="1:23" x14ac:dyDescent="0.3">
      <c r="A239" t="s">
        <v>576</v>
      </c>
      <c r="B239" s="7">
        <v>45855</v>
      </c>
      <c r="C239" s="2">
        <v>45861</v>
      </c>
      <c r="D239" s="4">
        <f t="shared" si="27"/>
        <v>6</v>
      </c>
      <c r="E239" s="4" t="str">
        <f>TEXT(Data!B239,"MMM-YYYY")</f>
        <v>Nov-2023</v>
      </c>
      <c r="F239" s="4" t="str">
        <f t="shared" si="23"/>
        <v>Q3-2025</v>
      </c>
      <c r="G239" t="s">
        <v>52</v>
      </c>
      <c r="H239" t="s">
        <v>53</v>
      </c>
      <c r="I239" t="s">
        <v>179</v>
      </c>
      <c r="J239" t="s">
        <v>48</v>
      </c>
      <c r="K239" t="s">
        <v>28</v>
      </c>
      <c r="L239" t="s">
        <v>92</v>
      </c>
      <c r="M239" t="s">
        <v>22</v>
      </c>
      <c r="N239" t="s">
        <v>577</v>
      </c>
      <c r="O239" s="4">
        <v>1364.89</v>
      </c>
      <c r="P239" s="8" t="str">
        <f t="shared" si="24"/>
        <v>High</v>
      </c>
      <c r="Q239" s="4">
        <v>2757.54</v>
      </c>
      <c r="R239" s="4">
        <v>0.17199999999999999</v>
      </c>
      <c r="S239" s="4">
        <v>61</v>
      </c>
      <c r="T239" s="4">
        <f t="shared" si="21"/>
        <v>5002.3123200000009</v>
      </c>
      <c r="U239">
        <f t="shared" si="22"/>
        <v>83258.290000000008</v>
      </c>
      <c r="V239" s="4">
        <f t="shared" si="25"/>
        <v>-78255.977680000011</v>
      </c>
      <c r="W239" s="4">
        <f t="shared" si="26"/>
        <v>-15.643960767327698</v>
      </c>
    </row>
    <row r="240" spans="1:23" x14ac:dyDescent="0.3">
      <c r="A240" t="s">
        <v>578</v>
      </c>
      <c r="B240" s="7">
        <v>45258</v>
      </c>
      <c r="C240" s="2">
        <v>45267</v>
      </c>
      <c r="D240" s="4">
        <f t="shared" si="27"/>
        <v>9</v>
      </c>
      <c r="E240" s="4" t="str">
        <f>TEXT(Data!B240,"MMM-YYYY")</f>
        <v>Mar-2024</v>
      </c>
      <c r="F240" s="4" t="str">
        <f t="shared" si="23"/>
        <v>Q4-2023</v>
      </c>
      <c r="G240" t="s">
        <v>45</v>
      </c>
      <c r="H240" t="s">
        <v>60</v>
      </c>
      <c r="I240" t="s">
        <v>141</v>
      </c>
      <c r="J240" t="s">
        <v>105</v>
      </c>
      <c r="K240" t="s">
        <v>40</v>
      </c>
      <c r="L240" t="s">
        <v>49</v>
      </c>
      <c r="M240" t="s">
        <v>42</v>
      </c>
      <c r="N240" t="s">
        <v>579</v>
      </c>
      <c r="O240" s="4">
        <v>699.33</v>
      </c>
      <c r="P240" s="8" t="str">
        <f t="shared" si="24"/>
        <v>High</v>
      </c>
      <c r="Q240" s="4">
        <v>873.75</v>
      </c>
      <c r="R240" s="4">
        <v>0.23499999999999999</v>
      </c>
      <c r="S240" s="4">
        <v>10</v>
      </c>
      <c r="T240" s="4">
        <f t="shared" si="21"/>
        <v>15275.5965</v>
      </c>
      <c r="U240">
        <f t="shared" si="22"/>
        <v>6993.3</v>
      </c>
      <c r="V240" s="4">
        <f t="shared" si="25"/>
        <v>8282.2965000000004</v>
      </c>
      <c r="W240" s="4">
        <f t="shared" si="26"/>
        <v>0.5421913638527962</v>
      </c>
    </row>
    <row r="241" spans="1:23" x14ac:dyDescent="0.3">
      <c r="A241" t="s">
        <v>580</v>
      </c>
      <c r="B241" s="7">
        <v>45381</v>
      </c>
      <c r="C241" s="2">
        <v>45406</v>
      </c>
      <c r="D241" s="4">
        <f t="shared" si="27"/>
        <v>25</v>
      </c>
      <c r="E241" s="4" t="str">
        <f>TEXT(Data!B241,"MMM-YYYY")</f>
        <v>Sept-2023</v>
      </c>
      <c r="F241" s="4" t="str">
        <f t="shared" si="23"/>
        <v>Q1-2024</v>
      </c>
      <c r="G241" t="s">
        <v>52</v>
      </c>
      <c r="H241" t="s">
        <v>122</v>
      </c>
      <c r="I241" t="s">
        <v>326</v>
      </c>
      <c r="J241" t="s">
        <v>39</v>
      </c>
      <c r="K241" t="s">
        <v>28</v>
      </c>
      <c r="L241" t="s">
        <v>41</v>
      </c>
      <c r="M241" t="s">
        <v>57</v>
      </c>
      <c r="N241" t="s">
        <v>581</v>
      </c>
      <c r="O241" s="4">
        <v>160.82</v>
      </c>
      <c r="P241" s="8" t="str">
        <f t="shared" si="24"/>
        <v>High</v>
      </c>
      <c r="Q241" s="4">
        <v>258.52</v>
      </c>
      <c r="R241" s="4">
        <v>0.13</v>
      </c>
      <c r="S241" s="4">
        <v>17</v>
      </c>
      <c r="T241" s="4">
        <f t="shared" si="21"/>
        <v>13631.647199999999</v>
      </c>
      <c r="U241">
        <f t="shared" si="22"/>
        <v>2733.94</v>
      </c>
      <c r="V241" s="4">
        <f t="shared" si="25"/>
        <v>10897.707199999999</v>
      </c>
      <c r="W241" s="4">
        <f t="shared" si="26"/>
        <v>0.79944169916604058</v>
      </c>
    </row>
    <row r="242" spans="1:23" x14ac:dyDescent="0.3">
      <c r="A242" t="s">
        <v>582</v>
      </c>
      <c r="B242" s="7">
        <v>45188</v>
      </c>
      <c r="C242" s="2">
        <v>45207</v>
      </c>
      <c r="D242" s="4">
        <f t="shared" si="27"/>
        <v>19</v>
      </c>
      <c r="E242" s="4" t="str">
        <f>TEXT(Data!B242,"MMM-YYYY")</f>
        <v>May-2025</v>
      </c>
      <c r="F242" s="4" t="str">
        <f t="shared" si="23"/>
        <v>Q3-2023</v>
      </c>
      <c r="G242" t="s">
        <v>45</v>
      </c>
      <c r="H242" t="s">
        <v>60</v>
      </c>
      <c r="I242" t="s">
        <v>61</v>
      </c>
      <c r="J242" t="s">
        <v>27</v>
      </c>
      <c r="K242" t="s">
        <v>98</v>
      </c>
      <c r="L242" t="s">
        <v>29</v>
      </c>
      <c r="M242" t="s">
        <v>30</v>
      </c>
      <c r="N242" t="s">
        <v>583</v>
      </c>
      <c r="O242" s="4">
        <v>385.32</v>
      </c>
      <c r="P242" s="8" t="str">
        <f t="shared" si="24"/>
        <v>High</v>
      </c>
      <c r="Q242" s="4">
        <v>606.76</v>
      </c>
      <c r="R242" s="4">
        <v>8.5999999999999993E-2</v>
      </c>
      <c r="S242" s="4">
        <v>8</v>
      </c>
      <c r="T242" s="4">
        <f t="shared" si="21"/>
        <v>18307.712480000002</v>
      </c>
      <c r="U242">
        <f t="shared" si="22"/>
        <v>3082.56</v>
      </c>
      <c r="V242" s="4">
        <f t="shared" si="25"/>
        <v>15225.152480000002</v>
      </c>
      <c r="W242" s="4">
        <f t="shared" si="26"/>
        <v>0.8316250594732959</v>
      </c>
    </row>
    <row r="243" spans="1:23" x14ac:dyDescent="0.3">
      <c r="A243" t="s">
        <v>584</v>
      </c>
      <c r="B243" s="7">
        <v>45793</v>
      </c>
      <c r="C243" s="2">
        <v>45804</v>
      </c>
      <c r="D243" s="4">
        <f t="shared" si="27"/>
        <v>11</v>
      </c>
      <c r="E243" s="4" t="str">
        <f>TEXT(Data!B243,"MMM-YYYY")</f>
        <v>Aug-2025</v>
      </c>
      <c r="F243" s="4" t="str">
        <f t="shared" si="23"/>
        <v>Q2-2025</v>
      </c>
      <c r="G243" t="s">
        <v>45</v>
      </c>
      <c r="H243" t="s">
        <v>116</v>
      </c>
      <c r="I243" t="s">
        <v>338</v>
      </c>
      <c r="J243" t="s">
        <v>105</v>
      </c>
      <c r="K243" t="s">
        <v>28</v>
      </c>
      <c r="L243" t="s">
        <v>84</v>
      </c>
      <c r="M243" t="s">
        <v>42</v>
      </c>
      <c r="N243" t="s">
        <v>585</v>
      </c>
      <c r="O243" s="4">
        <v>918.12</v>
      </c>
      <c r="P243" s="8" t="str">
        <f t="shared" si="24"/>
        <v>High</v>
      </c>
      <c r="Q243" s="4">
        <v>1337.69</v>
      </c>
      <c r="R243" s="4">
        <v>9.5000000000000001E-2</v>
      </c>
      <c r="S243" s="4">
        <v>8</v>
      </c>
      <c r="T243" s="4">
        <f t="shared" si="21"/>
        <v>17830.4548</v>
      </c>
      <c r="U243">
        <f t="shared" si="22"/>
        <v>7344.96</v>
      </c>
      <c r="V243" s="4">
        <f t="shared" si="25"/>
        <v>10485.4948</v>
      </c>
      <c r="W243" s="4">
        <f t="shared" si="26"/>
        <v>0.58806659267042372</v>
      </c>
    </row>
    <row r="244" spans="1:23" x14ac:dyDescent="0.3">
      <c r="A244" t="s">
        <v>586</v>
      </c>
      <c r="B244" s="7">
        <v>45871</v>
      </c>
      <c r="C244" s="2">
        <v>45877</v>
      </c>
      <c r="D244" s="4">
        <f t="shared" si="27"/>
        <v>6</v>
      </c>
      <c r="E244" s="4" t="str">
        <f>TEXT(Data!B244,"MMM-YYYY")</f>
        <v>Dec-2024</v>
      </c>
      <c r="F244" s="4" t="str">
        <f t="shared" si="23"/>
        <v>Q3-2025</v>
      </c>
      <c r="G244" t="s">
        <v>45</v>
      </c>
      <c r="H244" t="s">
        <v>46</v>
      </c>
      <c r="I244" t="s">
        <v>47</v>
      </c>
      <c r="J244" t="s">
        <v>48</v>
      </c>
      <c r="K244" t="s">
        <v>98</v>
      </c>
      <c r="L244" t="s">
        <v>126</v>
      </c>
      <c r="M244" t="s">
        <v>57</v>
      </c>
      <c r="N244" t="s">
        <v>587</v>
      </c>
      <c r="O244" s="4">
        <v>1225.94</v>
      </c>
      <c r="P244" s="8" t="str">
        <f t="shared" si="24"/>
        <v>High</v>
      </c>
      <c r="Q244" s="4">
        <v>1793.08</v>
      </c>
      <c r="R244" s="4">
        <v>0.13600000000000001</v>
      </c>
      <c r="S244" s="4">
        <v>22</v>
      </c>
      <c r="T244" s="4">
        <f t="shared" si="21"/>
        <v>9431.7695999999996</v>
      </c>
      <c r="U244">
        <f t="shared" si="22"/>
        <v>26970.68</v>
      </c>
      <c r="V244" s="4">
        <f t="shared" si="25"/>
        <v>-17538.910400000001</v>
      </c>
      <c r="W244" s="4">
        <f t="shared" si="26"/>
        <v>-1.8595567050323198</v>
      </c>
    </row>
    <row r="245" spans="1:23" x14ac:dyDescent="0.3">
      <c r="A245" t="s">
        <v>588</v>
      </c>
      <c r="B245" s="7">
        <v>45630</v>
      </c>
      <c r="C245" s="2">
        <v>45638</v>
      </c>
      <c r="D245" s="4">
        <f t="shared" si="27"/>
        <v>8</v>
      </c>
      <c r="E245" s="4" t="str">
        <f>TEXT(Data!B245,"MMM-YYYY")</f>
        <v>Apr-2023</v>
      </c>
      <c r="F245" s="4" t="str">
        <f t="shared" si="23"/>
        <v>Q4-2024</v>
      </c>
      <c r="G245" t="s">
        <v>78</v>
      </c>
      <c r="H245" t="s">
        <v>79</v>
      </c>
      <c r="I245" t="s">
        <v>335</v>
      </c>
      <c r="J245" t="s">
        <v>105</v>
      </c>
      <c r="K245" t="s">
        <v>40</v>
      </c>
      <c r="L245" t="s">
        <v>56</v>
      </c>
      <c r="M245" t="s">
        <v>30</v>
      </c>
      <c r="N245" t="s">
        <v>589</v>
      </c>
      <c r="O245" s="4">
        <v>72.06</v>
      </c>
      <c r="P245" s="8" t="str">
        <f t="shared" si="24"/>
        <v>Medium</v>
      </c>
      <c r="Q245" s="4">
        <v>122.74</v>
      </c>
      <c r="R245" s="4">
        <v>0.23799999999999999</v>
      </c>
      <c r="S245" s="4">
        <v>8</v>
      </c>
      <c r="T245" s="4">
        <f t="shared" si="21"/>
        <v>5532.6686399999999</v>
      </c>
      <c r="U245">
        <f t="shared" si="22"/>
        <v>576.48</v>
      </c>
      <c r="V245" s="4">
        <f t="shared" si="25"/>
        <v>4956.1886400000003</v>
      </c>
      <c r="W245" s="4">
        <f t="shared" si="26"/>
        <v>0.89580435093615152</v>
      </c>
    </row>
    <row r="246" spans="1:23" x14ac:dyDescent="0.3">
      <c r="A246" t="s">
        <v>590</v>
      </c>
      <c r="B246" s="7">
        <v>45035</v>
      </c>
      <c r="C246" s="2">
        <v>45044</v>
      </c>
      <c r="D246" s="4">
        <f t="shared" si="27"/>
        <v>9</v>
      </c>
      <c r="E246" s="4" t="str">
        <f>TEXT(Data!B246,"MMM-YYYY")</f>
        <v>Mar-2024</v>
      </c>
      <c r="F246" s="4" t="str">
        <f t="shared" si="23"/>
        <v>Q2-2023</v>
      </c>
      <c r="G246" t="s">
        <v>52</v>
      </c>
      <c r="H246" t="s">
        <v>73</v>
      </c>
      <c r="I246" t="s">
        <v>225</v>
      </c>
      <c r="J246" t="s">
        <v>19</v>
      </c>
      <c r="K246" t="s">
        <v>55</v>
      </c>
      <c r="L246" t="s">
        <v>110</v>
      </c>
      <c r="M246" t="s">
        <v>42</v>
      </c>
      <c r="N246" t="s">
        <v>591</v>
      </c>
      <c r="O246" s="4">
        <v>1013.54</v>
      </c>
      <c r="P246" s="8" t="str">
        <f t="shared" si="24"/>
        <v>High</v>
      </c>
      <c r="Q246" s="4">
        <v>927.93</v>
      </c>
      <c r="R246" s="4">
        <v>0.17499999999999999</v>
      </c>
      <c r="S246" s="4">
        <v>16</v>
      </c>
      <c r="T246" s="4">
        <f t="shared" si="21"/>
        <v>4411.308</v>
      </c>
      <c r="U246">
        <f t="shared" si="22"/>
        <v>16216.64</v>
      </c>
      <c r="V246" s="4">
        <f t="shared" si="25"/>
        <v>-11805.331999999999</v>
      </c>
      <c r="W246" s="4">
        <f t="shared" si="26"/>
        <v>-2.6761522886182507</v>
      </c>
    </row>
    <row r="247" spans="1:23" x14ac:dyDescent="0.3">
      <c r="A247" t="s">
        <v>592</v>
      </c>
      <c r="B247" s="7">
        <v>45357</v>
      </c>
      <c r="C247" s="2">
        <v>45377</v>
      </c>
      <c r="D247" s="4">
        <f t="shared" si="27"/>
        <v>20</v>
      </c>
      <c r="E247" s="4" t="str">
        <f>TEXT(Data!B247,"MMM-YYYY")</f>
        <v>Feb-2024</v>
      </c>
      <c r="F247" s="4" t="str">
        <f t="shared" si="23"/>
        <v>Q1-2024</v>
      </c>
      <c r="G247" t="s">
        <v>16</v>
      </c>
      <c r="H247" t="s">
        <v>25</v>
      </c>
      <c r="I247" t="s">
        <v>26</v>
      </c>
      <c r="J247" t="s">
        <v>48</v>
      </c>
      <c r="K247" t="s">
        <v>40</v>
      </c>
      <c r="L247" t="s">
        <v>34</v>
      </c>
      <c r="M247" t="s">
        <v>42</v>
      </c>
      <c r="N247" t="s">
        <v>593</v>
      </c>
      <c r="O247" s="4">
        <v>65.64</v>
      </c>
      <c r="P247" s="8" t="str">
        <f t="shared" si="24"/>
        <v>Medium</v>
      </c>
      <c r="Q247" s="4">
        <v>151.88</v>
      </c>
      <c r="R247" s="4">
        <v>0.16700000000000001</v>
      </c>
      <c r="S247" s="4">
        <v>23</v>
      </c>
      <c r="T247" s="4">
        <f t="shared" si="21"/>
        <v>10322.677609999999</v>
      </c>
      <c r="U247">
        <f t="shared" si="22"/>
        <v>1509.72</v>
      </c>
      <c r="V247" s="4">
        <f t="shared" si="25"/>
        <v>8812.9576099999995</v>
      </c>
      <c r="W247" s="4">
        <f t="shared" si="26"/>
        <v>0.8537472488206479</v>
      </c>
    </row>
    <row r="248" spans="1:23" x14ac:dyDescent="0.3">
      <c r="A248" t="s">
        <v>594</v>
      </c>
      <c r="B248" s="7">
        <v>45338</v>
      </c>
      <c r="C248" s="2">
        <v>45355</v>
      </c>
      <c r="D248" s="4">
        <f t="shared" si="27"/>
        <v>17</v>
      </c>
      <c r="E248" s="4" t="str">
        <f>TEXT(Data!B248,"MMM-YYYY")</f>
        <v>Apr-2025</v>
      </c>
      <c r="F248" s="4" t="str">
        <f t="shared" si="23"/>
        <v>Q1-2024</v>
      </c>
      <c r="G248" t="s">
        <v>52</v>
      </c>
      <c r="H248" t="s">
        <v>53</v>
      </c>
      <c r="I248" t="s">
        <v>144</v>
      </c>
      <c r="J248" t="s">
        <v>39</v>
      </c>
      <c r="K248" t="s">
        <v>20</v>
      </c>
      <c r="L248" t="s">
        <v>145</v>
      </c>
      <c r="M248" t="s">
        <v>57</v>
      </c>
      <c r="N248" t="s">
        <v>595</v>
      </c>
      <c r="O248" s="4">
        <v>1350.98</v>
      </c>
      <c r="P248" s="8" t="str">
        <f t="shared" si="24"/>
        <v>High</v>
      </c>
      <c r="Q248" s="4">
        <v>2210.4</v>
      </c>
      <c r="R248" s="4">
        <v>0.26300000000000001</v>
      </c>
      <c r="S248" s="4">
        <v>6</v>
      </c>
      <c r="T248" s="4">
        <f t="shared" si="21"/>
        <v>6352.3798799999995</v>
      </c>
      <c r="U248">
        <f t="shared" si="22"/>
        <v>8105.88</v>
      </c>
      <c r="V248" s="4">
        <f t="shared" si="25"/>
        <v>-1753.5001200000006</v>
      </c>
      <c r="W248" s="4">
        <f t="shared" si="26"/>
        <v>-0.27603829637468102</v>
      </c>
    </row>
    <row r="249" spans="1:23" x14ac:dyDescent="0.3">
      <c r="A249" t="s">
        <v>596</v>
      </c>
      <c r="B249" s="7">
        <v>45769</v>
      </c>
      <c r="C249" s="2">
        <v>45779</v>
      </c>
      <c r="D249" s="4">
        <f t="shared" si="27"/>
        <v>10</v>
      </c>
      <c r="E249" s="4" t="str">
        <f>TEXT(Data!B249,"MMM-YYYY")</f>
        <v>Nov-2024</v>
      </c>
      <c r="F249" s="4" t="str">
        <f t="shared" si="23"/>
        <v>Q2-2025</v>
      </c>
      <c r="G249" t="s">
        <v>78</v>
      </c>
      <c r="H249" t="s">
        <v>79</v>
      </c>
      <c r="I249" t="s">
        <v>80</v>
      </c>
      <c r="J249" t="s">
        <v>19</v>
      </c>
      <c r="K249" t="s">
        <v>40</v>
      </c>
      <c r="L249" t="s">
        <v>21</v>
      </c>
      <c r="M249" t="s">
        <v>64</v>
      </c>
      <c r="N249" t="s">
        <v>597</v>
      </c>
      <c r="O249" s="4">
        <v>20.149999999999999</v>
      </c>
      <c r="P249" s="8" t="str">
        <f t="shared" si="24"/>
        <v>Low</v>
      </c>
      <c r="Q249" s="4">
        <v>39.74</v>
      </c>
      <c r="R249" s="4">
        <v>0.151</v>
      </c>
      <c r="S249" s="4">
        <v>18</v>
      </c>
      <c r="T249" s="4">
        <f t="shared" si="21"/>
        <v>26996.417099999999</v>
      </c>
      <c r="U249">
        <f t="shared" si="22"/>
        <v>362.7</v>
      </c>
      <c r="V249" s="4">
        <f t="shared" si="25"/>
        <v>26633.717099999998</v>
      </c>
      <c r="W249" s="4">
        <f t="shared" si="26"/>
        <v>0.98656488382675045</v>
      </c>
    </row>
    <row r="250" spans="1:23" x14ac:dyDescent="0.3">
      <c r="A250" t="s">
        <v>598</v>
      </c>
      <c r="B250" s="7">
        <v>45604</v>
      </c>
      <c r="C250" s="2">
        <v>45604</v>
      </c>
      <c r="D250" s="4">
        <f t="shared" si="27"/>
        <v>0</v>
      </c>
      <c r="E250" s="4" t="str">
        <f>TEXT(Data!B250,"MMM-YYYY")</f>
        <v>Sept-2025</v>
      </c>
      <c r="F250" s="4" t="str">
        <f t="shared" si="23"/>
        <v>Q4-2024</v>
      </c>
      <c r="G250" t="s">
        <v>16</v>
      </c>
      <c r="H250" t="s">
        <v>17</v>
      </c>
      <c r="I250" t="s">
        <v>135</v>
      </c>
      <c r="J250" t="s">
        <v>105</v>
      </c>
      <c r="K250" t="s">
        <v>40</v>
      </c>
      <c r="L250" t="s">
        <v>110</v>
      </c>
      <c r="M250" t="s">
        <v>35</v>
      </c>
      <c r="N250" t="s">
        <v>599</v>
      </c>
      <c r="O250" s="4">
        <v>803.28</v>
      </c>
      <c r="P250" s="8" t="str">
        <f t="shared" si="24"/>
        <v>High</v>
      </c>
      <c r="Q250" s="4">
        <v>1009</v>
      </c>
      <c r="R250" s="4">
        <v>0.11</v>
      </c>
      <c r="S250" s="4">
        <v>4</v>
      </c>
      <c r="T250" s="4">
        <f t="shared" si="21"/>
        <v>2237.6023999999998</v>
      </c>
      <c r="U250">
        <f t="shared" si="22"/>
        <v>3213.12</v>
      </c>
      <c r="V250" s="4">
        <f t="shared" si="25"/>
        <v>-975.51760000000013</v>
      </c>
      <c r="W250" s="4">
        <f t="shared" si="26"/>
        <v>-0.43596556743056775</v>
      </c>
    </row>
    <row r="251" spans="1:23" x14ac:dyDescent="0.3">
      <c r="A251" t="s">
        <v>600</v>
      </c>
      <c r="B251" s="7">
        <v>45912</v>
      </c>
      <c r="C251" s="2">
        <v>45930</v>
      </c>
      <c r="D251" s="4">
        <f t="shared" si="27"/>
        <v>18</v>
      </c>
      <c r="E251" s="4" t="str">
        <f>TEXT(Data!B251,"MMM-YYYY")</f>
        <v>Sept-2024</v>
      </c>
      <c r="F251" s="4" t="str">
        <f t="shared" si="23"/>
        <v>Q3-2025</v>
      </c>
      <c r="G251" t="s">
        <v>45</v>
      </c>
      <c r="H251" t="s">
        <v>46</v>
      </c>
      <c r="I251" t="s">
        <v>231</v>
      </c>
      <c r="J251" t="s">
        <v>39</v>
      </c>
      <c r="K251" t="s">
        <v>40</v>
      </c>
      <c r="L251" t="s">
        <v>84</v>
      </c>
      <c r="M251" t="s">
        <v>64</v>
      </c>
      <c r="N251" t="s">
        <v>601</v>
      </c>
      <c r="O251" s="4">
        <v>1212.99</v>
      </c>
      <c r="P251" s="8" t="str">
        <f t="shared" si="24"/>
        <v>High</v>
      </c>
      <c r="Q251" s="4">
        <v>1653.64</v>
      </c>
      <c r="R251" s="4">
        <v>0.107</v>
      </c>
      <c r="S251" s="4">
        <v>8</v>
      </c>
      <c r="T251" s="4">
        <f t="shared" si="21"/>
        <v>11792.958000000001</v>
      </c>
      <c r="U251">
        <f t="shared" si="22"/>
        <v>9703.92</v>
      </c>
      <c r="V251" s="4">
        <f t="shared" si="25"/>
        <v>2089.0380000000005</v>
      </c>
      <c r="W251" s="4">
        <f t="shared" si="26"/>
        <v>0.17714283388442495</v>
      </c>
    </row>
    <row r="252" spans="1:23" x14ac:dyDescent="0.3">
      <c r="A252" t="s">
        <v>602</v>
      </c>
      <c r="B252" s="7">
        <v>45537</v>
      </c>
      <c r="C252" s="2">
        <v>45543</v>
      </c>
      <c r="D252" s="4">
        <f t="shared" si="27"/>
        <v>6</v>
      </c>
      <c r="E252" s="4" t="str">
        <f>TEXT(Data!B252,"MMM-YYYY")</f>
        <v>Mar-2023</v>
      </c>
      <c r="F252" s="4" t="str">
        <f t="shared" si="23"/>
        <v>Q3-2024</v>
      </c>
      <c r="G252" t="s">
        <v>52</v>
      </c>
      <c r="H252" t="s">
        <v>122</v>
      </c>
      <c r="I252" t="s">
        <v>326</v>
      </c>
      <c r="J252" t="s">
        <v>48</v>
      </c>
      <c r="K252" t="s">
        <v>98</v>
      </c>
      <c r="L252" t="s">
        <v>92</v>
      </c>
      <c r="M252" t="s">
        <v>22</v>
      </c>
      <c r="N252" t="s">
        <v>603</v>
      </c>
      <c r="O252" s="4">
        <v>462.94</v>
      </c>
      <c r="P252" s="8" t="str">
        <f t="shared" si="24"/>
        <v>High</v>
      </c>
      <c r="Q252" s="4">
        <v>1015.7</v>
      </c>
      <c r="R252" s="4">
        <v>0.14299999999999999</v>
      </c>
      <c r="S252" s="4">
        <v>14</v>
      </c>
      <c r="T252" s="4">
        <f t="shared" si="21"/>
        <v>26961.185719999998</v>
      </c>
      <c r="U252">
        <f t="shared" si="22"/>
        <v>6481.16</v>
      </c>
      <c r="V252" s="4">
        <f t="shared" si="25"/>
        <v>20480.025719999998</v>
      </c>
      <c r="W252" s="4">
        <f t="shared" si="26"/>
        <v>0.75961146266678359</v>
      </c>
    </row>
    <row r="253" spans="1:23" x14ac:dyDescent="0.3">
      <c r="A253" t="s">
        <v>604</v>
      </c>
      <c r="B253" s="7">
        <v>44989</v>
      </c>
      <c r="C253" s="2">
        <v>45009</v>
      </c>
      <c r="D253" s="4">
        <f t="shared" si="27"/>
        <v>20</v>
      </c>
      <c r="E253" s="4" t="str">
        <f>TEXT(Data!B253,"MMM-YYYY")</f>
        <v>Mar-2024</v>
      </c>
      <c r="F253" s="4" t="str">
        <f t="shared" si="23"/>
        <v>Q1-2023</v>
      </c>
      <c r="G253" t="s">
        <v>52</v>
      </c>
      <c r="H253" t="s">
        <v>53</v>
      </c>
      <c r="I253" t="s">
        <v>144</v>
      </c>
      <c r="J253" t="s">
        <v>48</v>
      </c>
      <c r="K253" t="s">
        <v>55</v>
      </c>
      <c r="L253" t="s">
        <v>34</v>
      </c>
      <c r="M253" t="s">
        <v>57</v>
      </c>
      <c r="N253" t="s">
        <v>605</v>
      </c>
      <c r="O253" s="4">
        <v>481.71</v>
      </c>
      <c r="P253" s="8" t="str">
        <f t="shared" si="24"/>
        <v>High</v>
      </c>
      <c r="Q253" s="4">
        <v>912.45</v>
      </c>
      <c r="R253" s="4">
        <v>0.20300000000000001</v>
      </c>
      <c r="S253" s="4">
        <v>24</v>
      </c>
      <c r="T253" s="4">
        <f t="shared" si="21"/>
        <v>17084.938320000001</v>
      </c>
      <c r="U253">
        <f t="shared" si="22"/>
        <v>11561.039999999999</v>
      </c>
      <c r="V253" s="4">
        <f t="shared" si="25"/>
        <v>5523.8983200000021</v>
      </c>
      <c r="W253" s="4">
        <f t="shared" si="26"/>
        <v>0.3233197695266834</v>
      </c>
    </row>
    <row r="254" spans="1:23" x14ac:dyDescent="0.3">
      <c r="A254" t="s">
        <v>606</v>
      </c>
      <c r="B254" s="7">
        <v>45366</v>
      </c>
      <c r="C254" s="2">
        <v>45391</v>
      </c>
      <c r="D254" s="4">
        <f t="shared" si="27"/>
        <v>25</v>
      </c>
      <c r="E254" s="4" t="str">
        <f>TEXT(Data!B254,"MMM-YYYY")</f>
        <v>Jul-2024</v>
      </c>
      <c r="F254" s="4" t="str">
        <f t="shared" si="23"/>
        <v>Q1-2024</v>
      </c>
      <c r="G254" t="s">
        <v>52</v>
      </c>
      <c r="H254" t="s">
        <v>53</v>
      </c>
      <c r="I254" t="s">
        <v>179</v>
      </c>
      <c r="J254" t="s">
        <v>48</v>
      </c>
      <c r="K254" t="s">
        <v>28</v>
      </c>
      <c r="L254" t="s">
        <v>84</v>
      </c>
      <c r="M254" t="s">
        <v>64</v>
      </c>
      <c r="N254" t="s">
        <v>607</v>
      </c>
      <c r="O254" s="4">
        <v>648.64</v>
      </c>
      <c r="P254" s="8" t="str">
        <f t="shared" si="24"/>
        <v>High</v>
      </c>
      <c r="Q254" s="4">
        <v>815.19</v>
      </c>
      <c r="R254" s="4">
        <v>0.22500000000000001</v>
      </c>
      <c r="S254" s="4">
        <v>28</v>
      </c>
      <c r="T254" s="4">
        <f t="shared" si="21"/>
        <v>50537.130000000005</v>
      </c>
      <c r="U254">
        <f t="shared" si="22"/>
        <v>18161.919999999998</v>
      </c>
      <c r="V254" s="4">
        <f t="shared" si="25"/>
        <v>32375.210000000006</v>
      </c>
      <c r="W254" s="4">
        <f t="shared" si="26"/>
        <v>0.64062225140208795</v>
      </c>
    </row>
    <row r="255" spans="1:23" x14ac:dyDescent="0.3">
      <c r="A255" t="s">
        <v>608</v>
      </c>
      <c r="B255" s="7">
        <v>45502</v>
      </c>
      <c r="C255" s="2">
        <v>45504</v>
      </c>
      <c r="D255" s="4">
        <f t="shared" si="27"/>
        <v>2</v>
      </c>
      <c r="E255" s="4" t="str">
        <f>TEXT(Data!B255,"MMM-YYYY")</f>
        <v>Oct-2024</v>
      </c>
      <c r="F255" s="4" t="str">
        <f t="shared" si="23"/>
        <v>Q3-2024</v>
      </c>
      <c r="G255" t="s">
        <v>52</v>
      </c>
      <c r="H255" t="s">
        <v>122</v>
      </c>
      <c r="I255" t="s">
        <v>387</v>
      </c>
      <c r="J255" t="s">
        <v>27</v>
      </c>
      <c r="K255" t="s">
        <v>40</v>
      </c>
      <c r="L255" t="s">
        <v>34</v>
      </c>
      <c r="M255" t="s">
        <v>30</v>
      </c>
      <c r="N255" t="s">
        <v>609</v>
      </c>
      <c r="O255" s="4">
        <v>798.97</v>
      </c>
      <c r="P255" s="8" t="str">
        <f t="shared" si="24"/>
        <v>High</v>
      </c>
      <c r="Q255" s="4">
        <v>1814.06</v>
      </c>
      <c r="R255" s="4">
        <v>0.122</v>
      </c>
      <c r="S255" s="4">
        <v>16</v>
      </c>
      <c r="T255" s="4">
        <f t="shared" si="21"/>
        <v>29033.704000000002</v>
      </c>
      <c r="U255">
        <f t="shared" si="22"/>
        <v>12783.52</v>
      </c>
      <c r="V255" s="4">
        <f t="shared" si="25"/>
        <v>16250.184000000001</v>
      </c>
      <c r="W255" s="4">
        <f t="shared" si="26"/>
        <v>0.55970068441835741</v>
      </c>
    </row>
    <row r="256" spans="1:23" x14ac:dyDescent="0.3">
      <c r="A256" t="s">
        <v>610</v>
      </c>
      <c r="B256" s="7">
        <v>45592</v>
      </c>
      <c r="C256" s="2">
        <v>45616</v>
      </c>
      <c r="D256" s="4">
        <f t="shared" si="27"/>
        <v>24</v>
      </c>
      <c r="E256" s="4" t="str">
        <f>TEXT(Data!B256,"MMM-YYYY")</f>
        <v>Apr-2024</v>
      </c>
      <c r="F256" s="4" t="str">
        <f t="shared" si="23"/>
        <v>Q4-2024</v>
      </c>
      <c r="G256" t="s">
        <v>45</v>
      </c>
      <c r="H256" t="s">
        <v>46</v>
      </c>
      <c r="I256" t="s">
        <v>231</v>
      </c>
      <c r="J256" t="s">
        <v>39</v>
      </c>
      <c r="K256" t="s">
        <v>28</v>
      </c>
      <c r="L256" t="s">
        <v>92</v>
      </c>
      <c r="M256" t="s">
        <v>64</v>
      </c>
      <c r="N256" t="s">
        <v>611</v>
      </c>
      <c r="O256" s="4">
        <v>317.25</v>
      </c>
      <c r="P256" s="8" t="str">
        <f t="shared" si="24"/>
        <v>High</v>
      </c>
      <c r="Q256" s="4">
        <v>758.92</v>
      </c>
      <c r="R256" s="4">
        <v>5.2999999999999999E-2</v>
      </c>
      <c r="S256" s="4">
        <v>9</v>
      </c>
      <c r="T256" s="4">
        <f t="shared" si="21"/>
        <v>18599.828130000002</v>
      </c>
      <c r="U256">
        <f t="shared" si="22"/>
        <v>2855.25</v>
      </c>
      <c r="V256" s="4">
        <f t="shared" si="25"/>
        <v>15744.578130000002</v>
      </c>
      <c r="W256" s="4">
        <f t="shared" si="26"/>
        <v>0.84649051700672895</v>
      </c>
    </row>
    <row r="257" spans="1:23" x14ac:dyDescent="0.3">
      <c r="A257" t="s">
        <v>612</v>
      </c>
      <c r="B257" s="7">
        <v>45411</v>
      </c>
      <c r="C257" s="2">
        <v>45431</v>
      </c>
      <c r="D257" s="4">
        <f t="shared" si="27"/>
        <v>20</v>
      </c>
      <c r="E257" s="4" t="str">
        <f>TEXT(Data!B257,"MMM-YYYY")</f>
        <v>Oct-2023</v>
      </c>
      <c r="F257" s="4" t="str">
        <f t="shared" si="23"/>
        <v>Q2-2024</v>
      </c>
      <c r="G257" t="s">
        <v>78</v>
      </c>
      <c r="H257" t="s">
        <v>79</v>
      </c>
      <c r="I257" t="s">
        <v>335</v>
      </c>
      <c r="J257" t="s">
        <v>105</v>
      </c>
      <c r="K257" t="s">
        <v>40</v>
      </c>
      <c r="L257" t="s">
        <v>21</v>
      </c>
      <c r="M257" t="s">
        <v>57</v>
      </c>
      <c r="N257" t="s">
        <v>613</v>
      </c>
      <c r="O257" s="4">
        <v>668.97</v>
      </c>
      <c r="P257" s="8" t="str">
        <f t="shared" si="24"/>
        <v>High</v>
      </c>
      <c r="Q257" s="4">
        <v>1667.44</v>
      </c>
      <c r="R257" s="4">
        <v>3.4000000000000002E-2</v>
      </c>
      <c r="S257" s="4">
        <v>15</v>
      </c>
      <c r="T257" s="4">
        <f t="shared" si="21"/>
        <v>39508.723799999992</v>
      </c>
      <c r="U257">
        <f t="shared" si="22"/>
        <v>10034.550000000001</v>
      </c>
      <c r="V257" s="4">
        <f t="shared" si="25"/>
        <v>29474.17379999999</v>
      </c>
      <c r="W257" s="4">
        <f t="shared" si="26"/>
        <v>0.74601685311839905</v>
      </c>
    </row>
    <row r="258" spans="1:23" x14ac:dyDescent="0.3">
      <c r="A258" t="s">
        <v>614</v>
      </c>
      <c r="B258" s="7">
        <v>45204</v>
      </c>
      <c r="C258" s="2">
        <v>45205</v>
      </c>
      <c r="D258" s="4">
        <f t="shared" si="27"/>
        <v>1</v>
      </c>
      <c r="E258" s="4" t="str">
        <f>TEXT(Data!B258,"MMM-YYYY")</f>
        <v>Apr-2023</v>
      </c>
      <c r="F258" s="4" t="str">
        <f t="shared" si="23"/>
        <v>Q4-2023</v>
      </c>
      <c r="G258" t="s">
        <v>45</v>
      </c>
      <c r="H258" t="s">
        <v>60</v>
      </c>
      <c r="I258" t="s">
        <v>61</v>
      </c>
      <c r="J258" t="s">
        <v>39</v>
      </c>
      <c r="K258" t="s">
        <v>28</v>
      </c>
      <c r="L258" t="s">
        <v>34</v>
      </c>
      <c r="M258" t="s">
        <v>22</v>
      </c>
      <c r="N258" t="s">
        <v>615</v>
      </c>
      <c r="O258" s="4">
        <v>1470.26</v>
      </c>
      <c r="P258" s="8" t="str">
        <f t="shared" si="24"/>
        <v>High</v>
      </c>
      <c r="Q258" s="4">
        <v>2562.5500000000002</v>
      </c>
      <c r="R258" s="4">
        <v>0.17299999999999999</v>
      </c>
      <c r="S258" s="4">
        <v>9</v>
      </c>
      <c r="T258" s="4">
        <f t="shared" ref="T258:T321" si="28">(Q284*S258)*(1-R258)</f>
        <v>828.33146999999997</v>
      </c>
      <c r="U258">
        <f t="shared" ref="U258:U321" si="29">(O258*S258)</f>
        <v>13232.34</v>
      </c>
      <c r="V258" s="4">
        <f t="shared" si="25"/>
        <v>-12404.008530000001</v>
      </c>
      <c r="W258" s="4">
        <f t="shared" si="26"/>
        <v>-14.974691870634834</v>
      </c>
    </row>
    <row r="259" spans="1:23" x14ac:dyDescent="0.3">
      <c r="A259" t="s">
        <v>616</v>
      </c>
      <c r="B259" s="7">
        <v>45035</v>
      </c>
      <c r="C259" s="2">
        <v>45053</v>
      </c>
      <c r="D259" s="4">
        <f t="shared" si="27"/>
        <v>18</v>
      </c>
      <c r="E259" s="4" t="str">
        <f>TEXT(Data!B259,"MMM-YYYY")</f>
        <v>Jun-2025</v>
      </c>
      <c r="F259" s="4" t="str">
        <f t="shared" ref="F259:F322" si="30">"Q"&amp;ROUNDUP(MONTH(B259)/3,0)&amp;"-"&amp;YEAR(B259)</f>
        <v>Q2-2023</v>
      </c>
      <c r="G259" t="s">
        <v>78</v>
      </c>
      <c r="H259" t="s">
        <v>108</v>
      </c>
      <c r="I259" t="s">
        <v>152</v>
      </c>
      <c r="J259" t="s">
        <v>39</v>
      </c>
      <c r="K259" t="s">
        <v>98</v>
      </c>
      <c r="L259" t="s">
        <v>92</v>
      </c>
      <c r="M259" t="s">
        <v>35</v>
      </c>
      <c r="N259" t="s">
        <v>617</v>
      </c>
      <c r="O259" s="4">
        <v>516.96</v>
      </c>
      <c r="P259" s="8" t="str">
        <f t="shared" ref="P259:P322" si="31">IF(Q259&lt;50, "Low", IF(Q259&lt;200, "Medium", "High"))</f>
        <v>High</v>
      </c>
      <c r="Q259" s="4">
        <v>745.38</v>
      </c>
      <c r="R259" s="4">
        <v>0.19700000000000001</v>
      </c>
      <c r="S259" s="4">
        <v>4</v>
      </c>
      <c r="T259" s="4">
        <f t="shared" si="28"/>
        <v>3533.4890799999994</v>
      </c>
      <c r="U259">
        <f t="shared" si="29"/>
        <v>2067.84</v>
      </c>
      <c r="V259" s="4">
        <f t="shared" ref="V259:V322" si="32">(T259-U259)</f>
        <v>1465.6490799999992</v>
      </c>
      <c r="W259" s="4">
        <f t="shared" ref="W259:W322" si="33">IF(T259=0, 0, V259/T259)</f>
        <v>0.41478805985159561</v>
      </c>
    </row>
    <row r="260" spans="1:23" x14ac:dyDescent="0.3">
      <c r="A260" t="s">
        <v>618</v>
      </c>
      <c r="B260" s="7">
        <v>45835</v>
      </c>
      <c r="C260" s="2">
        <v>45843</v>
      </c>
      <c r="D260" s="4">
        <f t="shared" ref="D260:D322" si="34">DATEDIF(B260,C260, "MD")</f>
        <v>8</v>
      </c>
      <c r="E260" s="4" t="str">
        <f>TEXT(Data!B260,"MMM-YYYY")</f>
        <v>Oct-2023</v>
      </c>
      <c r="F260" s="4" t="str">
        <f t="shared" si="30"/>
        <v>Q2-2025</v>
      </c>
      <c r="G260" t="s">
        <v>78</v>
      </c>
      <c r="H260" t="s">
        <v>79</v>
      </c>
      <c r="I260" t="s">
        <v>159</v>
      </c>
      <c r="J260" t="s">
        <v>62</v>
      </c>
      <c r="K260" t="s">
        <v>98</v>
      </c>
      <c r="L260" t="s">
        <v>41</v>
      </c>
      <c r="M260" t="s">
        <v>64</v>
      </c>
      <c r="N260" t="s">
        <v>619</v>
      </c>
      <c r="O260" s="4">
        <v>314.93</v>
      </c>
      <c r="P260" s="8" t="str">
        <f t="shared" si="31"/>
        <v>High</v>
      </c>
      <c r="Q260" s="4">
        <v>687.95</v>
      </c>
      <c r="R260" s="4">
        <v>0.20499999999999999</v>
      </c>
      <c r="S260" s="4">
        <v>8</v>
      </c>
      <c r="T260" s="4">
        <f t="shared" si="28"/>
        <v>9725.3304000000007</v>
      </c>
      <c r="U260">
        <f t="shared" si="29"/>
        <v>2519.44</v>
      </c>
      <c r="V260" s="4">
        <f t="shared" si="32"/>
        <v>7205.8904000000002</v>
      </c>
      <c r="W260" s="4">
        <f t="shared" si="33"/>
        <v>0.74094042090333501</v>
      </c>
    </row>
    <row r="261" spans="1:23" x14ac:dyDescent="0.3">
      <c r="A261" t="s">
        <v>620</v>
      </c>
      <c r="B261" s="7">
        <v>45210</v>
      </c>
      <c r="C261" s="2">
        <v>45212</v>
      </c>
      <c r="D261" s="4">
        <f t="shared" si="34"/>
        <v>2</v>
      </c>
      <c r="E261" s="4" t="str">
        <f>TEXT(Data!B261,"MMM-YYYY")</f>
        <v>May-2023</v>
      </c>
      <c r="F261" s="4" t="str">
        <f t="shared" si="30"/>
        <v>Q4-2023</v>
      </c>
      <c r="G261" t="s">
        <v>52</v>
      </c>
      <c r="H261" t="s">
        <v>73</v>
      </c>
      <c r="I261" t="s">
        <v>87</v>
      </c>
      <c r="J261" t="s">
        <v>48</v>
      </c>
      <c r="K261" t="s">
        <v>55</v>
      </c>
      <c r="L261" t="s">
        <v>1364</v>
      </c>
      <c r="M261" t="s">
        <v>81</v>
      </c>
      <c r="N261" t="s">
        <v>621</v>
      </c>
      <c r="O261" s="4">
        <v>715.94</v>
      </c>
      <c r="P261" s="8" t="str">
        <f t="shared" si="31"/>
        <v>High</v>
      </c>
      <c r="Q261" s="4">
        <v>550.07000000000005</v>
      </c>
      <c r="R261" s="4">
        <v>0.14000000000000001</v>
      </c>
      <c r="S261" s="4">
        <v>16</v>
      </c>
      <c r="T261" s="4">
        <f t="shared" si="28"/>
        <v>10026.7744</v>
      </c>
      <c r="U261">
        <f t="shared" si="29"/>
        <v>11455.04</v>
      </c>
      <c r="V261" s="4">
        <f t="shared" si="32"/>
        <v>-1428.2656000000006</v>
      </c>
      <c r="W261" s="4">
        <f t="shared" si="33"/>
        <v>-0.14244517159975201</v>
      </c>
    </row>
    <row r="262" spans="1:23" x14ac:dyDescent="0.3">
      <c r="A262" t="s">
        <v>622</v>
      </c>
      <c r="B262" s="7">
        <v>45066</v>
      </c>
      <c r="C262" s="2">
        <v>45084</v>
      </c>
      <c r="D262" s="4">
        <f t="shared" si="34"/>
        <v>18</v>
      </c>
      <c r="E262" s="4" t="str">
        <f>TEXT(Data!B262,"MMM-YYYY")</f>
        <v>May-2023</v>
      </c>
      <c r="F262" s="4" t="str">
        <f t="shared" si="30"/>
        <v>Q2-2023</v>
      </c>
      <c r="G262" t="s">
        <v>16</v>
      </c>
      <c r="H262" t="s">
        <v>25</v>
      </c>
      <c r="I262" t="s">
        <v>26</v>
      </c>
      <c r="J262" t="s">
        <v>105</v>
      </c>
      <c r="K262" t="s">
        <v>55</v>
      </c>
      <c r="L262" t="s">
        <v>63</v>
      </c>
      <c r="M262" t="s">
        <v>22</v>
      </c>
      <c r="N262" t="s">
        <v>623</v>
      </c>
      <c r="O262" s="4">
        <v>1120.06</v>
      </c>
      <c r="P262" s="8" t="str">
        <f t="shared" si="31"/>
        <v>High</v>
      </c>
      <c r="Q262" s="4">
        <v>2068.21</v>
      </c>
      <c r="R262" s="4">
        <v>7.8E-2</v>
      </c>
      <c r="S262" s="4">
        <v>12</v>
      </c>
      <c r="T262" s="4">
        <f t="shared" si="28"/>
        <v>69.481920000000002</v>
      </c>
      <c r="U262">
        <f t="shared" si="29"/>
        <v>13440.72</v>
      </c>
      <c r="V262" s="4">
        <f t="shared" si="32"/>
        <v>-13371.238079999999</v>
      </c>
      <c r="W262" s="4">
        <f t="shared" si="33"/>
        <v>-192.44197742376721</v>
      </c>
    </row>
    <row r="263" spans="1:23" x14ac:dyDescent="0.3">
      <c r="A263" t="s">
        <v>624</v>
      </c>
      <c r="B263" s="7">
        <v>45073</v>
      </c>
      <c r="C263" s="2">
        <v>45096</v>
      </c>
      <c r="D263" s="4">
        <f t="shared" si="34"/>
        <v>23</v>
      </c>
      <c r="E263" s="4" t="str">
        <f>TEXT(Data!B263,"MMM-YYYY")</f>
        <v>Aug-2023</v>
      </c>
      <c r="F263" s="4" t="str">
        <f t="shared" si="30"/>
        <v>Q2-2023</v>
      </c>
      <c r="G263" t="s">
        <v>78</v>
      </c>
      <c r="H263" t="s">
        <v>79</v>
      </c>
      <c r="I263" t="s">
        <v>80</v>
      </c>
      <c r="J263" t="s">
        <v>27</v>
      </c>
      <c r="K263" t="s">
        <v>20</v>
      </c>
      <c r="L263" t="s">
        <v>68</v>
      </c>
      <c r="M263" t="s">
        <v>81</v>
      </c>
      <c r="N263" t="s">
        <v>625</v>
      </c>
      <c r="O263" s="4">
        <v>1471.58</v>
      </c>
      <c r="P263" s="8" t="str">
        <f t="shared" si="31"/>
        <v>High</v>
      </c>
      <c r="Q263" s="4">
        <v>2576.65</v>
      </c>
      <c r="R263" s="4">
        <v>4.0000000000000001E-3</v>
      </c>
      <c r="S263" s="4">
        <v>7</v>
      </c>
      <c r="T263" s="4">
        <f t="shared" si="28"/>
        <v>17916.436439999998</v>
      </c>
      <c r="U263">
        <f t="shared" si="29"/>
        <v>10301.06</v>
      </c>
      <c r="V263" s="4">
        <f t="shared" si="32"/>
        <v>7615.3764399999982</v>
      </c>
      <c r="W263" s="4">
        <f t="shared" si="33"/>
        <v>0.42504972824830334</v>
      </c>
    </row>
    <row r="264" spans="1:23" x14ac:dyDescent="0.3">
      <c r="A264" t="s">
        <v>626</v>
      </c>
      <c r="B264" s="7">
        <v>45142</v>
      </c>
      <c r="C264" s="2">
        <v>45162</v>
      </c>
      <c r="D264" s="4">
        <f t="shared" si="34"/>
        <v>20</v>
      </c>
      <c r="E264" s="4" t="str">
        <f>TEXT(Data!B264,"MMM-YYYY")</f>
        <v>Jun-2025</v>
      </c>
      <c r="F264" s="4" t="str">
        <f t="shared" si="30"/>
        <v>Q3-2023</v>
      </c>
      <c r="G264" t="s">
        <v>52</v>
      </c>
      <c r="H264" t="s">
        <v>73</v>
      </c>
      <c r="I264" t="s">
        <v>87</v>
      </c>
      <c r="J264" t="s">
        <v>39</v>
      </c>
      <c r="K264" t="s">
        <v>98</v>
      </c>
      <c r="L264" t="s">
        <v>1364</v>
      </c>
      <c r="M264" t="s">
        <v>35</v>
      </c>
      <c r="N264" t="s">
        <v>627</v>
      </c>
      <c r="O264" s="4">
        <v>582.88</v>
      </c>
      <c r="P264" s="8" t="str">
        <f t="shared" si="31"/>
        <v>High</v>
      </c>
      <c r="Q264" s="4">
        <v>1044.1400000000001</v>
      </c>
      <c r="R264" s="4">
        <v>0.216</v>
      </c>
      <c r="S264" s="4">
        <v>10</v>
      </c>
      <c r="T264" s="4">
        <f t="shared" si="28"/>
        <v>12481.436800000001</v>
      </c>
      <c r="U264">
        <f t="shared" si="29"/>
        <v>5828.8</v>
      </c>
      <c r="V264" s="4">
        <f t="shared" si="32"/>
        <v>6652.6368000000011</v>
      </c>
      <c r="W264" s="4">
        <f t="shared" si="33"/>
        <v>0.53300248253470306</v>
      </c>
    </row>
    <row r="265" spans="1:23" x14ac:dyDescent="0.3">
      <c r="A265" t="s">
        <v>628</v>
      </c>
      <c r="B265" s="7">
        <v>45829</v>
      </c>
      <c r="C265" s="2">
        <v>45835</v>
      </c>
      <c r="D265" s="4">
        <f t="shared" si="34"/>
        <v>6</v>
      </c>
      <c r="E265" s="4" t="str">
        <f>TEXT(Data!B265,"MMM-YYYY")</f>
        <v>Apr-2025</v>
      </c>
      <c r="F265" s="4" t="str">
        <f t="shared" si="30"/>
        <v>Q2-2025</v>
      </c>
      <c r="G265" t="s">
        <v>16</v>
      </c>
      <c r="H265" t="s">
        <v>148</v>
      </c>
      <c r="I265" t="s">
        <v>172</v>
      </c>
      <c r="J265" t="s">
        <v>105</v>
      </c>
      <c r="K265" t="s">
        <v>55</v>
      </c>
      <c r="L265" t="s">
        <v>126</v>
      </c>
      <c r="M265" t="s">
        <v>42</v>
      </c>
      <c r="N265" t="s">
        <v>629</v>
      </c>
      <c r="O265" s="4">
        <v>93.91</v>
      </c>
      <c r="P265" s="8" t="str">
        <f t="shared" si="31"/>
        <v>Medium</v>
      </c>
      <c r="Q265" s="4">
        <v>99.04</v>
      </c>
      <c r="R265" s="4">
        <v>5.7000000000000002E-2</v>
      </c>
      <c r="S265" s="4">
        <v>6</v>
      </c>
      <c r="T265" s="4">
        <f t="shared" si="28"/>
        <v>5632.3692599999995</v>
      </c>
      <c r="U265">
        <f t="shared" si="29"/>
        <v>563.46</v>
      </c>
      <c r="V265" s="4">
        <f t="shared" si="32"/>
        <v>5068.9092599999994</v>
      </c>
      <c r="W265" s="4">
        <f t="shared" si="33"/>
        <v>0.89996039428707486</v>
      </c>
    </row>
    <row r="266" spans="1:23" x14ac:dyDescent="0.3">
      <c r="A266" t="s">
        <v>630</v>
      </c>
      <c r="B266" s="7">
        <v>45763</v>
      </c>
      <c r="C266" s="2">
        <v>45773</v>
      </c>
      <c r="D266" s="4">
        <f t="shared" si="34"/>
        <v>10</v>
      </c>
      <c r="E266" s="4" t="str">
        <f>TEXT(Data!B266,"MMM-YYYY")</f>
        <v>Sept-2025</v>
      </c>
      <c r="F266" s="4" t="str">
        <f t="shared" si="30"/>
        <v>Q2-2025</v>
      </c>
      <c r="G266" t="s">
        <v>16</v>
      </c>
      <c r="H266" t="s">
        <v>25</v>
      </c>
      <c r="I266" t="s">
        <v>26</v>
      </c>
      <c r="J266" t="s">
        <v>105</v>
      </c>
      <c r="K266" t="s">
        <v>40</v>
      </c>
      <c r="L266" t="s">
        <v>84</v>
      </c>
      <c r="M266" t="s">
        <v>57</v>
      </c>
      <c r="N266" t="s">
        <v>631</v>
      </c>
      <c r="O266" s="4">
        <v>1457.44</v>
      </c>
      <c r="P266" s="8" t="str">
        <f t="shared" si="31"/>
        <v>High</v>
      </c>
      <c r="Q266" s="4">
        <v>1996.81</v>
      </c>
      <c r="R266" s="4">
        <v>0.126</v>
      </c>
      <c r="S266" s="4">
        <v>23</v>
      </c>
      <c r="T266" s="4">
        <f t="shared" si="28"/>
        <v>24932.711619999998</v>
      </c>
      <c r="U266">
        <f t="shared" si="29"/>
        <v>33521.120000000003</v>
      </c>
      <c r="V266" s="4">
        <f t="shared" si="32"/>
        <v>-8588.4083800000044</v>
      </c>
      <c r="W266" s="4">
        <f t="shared" si="33"/>
        <v>-0.3444634707566559</v>
      </c>
    </row>
    <row r="267" spans="1:23" x14ac:dyDescent="0.3">
      <c r="A267" t="s">
        <v>632</v>
      </c>
      <c r="B267" s="7">
        <v>45902</v>
      </c>
      <c r="C267" s="2">
        <v>45911</v>
      </c>
      <c r="D267" s="4">
        <f t="shared" si="34"/>
        <v>9</v>
      </c>
      <c r="E267" s="4" t="str">
        <f>TEXT(Data!B267,"MMM-YYYY")</f>
        <v>Oct-2024</v>
      </c>
      <c r="F267" s="4" t="str">
        <f t="shared" si="30"/>
        <v>Q3-2025</v>
      </c>
      <c r="G267" t="s">
        <v>52</v>
      </c>
      <c r="H267" t="s">
        <v>53</v>
      </c>
      <c r="I267" t="s">
        <v>54</v>
      </c>
      <c r="J267" t="s">
        <v>19</v>
      </c>
      <c r="K267" t="s">
        <v>55</v>
      </c>
      <c r="L267" t="s">
        <v>110</v>
      </c>
      <c r="M267" t="s">
        <v>30</v>
      </c>
      <c r="N267" t="s">
        <v>633</v>
      </c>
      <c r="O267" s="4">
        <v>1207.6300000000001</v>
      </c>
      <c r="P267" s="8" t="str">
        <f t="shared" si="31"/>
        <v>High</v>
      </c>
      <c r="Q267" s="4">
        <v>921.68</v>
      </c>
      <c r="R267" s="4">
        <v>0.19600000000000001</v>
      </c>
      <c r="S267" s="4">
        <v>17</v>
      </c>
      <c r="T267" s="4">
        <f t="shared" si="28"/>
        <v>1617.8811600000001</v>
      </c>
      <c r="U267">
        <f t="shared" si="29"/>
        <v>20529.710000000003</v>
      </c>
      <c r="V267" s="4">
        <f t="shared" si="32"/>
        <v>-18911.828840000002</v>
      </c>
      <c r="W267" s="4">
        <f t="shared" si="33"/>
        <v>-11.689257102171831</v>
      </c>
    </row>
    <row r="268" spans="1:23" x14ac:dyDescent="0.3">
      <c r="A268" t="s">
        <v>634</v>
      </c>
      <c r="B268" s="7">
        <v>45573</v>
      </c>
      <c r="C268" s="2">
        <v>45573</v>
      </c>
      <c r="D268" s="4">
        <f t="shared" si="34"/>
        <v>0</v>
      </c>
      <c r="E268" s="4" t="str">
        <f>TEXT(Data!B268,"MMM-YYYY")</f>
        <v>May-2023</v>
      </c>
      <c r="F268" s="4" t="str">
        <f t="shared" si="30"/>
        <v>Q4-2024</v>
      </c>
      <c r="G268" t="s">
        <v>78</v>
      </c>
      <c r="H268" t="s">
        <v>108</v>
      </c>
      <c r="I268" t="s">
        <v>152</v>
      </c>
      <c r="J268" t="s">
        <v>19</v>
      </c>
      <c r="K268" t="s">
        <v>28</v>
      </c>
      <c r="L268" t="s">
        <v>63</v>
      </c>
      <c r="M268" t="s">
        <v>64</v>
      </c>
      <c r="N268" t="s">
        <v>635</v>
      </c>
      <c r="O268" s="4">
        <v>1108.1099999999999</v>
      </c>
      <c r="P268" s="8" t="str">
        <f t="shared" si="31"/>
        <v>High</v>
      </c>
      <c r="Q268" s="4">
        <v>2503.79</v>
      </c>
      <c r="R268" s="4">
        <v>0.184</v>
      </c>
      <c r="S268" s="4">
        <v>19</v>
      </c>
      <c r="T268" s="4">
        <f t="shared" si="28"/>
        <v>32644.137120000007</v>
      </c>
      <c r="U268">
        <f t="shared" si="29"/>
        <v>21054.089999999997</v>
      </c>
      <c r="V268" s="4">
        <f t="shared" si="32"/>
        <v>11590.04712000001</v>
      </c>
      <c r="W268" s="4">
        <f t="shared" si="33"/>
        <v>0.35504222633898824</v>
      </c>
    </row>
    <row r="269" spans="1:23" x14ac:dyDescent="0.3">
      <c r="A269" t="s">
        <v>636</v>
      </c>
      <c r="B269" s="7">
        <v>45053</v>
      </c>
      <c r="C269" s="2">
        <v>45051</v>
      </c>
      <c r="D269" s="4">
        <f>DATEDIF(C269,B269, "MD")</f>
        <v>2</v>
      </c>
      <c r="E269" s="4" t="str">
        <f>TEXT(Data!B269,"MMM-YYYY")</f>
        <v>Dec-2023</v>
      </c>
      <c r="F269" s="4" t="str">
        <f t="shared" si="30"/>
        <v>Q2-2023</v>
      </c>
      <c r="G269" t="s">
        <v>16</v>
      </c>
      <c r="H269" t="s">
        <v>25</v>
      </c>
      <c r="I269" t="s">
        <v>26</v>
      </c>
      <c r="J269" t="s">
        <v>39</v>
      </c>
      <c r="K269" t="s">
        <v>40</v>
      </c>
      <c r="L269" t="s">
        <v>75</v>
      </c>
      <c r="M269" t="s">
        <v>22</v>
      </c>
      <c r="N269" t="s">
        <v>637</v>
      </c>
      <c r="O269" s="4">
        <v>1269.6500000000001</v>
      </c>
      <c r="P269" s="8" t="str">
        <f t="shared" si="31"/>
        <v>High</v>
      </c>
      <c r="Q269" s="4">
        <v>2462.77</v>
      </c>
      <c r="R269" s="4">
        <v>0.107</v>
      </c>
      <c r="S269" s="4">
        <v>8</v>
      </c>
      <c r="T269" s="4">
        <f t="shared" si="28"/>
        <v>3736.3119999999999</v>
      </c>
      <c r="U269">
        <f t="shared" si="29"/>
        <v>10157.200000000001</v>
      </c>
      <c r="V269" s="4">
        <f t="shared" si="32"/>
        <v>-6420.8880000000008</v>
      </c>
      <c r="W269" s="4">
        <f t="shared" si="33"/>
        <v>-1.7185095891349547</v>
      </c>
    </row>
    <row r="270" spans="1:23" x14ac:dyDescent="0.3">
      <c r="A270" t="s">
        <v>638</v>
      </c>
      <c r="B270" s="7">
        <v>45284</v>
      </c>
      <c r="C270" s="2">
        <v>45292</v>
      </c>
      <c r="D270" s="4">
        <f t="shared" si="34"/>
        <v>8</v>
      </c>
      <c r="E270" s="4" t="str">
        <f>TEXT(Data!B270,"MMM-YYYY")</f>
        <v>Jan-2024</v>
      </c>
      <c r="F270" s="4" t="str">
        <f t="shared" si="30"/>
        <v>Q4-2023</v>
      </c>
      <c r="G270" t="s">
        <v>52</v>
      </c>
      <c r="H270" t="s">
        <v>73</v>
      </c>
      <c r="I270" t="s">
        <v>74</v>
      </c>
      <c r="J270" t="s">
        <v>27</v>
      </c>
      <c r="K270" t="s">
        <v>98</v>
      </c>
      <c r="L270" t="s">
        <v>21</v>
      </c>
      <c r="M270" t="s">
        <v>42</v>
      </c>
      <c r="N270" t="s">
        <v>639</v>
      </c>
      <c r="O270" s="4">
        <v>526.49</v>
      </c>
      <c r="P270" s="8" t="str">
        <f t="shared" si="31"/>
        <v>High</v>
      </c>
      <c r="Q270" s="4">
        <v>496.2</v>
      </c>
      <c r="R270" s="4">
        <v>0</v>
      </c>
      <c r="S270" s="4">
        <v>14</v>
      </c>
      <c r="T270" s="4">
        <f t="shared" si="28"/>
        <v>15054.199999999999</v>
      </c>
      <c r="U270">
        <f t="shared" si="29"/>
        <v>7370.8600000000006</v>
      </c>
      <c r="V270" s="4">
        <f t="shared" si="32"/>
        <v>7683.3399999999983</v>
      </c>
      <c r="W270" s="4">
        <f t="shared" si="33"/>
        <v>0.51037849902352828</v>
      </c>
    </row>
    <row r="271" spans="1:23" x14ac:dyDescent="0.3">
      <c r="A271" t="s">
        <v>640</v>
      </c>
      <c r="B271" s="7">
        <v>45301</v>
      </c>
      <c r="C271" s="2">
        <v>45314</v>
      </c>
      <c r="D271" s="4">
        <f t="shared" si="34"/>
        <v>13</v>
      </c>
      <c r="E271" s="4" t="str">
        <f>TEXT(Data!B271,"MMM-YYYY")</f>
        <v>Aug-2023</v>
      </c>
      <c r="F271" s="4" t="str">
        <f t="shared" si="30"/>
        <v>Q1-2024</v>
      </c>
      <c r="G271" t="s">
        <v>78</v>
      </c>
      <c r="H271" t="s">
        <v>90</v>
      </c>
      <c r="I271" t="s">
        <v>91</v>
      </c>
      <c r="J271" t="s">
        <v>19</v>
      </c>
      <c r="K271" t="s">
        <v>98</v>
      </c>
      <c r="L271" t="s">
        <v>75</v>
      </c>
      <c r="M271" t="s">
        <v>30</v>
      </c>
      <c r="N271" t="s">
        <v>641</v>
      </c>
      <c r="O271" s="4">
        <v>720</v>
      </c>
      <c r="P271" s="8" t="str">
        <f t="shared" si="31"/>
        <v>High</v>
      </c>
      <c r="Q271" s="4">
        <v>907.59</v>
      </c>
      <c r="R271" s="4">
        <v>0.154</v>
      </c>
      <c r="S271" s="4">
        <v>10</v>
      </c>
      <c r="T271" s="4">
        <f t="shared" si="28"/>
        <v>27872.062200000004</v>
      </c>
      <c r="U271">
        <f t="shared" si="29"/>
        <v>7200</v>
      </c>
      <c r="V271" s="4">
        <f t="shared" si="32"/>
        <v>20672.062200000004</v>
      </c>
      <c r="W271" s="4">
        <f t="shared" si="33"/>
        <v>0.7416768106954067</v>
      </c>
    </row>
    <row r="272" spans="1:23" x14ac:dyDescent="0.3">
      <c r="A272" t="s">
        <v>642</v>
      </c>
      <c r="B272" s="7">
        <v>45141</v>
      </c>
      <c r="C272" s="2">
        <v>45152</v>
      </c>
      <c r="D272" s="4">
        <f t="shared" si="34"/>
        <v>11</v>
      </c>
      <c r="E272" s="4" t="str">
        <f>TEXT(Data!B272,"MMM-YYYY")</f>
        <v>Feb-2025</v>
      </c>
      <c r="F272" s="4" t="str">
        <f t="shared" si="30"/>
        <v>Q3-2023</v>
      </c>
      <c r="G272" t="s">
        <v>52</v>
      </c>
      <c r="H272" t="s">
        <v>73</v>
      </c>
      <c r="I272" t="s">
        <v>87</v>
      </c>
      <c r="J272" t="s">
        <v>19</v>
      </c>
      <c r="K272" t="s">
        <v>98</v>
      </c>
      <c r="L272" t="s">
        <v>29</v>
      </c>
      <c r="M272" t="s">
        <v>81</v>
      </c>
      <c r="N272" t="s">
        <v>643</v>
      </c>
      <c r="O272" s="4">
        <v>232.73</v>
      </c>
      <c r="P272" s="8" t="str">
        <f t="shared" si="31"/>
        <v>High</v>
      </c>
      <c r="Q272" s="4">
        <v>334.19</v>
      </c>
      <c r="R272" s="4">
        <v>0.13400000000000001</v>
      </c>
      <c r="S272" s="4">
        <v>25</v>
      </c>
      <c r="T272" s="4">
        <f t="shared" si="28"/>
        <v>10046.682500000001</v>
      </c>
      <c r="U272">
        <f t="shared" si="29"/>
        <v>5818.25</v>
      </c>
      <c r="V272" s="4">
        <f t="shared" si="32"/>
        <v>4228.4325000000008</v>
      </c>
      <c r="W272" s="4">
        <f t="shared" si="33"/>
        <v>0.42087848401698774</v>
      </c>
    </row>
    <row r="273" spans="1:23" x14ac:dyDescent="0.3">
      <c r="A273" t="s">
        <v>644</v>
      </c>
      <c r="B273" s="7">
        <v>45707</v>
      </c>
      <c r="C273" s="2">
        <v>45725</v>
      </c>
      <c r="D273" s="4">
        <f t="shared" si="34"/>
        <v>18</v>
      </c>
      <c r="E273" s="4" t="str">
        <f>TEXT(Data!B273,"MMM-YYYY")</f>
        <v>Mar-2024</v>
      </c>
      <c r="F273" s="4" t="str">
        <f t="shared" si="30"/>
        <v>Q1-2025</v>
      </c>
      <c r="G273" t="s">
        <v>45</v>
      </c>
      <c r="H273" t="s">
        <v>60</v>
      </c>
      <c r="I273" t="s">
        <v>141</v>
      </c>
      <c r="J273" t="s">
        <v>62</v>
      </c>
      <c r="K273" t="s">
        <v>98</v>
      </c>
      <c r="L273" t="s">
        <v>68</v>
      </c>
      <c r="M273" t="s">
        <v>64</v>
      </c>
      <c r="N273" t="s">
        <v>645</v>
      </c>
      <c r="O273" s="4">
        <v>325.87</v>
      </c>
      <c r="P273" s="8" t="str">
        <f t="shared" si="31"/>
        <v>High</v>
      </c>
      <c r="Q273" s="4">
        <v>538.79</v>
      </c>
      <c r="R273" s="4">
        <v>0.17399999999999999</v>
      </c>
      <c r="S273" s="4">
        <v>16</v>
      </c>
      <c r="T273" s="4">
        <f t="shared" si="28"/>
        <v>6753.7724800000005</v>
      </c>
      <c r="U273">
        <f t="shared" si="29"/>
        <v>5213.92</v>
      </c>
      <c r="V273" s="4">
        <f t="shared" si="32"/>
        <v>1539.8524800000005</v>
      </c>
      <c r="W273" s="4">
        <f t="shared" si="33"/>
        <v>0.22799886797489516</v>
      </c>
    </row>
    <row r="274" spans="1:23" x14ac:dyDescent="0.3">
      <c r="A274" t="s">
        <v>646</v>
      </c>
      <c r="B274" s="7">
        <v>45382</v>
      </c>
      <c r="C274" s="2">
        <v>45399</v>
      </c>
      <c r="D274" s="4">
        <f t="shared" si="34"/>
        <v>17</v>
      </c>
      <c r="E274" s="4" t="str">
        <f>TEXT(Data!B274,"MMM-YYYY")</f>
        <v>Jul-2023</v>
      </c>
      <c r="F274" s="4" t="str">
        <f t="shared" si="30"/>
        <v>Q1-2024</v>
      </c>
      <c r="G274" t="s">
        <v>78</v>
      </c>
      <c r="H274" t="s">
        <v>79</v>
      </c>
      <c r="I274" t="s">
        <v>335</v>
      </c>
      <c r="J274" t="s">
        <v>27</v>
      </c>
      <c r="K274" t="s">
        <v>98</v>
      </c>
      <c r="L274" t="s">
        <v>92</v>
      </c>
      <c r="M274" t="s">
        <v>64</v>
      </c>
      <c r="N274" t="s">
        <v>647</v>
      </c>
      <c r="O274" s="4">
        <v>1025.51</v>
      </c>
      <c r="P274" s="8" t="str">
        <f t="shared" si="31"/>
        <v>High</v>
      </c>
      <c r="Q274" s="4">
        <v>1436.54</v>
      </c>
      <c r="R274" s="4">
        <v>0.13900000000000001</v>
      </c>
      <c r="S274" s="4">
        <v>28</v>
      </c>
      <c r="T274" s="4">
        <f t="shared" si="28"/>
        <v>101.73576</v>
      </c>
      <c r="U274">
        <f t="shared" si="29"/>
        <v>28714.28</v>
      </c>
      <c r="V274" s="4">
        <f t="shared" si="32"/>
        <v>-28612.544239999999</v>
      </c>
      <c r="W274" s="4">
        <f t="shared" si="33"/>
        <v>-281.24372629643699</v>
      </c>
    </row>
    <row r="275" spans="1:23" x14ac:dyDescent="0.3">
      <c r="A275" t="s">
        <v>648</v>
      </c>
      <c r="B275" s="7">
        <v>45131</v>
      </c>
      <c r="C275" s="2">
        <v>45151</v>
      </c>
      <c r="D275" s="4">
        <f t="shared" si="34"/>
        <v>20</v>
      </c>
      <c r="E275" s="4" t="str">
        <f>TEXT(Data!B275,"MMM-YYYY")</f>
        <v>Mar-2024</v>
      </c>
      <c r="F275" s="4" t="str">
        <f t="shared" si="30"/>
        <v>Q3-2023</v>
      </c>
      <c r="G275" t="s">
        <v>52</v>
      </c>
      <c r="H275" t="s">
        <v>53</v>
      </c>
      <c r="I275" t="s">
        <v>144</v>
      </c>
      <c r="J275" t="s">
        <v>27</v>
      </c>
      <c r="K275" t="s">
        <v>98</v>
      </c>
      <c r="L275" t="s">
        <v>21</v>
      </c>
      <c r="M275" t="s">
        <v>64</v>
      </c>
      <c r="N275" t="s">
        <v>649</v>
      </c>
      <c r="O275" s="4">
        <v>1082.3800000000001</v>
      </c>
      <c r="P275" s="8" t="str">
        <f t="shared" si="31"/>
        <v>High</v>
      </c>
      <c r="Q275" s="4">
        <v>1766.55</v>
      </c>
      <c r="R275" s="4">
        <v>0.16400000000000001</v>
      </c>
      <c r="S275" s="4">
        <v>20</v>
      </c>
      <c r="T275" s="4">
        <f t="shared" si="28"/>
        <v>9651.4527999999991</v>
      </c>
      <c r="U275">
        <f t="shared" si="29"/>
        <v>21647.600000000002</v>
      </c>
      <c r="V275" s="4">
        <f t="shared" si="32"/>
        <v>-11996.147200000003</v>
      </c>
      <c r="W275" s="4">
        <f t="shared" si="33"/>
        <v>-1.242936938986015</v>
      </c>
    </row>
    <row r="276" spans="1:23" x14ac:dyDescent="0.3">
      <c r="A276" t="s">
        <v>650</v>
      </c>
      <c r="B276" s="7">
        <v>45367</v>
      </c>
      <c r="C276" s="2">
        <v>45395</v>
      </c>
      <c r="D276" s="4">
        <f t="shared" si="34"/>
        <v>28</v>
      </c>
      <c r="E276" s="4" t="str">
        <f>TEXT(Data!B276,"MMM-YYYY")</f>
        <v>Jan-2024</v>
      </c>
      <c r="F276" s="4" t="str">
        <f t="shared" si="30"/>
        <v>Q1-2024</v>
      </c>
      <c r="G276" t="s">
        <v>78</v>
      </c>
      <c r="H276" t="s">
        <v>90</v>
      </c>
      <c r="I276" t="s">
        <v>217</v>
      </c>
      <c r="J276" t="s">
        <v>62</v>
      </c>
      <c r="K276" t="s">
        <v>28</v>
      </c>
      <c r="L276" t="s">
        <v>95</v>
      </c>
      <c r="M276" t="s">
        <v>30</v>
      </c>
      <c r="N276" t="s">
        <v>651</v>
      </c>
      <c r="O276" s="4">
        <v>287.61</v>
      </c>
      <c r="P276" s="8" t="str">
        <f t="shared" si="31"/>
        <v>High</v>
      </c>
      <c r="Q276" s="4">
        <v>628.54</v>
      </c>
      <c r="R276" s="4">
        <v>0.13500000000000001</v>
      </c>
      <c r="S276" s="4">
        <v>21</v>
      </c>
      <c r="T276" s="4">
        <f t="shared" si="28"/>
        <v>25903.83495</v>
      </c>
      <c r="U276">
        <f t="shared" si="29"/>
        <v>6039.81</v>
      </c>
      <c r="V276" s="4">
        <f t="shared" si="32"/>
        <v>19864.024949999999</v>
      </c>
      <c r="W276" s="4">
        <f t="shared" si="33"/>
        <v>0.76683722654741504</v>
      </c>
    </row>
    <row r="277" spans="1:23" x14ac:dyDescent="0.3">
      <c r="A277" t="s">
        <v>652</v>
      </c>
      <c r="B277" s="7">
        <v>45316</v>
      </c>
      <c r="C277" s="2">
        <v>45318</v>
      </c>
      <c r="D277" s="4">
        <f t="shared" si="34"/>
        <v>2</v>
      </c>
      <c r="E277" s="4" t="str">
        <f>TEXT(Data!B277,"MMM-YYYY")</f>
        <v>Mar-2024</v>
      </c>
      <c r="F277" s="4" t="str">
        <f t="shared" si="30"/>
        <v>Q1-2024</v>
      </c>
      <c r="G277" t="s">
        <v>52</v>
      </c>
      <c r="H277" t="s">
        <v>73</v>
      </c>
      <c r="I277" t="s">
        <v>74</v>
      </c>
      <c r="J277" t="s">
        <v>39</v>
      </c>
      <c r="K277" t="s">
        <v>40</v>
      </c>
      <c r="L277" t="s">
        <v>126</v>
      </c>
      <c r="M277" t="s">
        <v>57</v>
      </c>
      <c r="N277" t="s">
        <v>653</v>
      </c>
      <c r="O277" s="4">
        <v>1410.97</v>
      </c>
      <c r="P277" s="8" t="str">
        <f t="shared" si="31"/>
        <v>High</v>
      </c>
      <c r="Q277" s="4">
        <v>1650.75</v>
      </c>
      <c r="R277" s="4">
        <v>0.13500000000000001</v>
      </c>
      <c r="S277" s="4">
        <v>6</v>
      </c>
      <c r="T277" s="4">
        <f t="shared" si="28"/>
        <v>7059.0227999999997</v>
      </c>
      <c r="U277">
        <f t="shared" si="29"/>
        <v>8465.82</v>
      </c>
      <c r="V277" s="4">
        <f t="shared" si="32"/>
        <v>-1406.7972</v>
      </c>
      <c r="W277" s="4">
        <f t="shared" si="33"/>
        <v>-0.19929064402511917</v>
      </c>
    </row>
    <row r="278" spans="1:23" x14ac:dyDescent="0.3">
      <c r="A278" t="s">
        <v>654</v>
      </c>
      <c r="B278" s="7">
        <v>45378</v>
      </c>
      <c r="C278" s="2">
        <v>45393</v>
      </c>
      <c r="D278" s="4">
        <f t="shared" si="34"/>
        <v>15</v>
      </c>
      <c r="E278" s="4" t="str">
        <f>TEXT(Data!B278,"MMM-YYYY")</f>
        <v>Jun-2025</v>
      </c>
      <c r="F278" s="4" t="str">
        <f t="shared" si="30"/>
        <v>Q1-2024</v>
      </c>
      <c r="G278" t="s">
        <v>52</v>
      </c>
      <c r="H278" t="s">
        <v>122</v>
      </c>
      <c r="I278" t="s">
        <v>167</v>
      </c>
      <c r="J278" t="s">
        <v>62</v>
      </c>
      <c r="K278" t="s">
        <v>98</v>
      </c>
      <c r="L278" t="s">
        <v>68</v>
      </c>
      <c r="M278" t="s">
        <v>35</v>
      </c>
      <c r="N278" t="s">
        <v>655</v>
      </c>
      <c r="O278" s="4">
        <v>1338.35</v>
      </c>
      <c r="P278" s="8" t="str">
        <f t="shared" si="31"/>
        <v>High</v>
      </c>
      <c r="Q278" s="4">
        <v>2247.14</v>
      </c>
      <c r="R278" s="4">
        <v>0.115</v>
      </c>
      <c r="S278" s="4">
        <v>40</v>
      </c>
      <c r="T278" s="4">
        <f t="shared" si="28"/>
        <v>73316.94</v>
      </c>
      <c r="U278">
        <f t="shared" si="29"/>
        <v>53534</v>
      </c>
      <c r="V278" s="4">
        <f t="shared" si="32"/>
        <v>19782.940000000002</v>
      </c>
      <c r="W278" s="4">
        <f t="shared" si="33"/>
        <v>0.26982768238827209</v>
      </c>
    </row>
    <row r="279" spans="1:23" x14ac:dyDescent="0.3">
      <c r="A279" t="s">
        <v>656</v>
      </c>
      <c r="B279" s="7">
        <v>45832</v>
      </c>
      <c r="C279" s="2">
        <v>45852</v>
      </c>
      <c r="D279" s="4">
        <f t="shared" si="34"/>
        <v>20</v>
      </c>
      <c r="E279" s="4" t="str">
        <f>TEXT(Data!B279,"MMM-YYYY")</f>
        <v>Jun-2024</v>
      </c>
      <c r="F279" s="4" t="str">
        <f t="shared" si="30"/>
        <v>Q2-2025</v>
      </c>
      <c r="G279" t="s">
        <v>78</v>
      </c>
      <c r="H279" t="s">
        <v>79</v>
      </c>
      <c r="I279" t="s">
        <v>80</v>
      </c>
      <c r="J279" t="s">
        <v>19</v>
      </c>
      <c r="K279" t="s">
        <v>98</v>
      </c>
      <c r="L279" t="s">
        <v>68</v>
      </c>
      <c r="M279" t="s">
        <v>81</v>
      </c>
      <c r="N279" t="s">
        <v>657</v>
      </c>
      <c r="O279" s="4">
        <v>385.08</v>
      </c>
      <c r="P279" s="8" t="str">
        <f t="shared" si="31"/>
        <v>High</v>
      </c>
      <c r="Q279" s="4">
        <v>893.19</v>
      </c>
      <c r="R279" s="4">
        <v>0.151</v>
      </c>
      <c r="S279" s="4">
        <v>8</v>
      </c>
      <c r="T279" s="4">
        <f t="shared" si="28"/>
        <v>6655.0732799999996</v>
      </c>
      <c r="U279">
        <f t="shared" si="29"/>
        <v>3080.64</v>
      </c>
      <c r="V279" s="4">
        <f t="shared" si="32"/>
        <v>3574.4332799999997</v>
      </c>
      <c r="W279" s="4">
        <f t="shared" si="33"/>
        <v>0.53709901147775185</v>
      </c>
    </row>
    <row r="280" spans="1:23" x14ac:dyDescent="0.3">
      <c r="A280" t="s">
        <v>658</v>
      </c>
      <c r="B280" s="7">
        <v>45459</v>
      </c>
      <c r="C280" s="2">
        <v>45476</v>
      </c>
      <c r="D280" s="4">
        <f t="shared" si="34"/>
        <v>17</v>
      </c>
      <c r="E280" s="4" t="str">
        <f>TEXT(Data!B280,"MMM-YYYY")</f>
        <v>Oct-2023</v>
      </c>
      <c r="F280" s="4" t="str">
        <f t="shared" si="30"/>
        <v>Q2-2024</v>
      </c>
      <c r="G280" t="s">
        <v>16</v>
      </c>
      <c r="H280" t="s">
        <v>148</v>
      </c>
      <c r="I280" t="s">
        <v>149</v>
      </c>
      <c r="J280" t="s">
        <v>105</v>
      </c>
      <c r="K280" t="s">
        <v>40</v>
      </c>
      <c r="L280" t="s">
        <v>84</v>
      </c>
      <c r="M280" t="s">
        <v>42</v>
      </c>
      <c r="N280" t="s">
        <v>659</v>
      </c>
      <c r="O280" s="4">
        <v>1173.83</v>
      </c>
      <c r="P280" s="8" t="str">
        <f t="shared" si="31"/>
        <v>High</v>
      </c>
      <c r="Q280" s="4">
        <v>2328.9</v>
      </c>
      <c r="R280" s="4">
        <v>0.12</v>
      </c>
      <c r="S280" s="4">
        <v>17</v>
      </c>
      <c r="T280" s="4">
        <f t="shared" si="28"/>
        <v>8039.3543999999993</v>
      </c>
      <c r="U280">
        <f t="shared" si="29"/>
        <v>19955.11</v>
      </c>
      <c r="V280" s="4">
        <f t="shared" si="32"/>
        <v>-11915.7556</v>
      </c>
      <c r="W280" s="4">
        <f t="shared" si="33"/>
        <v>-1.4821781709237749</v>
      </c>
    </row>
    <row r="281" spans="1:23" x14ac:dyDescent="0.3">
      <c r="A281" t="s">
        <v>660</v>
      </c>
      <c r="B281" s="7">
        <v>45229</v>
      </c>
      <c r="C281" s="2">
        <v>45244</v>
      </c>
      <c r="D281" s="4">
        <f t="shared" si="34"/>
        <v>15</v>
      </c>
      <c r="E281" s="4" t="str">
        <f>TEXT(Data!B281,"MMM-YYYY")</f>
        <v>Jun-2023</v>
      </c>
      <c r="F281" s="4" t="str">
        <f t="shared" si="30"/>
        <v>Q4-2023</v>
      </c>
      <c r="G281" t="s">
        <v>45</v>
      </c>
      <c r="H281" t="s">
        <v>60</v>
      </c>
      <c r="I281" t="s">
        <v>61</v>
      </c>
      <c r="J281" t="s">
        <v>19</v>
      </c>
      <c r="K281" t="s">
        <v>28</v>
      </c>
      <c r="L281" t="s">
        <v>84</v>
      </c>
      <c r="M281" t="s">
        <v>57</v>
      </c>
      <c r="N281" t="s">
        <v>661</v>
      </c>
      <c r="O281" s="4">
        <v>953.46</v>
      </c>
      <c r="P281" s="8" t="str">
        <f t="shared" si="31"/>
        <v>High</v>
      </c>
      <c r="Q281" s="4">
        <v>2066.75</v>
      </c>
      <c r="R281" s="4">
        <v>0.13800000000000001</v>
      </c>
      <c r="S281" s="4">
        <v>5</v>
      </c>
      <c r="T281" s="4">
        <f t="shared" si="28"/>
        <v>919.40919999999994</v>
      </c>
      <c r="U281">
        <f t="shared" si="29"/>
        <v>4767.3</v>
      </c>
      <c r="V281" s="4">
        <f t="shared" si="32"/>
        <v>-3847.8908000000001</v>
      </c>
      <c r="W281" s="4">
        <f t="shared" si="33"/>
        <v>-4.1851776118838062</v>
      </c>
    </row>
    <row r="282" spans="1:23" x14ac:dyDescent="0.3">
      <c r="A282" t="s">
        <v>662</v>
      </c>
      <c r="B282" s="7">
        <v>45092</v>
      </c>
      <c r="C282" s="2">
        <v>45100</v>
      </c>
      <c r="D282" s="4">
        <f t="shared" si="34"/>
        <v>8</v>
      </c>
      <c r="E282" s="4" t="str">
        <f>TEXT(Data!B282,"MMM-YYYY")</f>
        <v>Mar-2025</v>
      </c>
      <c r="F282" s="4" t="str">
        <f t="shared" si="30"/>
        <v>Q2-2023</v>
      </c>
      <c r="G282" t="s">
        <v>52</v>
      </c>
      <c r="H282" t="s">
        <v>122</v>
      </c>
      <c r="I282" t="s">
        <v>167</v>
      </c>
      <c r="J282" t="s">
        <v>48</v>
      </c>
      <c r="K282" t="s">
        <v>55</v>
      </c>
      <c r="L282" t="s">
        <v>68</v>
      </c>
      <c r="M282" t="s">
        <v>64</v>
      </c>
      <c r="N282" t="s">
        <v>663</v>
      </c>
      <c r="O282" s="4">
        <v>1097.0899999999999</v>
      </c>
      <c r="P282" s="8" t="str">
        <f t="shared" si="31"/>
        <v>High</v>
      </c>
      <c r="Q282" s="4">
        <v>2182.31</v>
      </c>
      <c r="R282" s="4">
        <v>0.112</v>
      </c>
      <c r="S282" s="4">
        <v>9</v>
      </c>
      <c r="T282" s="4">
        <f t="shared" si="28"/>
        <v>15941.402639999998</v>
      </c>
      <c r="U282">
        <f t="shared" si="29"/>
        <v>9873.81</v>
      </c>
      <c r="V282" s="4">
        <f t="shared" si="32"/>
        <v>6067.5926399999989</v>
      </c>
      <c r="W282" s="4">
        <f t="shared" si="33"/>
        <v>0.38061849242646062</v>
      </c>
    </row>
    <row r="283" spans="1:23" x14ac:dyDescent="0.3">
      <c r="A283" t="s">
        <v>664</v>
      </c>
      <c r="B283" s="7">
        <v>45730</v>
      </c>
      <c r="C283" s="2">
        <v>45745</v>
      </c>
      <c r="D283" s="4">
        <f t="shared" si="34"/>
        <v>15</v>
      </c>
      <c r="E283" s="4" t="str">
        <f>TEXT(Data!B283,"MMM-YYYY")</f>
        <v>Aug-2023</v>
      </c>
      <c r="F283" s="4" t="str">
        <f t="shared" si="30"/>
        <v>Q1-2025</v>
      </c>
      <c r="G283" t="s">
        <v>45</v>
      </c>
      <c r="H283" t="s">
        <v>46</v>
      </c>
      <c r="I283" t="s">
        <v>214</v>
      </c>
      <c r="J283" t="s">
        <v>39</v>
      </c>
      <c r="K283" t="s">
        <v>98</v>
      </c>
      <c r="L283" t="s">
        <v>92</v>
      </c>
      <c r="M283" t="s">
        <v>35</v>
      </c>
      <c r="N283" t="s">
        <v>665</v>
      </c>
      <c r="O283" s="4">
        <v>1106.96</v>
      </c>
      <c r="P283" s="8" t="str">
        <f t="shared" si="31"/>
        <v>High</v>
      </c>
      <c r="Q283" s="4">
        <v>2726.62</v>
      </c>
      <c r="R283" s="4">
        <v>0.317</v>
      </c>
      <c r="S283" s="4">
        <v>7</v>
      </c>
      <c r="T283" s="4">
        <f t="shared" si="28"/>
        <v>2643.1280400000001</v>
      </c>
      <c r="U283">
        <f t="shared" si="29"/>
        <v>7748.72</v>
      </c>
      <c r="V283" s="4">
        <f t="shared" si="32"/>
        <v>-5105.5919599999997</v>
      </c>
      <c r="W283" s="4">
        <f t="shared" si="33"/>
        <v>-1.9316476094741137</v>
      </c>
    </row>
    <row r="284" spans="1:23" x14ac:dyDescent="0.3">
      <c r="A284" t="s">
        <v>666</v>
      </c>
      <c r="B284" s="7">
        <v>45153</v>
      </c>
      <c r="C284" s="2">
        <v>45163</v>
      </c>
      <c r="D284" s="4">
        <f t="shared" si="34"/>
        <v>10</v>
      </c>
      <c r="E284" s="4" t="str">
        <f>TEXT(Data!B284,"MMM-YYYY")</f>
        <v>May-2025</v>
      </c>
      <c r="F284" s="4" t="str">
        <f t="shared" si="30"/>
        <v>Q3-2023</v>
      </c>
      <c r="G284" t="s">
        <v>16</v>
      </c>
      <c r="H284" t="s">
        <v>17</v>
      </c>
      <c r="I284" t="s">
        <v>33</v>
      </c>
      <c r="J284" t="s">
        <v>62</v>
      </c>
      <c r="K284" t="s">
        <v>20</v>
      </c>
      <c r="L284" t="s">
        <v>126</v>
      </c>
      <c r="M284" t="s">
        <v>42</v>
      </c>
      <c r="N284" t="s">
        <v>667</v>
      </c>
      <c r="O284" s="4">
        <v>91.85</v>
      </c>
      <c r="P284" s="8" t="str">
        <f t="shared" si="31"/>
        <v>Medium</v>
      </c>
      <c r="Q284" s="4">
        <v>111.29</v>
      </c>
      <c r="R284" s="4">
        <v>0</v>
      </c>
      <c r="S284" s="4">
        <v>6</v>
      </c>
      <c r="T284" s="4">
        <f t="shared" si="28"/>
        <v>1349.6999999999998</v>
      </c>
      <c r="U284">
        <f t="shared" si="29"/>
        <v>551.09999999999991</v>
      </c>
      <c r="V284" s="4">
        <f t="shared" si="32"/>
        <v>798.59999999999991</v>
      </c>
      <c r="W284" s="4">
        <f t="shared" si="33"/>
        <v>0.59168704156479224</v>
      </c>
    </row>
    <row r="285" spans="1:23" x14ac:dyDescent="0.3">
      <c r="A285" t="s">
        <v>668</v>
      </c>
      <c r="B285" s="7">
        <v>45794</v>
      </c>
      <c r="C285" s="2">
        <v>45805</v>
      </c>
      <c r="D285" s="4">
        <f t="shared" si="34"/>
        <v>11</v>
      </c>
      <c r="E285" s="4" t="str">
        <f>TEXT(Data!B285,"MMM-YYYY")</f>
        <v>Jan-2024</v>
      </c>
      <c r="F285" s="4" t="str">
        <f t="shared" si="30"/>
        <v>Q2-2025</v>
      </c>
      <c r="G285" t="s">
        <v>45</v>
      </c>
      <c r="H285" t="s">
        <v>60</v>
      </c>
      <c r="I285" t="s">
        <v>61</v>
      </c>
      <c r="J285" t="s">
        <v>19</v>
      </c>
      <c r="K285" t="s">
        <v>55</v>
      </c>
      <c r="L285" t="s">
        <v>56</v>
      </c>
      <c r="M285" t="s">
        <v>57</v>
      </c>
      <c r="N285" t="s">
        <v>669</v>
      </c>
      <c r="O285" s="4">
        <v>623.4</v>
      </c>
      <c r="P285" s="8" t="str">
        <f t="shared" si="31"/>
        <v>High</v>
      </c>
      <c r="Q285" s="4">
        <v>1100.0899999999999</v>
      </c>
      <c r="R285" s="4">
        <v>0.114</v>
      </c>
      <c r="S285" s="4">
        <v>12</v>
      </c>
      <c r="T285" s="4">
        <f t="shared" si="28"/>
        <v>8208.8608800000002</v>
      </c>
      <c r="U285">
        <f t="shared" si="29"/>
        <v>7480.7999999999993</v>
      </c>
      <c r="V285" s="4">
        <f t="shared" si="32"/>
        <v>728.06088000000091</v>
      </c>
      <c r="W285" s="4">
        <f t="shared" si="33"/>
        <v>8.8692071974790357E-2</v>
      </c>
    </row>
    <row r="286" spans="1:23" x14ac:dyDescent="0.3">
      <c r="A286" t="s">
        <v>670</v>
      </c>
      <c r="B286" s="7">
        <v>45304</v>
      </c>
      <c r="C286" s="2">
        <v>45327</v>
      </c>
      <c r="D286" s="4">
        <f t="shared" si="34"/>
        <v>23</v>
      </c>
      <c r="E286" s="4" t="str">
        <f>TEXT(Data!B286,"MMM-YYYY")</f>
        <v>Jun-2023</v>
      </c>
      <c r="F286" s="4" t="str">
        <f t="shared" si="30"/>
        <v>Q1-2024</v>
      </c>
      <c r="G286" t="s">
        <v>78</v>
      </c>
      <c r="H286" t="s">
        <v>79</v>
      </c>
      <c r="I286" t="s">
        <v>335</v>
      </c>
      <c r="J286" t="s">
        <v>27</v>
      </c>
      <c r="K286" t="s">
        <v>98</v>
      </c>
      <c r="L286" t="s">
        <v>56</v>
      </c>
      <c r="M286" t="s">
        <v>57</v>
      </c>
      <c r="N286" t="s">
        <v>671</v>
      </c>
      <c r="O286" s="4">
        <v>1017.93</v>
      </c>
      <c r="P286" s="8" t="str">
        <f t="shared" si="31"/>
        <v>High</v>
      </c>
      <c r="Q286" s="4">
        <v>1529.14</v>
      </c>
      <c r="R286" s="4">
        <v>0.155</v>
      </c>
      <c r="S286" s="4">
        <v>12</v>
      </c>
      <c r="T286" s="4">
        <f t="shared" si="28"/>
        <v>31932.989400000002</v>
      </c>
      <c r="U286">
        <f t="shared" si="29"/>
        <v>12215.16</v>
      </c>
      <c r="V286" s="4">
        <f t="shared" si="32"/>
        <v>19717.829400000002</v>
      </c>
      <c r="W286" s="4">
        <f t="shared" si="33"/>
        <v>0.61747521201381794</v>
      </c>
    </row>
    <row r="287" spans="1:23" x14ac:dyDescent="0.3">
      <c r="A287" t="s">
        <v>672</v>
      </c>
      <c r="B287" s="7">
        <v>45101</v>
      </c>
      <c r="C287" s="2">
        <v>45128</v>
      </c>
      <c r="D287" s="4">
        <f t="shared" si="34"/>
        <v>27</v>
      </c>
      <c r="E287" s="4" t="str">
        <f>TEXT(Data!B287,"MMM-YYYY")</f>
        <v>Apr-2025</v>
      </c>
      <c r="F287" s="4" t="str">
        <f t="shared" si="30"/>
        <v>Q2-2023</v>
      </c>
      <c r="G287" t="s">
        <v>45</v>
      </c>
      <c r="H287" t="s">
        <v>46</v>
      </c>
      <c r="I287" t="s">
        <v>231</v>
      </c>
      <c r="J287" t="s">
        <v>48</v>
      </c>
      <c r="K287" t="s">
        <v>40</v>
      </c>
      <c r="L287" t="s">
        <v>29</v>
      </c>
      <c r="M287" t="s">
        <v>42</v>
      </c>
      <c r="N287" t="s">
        <v>673</v>
      </c>
      <c r="O287" s="4">
        <v>554.76</v>
      </c>
      <c r="P287" s="8" t="str">
        <f t="shared" si="31"/>
        <v>High</v>
      </c>
      <c r="Q287" s="4">
        <v>728.69</v>
      </c>
      <c r="R287" s="4">
        <v>0.22</v>
      </c>
      <c r="S287" s="4">
        <v>7</v>
      </c>
      <c r="T287" s="4">
        <f t="shared" si="28"/>
        <v>314.11380000000003</v>
      </c>
      <c r="U287">
        <f t="shared" si="29"/>
        <v>3883.3199999999997</v>
      </c>
      <c r="V287" s="4">
        <f t="shared" si="32"/>
        <v>-3569.2061999999996</v>
      </c>
      <c r="W287" s="4">
        <f t="shared" si="33"/>
        <v>-11.362780622818862</v>
      </c>
    </row>
    <row r="288" spans="1:23" x14ac:dyDescent="0.3">
      <c r="A288" t="s">
        <v>674</v>
      </c>
      <c r="B288" s="7">
        <v>45751</v>
      </c>
      <c r="C288" s="2">
        <v>45760</v>
      </c>
      <c r="D288" s="4">
        <f t="shared" si="34"/>
        <v>9</v>
      </c>
      <c r="E288" s="4" t="str">
        <f>TEXT(Data!B288,"MMM-YYYY")</f>
        <v>Sept-2024</v>
      </c>
      <c r="F288" s="4" t="str">
        <f t="shared" si="30"/>
        <v>Q2-2025</v>
      </c>
      <c r="G288" t="s">
        <v>78</v>
      </c>
      <c r="H288" t="s">
        <v>79</v>
      </c>
      <c r="I288" t="s">
        <v>159</v>
      </c>
      <c r="J288" t="s">
        <v>48</v>
      </c>
      <c r="K288" t="s">
        <v>40</v>
      </c>
      <c r="L288" t="s">
        <v>84</v>
      </c>
      <c r="M288" t="s">
        <v>42</v>
      </c>
      <c r="N288" t="s">
        <v>675</v>
      </c>
      <c r="O288" s="4">
        <v>7.02</v>
      </c>
      <c r="P288" s="8" t="str">
        <f t="shared" si="31"/>
        <v>Low</v>
      </c>
      <c r="Q288" s="4">
        <v>6.28</v>
      </c>
      <c r="R288" s="4">
        <v>0.13400000000000001</v>
      </c>
      <c r="S288" s="4">
        <v>14</v>
      </c>
      <c r="T288" s="4">
        <f t="shared" si="28"/>
        <v>9999.9964400000008</v>
      </c>
      <c r="U288">
        <f t="shared" si="29"/>
        <v>98.28</v>
      </c>
      <c r="V288" s="4">
        <f t="shared" si="32"/>
        <v>9901.7164400000001</v>
      </c>
      <c r="W288" s="4">
        <f t="shared" si="33"/>
        <v>0.99017199650123067</v>
      </c>
    </row>
    <row r="289" spans="1:23" x14ac:dyDescent="0.3">
      <c r="A289" t="s">
        <v>676</v>
      </c>
      <c r="B289" s="7">
        <v>45542</v>
      </c>
      <c r="C289" s="2">
        <v>45542</v>
      </c>
      <c r="D289" s="4">
        <f t="shared" si="34"/>
        <v>0</v>
      </c>
      <c r="E289" s="4" t="str">
        <f>TEXT(Data!B289,"MMM-YYYY")</f>
        <v>Jan-2024</v>
      </c>
      <c r="F289" s="4" t="str">
        <f t="shared" si="30"/>
        <v>Q3-2024</v>
      </c>
      <c r="G289" t="s">
        <v>45</v>
      </c>
      <c r="H289" t="s">
        <v>60</v>
      </c>
      <c r="I289" t="s">
        <v>220</v>
      </c>
      <c r="J289" t="s">
        <v>27</v>
      </c>
      <c r="K289" t="s">
        <v>55</v>
      </c>
      <c r="L289" t="s">
        <v>56</v>
      </c>
      <c r="M289" t="s">
        <v>35</v>
      </c>
      <c r="N289" t="s">
        <v>677</v>
      </c>
      <c r="O289" s="4">
        <v>1066.6500000000001</v>
      </c>
      <c r="P289" s="8" t="str">
        <f t="shared" si="31"/>
        <v>High</v>
      </c>
      <c r="Q289" s="4">
        <v>2569.77</v>
      </c>
      <c r="R289" s="4">
        <v>0.13400000000000001</v>
      </c>
      <c r="S289" s="4">
        <v>9</v>
      </c>
      <c r="T289" s="4">
        <f t="shared" si="28"/>
        <v>11640.572819999999</v>
      </c>
      <c r="U289">
        <f t="shared" si="29"/>
        <v>9599.85</v>
      </c>
      <c r="V289" s="4">
        <f t="shared" si="32"/>
        <v>2040.722819999999</v>
      </c>
      <c r="W289" s="4">
        <f t="shared" si="33"/>
        <v>0.17531120259767416</v>
      </c>
    </row>
    <row r="290" spans="1:23" x14ac:dyDescent="0.3">
      <c r="A290" t="s">
        <v>678</v>
      </c>
      <c r="B290" s="7">
        <v>45319</v>
      </c>
      <c r="C290" s="2">
        <v>45321</v>
      </c>
      <c r="D290" s="4">
        <f t="shared" si="34"/>
        <v>2</v>
      </c>
      <c r="E290" s="4" t="str">
        <f>TEXT(Data!B290,"MMM-YYYY")</f>
        <v>Jul-2023</v>
      </c>
      <c r="F290" s="4" t="str">
        <f t="shared" si="30"/>
        <v>Q1-2024</v>
      </c>
      <c r="G290" t="s">
        <v>16</v>
      </c>
      <c r="H290" t="s">
        <v>148</v>
      </c>
      <c r="I290" t="s">
        <v>258</v>
      </c>
      <c r="J290" t="s">
        <v>48</v>
      </c>
      <c r="K290" t="s">
        <v>98</v>
      </c>
      <c r="L290" t="s">
        <v>84</v>
      </c>
      <c r="M290" t="s">
        <v>81</v>
      </c>
      <c r="N290" t="s">
        <v>679</v>
      </c>
      <c r="O290" s="4">
        <v>798.45</v>
      </c>
      <c r="P290" s="8" t="str">
        <f t="shared" si="31"/>
        <v>High</v>
      </c>
      <c r="Q290" s="4">
        <v>1592.02</v>
      </c>
      <c r="R290" s="4">
        <v>6.6000000000000003E-2</v>
      </c>
      <c r="S290" s="4">
        <v>18</v>
      </c>
      <c r="T290" s="4">
        <f t="shared" si="28"/>
        <v>12473.159039999999</v>
      </c>
      <c r="U290">
        <f t="shared" si="29"/>
        <v>14372.1</v>
      </c>
      <c r="V290" s="4">
        <f t="shared" si="32"/>
        <v>-1898.9409600000017</v>
      </c>
      <c r="W290" s="4">
        <f t="shared" si="33"/>
        <v>-0.15224218290733843</v>
      </c>
    </row>
    <row r="291" spans="1:23" x14ac:dyDescent="0.3">
      <c r="A291" t="s">
        <v>680</v>
      </c>
      <c r="B291" s="7">
        <v>45125</v>
      </c>
      <c r="C291" s="2">
        <v>45148</v>
      </c>
      <c r="D291" s="4">
        <f t="shared" si="34"/>
        <v>23</v>
      </c>
      <c r="E291" s="4" t="str">
        <f>TEXT(Data!B291,"MMM-YYYY")</f>
        <v>Aug-2025</v>
      </c>
      <c r="F291" s="4" t="str">
        <f t="shared" si="30"/>
        <v>Q3-2023</v>
      </c>
      <c r="G291" t="s">
        <v>16</v>
      </c>
      <c r="H291" t="s">
        <v>148</v>
      </c>
      <c r="I291" t="s">
        <v>149</v>
      </c>
      <c r="J291" t="s">
        <v>62</v>
      </c>
      <c r="K291" t="s">
        <v>20</v>
      </c>
      <c r="L291" t="s">
        <v>49</v>
      </c>
      <c r="M291" t="s">
        <v>22</v>
      </c>
      <c r="N291" t="s">
        <v>681</v>
      </c>
      <c r="O291" s="4">
        <v>1271.56</v>
      </c>
      <c r="P291" s="8" t="str">
        <f t="shared" si="31"/>
        <v>High</v>
      </c>
      <c r="Q291" s="4">
        <v>995.47</v>
      </c>
      <c r="R291" s="4">
        <v>0.192</v>
      </c>
      <c r="S291" s="4">
        <v>13</v>
      </c>
      <c r="T291" s="4">
        <f t="shared" si="28"/>
        <v>7796.3839200000002</v>
      </c>
      <c r="U291">
        <f t="shared" si="29"/>
        <v>16530.28</v>
      </c>
      <c r="V291" s="4">
        <f t="shared" si="32"/>
        <v>-8733.8960799999986</v>
      </c>
      <c r="W291" s="4">
        <f t="shared" si="33"/>
        <v>-1.1202496143878966</v>
      </c>
    </row>
    <row r="292" spans="1:23" x14ac:dyDescent="0.3">
      <c r="A292" t="s">
        <v>682</v>
      </c>
      <c r="B292" s="7">
        <v>45897</v>
      </c>
      <c r="C292" s="2">
        <v>45895</v>
      </c>
      <c r="D292" s="4">
        <f>DATEDIF(C292,B292, "MD")</f>
        <v>2</v>
      </c>
      <c r="E292" s="4" t="str">
        <f>TEXT(Data!B292,"MMM-YYYY")</f>
        <v>Mar-2025</v>
      </c>
      <c r="F292" s="4" t="str">
        <f t="shared" si="30"/>
        <v>Q3-2025</v>
      </c>
      <c r="G292" t="s">
        <v>16</v>
      </c>
      <c r="H292" t="s">
        <v>25</v>
      </c>
      <c r="I292" t="s">
        <v>26</v>
      </c>
      <c r="J292" t="s">
        <v>62</v>
      </c>
      <c r="K292" t="s">
        <v>20</v>
      </c>
      <c r="L292" t="s">
        <v>75</v>
      </c>
      <c r="M292" t="s">
        <v>81</v>
      </c>
      <c r="N292" t="s">
        <v>683</v>
      </c>
      <c r="O292" s="4">
        <v>521.05999999999995</v>
      </c>
      <c r="P292" s="8" t="str">
        <f t="shared" si="31"/>
        <v>High</v>
      </c>
      <c r="Q292" s="4">
        <v>1240.31</v>
      </c>
      <c r="R292" s="4">
        <v>0.14599999999999999</v>
      </c>
      <c r="S292" s="4">
        <v>18</v>
      </c>
      <c r="T292" s="4">
        <f t="shared" si="28"/>
        <v>7371.4888800000008</v>
      </c>
      <c r="U292">
        <f t="shared" si="29"/>
        <v>9379.0799999999981</v>
      </c>
      <c r="V292" s="4">
        <f t="shared" si="32"/>
        <v>-2007.5911199999973</v>
      </c>
      <c r="W292" s="4">
        <f t="shared" si="33"/>
        <v>-0.27234540439271437</v>
      </c>
    </row>
    <row r="293" spans="1:23" x14ac:dyDescent="0.3">
      <c r="A293" t="s">
        <v>684</v>
      </c>
      <c r="B293" s="7">
        <v>45746</v>
      </c>
      <c r="C293" s="2">
        <v>45754</v>
      </c>
      <c r="D293" s="4">
        <f t="shared" si="34"/>
        <v>8</v>
      </c>
      <c r="E293" s="4" t="str">
        <f>TEXT(Data!B293,"MMM-YYYY")</f>
        <v>Oct-2023</v>
      </c>
      <c r="F293" s="4" t="str">
        <f t="shared" si="30"/>
        <v>Q1-2025</v>
      </c>
      <c r="G293" t="s">
        <v>52</v>
      </c>
      <c r="H293" t="s">
        <v>73</v>
      </c>
      <c r="I293" t="s">
        <v>74</v>
      </c>
      <c r="J293" t="s">
        <v>39</v>
      </c>
      <c r="K293" t="s">
        <v>98</v>
      </c>
      <c r="L293" t="s">
        <v>49</v>
      </c>
      <c r="M293" t="s">
        <v>30</v>
      </c>
      <c r="N293" t="s">
        <v>685</v>
      </c>
      <c r="O293" s="4">
        <v>71.62</v>
      </c>
      <c r="P293" s="8" t="str">
        <f t="shared" si="31"/>
        <v>Medium</v>
      </c>
      <c r="Q293" s="4">
        <v>118.37</v>
      </c>
      <c r="R293" s="4">
        <v>0.156</v>
      </c>
      <c r="S293" s="4">
        <v>11</v>
      </c>
      <c r="T293" s="4">
        <f t="shared" si="28"/>
        <v>10911.020999999999</v>
      </c>
      <c r="U293">
        <f t="shared" si="29"/>
        <v>787.82</v>
      </c>
      <c r="V293" s="4">
        <f t="shared" si="32"/>
        <v>10123.200999999999</v>
      </c>
      <c r="W293" s="4">
        <f t="shared" si="33"/>
        <v>0.92779594136973986</v>
      </c>
    </row>
    <row r="294" spans="1:23" x14ac:dyDescent="0.3">
      <c r="A294" t="s">
        <v>686</v>
      </c>
      <c r="B294" s="7">
        <v>45220</v>
      </c>
      <c r="C294" s="2">
        <v>45239</v>
      </c>
      <c r="D294" s="4">
        <f t="shared" si="34"/>
        <v>19</v>
      </c>
      <c r="E294" s="4" t="str">
        <f>TEXT(Data!B294,"MMM-YYYY")</f>
        <v>Aug-2023</v>
      </c>
      <c r="F294" s="4" t="str">
        <f t="shared" si="30"/>
        <v>Q4-2023</v>
      </c>
      <c r="G294" t="s">
        <v>78</v>
      </c>
      <c r="H294" t="s">
        <v>108</v>
      </c>
      <c r="I294" t="s">
        <v>152</v>
      </c>
      <c r="J294" t="s">
        <v>39</v>
      </c>
      <c r="K294" t="s">
        <v>98</v>
      </c>
      <c r="L294" t="s">
        <v>75</v>
      </c>
      <c r="M294" t="s">
        <v>81</v>
      </c>
      <c r="N294" t="s">
        <v>687</v>
      </c>
      <c r="O294" s="4">
        <v>1142.48</v>
      </c>
      <c r="P294" s="8" t="str">
        <f t="shared" si="31"/>
        <v>High</v>
      </c>
      <c r="Q294" s="4">
        <v>2105.5300000000002</v>
      </c>
      <c r="R294" s="4">
        <v>0.20699999999999999</v>
      </c>
      <c r="S294" s="4">
        <v>14</v>
      </c>
      <c r="T294" s="4">
        <f t="shared" si="28"/>
        <v>2525.1498999999999</v>
      </c>
      <c r="U294">
        <f t="shared" si="29"/>
        <v>15994.720000000001</v>
      </c>
      <c r="V294" s="4">
        <f t="shared" si="32"/>
        <v>-13469.570100000001</v>
      </c>
      <c r="W294" s="4">
        <f t="shared" si="33"/>
        <v>-5.3341665379944381</v>
      </c>
    </row>
    <row r="295" spans="1:23" x14ac:dyDescent="0.3">
      <c r="A295" t="s">
        <v>688</v>
      </c>
      <c r="B295" s="7">
        <v>45161</v>
      </c>
      <c r="C295" s="2">
        <v>45191</v>
      </c>
      <c r="D295" s="4">
        <f t="shared" si="34"/>
        <v>30</v>
      </c>
      <c r="E295" s="4" t="str">
        <f>TEXT(Data!B295,"MMM-YYYY")</f>
        <v>Apr-2025</v>
      </c>
      <c r="F295" s="4" t="str">
        <f t="shared" si="30"/>
        <v>Q3-2023</v>
      </c>
      <c r="G295" t="s">
        <v>78</v>
      </c>
      <c r="H295" t="s">
        <v>108</v>
      </c>
      <c r="I295" t="s">
        <v>152</v>
      </c>
      <c r="J295" t="s">
        <v>48</v>
      </c>
      <c r="K295" t="s">
        <v>55</v>
      </c>
      <c r="L295" t="s">
        <v>68</v>
      </c>
      <c r="M295" t="s">
        <v>81</v>
      </c>
      <c r="N295" t="s">
        <v>689</v>
      </c>
      <c r="O295" s="4">
        <v>209.81</v>
      </c>
      <c r="P295" s="8" t="str">
        <f t="shared" si="31"/>
        <v>High</v>
      </c>
      <c r="Q295" s="4">
        <v>523</v>
      </c>
      <c r="R295" s="4">
        <v>5.8999999999999997E-2</v>
      </c>
      <c r="S295" s="4">
        <v>15</v>
      </c>
      <c r="T295" s="4">
        <f t="shared" si="28"/>
        <v>16636.221300000001</v>
      </c>
      <c r="U295">
        <f t="shared" si="29"/>
        <v>3147.15</v>
      </c>
      <c r="V295" s="4">
        <f t="shared" si="32"/>
        <v>13489.071300000001</v>
      </c>
      <c r="W295" s="4">
        <f t="shared" si="33"/>
        <v>0.81082543065233215</v>
      </c>
    </row>
    <row r="296" spans="1:23" x14ac:dyDescent="0.3">
      <c r="A296" t="s">
        <v>690</v>
      </c>
      <c r="B296" s="7">
        <v>45758</v>
      </c>
      <c r="C296" s="2">
        <v>45781</v>
      </c>
      <c r="D296" s="4">
        <f t="shared" si="34"/>
        <v>23</v>
      </c>
      <c r="E296" s="4" t="str">
        <f>TEXT(Data!B296,"MMM-YYYY")</f>
        <v>Jun-2025</v>
      </c>
      <c r="F296" s="4" t="str">
        <f t="shared" si="30"/>
        <v>Q2-2025</v>
      </c>
      <c r="G296" t="s">
        <v>45</v>
      </c>
      <c r="H296" t="s">
        <v>46</v>
      </c>
      <c r="I296" t="s">
        <v>47</v>
      </c>
      <c r="J296" t="s">
        <v>62</v>
      </c>
      <c r="K296" t="s">
        <v>28</v>
      </c>
      <c r="L296" t="s">
        <v>110</v>
      </c>
      <c r="M296" t="s">
        <v>22</v>
      </c>
      <c r="N296" t="s">
        <v>691</v>
      </c>
      <c r="O296" s="4">
        <v>786.2</v>
      </c>
      <c r="P296" s="8" t="str">
        <f t="shared" si="31"/>
        <v>High</v>
      </c>
      <c r="Q296" s="4">
        <v>1075.3</v>
      </c>
      <c r="R296" s="4">
        <v>0.08</v>
      </c>
      <c r="S296" s="4">
        <v>9</v>
      </c>
      <c r="T296" s="4">
        <f t="shared" si="28"/>
        <v>20054.987999999998</v>
      </c>
      <c r="U296">
        <f t="shared" si="29"/>
        <v>7075.8</v>
      </c>
      <c r="V296" s="4">
        <f t="shared" si="32"/>
        <v>12979.187999999998</v>
      </c>
      <c r="W296" s="4">
        <f t="shared" si="33"/>
        <v>0.64718004318925548</v>
      </c>
    </row>
    <row r="297" spans="1:23" x14ac:dyDescent="0.3">
      <c r="A297" t="s">
        <v>692</v>
      </c>
      <c r="B297" s="7">
        <v>45809</v>
      </c>
      <c r="C297" s="2">
        <v>45835</v>
      </c>
      <c r="D297" s="4">
        <f t="shared" si="34"/>
        <v>26</v>
      </c>
      <c r="E297" s="4" t="str">
        <f>TEXT(Data!B297,"MMM-YYYY")</f>
        <v>Mar-2024</v>
      </c>
      <c r="F297" s="4" t="str">
        <f t="shared" si="30"/>
        <v>Q2-2025</v>
      </c>
      <c r="G297" t="s">
        <v>78</v>
      </c>
      <c r="H297" t="s">
        <v>79</v>
      </c>
      <c r="I297" t="s">
        <v>159</v>
      </c>
      <c r="J297" t="s">
        <v>48</v>
      </c>
      <c r="K297" t="s">
        <v>55</v>
      </c>
      <c r="L297" t="s">
        <v>63</v>
      </c>
      <c r="M297" t="s">
        <v>57</v>
      </c>
      <c r="N297" t="s">
        <v>693</v>
      </c>
      <c r="O297" s="4">
        <v>1362.31</v>
      </c>
      <c r="P297" s="8" t="str">
        <f t="shared" si="31"/>
        <v>High</v>
      </c>
      <c r="Q297" s="4">
        <v>3294.57</v>
      </c>
      <c r="R297" s="4">
        <v>0.113</v>
      </c>
      <c r="S297" s="4">
        <v>7</v>
      </c>
      <c r="T297" s="4">
        <f t="shared" si="28"/>
        <v>2693.96092</v>
      </c>
      <c r="U297">
        <f t="shared" si="29"/>
        <v>9536.17</v>
      </c>
      <c r="V297" s="4">
        <f t="shared" si="32"/>
        <v>-6842.2090800000005</v>
      </c>
      <c r="W297" s="4">
        <f t="shared" si="33"/>
        <v>-2.5398323447097373</v>
      </c>
    </row>
    <row r="298" spans="1:23" x14ac:dyDescent="0.3">
      <c r="A298" t="s">
        <v>694</v>
      </c>
      <c r="B298" s="7">
        <v>45353</v>
      </c>
      <c r="C298" s="2">
        <v>45367</v>
      </c>
      <c r="D298" s="4">
        <f t="shared" si="34"/>
        <v>14</v>
      </c>
      <c r="E298" s="4" t="str">
        <f>TEXT(Data!B298,"MMM-YYYY")</f>
        <v>Jun-2023</v>
      </c>
      <c r="F298" s="4" t="str">
        <f t="shared" si="30"/>
        <v>Q1-2024</v>
      </c>
      <c r="G298" t="s">
        <v>52</v>
      </c>
      <c r="H298" t="s">
        <v>53</v>
      </c>
      <c r="I298" t="s">
        <v>179</v>
      </c>
      <c r="J298" t="s">
        <v>39</v>
      </c>
      <c r="K298" t="s">
        <v>98</v>
      </c>
      <c r="L298" t="s">
        <v>68</v>
      </c>
      <c r="M298" t="s">
        <v>30</v>
      </c>
      <c r="N298" t="s">
        <v>695</v>
      </c>
      <c r="O298" s="4">
        <v>248.24</v>
      </c>
      <c r="P298" s="8" t="str">
        <f t="shared" si="31"/>
        <v>High</v>
      </c>
      <c r="Q298" s="4">
        <v>464.05</v>
      </c>
      <c r="R298" s="4">
        <v>0.16900000000000001</v>
      </c>
      <c r="S298" s="4">
        <v>11</v>
      </c>
      <c r="T298" s="4">
        <f t="shared" si="28"/>
        <v>28786.197329999999</v>
      </c>
      <c r="U298">
        <f t="shared" si="29"/>
        <v>2730.6400000000003</v>
      </c>
      <c r="V298" s="4">
        <f t="shared" si="32"/>
        <v>26055.55733</v>
      </c>
      <c r="W298" s="4">
        <f t="shared" si="33"/>
        <v>0.90514064887777934</v>
      </c>
    </row>
    <row r="299" spans="1:23" x14ac:dyDescent="0.3">
      <c r="A299" t="s">
        <v>696</v>
      </c>
      <c r="B299" s="7">
        <v>45097</v>
      </c>
      <c r="C299" s="2">
        <v>45115</v>
      </c>
      <c r="D299" s="4">
        <f t="shared" si="34"/>
        <v>18</v>
      </c>
      <c r="E299" s="4" t="str">
        <f>TEXT(Data!B299,"MMM-YYYY")</f>
        <v>Mar-2024</v>
      </c>
      <c r="F299" s="4" t="str">
        <f t="shared" si="30"/>
        <v>Q2-2023</v>
      </c>
      <c r="G299" t="s">
        <v>52</v>
      </c>
      <c r="H299" t="s">
        <v>122</v>
      </c>
      <c r="I299" t="s">
        <v>326</v>
      </c>
      <c r="J299" t="s">
        <v>39</v>
      </c>
      <c r="K299" t="s">
        <v>98</v>
      </c>
      <c r="L299" t="s">
        <v>84</v>
      </c>
      <c r="M299" t="s">
        <v>64</v>
      </c>
      <c r="N299" t="s">
        <v>697</v>
      </c>
      <c r="O299" s="4">
        <v>337</v>
      </c>
      <c r="P299" s="8" t="str">
        <f t="shared" si="31"/>
        <v>High</v>
      </c>
      <c r="Q299" s="4">
        <v>511.03</v>
      </c>
      <c r="R299" s="4">
        <v>0.108</v>
      </c>
      <c r="S299" s="4">
        <v>7</v>
      </c>
      <c r="T299" s="4">
        <f t="shared" si="28"/>
        <v>409.91860000000008</v>
      </c>
      <c r="U299">
        <f t="shared" si="29"/>
        <v>2359</v>
      </c>
      <c r="V299" s="4">
        <f t="shared" si="32"/>
        <v>-1949.0814</v>
      </c>
      <c r="W299" s="4">
        <f t="shared" si="33"/>
        <v>-4.7548010751402829</v>
      </c>
    </row>
    <row r="300" spans="1:23" x14ac:dyDescent="0.3">
      <c r="A300" t="s">
        <v>698</v>
      </c>
      <c r="B300" s="7">
        <v>45377</v>
      </c>
      <c r="C300" s="2">
        <v>45387</v>
      </c>
      <c r="D300" s="4">
        <f t="shared" si="34"/>
        <v>10</v>
      </c>
      <c r="E300" s="4" t="str">
        <f>TEXT(Data!B300,"MMM-YYYY")</f>
        <v>Jan-2025</v>
      </c>
      <c r="F300" s="4" t="str">
        <f t="shared" si="30"/>
        <v>Q1-2024</v>
      </c>
      <c r="G300" t="s">
        <v>52</v>
      </c>
      <c r="H300" t="s">
        <v>122</v>
      </c>
      <c r="I300" t="s">
        <v>326</v>
      </c>
      <c r="J300" t="s">
        <v>48</v>
      </c>
      <c r="K300" t="s">
        <v>98</v>
      </c>
      <c r="L300" t="s">
        <v>29</v>
      </c>
      <c r="M300" t="s">
        <v>64</v>
      </c>
      <c r="N300" t="s">
        <v>699</v>
      </c>
      <c r="O300" s="4">
        <v>5.66</v>
      </c>
      <c r="P300" s="8" t="str">
        <f t="shared" si="31"/>
        <v>Low</v>
      </c>
      <c r="Q300" s="4">
        <v>4.22</v>
      </c>
      <c r="R300" s="4">
        <v>0.11899999999999999</v>
      </c>
      <c r="S300" s="4">
        <v>18</v>
      </c>
      <c r="T300" s="4">
        <f t="shared" si="28"/>
        <v>39520.356119999997</v>
      </c>
      <c r="U300">
        <f t="shared" si="29"/>
        <v>101.88</v>
      </c>
      <c r="V300" s="4">
        <f t="shared" si="32"/>
        <v>39418.476119999999</v>
      </c>
      <c r="W300" s="4">
        <f t="shared" si="33"/>
        <v>0.99742208800723742</v>
      </c>
    </row>
    <row r="301" spans="1:23" x14ac:dyDescent="0.3">
      <c r="A301" t="s">
        <v>700</v>
      </c>
      <c r="B301" s="7">
        <v>45679</v>
      </c>
      <c r="C301" s="2">
        <v>45679</v>
      </c>
      <c r="D301" s="4">
        <f t="shared" si="34"/>
        <v>0</v>
      </c>
      <c r="E301" s="4" t="str">
        <f>TEXT(Data!B301,"MMM-YYYY")</f>
        <v>May-2025</v>
      </c>
      <c r="F301" s="4" t="str">
        <f t="shared" si="30"/>
        <v>Q1-2025</v>
      </c>
      <c r="G301" t="s">
        <v>78</v>
      </c>
      <c r="H301" t="s">
        <v>90</v>
      </c>
      <c r="I301" t="s">
        <v>138</v>
      </c>
      <c r="J301" t="s">
        <v>62</v>
      </c>
      <c r="K301" t="s">
        <v>28</v>
      </c>
      <c r="L301" t="s">
        <v>56</v>
      </c>
      <c r="M301" t="s">
        <v>81</v>
      </c>
      <c r="N301" t="s">
        <v>701</v>
      </c>
      <c r="O301" s="4">
        <v>591.72</v>
      </c>
      <c r="P301" s="8" t="str">
        <f t="shared" si="31"/>
        <v>High</v>
      </c>
      <c r="Q301" s="4">
        <v>577.24</v>
      </c>
      <c r="R301" s="4">
        <v>0</v>
      </c>
      <c r="S301" s="4">
        <v>22</v>
      </c>
      <c r="T301" s="4">
        <f t="shared" si="28"/>
        <v>20500.48</v>
      </c>
      <c r="U301">
        <f t="shared" si="29"/>
        <v>13017.84</v>
      </c>
      <c r="V301" s="4">
        <f t="shared" si="32"/>
        <v>7482.6399999999994</v>
      </c>
      <c r="W301" s="4">
        <f t="shared" si="33"/>
        <v>0.36499828296703296</v>
      </c>
    </row>
    <row r="302" spans="1:23" x14ac:dyDescent="0.3">
      <c r="A302" t="s">
        <v>702</v>
      </c>
      <c r="B302" s="7">
        <v>45787</v>
      </c>
      <c r="C302" s="2">
        <v>45804</v>
      </c>
      <c r="D302" s="4">
        <f t="shared" si="34"/>
        <v>17</v>
      </c>
      <c r="E302" s="4" t="str">
        <f>TEXT(Data!B302,"MMM-YYYY")</f>
        <v>Oct-2023</v>
      </c>
      <c r="F302" s="4" t="str">
        <f t="shared" si="30"/>
        <v>Q2-2025</v>
      </c>
      <c r="G302" t="s">
        <v>52</v>
      </c>
      <c r="H302" t="s">
        <v>53</v>
      </c>
      <c r="I302" t="s">
        <v>179</v>
      </c>
      <c r="J302" t="s">
        <v>27</v>
      </c>
      <c r="K302" t="s">
        <v>98</v>
      </c>
      <c r="L302" t="s">
        <v>21</v>
      </c>
      <c r="M302" t="s">
        <v>22</v>
      </c>
      <c r="N302" t="s">
        <v>703</v>
      </c>
      <c r="O302" s="4">
        <v>862.89</v>
      </c>
      <c r="P302" s="8" t="str">
        <f t="shared" si="31"/>
        <v>High</v>
      </c>
      <c r="Q302" s="4">
        <v>1426.03</v>
      </c>
      <c r="R302" s="4">
        <v>5.6000000000000001E-2</v>
      </c>
      <c r="S302" s="4">
        <v>19</v>
      </c>
      <c r="T302" s="4">
        <f t="shared" si="28"/>
        <v>11111.531359999999</v>
      </c>
      <c r="U302">
        <f t="shared" si="29"/>
        <v>16394.91</v>
      </c>
      <c r="V302" s="4">
        <f t="shared" si="32"/>
        <v>-5283.3786400000008</v>
      </c>
      <c r="W302" s="4">
        <f t="shared" si="33"/>
        <v>-0.4754860935747745</v>
      </c>
    </row>
    <row r="303" spans="1:23" x14ac:dyDescent="0.3">
      <c r="A303" t="s">
        <v>704</v>
      </c>
      <c r="B303" s="7">
        <v>45204</v>
      </c>
      <c r="C303" s="2">
        <v>45230</v>
      </c>
      <c r="D303" s="4">
        <f t="shared" si="34"/>
        <v>26</v>
      </c>
      <c r="E303" s="4" t="str">
        <f>TEXT(Data!B303,"MMM-YYYY")</f>
        <v>Jul-2023</v>
      </c>
      <c r="F303" s="4" t="str">
        <f t="shared" si="30"/>
        <v>Q4-2023</v>
      </c>
      <c r="G303" t="s">
        <v>45</v>
      </c>
      <c r="H303" t="s">
        <v>116</v>
      </c>
      <c r="I303" t="s">
        <v>162</v>
      </c>
      <c r="J303" t="s">
        <v>48</v>
      </c>
      <c r="K303" t="s">
        <v>1364</v>
      </c>
      <c r="L303" t="s">
        <v>29</v>
      </c>
      <c r="M303" t="s">
        <v>30</v>
      </c>
      <c r="N303" t="s">
        <v>705</v>
      </c>
      <c r="O303" s="4">
        <v>649.91</v>
      </c>
      <c r="P303" s="8" t="str">
        <f t="shared" si="31"/>
        <v>High</v>
      </c>
      <c r="Q303" s="4">
        <v>1360.12</v>
      </c>
      <c r="R303" s="4">
        <v>0.19400000000000001</v>
      </c>
      <c r="S303" s="4">
        <v>9</v>
      </c>
      <c r="T303" s="4">
        <f t="shared" si="28"/>
        <v>10311.923699999999</v>
      </c>
      <c r="U303">
        <f t="shared" si="29"/>
        <v>5849.19</v>
      </c>
      <c r="V303" s="4">
        <f t="shared" si="32"/>
        <v>4462.7336999999998</v>
      </c>
      <c r="W303" s="4">
        <f t="shared" si="33"/>
        <v>0.43277411953697836</v>
      </c>
    </row>
    <row r="304" spans="1:23" x14ac:dyDescent="0.3">
      <c r="A304" t="s">
        <v>706</v>
      </c>
      <c r="B304" s="7">
        <v>45125</v>
      </c>
      <c r="C304" s="2">
        <v>45129</v>
      </c>
      <c r="D304" s="4">
        <f t="shared" si="34"/>
        <v>4</v>
      </c>
      <c r="E304" s="4" t="str">
        <f>TEXT(Data!B304,"MMM-YYYY")</f>
        <v>Jun-2025</v>
      </c>
      <c r="F304" s="4" t="str">
        <f t="shared" si="30"/>
        <v>Q3-2023</v>
      </c>
      <c r="G304" t="s">
        <v>52</v>
      </c>
      <c r="H304" t="s">
        <v>73</v>
      </c>
      <c r="I304" t="s">
        <v>74</v>
      </c>
      <c r="J304" t="s">
        <v>48</v>
      </c>
      <c r="K304" t="s">
        <v>98</v>
      </c>
      <c r="L304" t="s">
        <v>84</v>
      </c>
      <c r="M304" t="s">
        <v>35</v>
      </c>
      <c r="N304" t="s">
        <v>707</v>
      </c>
      <c r="O304" s="4">
        <v>1269.55</v>
      </c>
      <c r="P304" s="8" t="str">
        <f t="shared" si="31"/>
        <v>High</v>
      </c>
      <c r="Q304" s="4">
        <v>2071.1</v>
      </c>
      <c r="R304" s="4">
        <v>0.129</v>
      </c>
      <c r="S304" s="4">
        <v>22</v>
      </c>
      <c r="T304" s="4">
        <f t="shared" si="28"/>
        <v>18252.954719999998</v>
      </c>
      <c r="U304">
        <f t="shared" si="29"/>
        <v>27930.1</v>
      </c>
      <c r="V304" s="4">
        <f t="shared" si="32"/>
        <v>-9677.1452800000006</v>
      </c>
      <c r="W304" s="4">
        <f t="shared" si="33"/>
        <v>-0.53016870027057195</v>
      </c>
    </row>
    <row r="305" spans="1:23" x14ac:dyDescent="0.3">
      <c r="A305" t="s">
        <v>708</v>
      </c>
      <c r="B305" s="7">
        <v>45830</v>
      </c>
      <c r="C305" s="2">
        <v>45846</v>
      </c>
      <c r="D305" s="4">
        <f t="shared" si="34"/>
        <v>16</v>
      </c>
      <c r="E305" s="4" t="str">
        <f>TEXT(Data!B305,"MMM-YYYY")</f>
        <v>Jun-2024</v>
      </c>
      <c r="F305" s="4" t="str">
        <f t="shared" si="30"/>
        <v>Q2-2025</v>
      </c>
      <c r="G305" t="s">
        <v>78</v>
      </c>
      <c r="H305" t="s">
        <v>108</v>
      </c>
      <c r="I305" t="s">
        <v>152</v>
      </c>
      <c r="J305" t="s">
        <v>27</v>
      </c>
      <c r="K305" t="s">
        <v>98</v>
      </c>
      <c r="L305" t="s">
        <v>75</v>
      </c>
      <c r="M305" t="s">
        <v>42</v>
      </c>
      <c r="N305" t="s">
        <v>709</v>
      </c>
      <c r="O305" s="4">
        <v>892.73</v>
      </c>
      <c r="P305" s="8" t="str">
        <f t="shared" si="31"/>
        <v>High</v>
      </c>
      <c r="Q305" s="4">
        <v>979.84</v>
      </c>
      <c r="R305" s="4">
        <v>0.17399999999999999</v>
      </c>
      <c r="S305" s="4">
        <v>10</v>
      </c>
      <c r="T305" s="4">
        <f t="shared" si="28"/>
        <v>26053.196400000001</v>
      </c>
      <c r="U305">
        <f t="shared" si="29"/>
        <v>8927.2999999999993</v>
      </c>
      <c r="V305" s="4">
        <f t="shared" si="32"/>
        <v>17125.896400000001</v>
      </c>
      <c r="W305" s="4">
        <f t="shared" si="33"/>
        <v>0.65734338839129935</v>
      </c>
    </row>
    <row r="306" spans="1:23" x14ac:dyDescent="0.3">
      <c r="A306" t="s">
        <v>710</v>
      </c>
      <c r="B306" s="7">
        <v>45462</v>
      </c>
      <c r="C306" s="2">
        <v>45463</v>
      </c>
      <c r="D306" s="4">
        <f t="shared" si="34"/>
        <v>1</v>
      </c>
      <c r="E306" s="4" t="str">
        <f>TEXT(Data!B306,"MMM-YYYY")</f>
        <v>Apr-2025</v>
      </c>
      <c r="F306" s="4" t="str">
        <f t="shared" si="30"/>
        <v>Q2-2024</v>
      </c>
      <c r="G306" t="s">
        <v>16</v>
      </c>
      <c r="H306" t="s">
        <v>17</v>
      </c>
      <c r="I306" t="s">
        <v>18</v>
      </c>
      <c r="J306" t="s">
        <v>62</v>
      </c>
      <c r="K306" t="s">
        <v>98</v>
      </c>
      <c r="L306" t="s">
        <v>29</v>
      </c>
      <c r="M306" t="s">
        <v>57</v>
      </c>
      <c r="N306" t="s">
        <v>711</v>
      </c>
      <c r="O306" s="4">
        <v>231.63</v>
      </c>
      <c r="P306" s="8" t="str">
        <f t="shared" si="31"/>
        <v>High</v>
      </c>
      <c r="Q306" s="4">
        <v>537.39</v>
      </c>
      <c r="R306" s="4">
        <v>0.08</v>
      </c>
      <c r="S306" s="4">
        <v>12</v>
      </c>
      <c r="T306" s="4">
        <f t="shared" si="28"/>
        <v>2496.5855999999999</v>
      </c>
      <c r="U306">
        <f t="shared" si="29"/>
        <v>2779.56</v>
      </c>
      <c r="V306" s="4">
        <f t="shared" si="32"/>
        <v>-282.97440000000006</v>
      </c>
      <c r="W306" s="4">
        <f t="shared" si="33"/>
        <v>-0.11334456146827093</v>
      </c>
    </row>
    <row r="307" spans="1:23" x14ac:dyDescent="0.3">
      <c r="A307" t="s">
        <v>712</v>
      </c>
      <c r="B307" s="7">
        <v>45756</v>
      </c>
      <c r="C307" s="2">
        <v>45759</v>
      </c>
      <c r="D307" s="4">
        <f t="shared" si="34"/>
        <v>3</v>
      </c>
      <c r="E307" s="4" t="str">
        <f>TEXT(Data!B307,"MMM-YYYY")</f>
        <v>Mar-2025</v>
      </c>
      <c r="F307" s="4" t="str">
        <f t="shared" si="30"/>
        <v>Q2-2025</v>
      </c>
      <c r="G307" t="s">
        <v>78</v>
      </c>
      <c r="H307" t="s">
        <v>90</v>
      </c>
      <c r="I307" t="s">
        <v>138</v>
      </c>
      <c r="J307" t="s">
        <v>62</v>
      </c>
      <c r="K307" t="s">
        <v>55</v>
      </c>
      <c r="L307" t="s">
        <v>92</v>
      </c>
      <c r="M307" t="s">
        <v>64</v>
      </c>
      <c r="N307" t="s">
        <v>713</v>
      </c>
      <c r="O307" s="4">
        <v>86.68</v>
      </c>
      <c r="P307" s="8" t="str">
        <f t="shared" si="31"/>
        <v>High</v>
      </c>
      <c r="Q307" s="4">
        <v>213.32</v>
      </c>
      <c r="R307" s="4">
        <v>3.7999999999999999E-2</v>
      </c>
      <c r="S307" s="4">
        <v>8</v>
      </c>
      <c r="T307" s="4">
        <f t="shared" si="28"/>
        <v>6818.0403199999992</v>
      </c>
      <c r="U307">
        <f t="shared" si="29"/>
        <v>693.44</v>
      </c>
      <c r="V307" s="4">
        <f t="shared" si="32"/>
        <v>6124.6003199999996</v>
      </c>
      <c r="W307" s="4">
        <f t="shared" si="33"/>
        <v>0.89829335594190218</v>
      </c>
    </row>
    <row r="308" spans="1:23" x14ac:dyDescent="0.3">
      <c r="A308" t="s">
        <v>714</v>
      </c>
      <c r="B308" s="7">
        <v>45741</v>
      </c>
      <c r="C308" s="2">
        <v>45742</v>
      </c>
      <c r="D308" s="4">
        <f t="shared" si="34"/>
        <v>1</v>
      </c>
      <c r="E308" s="4" t="str">
        <f>TEXT(Data!B308,"MMM-YYYY")</f>
        <v>May-2025</v>
      </c>
      <c r="F308" s="4" t="str">
        <f t="shared" si="30"/>
        <v>Q1-2025</v>
      </c>
      <c r="G308" t="s">
        <v>16</v>
      </c>
      <c r="H308" t="s">
        <v>25</v>
      </c>
      <c r="I308" t="s">
        <v>38</v>
      </c>
      <c r="J308" t="s">
        <v>27</v>
      </c>
      <c r="K308" t="s">
        <v>55</v>
      </c>
      <c r="L308" t="s">
        <v>41</v>
      </c>
      <c r="M308" t="s">
        <v>81</v>
      </c>
      <c r="N308" t="s">
        <v>715</v>
      </c>
      <c r="O308" s="4">
        <v>1450.43</v>
      </c>
      <c r="P308" s="8" t="str">
        <f t="shared" si="31"/>
        <v>High</v>
      </c>
      <c r="Q308" s="4">
        <v>1994.67</v>
      </c>
      <c r="R308" s="4">
        <v>0.1</v>
      </c>
      <c r="S308" s="4">
        <v>24</v>
      </c>
      <c r="T308" s="4">
        <f t="shared" si="28"/>
        <v>52560.144000000008</v>
      </c>
      <c r="U308">
        <f t="shared" si="29"/>
        <v>34810.32</v>
      </c>
      <c r="V308" s="4">
        <f t="shared" si="32"/>
        <v>17749.824000000008</v>
      </c>
      <c r="W308" s="4">
        <f t="shared" si="33"/>
        <v>0.33770501085385163</v>
      </c>
    </row>
    <row r="309" spans="1:23" x14ac:dyDescent="0.3">
      <c r="A309" t="s">
        <v>716</v>
      </c>
      <c r="B309" s="7">
        <v>45795</v>
      </c>
      <c r="C309" s="2">
        <v>45817</v>
      </c>
      <c r="D309" s="4">
        <f t="shared" si="34"/>
        <v>22</v>
      </c>
      <c r="E309" s="4" t="str">
        <f>TEXT(Data!B309,"MMM-YYYY")</f>
        <v>Jan-2025</v>
      </c>
      <c r="F309" s="4" t="str">
        <f t="shared" si="30"/>
        <v>Q2-2025</v>
      </c>
      <c r="G309" t="s">
        <v>52</v>
      </c>
      <c r="H309" t="s">
        <v>122</v>
      </c>
      <c r="I309" t="s">
        <v>387</v>
      </c>
      <c r="J309" t="s">
        <v>48</v>
      </c>
      <c r="K309" t="s">
        <v>20</v>
      </c>
      <c r="L309" t="s">
        <v>92</v>
      </c>
      <c r="M309" t="s">
        <v>35</v>
      </c>
      <c r="N309" t="s">
        <v>717</v>
      </c>
      <c r="O309" s="4">
        <v>382.96</v>
      </c>
      <c r="P309" s="8" t="str">
        <f t="shared" si="31"/>
        <v>High</v>
      </c>
      <c r="Q309" s="4">
        <v>552.84</v>
      </c>
      <c r="R309" s="4">
        <v>0.17599999999999999</v>
      </c>
      <c r="S309" s="4">
        <v>8</v>
      </c>
      <c r="T309" s="4">
        <f t="shared" si="28"/>
        <v>7609.4092799999999</v>
      </c>
      <c r="U309">
        <f t="shared" si="29"/>
        <v>3063.68</v>
      </c>
      <c r="V309" s="4">
        <f t="shared" si="32"/>
        <v>4545.7292799999996</v>
      </c>
      <c r="W309" s="4">
        <f t="shared" si="33"/>
        <v>0.59738267620164065</v>
      </c>
    </row>
    <row r="310" spans="1:23" x14ac:dyDescent="0.3">
      <c r="A310" t="s">
        <v>718</v>
      </c>
      <c r="B310" s="7">
        <v>45679</v>
      </c>
      <c r="C310" s="2">
        <v>45692</v>
      </c>
      <c r="D310" s="4">
        <f t="shared" si="34"/>
        <v>13</v>
      </c>
      <c r="E310" s="4" t="str">
        <f>TEXT(Data!B310,"MMM-YYYY")</f>
        <v>Jan-2023</v>
      </c>
      <c r="F310" s="4" t="str">
        <f t="shared" si="30"/>
        <v>Q1-2025</v>
      </c>
      <c r="G310" t="s">
        <v>45</v>
      </c>
      <c r="H310" t="s">
        <v>46</v>
      </c>
      <c r="I310" t="s">
        <v>214</v>
      </c>
      <c r="J310" t="s">
        <v>62</v>
      </c>
      <c r="K310" t="s">
        <v>55</v>
      </c>
      <c r="L310" t="s">
        <v>49</v>
      </c>
      <c r="M310" t="s">
        <v>30</v>
      </c>
      <c r="N310" t="s">
        <v>719</v>
      </c>
      <c r="O310" s="4">
        <v>122.29</v>
      </c>
      <c r="P310" s="8" t="str">
        <f t="shared" si="31"/>
        <v>High</v>
      </c>
      <c r="Q310" s="4">
        <v>224.95</v>
      </c>
      <c r="R310" s="4">
        <v>0.153</v>
      </c>
      <c r="S310" s="4">
        <v>28</v>
      </c>
      <c r="T310" s="4">
        <f t="shared" si="28"/>
        <v>26941.13884</v>
      </c>
      <c r="U310">
        <f t="shared" si="29"/>
        <v>3424.1200000000003</v>
      </c>
      <c r="V310" s="4">
        <f t="shared" si="32"/>
        <v>23517.018840000001</v>
      </c>
      <c r="W310" s="4">
        <f t="shared" si="33"/>
        <v>0.8729036652705956</v>
      </c>
    </row>
    <row r="311" spans="1:23" x14ac:dyDescent="0.3">
      <c r="A311" t="s">
        <v>720</v>
      </c>
      <c r="B311" s="7">
        <v>44936</v>
      </c>
      <c r="C311" s="2">
        <v>44955</v>
      </c>
      <c r="D311" s="4">
        <f t="shared" si="34"/>
        <v>19</v>
      </c>
      <c r="E311" s="4" t="str">
        <f>TEXT(Data!B311,"MMM-YYYY")</f>
        <v>Dec-2024</v>
      </c>
      <c r="F311" s="4" t="str">
        <f t="shared" si="30"/>
        <v>Q1-2023</v>
      </c>
      <c r="G311" t="s">
        <v>78</v>
      </c>
      <c r="H311" t="s">
        <v>90</v>
      </c>
      <c r="I311" t="s">
        <v>138</v>
      </c>
      <c r="J311" t="s">
        <v>39</v>
      </c>
      <c r="K311" t="s">
        <v>98</v>
      </c>
      <c r="L311" t="s">
        <v>145</v>
      </c>
      <c r="M311" t="s">
        <v>57</v>
      </c>
      <c r="N311" t="s">
        <v>721</v>
      </c>
      <c r="O311" s="4">
        <v>401.66</v>
      </c>
      <c r="P311" s="8" t="str">
        <f t="shared" si="31"/>
        <v>High</v>
      </c>
      <c r="Q311" s="4">
        <v>772.09</v>
      </c>
      <c r="R311" s="4">
        <v>8.8999999999999996E-2</v>
      </c>
      <c r="S311" s="4">
        <v>14</v>
      </c>
      <c r="T311" s="4">
        <f t="shared" si="28"/>
        <v>35096.967360000002</v>
      </c>
      <c r="U311">
        <f t="shared" si="29"/>
        <v>5623.2400000000007</v>
      </c>
      <c r="V311" s="4">
        <f t="shared" si="32"/>
        <v>29473.727360000001</v>
      </c>
      <c r="W311" s="4">
        <f t="shared" si="33"/>
        <v>0.83977988917615698</v>
      </c>
    </row>
    <row r="312" spans="1:23" x14ac:dyDescent="0.3">
      <c r="A312" t="s">
        <v>722</v>
      </c>
      <c r="B312" s="7">
        <v>45655</v>
      </c>
      <c r="C312" s="2">
        <v>45669</v>
      </c>
      <c r="D312" s="4">
        <f t="shared" si="34"/>
        <v>14</v>
      </c>
      <c r="E312" s="4" t="str">
        <f>TEXT(Data!B312,"MMM-YYYY")</f>
        <v>May-2024</v>
      </c>
      <c r="F312" s="4" t="str">
        <f t="shared" si="30"/>
        <v>Q4-2024</v>
      </c>
      <c r="G312" t="s">
        <v>78</v>
      </c>
      <c r="H312" t="s">
        <v>108</v>
      </c>
      <c r="I312" t="s">
        <v>228</v>
      </c>
      <c r="J312" t="s">
        <v>19</v>
      </c>
      <c r="K312" t="s">
        <v>98</v>
      </c>
      <c r="L312" t="s">
        <v>56</v>
      </c>
      <c r="M312" t="s">
        <v>64</v>
      </c>
      <c r="N312" t="s">
        <v>723</v>
      </c>
      <c r="O312" s="4">
        <v>1399.72</v>
      </c>
      <c r="P312" s="8" t="str">
        <f t="shared" si="31"/>
        <v>High</v>
      </c>
      <c r="Q312" s="4">
        <v>3149.21</v>
      </c>
      <c r="R312" s="4">
        <v>0.185</v>
      </c>
      <c r="S312" s="4">
        <v>12</v>
      </c>
      <c r="T312" s="4">
        <f t="shared" si="28"/>
        <v>13444.761599999998</v>
      </c>
      <c r="U312">
        <f t="shared" si="29"/>
        <v>16796.64</v>
      </c>
      <c r="V312" s="4">
        <f t="shared" si="32"/>
        <v>-3351.8784000000014</v>
      </c>
      <c r="W312" s="4">
        <f t="shared" si="33"/>
        <v>-0.24930738823959525</v>
      </c>
    </row>
    <row r="313" spans="1:23" x14ac:dyDescent="0.3">
      <c r="A313" t="s">
        <v>724</v>
      </c>
      <c r="B313" s="7">
        <v>45435</v>
      </c>
      <c r="C313" s="2">
        <v>45449</v>
      </c>
      <c r="D313" s="4">
        <f t="shared" si="34"/>
        <v>14</v>
      </c>
      <c r="E313" s="4" t="str">
        <f>TEXT(Data!B313,"MMM-YYYY")</f>
        <v>Jun-2023</v>
      </c>
      <c r="F313" s="4" t="str">
        <f t="shared" si="30"/>
        <v>Q2-2024</v>
      </c>
      <c r="G313" t="s">
        <v>52</v>
      </c>
      <c r="H313" t="s">
        <v>73</v>
      </c>
      <c r="I313" t="s">
        <v>225</v>
      </c>
      <c r="J313" t="s">
        <v>39</v>
      </c>
      <c r="K313" t="s">
        <v>28</v>
      </c>
      <c r="L313" t="s">
        <v>34</v>
      </c>
      <c r="M313" t="s">
        <v>35</v>
      </c>
      <c r="N313" t="s">
        <v>725</v>
      </c>
      <c r="O313" s="4">
        <v>51.13</v>
      </c>
      <c r="P313" s="8" t="str">
        <f t="shared" si="31"/>
        <v>Medium</v>
      </c>
      <c r="Q313" s="4">
        <v>57.53</v>
      </c>
      <c r="R313" s="4">
        <v>4.4999999999999998E-2</v>
      </c>
      <c r="S313" s="4">
        <v>16</v>
      </c>
      <c r="T313" s="4">
        <f t="shared" si="28"/>
        <v>20144.693599999999</v>
      </c>
      <c r="U313">
        <f t="shared" si="29"/>
        <v>818.08</v>
      </c>
      <c r="V313" s="4">
        <f t="shared" si="32"/>
        <v>19326.613599999997</v>
      </c>
      <c r="W313" s="4">
        <f t="shared" si="33"/>
        <v>0.95938980178879452</v>
      </c>
    </row>
    <row r="314" spans="1:23" x14ac:dyDescent="0.3">
      <c r="A314" t="s">
        <v>726</v>
      </c>
      <c r="B314" s="7">
        <v>45101</v>
      </c>
      <c r="C314" s="2">
        <v>45099</v>
      </c>
      <c r="D314" s="4">
        <f>DATEDIF(C314,B314, "MD")</f>
        <v>2</v>
      </c>
      <c r="E314" s="4" t="str">
        <f>TEXT(Data!B314,"MMM-YYYY")</f>
        <v>Nov-2024</v>
      </c>
      <c r="F314" s="4" t="str">
        <f t="shared" si="30"/>
        <v>Q2-2023</v>
      </c>
      <c r="G314" t="s">
        <v>52</v>
      </c>
      <c r="H314" t="s">
        <v>53</v>
      </c>
      <c r="I314" t="s">
        <v>54</v>
      </c>
      <c r="J314" t="s">
        <v>39</v>
      </c>
      <c r="K314" t="s">
        <v>20</v>
      </c>
      <c r="L314" t="s">
        <v>110</v>
      </c>
      <c r="M314" t="s">
        <v>81</v>
      </c>
      <c r="N314" t="s">
        <v>727</v>
      </c>
      <c r="O314" s="4">
        <v>471.42</v>
      </c>
      <c r="P314" s="8" t="str">
        <f t="shared" si="31"/>
        <v>High</v>
      </c>
      <c r="Q314" s="4">
        <v>824.81</v>
      </c>
      <c r="R314" s="4">
        <v>8.7999999999999995E-2</v>
      </c>
      <c r="S314" s="4">
        <v>15</v>
      </c>
      <c r="T314" s="4">
        <f t="shared" si="28"/>
        <v>6043.0032000000001</v>
      </c>
      <c r="U314">
        <f t="shared" si="29"/>
        <v>7071.3</v>
      </c>
      <c r="V314" s="4">
        <f t="shared" si="32"/>
        <v>-1028.2968000000001</v>
      </c>
      <c r="W314" s="4">
        <f t="shared" si="33"/>
        <v>-0.17016320626803574</v>
      </c>
    </row>
    <row r="315" spans="1:23" x14ac:dyDescent="0.3">
      <c r="A315" t="s">
        <v>728</v>
      </c>
      <c r="B315" s="7">
        <v>45600</v>
      </c>
      <c r="C315" s="2">
        <v>45601</v>
      </c>
      <c r="D315" s="4">
        <f t="shared" si="34"/>
        <v>1</v>
      </c>
      <c r="E315" s="4" t="str">
        <f>TEXT(Data!B315,"MMM-YYYY")</f>
        <v>Jun-2024</v>
      </c>
      <c r="F315" s="4" t="str">
        <f t="shared" si="30"/>
        <v>Q4-2024</v>
      </c>
      <c r="G315" t="s">
        <v>78</v>
      </c>
      <c r="H315" t="s">
        <v>108</v>
      </c>
      <c r="I315" t="s">
        <v>152</v>
      </c>
      <c r="J315" t="s">
        <v>19</v>
      </c>
      <c r="K315" t="s">
        <v>20</v>
      </c>
      <c r="L315" t="s">
        <v>110</v>
      </c>
      <c r="M315" t="s">
        <v>30</v>
      </c>
      <c r="N315" t="s">
        <v>729</v>
      </c>
      <c r="O315" s="4">
        <v>840.68</v>
      </c>
      <c r="P315" s="8" t="str">
        <f t="shared" si="31"/>
        <v>High</v>
      </c>
      <c r="Q315" s="4">
        <v>1493.53</v>
      </c>
      <c r="R315" s="4">
        <v>0</v>
      </c>
      <c r="S315" s="4">
        <v>27</v>
      </c>
      <c r="T315" s="4">
        <f t="shared" si="28"/>
        <v>35911.89</v>
      </c>
      <c r="U315">
        <f t="shared" si="29"/>
        <v>22698.359999999997</v>
      </c>
      <c r="V315" s="4">
        <f t="shared" si="32"/>
        <v>13213.530000000002</v>
      </c>
      <c r="W315" s="4">
        <f t="shared" si="33"/>
        <v>0.36794304059184862</v>
      </c>
    </row>
    <row r="316" spans="1:23" x14ac:dyDescent="0.3">
      <c r="A316" t="s">
        <v>730</v>
      </c>
      <c r="B316" s="7">
        <v>45451</v>
      </c>
      <c r="C316" s="2">
        <v>45467</v>
      </c>
      <c r="D316" s="4">
        <f t="shared" si="34"/>
        <v>16</v>
      </c>
      <c r="E316" s="4" t="str">
        <f>TEXT(Data!B316,"MMM-YYYY")</f>
        <v>Jun-2025</v>
      </c>
      <c r="F316" s="4" t="str">
        <f t="shared" si="30"/>
        <v>Q2-2024</v>
      </c>
      <c r="G316" t="s">
        <v>16</v>
      </c>
      <c r="H316" t="s">
        <v>148</v>
      </c>
      <c r="I316" t="s">
        <v>172</v>
      </c>
      <c r="J316" t="s">
        <v>27</v>
      </c>
      <c r="K316" t="s">
        <v>55</v>
      </c>
      <c r="L316" t="s">
        <v>92</v>
      </c>
      <c r="M316" t="s">
        <v>64</v>
      </c>
      <c r="N316" t="s">
        <v>731</v>
      </c>
      <c r="O316" s="4">
        <v>597.85</v>
      </c>
      <c r="P316" s="8" t="str">
        <f t="shared" si="31"/>
        <v>High</v>
      </c>
      <c r="Q316" s="4">
        <v>741.92</v>
      </c>
      <c r="R316" s="4">
        <v>3.1E-2</v>
      </c>
      <c r="S316" s="4">
        <v>7</v>
      </c>
      <c r="T316" s="4">
        <f t="shared" si="28"/>
        <v>11089.255379999999</v>
      </c>
      <c r="U316">
        <f t="shared" si="29"/>
        <v>4184.95</v>
      </c>
      <c r="V316" s="4">
        <f t="shared" si="32"/>
        <v>6904.3053799999989</v>
      </c>
      <c r="W316" s="4">
        <f t="shared" si="33"/>
        <v>0.62261217217995024</v>
      </c>
    </row>
    <row r="317" spans="1:23" x14ac:dyDescent="0.3">
      <c r="A317" t="s">
        <v>732</v>
      </c>
      <c r="B317" s="7">
        <v>45809</v>
      </c>
      <c r="C317" s="2">
        <v>45814</v>
      </c>
      <c r="D317" s="4">
        <f t="shared" si="34"/>
        <v>5</v>
      </c>
      <c r="E317" s="4" t="str">
        <f>TEXT(Data!B317,"MMM-YYYY")</f>
        <v>May-2023</v>
      </c>
      <c r="F317" s="4" t="str">
        <f t="shared" si="30"/>
        <v>Q2-2025</v>
      </c>
      <c r="G317" t="s">
        <v>78</v>
      </c>
      <c r="H317" t="s">
        <v>90</v>
      </c>
      <c r="I317" t="s">
        <v>217</v>
      </c>
      <c r="J317" t="s">
        <v>48</v>
      </c>
      <c r="K317" t="s">
        <v>55</v>
      </c>
      <c r="L317" t="s">
        <v>41</v>
      </c>
      <c r="M317" t="s">
        <v>22</v>
      </c>
      <c r="N317" t="s">
        <v>733</v>
      </c>
      <c r="O317" s="4">
        <v>379.45</v>
      </c>
      <c r="P317" s="8" t="str">
        <f t="shared" si="31"/>
        <v>High</v>
      </c>
      <c r="Q317" s="4">
        <v>742.23</v>
      </c>
      <c r="R317" s="4">
        <v>0.09</v>
      </c>
      <c r="S317" s="4">
        <v>13</v>
      </c>
      <c r="T317" s="4">
        <f t="shared" si="28"/>
        <v>835.19799999999998</v>
      </c>
      <c r="U317">
        <f t="shared" si="29"/>
        <v>4932.8499999999995</v>
      </c>
      <c r="V317" s="4">
        <f t="shared" si="32"/>
        <v>-4097.6519999999991</v>
      </c>
      <c r="W317" s="4">
        <f t="shared" si="33"/>
        <v>-4.9062042773090919</v>
      </c>
    </row>
    <row r="318" spans="1:23" x14ac:dyDescent="0.3">
      <c r="A318" t="s">
        <v>734</v>
      </c>
      <c r="B318" s="7">
        <v>45052</v>
      </c>
      <c r="C318" s="2">
        <v>45060</v>
      </c>
      <c r="D318" s="4">
        <f t="shared" si="34"/>
        <v>8</v>
      </c>
      <c r="E318" s="4" t="str">
        <f>TEXT(Data!B318,"MMM-YYYY")</f>
        <v>Nov-2023</v>
      </c>
      <c r="F318" s="4" t="str">
        <f t="shared" si="30"/>
        <v>Q2-2023</v>
      </c>
      <c r="G318" t="s">
        <v>45</v>
      </c>
      <c r="H318" t="s">
        <v>46</v>
      </c>
      <c r="I318" t="s">
        <v>47</v>
      </c>
      <c r="J318" t="s">
        <v>105</v>
      </c>
      <c r="K318" t="s">
        <v>40</v>
      </c>
      <c r="L318" t="s">
        <v>56</v>
      </c>
      <c r="M318" t="s">
        <v>42</v>
      </c>
      <c r="N318" t="s">
        <v>735</v>
      </c>
      <c r="O318" s="4">
        <v>291.18</v>
      </c>
      <c r="P318" s="8" t="str">
        <f t="shared" si="31"/>
        <v>High</v>
      </c>
      <c r="Q318" s="4">
        <v>479.54</v>
      </c>
      <c r="R318" s="4">
        <v>0.14099999999999999</v>
      </c>
      <c r="S318" s="4">
        <v>22</v>
      </c>
      <c r="T318" s="4">
        <f t="shared" si="28"/>
        <v>34451.80992</v>
      </c>
      <c r="U318">
        <f t="shared" si="29"/>
        <v>6405.96</v>
      </c>
      <c r="V318" s="4">
        <f t="shared" si="32"/>
        <v>28045.849920000001</v>
      </c>
      <c r="W318" s="4">
        <f t="shared" si="33"/>
        <v>0.81406027680765747</v>
      </c>
    </row>
    <row r="319" spans="1:23" x14ac:dyDescent="0.3">
      <c r="A319" t="s">
        <v>736</v>
      </c>
      <c r="B319" s="7">
        <v>45244</v>
      </c>
      <c r="C319" s="2">
        <v>45260</v>
      </c>
      <c r="D319" s="4">
        <f t="shared" si="34"/>
        <v>16</v>
      </c>
      <c r="E319" s="4" t="str">
        <f>TEXT(Data!B319,"MMM-YYYY")</f>
        <v>Apr-2025</v>
      </c>
      <c r="F319" s="4" t="str">
        <f t="shared" si="30"/>
        <v>Q4-2023</v>
      </c>
      <c r="G319" t="s">
        <v>52</v>
      </c>
      <c r="H319" t="s">
        <v>73</v>
      </c>
      <c r="I319" t="s">
        <v>74</v>
      </c>
      <c r="J319" t="s">
        <v>105</v>
      </c>
      <c r="K319" t="s">
        <v>98</v>
      </c>
      <c r="L319" t="s">
        <v>95</v>
      </c>
      <c r="M319" t="s">
        <v>35</v>
      </c>
      <c r="N319" t="s">
        <v>737</v>
      </c>
      <c r="O319" s="4">
        <v>1017.92</v>
      </c>
      <c r="P319" s="8" t="str">
        <f t="shared" si="31"/>
        <v>High</v>
      </c>
      <c r="Q319" s="4">
        <v>1175.25</v>
      </c>
      <c r="R319" s="4">
        <v>7.4999999999999997E-2</v>
      </c>
      <c r="S319" s="4">
        <v>15</v>
      </c>
      <c r="T319" s="4">
        <f t="shared" si="28"/>
        <v>27971.861250000002</v>
      </c>
      <c r="U319">
        <f t="shared" si="29"/>
        <v>15268.8</v>
      </c>
      <c r="V319" s="4">
        <f t="shared" si="32"/>
        <v>12703.061250000002</v>
      </c>
      <c r="W319" s="4">
        <f t="shared" si="33"/>
        <v>0.45413714648681097</v>
      </c>
    </row>
    <row r="320" spans="1:23" x14ac:dyDescent="0.3">
      <c r="A320" t="s">
        <v>738</v>
      </c>
      <c r="B320" s="7">
        <v>45748</v>
      </c>
      <c r="C320" s="2">
        <v>45774</v>
      </c>
      <c r="D320" s="4">
        <f t="shared" si="34"/>
        <v>26</v>
      </c>
      <c r="E320" s="4" t="str">
        <f>TEXT(Data!B320,"MMM-YYYY")</f>
        <v>Mar-2023</v>
      </c>
      <c r="F320" s="4" t="str">
        <f t="shared" si="30"/>
        <v>Q2-2025</v>
      </c>
      <c r="G320" t="s">
        <v>52</v>
      </c>
      <c r="H320" t="s">
        <v>122</v>
      </c>
      <c r="I320" t="s">
        <v>167</v>
      </c>
      <c r="J320" t="s">
        <v>19</v>
      </c>
      <c r="K320" t="s">
        <v>98</v>
      </c>
      <c r="L320" t="s">
        <v>34</v>
      </c>
      <c r="M320" t="s">
        <v>64</v>
      </c>
      <c r="N320" t="s">
        <v>739</v>
      </c>
      <c r="O320" s="4">
        <v>156.55000000000001</v>
      </c>
      <c r="P320" s="8" t="str">
        <f t="shared" si="31"/>
        <v>High</v>
      </c>
      <c r="Q320" s="4">
        <v>227.45</v>
      </c>
      <c r="R320" s="4">
        <v>1.4E-2</v>
      </c>
      <c r="S320" s="4">
        <v>13</v>
      </c>
      <c r="T320" s="4">
        <f t="shared" si="28"/>
        <v>3129.2583399999999</v>
      </c>
      <c r="U320">
        <f t="shared" si="29"/>
        <v>2035.15</v>
      </c>
      <c r="V320" s="4">
        <f t="shared" si="32"/>
        <v>1094.1083399999998</v>
      </c>
      <c r="W320" s="4">
        <f t="shared" si="33"/>
        <v>0.34963822769583153</v>
      </c>
    </row>
    <row r="321" spans="1:23" x14ac:dyDescent="0.3">
      <c r="A321" t="s">
        <v>740</v>
      </c>
      <c r="B321" s="7">
        <v>45008</v>
      </c>
      <c r="C321" s="2">
        <v>45031</v>
      </c>
      <c r="D321" s="4">
        <f t="shared" si="34"/>
        <v>23</v>
      </c>
      <c r="E321" s="4" t="str">
        <f>TEXT(Data!B321,"MMM-YYYY")</f>
        <v>May-2024</v>
      </c>
      <c r="F321" s="4" t="str">
        <f t="shared" si="30"/>
        <v>Q1-2023</v>
      </c>
      <c r="G321" t="s">
        <v>16</v>
      </c>
      <c r="H321" t="s">
        <v>17</v>
      </c>
      <c r="I321" t="s">
        <v>113</v>
      </c>
      <c r="J321" t="s">
        <v>62</v>
      </c>
      <c r="K321" t="s">
        <v>20</v>
      </c>
      <c r="L321" t="s">
        <v>21</v>
      </c>
      <c r="M321" t="s">
        <v>81</v>
      </c>
      <c r="N321" t="s">
        <v>741</v>
      </c>
      <c r="O321" s="4">
        <v>875.36</v>
      </c>
      <c r="P321" s="8" t="str">
        <f t="shared" si="31"/>
        <v>High</v>
      </c>
      <c r="Q321" s="4">
        <v>1178.6199999999999</v>
      </c>
      <c r="R321" s="4">
        <v>0.151</v>
      </c>
      <c r="S321" s="4">
        <v>53</v>
      </c>
      <c r="T321" s="4">
        <f t="shared" si="28"/>
        <v>125232.05063999999</v>
      </c>
      <c r="U321">
        <f t="shared" si="29"/>
        <v>46394.080000000002</v>
      </c>
      <c r="V321" s="4">
        <f t="shared" si="32"/>
        <v>78837.970639999985</v>
      </c>
      <c r="W321" s="4">
        <f t="shared" si="33"/>
        <v>0.62953509295022747</v>
      </c>
    </row>
    <row r="322" spans="1:23" x14ac:dyDescent="0.3">
      <c r="A322" t="s">
        <v>742</v>
      </c>
      <c r="B322" s="7">
        <v>45440</v>
      </c>
      <c r="C322" s="2">
        <v>45461</v>
      </c>
      <c r="D322" s="4">
        <f t="shared" si="34"/>
        <v>21</v>
      </c>
      <c r="E322" s="4" t="str">
        <f>TEXT(Data!B322,"MMM-YYYY")</f>
        <v>Jan-2024</v>
      </c>
      <c r="F322" s="4" t="str">
        <f t="shared" si="30"/>
        <v>Q2-2024</v>
      </c>
      <c r="G322" t="s">
        <v>78</v>
      </c>
      <c r="H322" t="s">
        <v>79</v>
      </c>
      <c r="I322" t="s">
        <v>335</v>
      </c>
      <c r="J322" t="s">
        <v>62</v>
      </c>
      <c r="K322" t="s">
        <v>28</v>
      </c>
      <c r="L322" t="s">
        <v>63</v>
      </c>
      <c r="M322" t="s">
        <v>42</v>
      </c>
      <c r="N322" t="s">
        <v>743</v>
      </c>
      <c r="O322" s="4">
        <v>986.85</v>
      </c>
      <c r="P322" s="8" t="str">
        <f t="shared" si="31"/>
        <v>High</v>
      </c>
      <c r="Q322" s="4">
        <v>2422.1</v>
      </c>
      <c r="R322" s="4">
        <v>7.5999999999999998E-2</v>
      </c>
      <c r="S322" s="4">
        <v>10</v>
      </c>
      <c r="T322" s="4">
        <f t="shared" ref="T322:T385" si="35">(Q348*S322)*(1-R322)</f>
        <v>18944.864399999999</v>
      </c>
      <c r="U322">
        <f t="shared" ref="U322:U385" si="36">(O322*S322)</f>
        <v>9868.5</v>
      </c>
      <c r="V322" s="4">
        <f t="shared" si="32"/>
        <v>9076.3643999999986</v>
      </c>
      <c r="W322" s="4">
        <f t="shared" si="33"/>
        <v>0.47909365875429538</v>
      </c>
    </row>
    <row r="323" spans="1:23" x14ac:dyDescent="0.3">
      <c r="A323" t="s">
        <v>744</v>
      </c>
      <c r="B323" s="7">
        <v>45293</v>
      </c>
      <c r="C323" s="2">
        <v>45292</v>
      </c>
      <c r="D323" s="4">
        <f>DATEDIF(C323,B323, "MD")</f>
        <v>1</v>
      </c>
      <c r="E323" s="4" t="str">
        <f>TEXT(Data!B323,"MMM-YYYY")</f>
        <v>Feb-2023</v>
      </c>
      <c r="F323" s="4" t="str">
        <f t="shared" ref="F323:F386" si="37">"Q"&amp;ROUNDUP(MONTH(B323)/3,0)&amp;"-"&amp;YEAR(B323)</f>
        <v>Q1-2024</v>
      </c>
      <c r="G323" t="s">
        <v>52</v>
      </c>
      <c r="H323" t="s">
        <v>122</v>
      </c>
      <c r="I323" t="s">
        <v>123</v>
      </c>
      <c r="J323" t="s">
        <v>27</v>
      </c>
      <c r="K323" t="s">
        <v>40</v>
      </c>
      <c r="L323" t="s">
        <v>56</v>
      </c>
      <c r="M323" t="s">
        <v>35</v>
      </c>
      <c r="N323" t="s">
        <v>745</v>
      </c>
      <c r="O323" s="4">
        <v>404.77</v>
      </c>
      <c r="P323" s="8" t="str">
        <f t="shared" ref="P323:P386" si="38">IF(Q323&lt;50, "Low", IF(Q323&lt;200, "Medium", "High"))</f>
        <v>High</v>
      </c>
      <c r="Q323" s="4">
        <v>433.88</v>
      </c>
      <c r="R323" s="4">
        <v>0.215</v>
      </c>
      <c r="S323" s="4">
        <v>22</v>
      </c>
      <c r="T323" s="4">
        <f t="shared" si="35"/>
        <v>2540.7624000000005</v>
      </c>
      <c r="U323">
        <f t="shared" si="36"/>
        <v>8904.9399999999987</v>
      </c>
      <c r="V323" s="4">
        <f t="shared" ref="V323:V386" si="39">(T323-U323)</f>
        <v>-6364.1775999999982</v>
      </c>
      <c r="W323" s="4">
        <f t="shared" ref="W323:W386" si="40">IF(T323=0, 0, V323/T323)</f>
        <v>-2.504829888855407</v>
      </c>
    </row>
    <row r="324" spans="1:23" x14ac:dyDescent="0.3">
      <c r="A324" t="s">
        <v>746</v>
      </c>
      <c r="B324" s="7">
        <v>44985</v>
      </c>
      <c r="C324" s="2">
        <v>44984</v>
      </c>
      <c r="D324" s="4">
        <f>DATEDIF(C324,B324, "MD")</f>
        <v>1</v>
      </c>
      <c r="E324" s="4" t="str">
        <f>TEXT(Data!B324,"MMM-YYYY")</f>
        <v>Feb-2024</v>
      </c>
      <c r="F324" s="4" t="str">
        <f t="shared" si="37"/>
        <v>Q1-2023</v>
      </c>
      <c r="G324" t="s">
        <v>78</v>
      </c>
      <c r="H324" t="s">
        <v>90</v>
      </c>
      <c r="I324" t="s">
        <v>91</v>
      </c>
      <c r="J324" t="s">
        <v>19</v>
      </c>
      <c r="K324" t="s">
        <v>20</v>
      </c>
      <c r="L324" t="s">
        <v>95</v>
      </c>
      <c r="M324" t="s">
        <v>35</v>
      </c>
      <c r="N324" t="s">
        <v>747</v>
      </c>
      <c r="O324" s="4">
        <v>1299.81</v>
      </c>
      <c r="P324" s="8" t="str">
        <f t="shared" si="38"/>
        <v>High</v>
      </c>
      <c r="Q324" s="4">
        <v>3149.13</v>
      </c>
      <c r="R324" s="4">
        <v>0.10299999999999999</v>
      </c>
      <c r="S324" s="4">
        <v>14</v>
      </c>
      <c r="T324" s="4">
        <f t="shared" si="35"/>
        <v>24902.262840000003</v>
      </c>
      <c r="U324">
        <f t="shared" si="36"/>
        <v>18197.34</v>
      </c>
      <c r="V324" s="4">
        <f t="shared" si="39"/>
        <v>6704.9228400000029</v>
      </c>
      <c r="W324" s="4">
        <f t="shared" si="40"/>
        <v>0.26924954101881943</v>
      </c>
    </row>
    <row r="325" spans="1:23" x14ac:dyDescent="0.3">
      <c r="A325" t="s">
        <v>748</v>
      </c>
      <c r="B325" s="7">
        <v>45340</v>
      </c>
      <c r="C325" s="2">
        <v>45362</v>
      </c>
      <c r="D325" s="4">
        <f t="shared" ref="D325:D388" si="41">DATEDIF(B325,C325, "MD")</f>
        <v>22</v>
      </c>
      <c r="E325" s="4" t="str">
        <f>TEXT(Data!B325,"MMM-YYYY")</f>
        <v>Sept-2024</v>
      </c>
      <c r="F325" s="4" t="str">
        <f t="shared" si="37"/>
        <v>Q1-2024</v>
      </c>
      <c r="G325" t="s">
        <v>52</v>
      </c>
      <c r="H325" t="s">
        <v>73</v>
      </c>
      <c r="I325" t="s">
        <v>74</v>
      </c>
      <c r="J325" t="s">
        <v>48</v>
      </c>
      <c r="K325" t="s">
        <v>28</v>
      </c>
      <c r="L325" t="s">
        <v>75</v>
      </c>
      <c r="M325" t="s">
        <v>22</v>
      </c>
      <c r="N325" t="s">
        <v>749</v>
      </c>
      <c r="O325" s="4">
        <v>80.48</v>
      </c>
      <c r="P325" s="8" t="str">
        <f t="shared" si="38"/>
        <v>Medium</v>
      </c>
      <c r="Q325" s="4">
        <v>65.650000000000006</v>
      </c>
      <c r="R325" s="4">
        <v>0.17599999999999999</v>
      </c>
      <c r="S325" s="4">
        <v>13</v>
      </c>
      <c r="T325" s="4">
        <f t="shared" si="35"/>
        <v>24630.101600000002</v>
      </c>
      <c r="U325">
        <f t="shared" si="36"/>
        <v>1046.24</v>
      </c>
      <c r="V325" s="4">
        <f t="shared" si="39"/>
        <v>23583.8616</v>
      </c>
      <c r="W325" s="4">
        <f t="shared" si="40"/>
        <v>0.95752189670220433</v>
      </c>
    </row>
    <row r="326" spans="1:23" x14ac:dyDescent="0.3">
      <c r="A326" t="s">
        <v>750</v>
      </c>
      <c r="B326" s="7">
        <v>45544</v>
      </c>
      <c r="C326" s="2">
        <v>45573</v>
      </c>
      <c r="D326" s="4">
        <f t="shared" si="41"/>
        <v>29</v>
      </c>
      <c r="E326" s="4" t="str">
        <f>TEXT(Data!B326,"MMM-YYYY")</f>
        <v>May-2023</v>
      </c>
      <c r="F326" s="4" t="str">
        <f t="shared" si="37"/>
        <v>Q3-2024</v>
      </c>
      <c r="G326" t="s">
        <v>52</v>
      </c>
      <c r="H326" t="s">
        <v>73</v>
      </c>
      <c r="I326" t="s">
        <v>74</v>
      </c>
      <c r="J326" t="s">
        <v>27</v>
      </c>
      <c r="K326" t="s">
        <v>98</v>
      </c>
      <c r="L326" t="s">
        <v>29</v>
      </c>
      <c r="M326" t="s">
        <v>22</v>
      </c>
      <c r="N326" t="s">
        <v>751</v>
      </c>
      <c r="O326" s="4">
        <v>1010.33</v>
      </c>
      <c r="P326" s="8" t="str">
        <f t="shared" si="38"/>
        <v>High</v>
      </c>
      <c r="Q326" s="4">
        <v>2492.14</v>
      </c>
      <c r="R326" s="4">
        <v>5.0999999999999997E-2</v>
      </c>
      <c r="S326" s="4">
        <v>11</v>
      </c>
      <c r="T326" s="4">
        <f t="shared" si="35"/>
        <v>4829.1857899999995</v>
      </c>
      <c r="U326">
        <f t="shared" si="36"/>
        <v>11113.630000000001</v>
      </c>
      <c r="V326" s="4">
        <f t="shared" si="39"/>
        <v>-6284.4442100000015</v>
      </c>
      <c r="W326" s="4">
        <f t="shared" si="40"/>
        <v>-1.3013465381707756</v>
      </c>
    </row>
    <row r="327" spans="1:23" x14ac:dyDescent="0.3">
      <c r="A327" t="s">
        <v>752</v>
      </c>
      <c r="B327" s="7">
        <v>45053</v>
      </c>
      <c r="C327" s="2">
        <v>45075</v>
      </c>
      <c r="D327" s="4">
        <f t="shared" si="41"/>
        <v>22</v>
      </c>
      <c r="E327" s="4" t="str">
        <f>TEXT(Data!B327,"MMM-YYYY")</f>
        <v>Jan-2024</v>
      </c>
      <c r="F327" s="4" t="str">
        <f t="shared" si="37"/>
        <v>Q2-2023</v>
      </c>
      <c r="G327" t="s">
        <v>16</v>
      </c>
      <c r="H327" t="s">
        <v>148</v>
      </c>
      <c r="I327" t="s">
        <v>172</v>
      </c>
      <c r="J327" t="s">
        <v>27</v>
      </c>
      <c r="K327" t="s">
        <v>55</v>
      </c>
      <c r="L327" t="s">
        <v>95</v>
      </c>
      <c r="M327" t="s">
        <v>81</v>
      </c>
      <c r="N327" t="s">
        <v>753</v>
      </c>
      <c r="O327" s="4">
        <v>653.86</v>
      </c>
      <c r="P327" s="8" t="str">
        <f t="shared" si="38"/>
        <v>High</v>
      </c>
      <c r="Q327" s="4">
        <v>931.84</v>
      </c>
      <c r="R327" s="4">
        <v>0.121</v>
      </c>
      <c r="S327" s="4">
        <v>12</v>
      </c>
      <c r="T327" s="4">
        <f t="shared" si="35"/>
        <v>11533.077720000001</v>
      </c>
      <c r="U327">
        <f t="shared" si="36"/>
        <v>7846.32</v>
      </c>
      <c r="V327" s="4">
        <f t="shared" si="39"/>
        <v>3686.7577200000014</v>
      </c>
      <c r="W327" s="4">
        <f t="shared" si="40"/>
        <v>0.3196681587956906</v>
      </c>
    </row>
    <row r="328" spans="1:23" x14ac:dyDescent="0.3">
      <c r="A328" t="s">
        <v>754</v>
      </c>
      <c r="B328" s="7">
        <v>45303</v>
      </c>
      <c r="C328" s="2">
        <v>45320</v>
      </c>
      <c r="D328" s="4">
        <f t="shared" si="41"/>
        <v>17</v>
      </c>
      <c r="E328" s="4" t="str">
        <f>TEXT(Data!B328,"MMM-YYYY")</f>
        <v>Jun-2023</v>
      </c>
      <c r="F328" s="4" t="str">
        <f t="shared" si="37"/>
        <v>Q1-2024</v>
      </c>
      <c r="G328" t="s">
        <v>45</v>
      </c>
      <c r="H328" t="s">
        <v>60</v>
      </c>
      <c r="I328" t="s">
        <v>281</v>
      </c>
      <c r="J328" t="s">
        <v>62</v>
      </c>
      <c r="K328" t="s">
        <v>98</v>
      </c>
      <c r="L328" t="s">
        <v>56</v>
      </c>
      <c r="M328" t="s">
        <v>22</v>
      </c>
      <c r="N328" t="s">
        <v>755</v>
      </c>
      <c r="O328" s="4">
        <v>310.02</v>
      </c>
      <c r="P328" s="8" t="str">
        <f t="shared" si="38"/>
        <v>High</v>
      </c>
      <c r="Q328" s="4">
        <v>619.51</v>
      </c>
      <c r="R328" s="4">
        <v>4.2000000000000003E-2</v>
      </c>
      <c r="S328" s="4">
        <v>4</v>
      </c>
      <c r="T328" s="4">
        <f t="shared" si="35"/>
        <v>5572.5710399999998</v>
      </c>
      <c r="U328">
        <f t="shared" si="36"/>
        <v>1240.08</v>
      </c>
      <c r="V328" s="4">
        <f t="shared" si="39"/>
        <v>4332.4910399999999</v>
      </c>
      <c r="W328" s="4">
        <f t="shared" si="40"/>
        <v>0.77746717070115634</v>
      </c>
    </row>
    <row r="329" spans="1:23" x14ac:dyDescent="0.3">
      <c r="A329" t="s">
        <v>756</v>
      </c>
      <c r="B329" s="7">
        <v>45087</v>
      </c>
      <c r="C329" s="2">
        <v>45095</v>
      </c>
      <c r="D329" s="4">
        <f t="shared" si="41"/>
        <v>8</v>
      </c>
      <c r="E329" s="4" t="str">
        <f>TEXT(Data!B329,"MMM-YYYY")</f>
        <v>May-2025</v>
      </c>
      <c r="F329" s="4" t="str">
        <f t="shared" si="37"/>
        <v>Q2-2023</v>
      </c>
      <c r="G329" t="s">
        <v>16</v>
      </c>
      <c r="H329" t="s">
        <v>17</v>
      </c>
      <c r="I329" t="s">
        <v>135</v>
      </c>
      <c r="J329" t="s">
        <v>105</v>
      </c>
      <c r="K329" t="s">
        <v>98</v>
      </c>
      <c r="L329" t="s">
        <v>92</v>
      </c>
      <c r="M329" t="s">
        <v>42</v>
      </c>
      <c r="N329" t="s">
        <v>757</v>
      </c>
      <c r="O329" s="4">
        <v>894.23</v>
      </c>
      <c r="P329" s="8" t="str">
        <f t="shared" si="38"/>
        <v>High</v>
      </c>
      <c r="Q329" s="4">
        <v>1421.55</v>
      </c>
      <c r="R329" s="4">
        <v>0.109</v>
      </c>
      <c r="S329" s="4">
        <v>3</v>
      </c>
      <c r="T329" s="4">
        <f t="shared" si="35"/>
        <v>5667.829200000001</v>
      </c>
      <c r="U329">
        <f t="shared" si="36"/>
        <v>2682.69</v>
      </c>
      <c r="V329" s="4">
        <f t="shared" si="39"/>
        <v>2985.139200000001</v>
      </c>
      <c r="W329" s="4">
        <f t="shared" si="40"/>
        <v>0.52668122038681064</v>
      </c>
    </row>
    <row r="330" spans="1:23" x14ac:dyDescent="0.3">
      <c r="A330" t="s">
        <v>758</v>
      </c>
      <c r="B330" s="7">
        <v>45796</v>
      </c>
      <c r="C330" s="2">
        <v>45794</v>
      </c>
      <c r="D330" s="4">
        <f>DATEDIF(C330,B330, "MD")</f>
        <v>2</v>
      </c>
      <c r="E330" s="4" t="str">
        <f>TEXT(Data!B330,"MMM-YYYY")</f>
        <v>Oct-2023</v>
      </c>
      <c r="F330" s="4" t="str">
        <f t="shared" si="37"/>
        <v>Q2-2025</v>
      </c>
      <c r="G330" t="s">
        <v>52</v>
      </c>
      <c r="H330" t="s">
        <v>73</v>
      </c>
      <c r="I330" t="s">
        <v>74</v>
      </c>
      <c r="J330" t="s">
        <v>62</v>
      </c>
      <c r="K330" t="s">
        <v>55</v>
      </c>
      <c r="L330" t="s">
        <v>49</v>
      </c>
      <c r="M330" t="s">
        <v>64</v>
      </c>
      <c r="N330" t="s">
        <v>759</v>
      </c>
      <c r="O330" s="4">
        <v>383.77</v>
      </c>
      <c r="P330" s="8" t="str">
        <f t="shared" si="38"/>
        <v>High</v>
      </c>
      <c r="Q330" s="4">
        <v>952.56</v>
      </c>
      <c r="R330" s="4">
        <v>0.34599999999999997</v>
      </c>
      <c r="S330" s="4">
        <v>10</v>
      </c>
      <c r="T330" s="4">
        <f t="shared" si="35"/>
        <v>841.56720000000018</v>
      </c>
      <c r="U330">
        <f t="shared" si="36"/>
        <v>3837.7</v>
      </c>
      <c r="V330" s="4">
        <f t="shared" si="39"/>
        <v>-2996.1327999999994</v>
      </c>
      <c r="W330" s="4">
        <f t="shared" si="40"/>
        <v>-3.5601824785946965</v>
      </c>
    </row>
    <row r="331" spans="1:23" x14ac:dyDescent="0.3">
      <c r="A331" t="s">
        <v>760</v>
      </c>
      <c r="B331" s="7">
        <v>45221</v>
      </c>
      <c r="C331" s="2">
        <v>45246</v>
      </c>
      <c r="D331" s="4">
        <f t="shared" si="41"/>
        <v>25</v>
      </c>
      <c r="E331" s="4" t="str">
        <f>TEXT(Data!B331,"MMM-YYYY")</f>
        <v>Jan-2025</v>
      </c>
      <c r="F331" s="4" t="str">
        <f t="shared" si="37"/>
        <v>Q4-2023</v>
      </c>
      <c r="G331" t="s">
        <v>52</v>
      </c>
      <c r="H331" t="s">
        <v>53</v>
      </c>
      <c r="I331" t="s">
        <v>54</v>
      </c>
      <c r="J331" t="s">
        <v>62</v>
      </c>
      <c r="K331" t="s">
        <v>40</v>
      </c>
      <c r="L331" t="s">
        <v>34</v>
      </c>
      <c r="M331" t="s">
        <v>57</v>
      </c>
      <c r="N331" t="s">
        <v>761</v>
      </c>
      <c r="O331" s="4">
        <v>1373.31</v>
      </c>
      <c r="P331" s="8" t="str">
        <f t="shared" si="38"/>
        <v>High</v>
      </c>
      <c r="Q331" s="4">
        <v>3154.14</v>
      </c>
      <c r="R331" s="4">
        <v>0.2</v>
      </c>
      <c r="S331" s="4">
        <v>11</v>
      </c>
      <c r="T331" s="4">
        <f t="shared" si="35"/>
        <v>11668.448000000002</v>
      </c>
      <c r="U331">
        <f t="shared" si="36"/>
        <v>15106.41</v>
      </c>
      <c r="V331" s="4">
        <f t="shared" si="39"/>
        <v>-3437.9619999999977</v>
      </c>
      <c r="W331" s="4">
        <f t="shared" si="40"/>
        <v>-0.29463747021026249</v>
      </c>
    </row>
    <row r="332" spans="1:23" x14ac:dyDescent="0.3">
      <c r="A332" t="s">
        <v>762</v>
      </c>
      <c r="B332" s="7">
        <v>45668</v>
      </c>
      <c r="C332" s="2">
        <v>45680</v>
      </c>
      <c r="D332" s="4">
        <f t="shared" si="41"/>
        <v>12</v>
      </c>
      <c r="E332" s="4" t="str">
        <f>TEXT(Data!B332,"MMM-YYYY")</f>
        <v>Sept-2025</v>
      </c>
      <c r="F332" s="4" t="str">
        <f t="shared" si="37"/>
        <v>Q1-2025</v>
      </c>
      <c r="G332" t="s">
        <v>52</v>
      </c>
      <c r="H332" t="s">
        <v>122</v>
      </c>
      <c r="I332" t="s">
        <v>326</v>
      </c>
      <c r="J332" t="s">
        <v>48</v>
      </c>
      <c r="K332" t="s">
        <v>55</v>
      </c>
      <c r="L332" t="s">
        <v>92</v>
      </c>
      <c r="M332" t="s">
        <v>42</v>
      </c>
      <c r="N332" t="s">
        <v>763</v>
      </c>
      <c r="O332" s="4">
        <v>100.69</v>
      </c>
      <c r="P332" s="8" t="str">
        <f t="shared" si="38"/>
        <v>High</v>
      </c>
      <c r="Q332" s="4">
        <v>226.14</v>
      </c>
      <c r="R332" s="4">
        <v>6.5000000000000002E-2</v>
      </c>
      <c r="S332" s="4">
        <v>12</v>
      </c>
      <c r="T332" s="4">
        <f t="shared" si="35"/>
        <v>27369.282600000002</v>
      </c>
      <c r="U332">
        <f t="shared" si="36"/>
        <v>1208.28</v>
      </c>
      <c r="V332" s="4">
        <f t="shared" si="39"/>
        <v>26161.002600000003</v>
      </c>
      <c r="W332" s="4">
        <f t="shared" si="40"/>
        <v>0.95585269743241286</v>
      </c>
    </row>
    <row r="333" spans="1:23" x14ac:dyDescent="0.3">
      <c r="A333" t="s">
        <v>764</v>
      </c>
      <c r="B333" s="7">
        <v>45914</v>
      </c>
      <c r="C333" s="2">
        <v>45926</v>
      </c>
      <c r="D333" s="4">
        <f t="shared" si="41"/>
        <v>12</v>
      </c>
      <c r="E333" s="4" t="str">
        <f>TEXT(Data!B333,"MMM-YYYY")</f>
        <v>Aug-2023</v>
      </c>
      <c r="F333" s="4" t="str">
        <f t="shared" si="37"/>
        <v>Q3-2025</v>
      </c>
      <c r="G333" t="s">
        <v>78</v>
      </c>
      <c r="H333" t="s">
        <v>108</v>
      </c>
      <c r="I333" t="s">
        <v>152</v>
      </c>
      <c r="J333" t="s">
        <v>62</v>
      </c>
      <c r="K333" t="s">
        <v>98</v>
      </c>
      <c r="L333" t="s">
        <v>126</v>
      </c>
      <c r="M333" t="s">
        <v>35</v>
      </c>
      <c r="N333" t="s">
        <v>765</v>
      </c>
      <c r="O333" s="4">
        <v>425.15</v>
      </c>
      <c r="P333" s="8" t="str">
        <f t="shared" si="38"/>
        <v>High</v>
      </c>
      <c r="Q333" s="4">
        <v>885.92</v>
      </c>
      <c r="R333" s="4">
        <v>0.23899999999999999</v>
      </c>
      <c r="S333" s="4">
        <v>13</v>
      </c>
      <c r="T333" s="4">
        <f t="shared" si="35"/>
        <v>21779.835220000001</v>
      </c>
      <c r="U333">
        <f t="shared" si="36"/>
        <v>5526.95</v>
      </c>
      <c r="V333" s="4">
        <f t="shared" si="39"/>
        <v>16252.88522</v>
      </c>
      <c r="W333" s="4">
        <f t="shared" si="40"/>
        <v>0.74623545384196899</v>
      </c>
    </row>
    <row r="334" spans="1:23" x14ac:dyDescent="0.3">
      <c r="A334" t="s">
        <v>766</v>
      </c>
      <c r="B334" s="7">
        <v>45168</v>
      </c>
      <c r="C334" s="2">
        <v>45172</v>
      </c>
      <c r="D334" s="4">
        <f t="shared" si="41"/>
        <v>4</v>
      </c>
      <c r="E334" s="4" t="str">
        <f>TEXT(Data!B334,"MMM-YYYY")</f>
        <v>Nov-2023</v>
      </c>
      <c r="F334" s="4" t="str">
        <f t="shared" si="37"/>
        <v>Q3-2023</v>
      </c>
      <c r="G334" t="s">
        <v>45</v>
      </c>
      <c r="H334" t="s">
        <v>60</v>
      </c>
      <c r="I334" t="s">
        <v>141</v>
      </c>
      <c r="J334" t="s">
        <v>62</v>
      </c>
      <c r="K334" t="s">
        <v>40</v>
      </c>
      <c r="L334" t="s">
        <v>49</v>
      </c>
      <c r="M334" t="s">
        <v>81</v>
      </c>
      <c r="N334" t="s">
        <v>767</v>
      </c>
      <c r="O334" s="4">
        <v>1082.25</v>
      </c>
      <c r="P334" s="8" t="str">
        <f t="shared" si="38"/>
        <v>High</v>
      </c>
      <c r="Q334" s="4">
        <v>2433.34</v>
      </c>
      <c r="R334" s="4">
        <v>0.27</v>
      </c>
      <c r="S334" s="4">
        <v>4</v>
      </c>
      <c r="T334" s="4">
        <f t="shared" si="35"/>
        <v>2377.9312</v>
      </c>
      <c r="U334">
        <f t="shared" si="36"/>
        <v>4329</v>
      </c>
      <c r="V334" s="4">
        <f t="shared" si="39"/>
        <v>-1951.0688</v>
      </c>
      <c r="W334" s="4">
        <f t="shared" si="40"/>
        <v>-0.82049001249489473</v>
      </c>
    </row>
    <row r="335" spans="1:23" x14ac:dyDescent="0.3">
      <c r="A335" t="s">
        <v>768</v>
      </c>
      <c r="B335" s="7">
        <v>45245</v>
      </c>
      <c r="C335" s="2">
        <v>45266</v>
      </c>
      <c r="D335" s="4">
        <f t="shared" si="41"/>
        <v>21</v>
      </c>
      <c r="E335" s="4" t="str">
        <f>TEXT(Data!B335,"MMM-YYYY")</f>
        <v>Apr-2025</v>
      </c>
      <c r="F335" s="4" t="str">
        <f t="shared" si="37"/>
        <v>Q4-2023</v>
      </c>
      <c r="G335" t="s">
        <v>78</v>
      </c>
      <c r="H335" t="s">
        <v>108</v>
      </c>
      <c r="I335" t="s">
        <v>228</v>
      </c>
      <c r="J335" t="s">
        <v>27</v>
      </c>
      <c r="K335" t="s">
        <v>98</v>
      </c>
      <c r="L335" t="s">
        <v>92</v>
      </c>
      <c r="M335" t="s">
        <v>81</v>
      </c>
      <c r="N335" t="s">
        <v>769</v>
      </c>
      <c r="O335" s="4">
        <v>1184.99</v>
      </c>
      <c r="P335" s="8" t="str">
        <f t="shared" si="38"/>
        <v>High</v>
      </c>
      <c r="Q335" s="4">
        <v>1154.3399999999999</v>
      </c>
      <c r="R335" s="4">
        <v>2.8000000000000001E-2</v>
      </c>
      <c r="S335" s="4">
        <v>5</v>
      </c>
      <c r="T335" s="4">
        <f t="shared" si="35"/>
        <v>6720.9426000000003</v>
      </c>
      <c r="U335">
        <f t="shared" si="36"/>
        <v>5924.95</v>
      </c>
      <c r="V335" s="4">
        <f t="shared" si="39"/>
        <v>795.99260000000049</v>
      </c>
      <c r="W335" s="4">
        <f t="shared" si="40"/>
        <v>0.11843466718492737</v>
      </c>
    </row>
    <row r="336" spans="1:23" x14ac:dyDescent="0.3">
      <c r="A336" t="s">
        <v>770</v>
      </c>
      <c r="B336" s="7">
        <v>45774</v>
      </c>
      <c r="C336" s="2">
        <v>45804</v>
      </c>
      <c r="D336" s="4">
        <f t="shared" si="41"/>
        <v>0</v>
      </c>
      <c r="E336" s="4" t="str">
        <f>TEXT(Data!B336,"MMM-YYYY")</f>
        <v>Apr-2024</v>
      </c>
      <c r="F336" s="4" t="str">
        <f t="shared" si="37"/>
        <v>Q2-2025</v>
      </c>
      <c r="G336" t="s">
        <v>45</v>
      </c>
      <c r="H336" t="s">
        <v>60</v>
      </c>
      <c r="I336" t="s">
        <v>1364</v>
      </c>
      <c r="J336" t="s">
        <v>105</v>
      </c>
      <c r="K336" t="s">
        <v>40</v>
      </c>
      <c r="L336" t="s">
        <v>92</v>
      </c>
      <c r="M336" t="s">
        <v>42</v>
      </c>
      <c r="N336" t="s">
        <v>771</v>
      </c>
      <c r="O336" s="4">
        <v>481.32</v>
      </c>
      <c r="P336" s="8" t="str">
        <f t="shared" si="38"/>
        <v>High</v>
      </c>
      <c r="Q336" s="4">
        <v>1135.99</v>
      </c>
      <c r="R336" s="4">
        <v>0.14499999999999999</v>
      </c>
      <c r="S336" s="4">
        <v>5</v>
      </c>
      <c r="T336" s="4">
        <f t="shared" si="35"/>
        <v>7038.4882499999994</v>
      </c>
      <c r="U336">
        <f t="shared" si="36"/>
        <v>2406.6</v>
      </c>
      <c r="V336" s="4">
        <f t="shared" si="39"/>
        <v>4631.88825</v>
      </c>
      <c r="W336" s="4">
        <f t="shared" si="40"/>
        <v>0.65807998613906904</v>
      </c>
    </row>
    <row r="337" spans="1:23" x14ac:dyDescent="0.3">
      <c r="A337" t="s">
        <v>772</v>
      </c>
      <c r="B337" s="7">
        <v>45391</v>
      </c>
      <c r="C337" s="2">
        <v>45400</v>
      </c>
      <c r="D337" s="4">
        <f t="shared" si="41"/>
        <v>9</v>
      </c>
      <c r="E337" s="4" t="str">
        <f>TEXT(Data!B337,"MMM-YYYY")</f>
        <v>Jul-2024</v>
      </c>
      <c r="F337" s="4" t="str">
        <f t="shared" si="37"/>
        <v>Q2-2024</v>
      </c>
      <c r="G337" t="s">
        <v>78</v>
      </c>
      <c r="H337" t="s">
        <v>90</v>
      </c>
      <c r="I337" t="s">
        <v>138</v>
      </c>
      <c r="J337" t="s">
        <v>48</v>
      </c>
      <c r="K337" t="s">
        <v>28</v>
      </c>
      <c r="L337" t="s">
        <v>63</v>
      </c>
      <c r="M337" t="s">
        <v>30</v>
      </c>
      <c r="N337" t="s">
        <v>773</v>
      </c>
      <c r="O337" s="4">
        <v>1288.8499999999999</v>
      </c>
      <c r="P337" s="8" t="str">
        <f t="shared" si="38"/>
        <v>High</v>
      </c>
      <c r="Q337" s="4">
        <v>2751.84</v>
      </c>
      <c r="R337" s="4">
        <v>0.158</v>
      </c>
      <c r="S337" s="4">
        <v>7</v>
      </c>
      <c r="T337" s="4">
        <f t="shared" si="35"/>
        <v>2362.5509599999996</v>
      </c>
      <c r="U337">
        <f t="shared" si="36"/>
        <v>9021.9499999999989</v>
      </c>
      <c r="V337" s="4">
        <f t="shared" si="39"/>
        <v>-6659.3990399999993</v>
      </c>
      <c r="W337" s="4">
        <f t="shared" si="40"/>
        <v>-2.8187324433416667</v>
      </c>
    </row>
    <row r="338" spans="1:23" x14ac:dyDescent="0.3">
      <c r="A338" t="s">
        <v>774</v>
      </c>
      <c r="B338" s="7">
        <v>45484</v>
      </c>
      <c r="C338" s="2">
        <v>45504</v>
      </c>
      <c r="D338" s="4">
        <f t="shared" si="41"/>
        <v>20</v>
      </c>
      <c r="E338" s="4" t="str">
        <f>TEXT(Data!B338,"MMM-YYYY")</f>
        <v>Feb-2024</v>
      </c>
      <c r="F338" s="4" t="str">
        <f t="shared" si="37"/>
        <v>Q3-2024</v>
      </c>
      <c r="G338" t="s">
        <v>45</v>
      </c>
      <c r="H338" t="s">
        <v>116</v>
      </c>
      <c r="I338" t="s">
        <v>117</v>
      </c>
      <c r="J338" t="s">
        <v>48</v>
      </c>
      <c r="K338" t="s">
        <v>28</v>
      </c>
      <c r="L338" t="s">
        <v>41</v>
      </c>
      <c r="M338" t="s">
        <v>42</v>
      </c>
      <c r="N338" t="s">
        <v>775</v>
      </c>
      <c r="O338" s="4">
        <v>647.26</v>
      </c>
      <c r="P338" s="8" t="str">
        <f t="shared" si="38"/>
        <v>High</v>
      </c>
      <c r="Q338" s="4">
        <v>1374.72</v>
      </c>
      <c r="R338" s="4">
        <v>6.6000000000000003E-2</v>
      </c>
      <c r="S338" s="4">
        <v>22</v>
      </c>
      <c r="T338" s="4">
        <f t="shared" si="35"/>
        <v>36586.946879999996</v>
      </c>
      <c r="U338">
        <f t="shared" si="36"/>
        <v>14239.72</v>
      </c>
      <c r="V338" s="4">
        <f t="shared" si="39"/>
        <v>22347.226879999995</v>
      </c>
      <c r="W338" s="4">
        <f t="shared" si="40"/>
        <v>0.6107978059305067</v>
      </c>
    </row>
    <row r="339" spans="1:23" x14ac:dyDescent="0.3">
      <c r="A339" t="s">
        <v>776</v>
      </c>
      <c r="B339" s="7">
        <v>45340</v>
      </c>
      <c r="C339" s="2">
        <v>45354</v>
      </c>
      <c r="D339" s="4">
        <f t="shared" si="41"/>
        <v>14</v>
      </c>
      <c r="E339" s="4" t="str">
        <f>TEXT(Data!B339,"MMM-YYYY")</f>
        <v>Jul-2023</v>
      </c>
      <c r="F339" s="4" t="str">
        <f t="shared" si="37"/>
        <v>Q1-2024</v>
      </c>
      <c r="G339" t="s">
        <v>52</v>
      </c>
      <c r="H339" t="s">
        <v>73</v>
      </c>
      <c r="I339" t="s">
        <v>1364</v>
      </c>
      <c r="J339" t="s">
        <v>105</v>
      </c>
      <c r="K339" t="s">
        <v>55</v>
      </c>
      <c r="L339" t="s">
        <v>75</v>
      </c>
      <c r="M339" t="s">
        <v>30</v>
      </c>
      <c r="N339" t="s">
        <v>777</v>
      </c>
      <c r="O339" s="4">
        <v>624.23</v>
      </c>
      <c r="P339" s="8" t="str">
        <f t="shared" si="38"/>
        <v>High</v>
      </c>
      <c r="Q339" s="4">
        <v>1318.37</v>
      </c>
      <c r="R339" s="4">
        <v>0.21</v>
      </c>
      <c r="S339" s="4">
        <v>37</v>
      </c>
      <c r="T339" s="4">
        <f t="shared" si="35"/>
        <v>32691.708900000005</v>
      </c>
      <c r="U339">
        <f t="shared" si="36"/>
        <v>23096.510000000002</v>
      </c>
      <c r="V339" s="4">
        <f t="shared" si="39"/>
        <v>9595.1989000000031</v>
      </c>
      <c r="W339" s="4">
        <f t="shared" si="40"/>
        <v>0.29350557749521627</v>
      </c>
    </row>
    <row r="340" spans="1:23" x14ac:dyDescent="0.3">
      <c r="A340" t="s">
        <v>778</v>
      </c>
      <c r="B340" s="7">
        <v>45132</v>
      </c>
      <c r="C340" s="2">
        <v>45148</v>
      </c>
      <c r="D340" s="4">
        <f t="shared" si="41"/>
        <v>16</v>
      </c>
      <c r="E340" s="4" t="str">
        <f>TEXT(Data!B340,"MMM-YYYY")</f>
        <v>Jul-2023</v>
      </c>
      <c r="F340" s="4" t="str">
        <f t="shared" si="37"/>
        <v>Q3-2023</v>
      </c>
      <c r="G340" t="s">
        <v>16</v>
      </c>
      <c r="H340" t="s">
        <v>25</v>
      </c>
      <c r="I340" t="s">
        <v>26</v>
      </c>
      <c r="J340" t="s">
        <v>19</v>
      </c>
      <c r="K340" t="s">
        <v>55</v>
      </c>
      <c r="L340" t="s">
        <v>34</v>
      </c>
      <c r="M340" t="s">
        <v>81</v>
      </c>
      <c r="N340" t="s">
        <v>779</v>
      </c>
      <c r="O340" s="4">
        <v>506.83</v>
      </c>
      <c r="P340" s="8" t="str">
        <f t="shared" si="38"/>
        <v>High</v>
      </c>
      <c r="Q340" s="4">
        <v>441.74</v>
      </c>
      <c r="R340" s="4">
        <v>0.24</v>
      </c>
      <c r="S340" s="4">
        <v>9</v>
      </c>
      <c r="T340" s="4">
        <f t="shared" si="35"/>
        <v>5274.4607999999998</v>
      </c>
      <c r="U340">
        <f t="shared" si="36"/>
        <v>4561.47</v>
      </c>
      <c r="V340" s="4">
        <f t="shared" si="39"/>
        <v>712.99079999999958</v>
      </c>
      <c r="W340" s="4">
        <f t="shared" si="40"/>
        <v>0.1351779503224291</v>
      </c>
    </row>
    <row r="341" spans="1:23" x14ac:dyDescent="0.3">
      <c r="A341" t="s">
        <v>780</v>
      </c>
      <c r="B341" s="7">
        <v>45121</v>
      </c>
      <c r="C341" s="2">
        <v>45128</v>
      </c>
      <c r="D341" s="4">
        <f t="shared" si="41"/>
        <v>7</v>
      </c>
      <c r="E341" s="4" t="str">
        <f>TEXT(Data!B341,"MMM-YYYY")</f>
        <v>Jul-2023</v>
      </c>
      <c r="F341" s="4" t="str">
        <f t="shared" si="37"/>
        <v>Q3-2023</v>
      </c>
      <c r="G341" t="s">
        <v>16</v>
      </c>
      <c r="H341" t="s">
        <v>148</v>
      </c>
      <c r="I341" t="s">
        <v>172</v>
      </c>
      <c r="J341" t="s">
        <v>105</v>
      </c>
      <c r="K341" t="s">
        <v>40</v>
      </c>
      <c r="L341" t="s">
        <v>1364</v>
      </c>
      <c r="M341" t="s">
        <v>64</v>
      </c>
      <c r="N341" t="s">
        <v>781</v>
      </c>
      <c r="O341" s="4">
        <v>620.74</v>
      </c>
      <c r="P341" s="8" t="str">
        <f t="shared" si="38"/>
        <v>High</v>
      </c>
      <c r="Q341" s="4">
        <v>1330.07</v>
      </c>
      <c r="R341" s="4">
        <v>0.29899999999999999</v>
      </c>
      <c r="S341" s="4">
        <v>28</v>
      </c>
      <c r="T341" s="4">
        <f t="shared" si="35"/>
        <v>23750.665119999998</v>
      </c>
      <c r="U341">
        <f t="shared" si="36"/>
        <v>17380.72</v>
      </c>
      <c r="V341" s="4">
        <f t="shared" si="39"/>
        <v>6369.9451199999967</v>
      </c>
      <c r="W341" s="4">
        <f t="shared" si="40"/>
        <v>0.26820070460409901</v>
      </c>
    </row>
    <row r="342" spans="1:23" x14ac:dyDescent="0.3">
      <c r="A342" t="s">
        <v>782</v>
      </c>
      <c r="B342" s="7">
        <v>45131</v>
      </c>
      <c r="C342" s="2">
        <v>45157</v>
      </c>
      <c r="D342" s="4">
        <f t="shared" si="41"/>
        <v>26</v>
      </c>
      <c r="E342" s="4" t="str">
        <f>TEXT(Data!B342,"MMM-YYYY")</f>
        <v>Apr-2023</v>
      </c>
      <c r="F342" s="4" t="str">
        <f t="shared" si="37"/>
        <v>Q3-2023</v>
      </c>
      <c r="G342" t="s">
        <v>16</v>
      </c>
      <c r="H342" t="s">
        <v>17</v>
      </c>
      <c r="I342" t="s">
        <v>33</v>
      </c>
      <c r="J342" t="s">
        <v>105</v>
      </c>
      <c r="K342" t="s">
        <v>55</v>
      </c>
      <c r="L342" t="s">
        <v>110</v>
      </c>
      <c r="M342" t="s">
        <v>81</v>
      </c>
      <c r="N342" t="s">
        <v>783</v>
      </c>
      <c r="O342" s="4">
        <v>661.45</v>
      </c>
      <c r="P342" s="8" t="str">
        <f t="shared" si="38"/>
        <v>High</v>
      </c>
      <c r="Q342" s="4">
        <v>1634.86</v>
      </c>
      <c r="R342" s="4">
        <v>0.56499999999999995</v>
      </c>
      <c r="S342" s="4">
        <v>24</v>
      </c>
      <c r="T342" s="4">
        <f t="shared" si="35"/>
        <v>31570.873200000005</v>
      </c>
      <c r="U342">
        <f t="shared" si="36"/>
        <v>15874.800000000001</v>
      </c>
      <c r="V342" s="4">
        <f t="shared" si="39"/>
        <v>15696.073200000004</v>
      </c>
      <c r="W342" s="4">
        <f t="shared" si="40"/>
        <v>0.49716943527555019</v>
      </c>
    </row>
    <row r="343" spans="1:23" x14ac:dyDescent="0.3">
      <c r="A343" t="s">
        <v>784</v>
      </c>
      <c r="B343" s="7">
        <v>45029</v>
      </c>
      <c r="C343" s="2">
        <v>45027</v>
      </c>
      <c r="D343" s="4">
        <f>DATEDIF(C343,B343, "MD")</f>
        <v>2</v>
      </c>
      <c r="E343" s="4" t="str">
        <f>TEXT(Data!B343,"MMM-YYYY")</f>
        <v>Oct-2024</v>
      </c>
      <c r="F343" s="4" t="str">
        <f t="shared" si="37"/>
        <v>Q2-2023</v>
      </c>
      <c r="G343" t="s">
        <v>52</v>
      </c>
      <c r="H343" t="s">
        <v>122</v>
      </c>
      <c r="I343" t="s">
        <v>167</v>
      </c>
      <c r="J343" t="s">
        <v>27</v>
      </c>
      <c r="K343" t="s">
        <v>40</v>
      </c>
      <c r="L343" t="s">
        <v>41</v>
      </c>
      <c r="M343" t="s">
        <v>35</v>
      </c>
      <c r="N343" t="s">
        <v>785</v>
      </c>
      <c r="O343" s="4">
        <v>32.1</v>
      </c>
      <c r="P343" s="8" t="str">
        <f t="shared" si="38"/>
        <v>Medium</v>
      </c>
      <c r="Q343" s="4">
        <v>70.599999999999994</v>
      </c>
      <c r="R343" s="4">
        <v>0.28199999999999997</v>
      </c>
      <c r="S343" s="4">
        <v>22</v>
      </c>
      <c r="T343" s="4">
        <f t="shared" si="35"/>
        <v>36385.454160000001</v>
      </c>
      <c r="U343">
        <f t="shared" si="36"/>
        <v>706.2</v>
      </c>
      <c r="V343" s="4">
        <f t="shared" si="39"/>
        <v>35679.254160000004</v>
      </c>
      <c r="W343" s="4">
        <f t="shared" si="40"/>
        <v>0.98059114510720191</v>
      </c>
    </row>
    <row r="344" spans="1:23" x14ac:dyDescent="0.3">
      <c r="A344" t="s">
        <v>786</v>
      </c>
      <c r="B344" s="7">
        <v>45594</v>
      </c>
      <c r="C344" s="2">
        <v>45600</v>
      </c>
      <c r="D344" s="4">
        <f t="shared" si="41"/>
        <v>6</v>
      </c>
      <c r="E344" s="4" t="str">
        <f>TEXT(Data!B344,"MMM-YYYY")</f>
        <v>Feb-2024</v>
      </c>
      <c r="F344" s="4" t="str">
        <f t="shared" si="37"/>
        <v>Q4-2024</v>
      </c>
      <c r="G344" t="s">
        <v>16</v>
      </c>
      <c r="H344" t="s">
        <v>17</v>
      </c>
      <c r="I344" t="s">
        <v>33</v>
      </c>
      <c r="J344" t="s">
        <v>19</v>
      </c>
      <c r="K344" t="s">
        <v>55</v>
      </c>
      <c r="L344" t="s">
        <v>110</v>
      </c>
      <c r="M344" t="s">
        <v>30</v>
      </c>
      <c r="N344" t="s">
        <v>787</v>
      </c>
      <c r="O344" s="4">
        <v>805.81</v>
      </c>
      <c r="P344" s="8" t="str">
        <f t="shared" si="38"/>
        <v>High</v>
      </c>
      <c r="Q344" s="4">
        <v>1823.04</v>
      </c>
      <c r="R344" s="4">
        <v>0</v>
      </c>
      <c r="S344" s="4">
        <v>11</v>
      </c>
      <c r="T344" s="4">
        <f t="shared" si="35"/>
        <v>33921.800000000003</v>
      </c>
      <c r="U344">
        <f t="shared" si="36"/>
        <v>8863.91</v>
      </c>
      <c r="V344" s="4">
        <f t="shared" si="39"/>
        <v>25057.890000000003</v>
      </c>
      <c r="W344" s="4">
        <f t="shared" si="40"/>
        <v>0.73869576496530254</v>
      </c>
    </row>
    <row r="345" spans="1:23" x14ac:dyDescent="0.3">
      <c r="A345" t="s">
        <v>788</v>
      </c>
      <c r="B345" s="7">
        <v>45339</v>
      </c>
      <c r="C345" s="2">
        <v>45355</v>
      </c>
      <c r="D345" s="4">
        <f t="shared" si="41"/>
        <v>16</v>
      </c>
      <c r="E345" s="4" t="str">
        <f>TEXT(Data!B345,"MMM-YYYY")</f>
        <v>Jul-2024</v>
      </c>
      <c r="F345" s="4" t="str">
        <f t="shared" si="37"/>
        <v>Q1-2024</v>
      </c>
      <c r="G345" t="s">
        <v>45</v>
      </c>
      <c r="H345" t="s">
        <v>60</v>
      </c>
      <c r="I345" t="s">
        <v>141</v>
      </c>
      <c r="J345" t="s">
        <v>62</v>
      </c>
      <c r="K345" t="s">
        <v>40</v>
      </c>
      <c r="L345" t="s">
        <v>84</v>
      </c>
      <c r="M345" t="s">
        <v>42</v>
      </c>
      <c r="N345" t="s">
        <v>789</v>
      </c>
      <c r="O345" s="4">
        <v>1231.8</v>
      </c>
      <c r="P345" s="8" t="str">
        <f t="shared" si="38"/>
        <v>High</v>
      </c>
      <c r="Q345" s="4">
        <v>2015.99</v>
      </c>
      <c r="R345" s="4">
        <v>0.26100000000000001</v>
      </c>
      <c r="S345" s="4">
        <v>6</v>
      </c>
      <c r="T345" s="4">
        <f t="shared" si="35"/>
        <v>1430.8961399999998</v>
      </c>
      <c r="U345">
        <f t="shared" si="36"/>
        <v>7390.7999999999993</v>
      </c>
      <c r="V345" s="4">
        <f t="shared" si="39"/>
        <v>-5959.9038599999994</v>
      </c>
      <c r="W345" s="4">
        <f t="shared" si="40"/>
        <v>-4.1651547539991265</v>
      </c>
    </row>
    <row r="346" spans="1:23" x14ac:dyDescent="0.3">
      <c r="A346" t="s">
        <v>790</v>
      </c>
      <c r="B346" s="7">
        <v>45486</v>
      </c>
      <c r="C346" s="2">
        <v>45485</v>
      </c>
      <c r="D346" s="4">
        <f>DATEDIF(C346,B346, "MD")</f>
        <v>1</v>
      </c>
      <c r="E346" s="4" t="str">
        <f>TEXT(Data!B346,"MMM-YYYY")</f>
        <v>Dec-2023</v>
      </c>
      <c r="F346" s="4" t="str">
        <f t="shared" si="37"/>
        <v>Q3-2024</v>
      </c>
      <c r="G346" t="s">
        <v>45</v>
      </c>
      <c r="H346" t="s">
        <v>46</v>
      </c>
      <c r="I346" t="s">
        <v>231</v>
      </c>
      <c r="J346" t="s">
        <v>62</v>
      </c>
      <c r="K346" t="s">
        <v>40</v>
      </c>
      <c r="L346" t="s">
        <v>84</v>
      </c>
      <c r="M346" t="s">
        <v>35</v>
      </c>
      <c r="N346" t="s">
        <v>791</v>
      </c>
      <c r="O346" s="4">
        <v>105.13</v>
      </c>
      <c r="P346" s="8" t="str">
        <f t="shared" si="38"/>
        <v>High</v>
      </c>
      <c r="Q346" s="4">
        <v>244.13</v>
      </c>
      <c r="R346" s="4">
        <v>7.0999999999999994E-2</v>
      </c>
      <c r="S346" s="4">
        <v>14</v>
      </c>
      <c r="T346" s="4">
        <f t="shared" si="35"/>
        <v>9511.1577400000006</v>
      </c>
      <c r="U346">
        <f t="shared" si="36"/>
        <v>1471.82</v>
      </c>
      <c r="V346" s="4">
        <f t="shared" si="39"/>
        <v>8039.3377400000008</v>
      </c>
      <c r="W346" s="4">
        <f t="shared" si="40"/>
        <v>0.84525332874986048</v>
      </c>
    </row>
    <row r="347" spans="1:23" x14ac:dyDescent="0.3">
      <c r="A347" t="s">
        <v>792</v>
      </c>
      <c r="B347" s="7">
        <v>45261</v>
      </c>
      <c r="C347" s="2">
        <v>45278</v>
      </c>
      <c r="D347" s="4">
        <f t="shared" si="41"/>
        <v>17</v>
      </c>
      <c r="E347" s="4" t="str">
        <f>TEXT(Data!B347,"MMM-YYYY")</f>
        <v>Jul-2024</v>
      </c>
      <c r="F347" s="4" t="str">
        <f t="shared" si="37"/>
        <v>Q4-2023</v>
      </c>
      <c r="G347" t="s">
        <v>45</v>
      </c>
      <c r="H347" t="s">
        <v>46</v>
      </c>
      <c r="I347" t="s">
        <v>231</v>
      </c>
      <c r="J347" t="s">
        <v>62</v>
      </c>
      <c r="K347" t="s">
        <v>98</v>
      </c>
      <c r="L347" t="s">
        <v>126</v>
      </c>
      <c r="M347" t="s">
        <v>57</v>
      </c>
      <c r="N347" t="s">
        <v>793</v>
      </c>
      <c r="O347" s="4">
        <v>1495.79</v>
      </c>
      <c r="P347" s="8" t="str">
        <f t="shared" si="38"/>
        <v>High</v>
      </c>
      <c r="Q347" s="4">
        <v>2783.12</v>
      </c>
      <c r="R347" s="4">
        <v>0.02</v>
      </c>
      <c r="S347" s="4">
        <v>5</v>
      </c>
      <c r="T347" s="4">
        <f t="shared" si="35"/>
        <v>7516.3549999999996</v>
      </c>
      <c r="U347">
        <f t="shared" si="36"/>
        <v>7478.95</v>
      </c>
      <c r="V347" s="4">
        <f t="shared" si="39"/>
        <v>37.404999999999745</v>
      </c>
      <c r="W347" s="4">
        <f t="shared" si="40"/>
        <v>4.9764812864745937E-3</v>
      </c>
    </row>
    <row r="348" spans="1:23" x14ac:dyDescent="0.3">
      <c r="A348" t="s">
        <v>794</v>
      </c>
      <c r="B348" s="7">
        <v>45498</v>
      </c>
      <c r="C348" s="2">
        <v>45506</v>
      </c>
      <c r="D348" s="4">
        <f t="shared" si="41"/>
        <v>8</v>
      </c>
      <c r="E348" s="4" t="str">
        <f>TEXT(Data!B348,"MMM-YYYY")</f>
        <v>May-2023</v>
      </c>
      <c r="F348" s="4" t="str">
        <f t="shared" si="37"/>
        <v>Q3-2024</v>
      </c>
      <c r="G348" t="s">
        <v>52</v>
      </c>
      <c r="H348" t="s">
        <v>53</v>
      </c>
      <c r="I348" t="s">
        <v>144</v>
      </c>
      <c r="J348" t="s">
        <v>48</v>
      </c>
      <c r="K348" t="s">
        <v>98</v>
      </c>
      <c r="L348" t="s">
        <v>29</v>
      </c>
      <c r="M348" t="s">
        <v>81</v>
      </c>
      <c r="N348" t="s">
        <v>795</v>
      </c>
      <c r="O348" s="4">
        <v>986.81</v>
      </c>
      <c r="P348" s="8" t="str">
        <f t="shared" si="38"/>
        <v>High</v>
      </c>
      <c r="Q348" s="4">
        <v>2050.31</v>
      </c>
      <c r="R348" s="4">
        <v>0.10299999999999999</v>
      </c>
      <c r="S348" s="4">
        <v>43</v>
      </c>
      <c r="T348" s="4">
        <f t="shared" si="35"/>
        <v>60620.497860000003</v>
      </c>
      <c r="U348">
        <f t="shared" si="36"/>
        <v>42432.829999999994</v>
      </c>
      <c r="V348" s="4">
        <f t="shared" si="39"/>
        <v>18187.667860000009</v>
      </c>
      <c r="W348" s="4">
        <f t="shared" si="40"/>
        <v>0.30002504931588508</v>
      </c>
    </row>
    <row r="349" spans="1:23" x14ac:dyDescent="0.3">
      <c r="A349" t="s">
        <v>796</v>
      </c>
      <c r="B349" s="7">
        <v>45050</v>
      </c>
      <c r="C349" s="2">
        <v>45062</v>
      </c>
      <c r="D349" s="4">
        <f t="shared" si="41"/>
        <v>12</v>
      </c>
      <c r="E349" s="4" t="str">
        <f>TEXT(Data!B349,"MMM-YYYY")</f>
        <v>Dec-2023</v>
      </c>
      <c r="F349" s="4" t="str">
        <f t="shared" si="37"/>
        <v>Q2-2023</v>
      </c>
      <c r="G349" t="s">
        <v>16</v>
      </c>
      <c r="H349" t="s">
        <v>25</v>
      </c>
      <c r="I349" t="s">
        <v>67</v>
      </c>
      <c r="J349" t="s">
        <v>62</v>
      </c>
      <c r="K349" t="s">
        <v>40</v>
      </c>
      <c r="L349" t="s">
        <v>29</v>
      </c>
      <c r="M349" t="s">
        <v>42</v>
      </c>
      <c r="N349" t="s">
        <v>797</v>
      </c>
      <c r="O349" s="4">
        <v>77.739999999999995</v>
      </c>
      <c r="P349" s="8" t="str">
        <f t="shared" si="38"/>
        <v>Medium</v>
      </c>
      <c r="Q349" s="4">
        <v>147.12</v>
      </c>
      <c r="R349" s="4">
        <v>0</v>
      </c>
      <c r="S349" s="4">
        <v>15</v>
      </c>
      <c r="T349" s="4">
        <f t="shared" si="35"/>
        <v>3760.95</v>
      </c>
      <c r="U349">
        <f t="shared" si="36"/>
        <v>1166.0999999999999</v>
      </c>
      <c r="V349" s="4">
        <f t="shared" si="39"/>
        <v>2594.85</v>
      </c>
      <c r="W349" s="4">
        <f t="shared" si="40"/>
        <v>0.68994535955011371</v>
      </c>
    </row>
    <row r="350" spans="1:23" x14ac:dyDescent="0.3">
      <c r="A350" t="s">
        <v>798</v>
      </c>
      <c r="B350" s="7">
        <v>45281</v>
      </c>
      <c r="C350" s="2">
        <v>45297</v>
      </c>
      <c r="D350" s="4">
        <f t="shared" si="41"/>
        <v>16</v>
      </c>
      <c r="E350" s="4" t="str">
        <f>TEXT(Data!B350,"MMM-YYYY")</f>
        <v>Jun-2025</v>
      </c>
      <c r="F350" s="4" t="str">
        <f t="shared" si="37"/>
        <v>Q4-2023</v>
      </c>
      <c r="G350" t="s">
        <v>16</v>
      </c>
      <c r="H350" t="s">
        <v>25</v>
      </c>
      <c r="I350" t="s">
        <v>1364</v>
      </c>
      <c r="J350" t="s">
        <v>19</v>
      </c>
      <c r="K350" t="s">
        <v>40</v>
      </c>
      <c r="L350" t="s">
        <v>95</v>
      </c>
      <c r="M350" t="s">
        <v>22</v>
      </c>
      <c r="N350" t="s">
        <v>799</v>
      </c>
      <c r="O350" s="4">
        <v>932.61</v>
      </c>
      <c r="P350" s="8" t="str">
        <f t="shared" si="38"/>
        <v>High</v>
      </c>
      <c r="Q350" s="4">
        <v>1982.98</v>
      </c>
      <c r="R350" s="4">
        <v>0.14399999999999999</v>
      </c>
      <c r="S350" s="4">
        <v>16</v>
      </c>
      <c r="T350" s="4">
        <f t="shared" si="35"/>
        <v>47563.605759999999</v>
      </c>
      <c r="U350">
        <f t="shared" si="36"/>
        <v>14921.76</v>
      </c>
      <c r="V350" s="4">
        <f t="shared" si="39"/>
        <v>32641.845759999997</v>
      </c>
      <c r="W350" s="4">
        <f t="shared" si="40"/>
        <v>0.68627777979463256</v>
      </c>
    </row>
    <row r="351" spans="1:23" x14ac:dyDescent="0.3">
      <c r="A351" t="s">
        <v>800</v>
      </c>
      <c r="B351" s="7">
        <v>45825</v>
      </c>
      <c r="C351" s="2">
        <v>45843</v>
      </c>
      <c r="D351" s="4">
        <f t="shared" si="41"/>
        <v>18</v>
      </c>
      <c r="E351" s="4" t="str">
        <f>TEXT(Data!B351,"MMM-YYYY")</f>
        <v>Feb-2023</v>
      </c>
      <c r="F351" s="4" t="str">
        <f t="shared" si="37"/>
        <v>Q2-2025</v>
      </c>
      <c r="G351" t="s">
        <v>45</v>
      </c>
      <c r="H351" t="s">
        <v>60</v>
      </c>
      <c r="I351" t="s">
        <v>141</v>
      </c>
      <c r="J351" t="s">
        <v>48</v>
      </c>
      <c r="K351" t="s">
        <v>40</v>
      </c>
      <c r="L351" t="s">
        <v>49</v>
      </c>
      <c r="M351" t="s">
        <v>57</v>
      </c>
      <c r="N351" t="s">
        <v>801</v>
      </c>
      <c r="O351" s="4">
        <v>982.93</v>
      </c>
      <c r="P351" s="8" t="str">
        <f t="shared" si="38"/>
        <v>High</v>
      </c>
      <c r="Q351" s="4">
        <v>2299.3000000000002</v>
      </c>
      <c r="R351" s="4">
        <v>0.113</v>
      </c>
      <c r="S351" s="4">
        <v>6</v>
      </c>
      <c r="T351" s="4">
        <f t="shared" si="35"/>
        <v>6418.5448799999995</v>
      </c>
      <c r="U351">
        <f t="shared" si="36"/>
        <v>5897.58</v>
      </c>
      <c r="V351" s="4">
        <f t="shared" si="39"/>
        <v>520.96487999999954</v>
      </c>
      <c r="W351" s="4">
        <f t="shared" si="40"/>
        <v>8.1165574088811171E-2</v>
      </c>
    </row>
    <row r="352" spans="1:23" x14ac:dyDescent="0.3">
      <c r="A352" t="s">
        <v>802</v>
      </c>
      <c r="B352" s="7">
        <v>44980</v>
      </c>
      <c r="C352" s="2">
        <v>44993</v>
      </c>
      <c r="D352" s="4">
        <f t="shared" si="41"/>
        <v>13</v>
      </c>
      <c r="E352" s="4" t="str">
        <f>TEXT(Data!B352,"MMM-YYYY")</f>
        <v>Dec-2023</v>
      </c>
      <c r="F352" s="4" t="str">
        <f t="shared" si="37"/>
        <v>Q1-2023</v>
      </c>
      <c r="G352" t="s">
        <v>78</v>
      </c>
      <c r="H352" t="s">
        <v>108</v>
      </c>
      <c r="I352" t="s">
        <v>228</v>
      </c>
      <c r="J352" t="s">
        <v>62</v>
      </c>
      <c r="K352" t="s">
        <v>98</v>
      </c>
      <c r="L352" t="s">
        <v>21</v>
      </c>
      <c r="M352" t="s">
        <v>30</v>
      </c>
      <c r="N352" t="s">
        <v>803</v>
      </c>
      <c r="O352" s="4">
        <v>307.37</v>
      </c>
      <c r="P352" s="8" t="str">
        <f t="shared" si="38"/>
        <v>High</v>
      </c>
      <c r="Q352" s="4">
        <v>462.61</v>
      </c>
      <c r="R352" s="4">
        <v>0.188</v>
      </c>
      <c r="S352" s="4">
        <v>11</v>
      </c>
      <c r="T352" s="4">
        <f t="shared" si="35"/>
        <v>19625.658360000001</v>
      </c>
      <c r="U352">
        <f t="shared" si="36"/>
        <v>3381.07</v>
      </c>
      <c r="V352" s="4">
        <f t="shared" si="39"/>
        <v>16244.588360000002</v>
      </c>
      <c r="W352" s="4">
        <f t="shared" si="40"/>
        <v>0.82772195775652957</v>
      </c>
    </row>
    <row r="353" spans="1:23" x14ac:dyDescent="0.3">
      <c r="A353" t="s">
        <v>804</v>
      </c>
      <c r="B353" s="7">
        <v>45262</v>
      </c>
      <c r="C353" s="2">
        <v>45276</v>
      </c>
      <c r="D353" s="4">
        <f t="shared" si="41"/>
        <v>14</v>
      </c>
      <c r="E353" s="4" t="str">
        <f>TEXT(Data!B353,"MMM-YYYY")</f>
        <v>Jul-2023</v>
      </c>
      <c r="F353" s="4" t="str">
        <f t="shared" si="37"/>
        <v>Q4-2023</v>
      </c>
      <c r="G353" t="s">
        <v>78</v>
      </c>
      <c r="H353" t="s">
        <v>79</v>
      </c>
      <c r="I353" t="s">
        <v>335</v>
      </c>
      <c r="J353" t="s">
        <v>27</v>
      </c>
      <c r="K353" t="s">
        <v>98</v>
      </c>
      <c r="L353" t="s">
        <v>126</v>
      </c>
      <c r="M353" t="s">
        <v>64</v>
      </c>
      <c r="N353" t="s">
        <v>805</v>
      </c>
      <c r="O353" s="4">
        <v>879.08</v>
      </c>
      <c r="P353" s="8" t="str">
        <f t="shared" si="38"/>
        <v>High</v>
      </c>
      <c r="Q353" s="4">
        <v>1093.3900000000001</v>
      </c>
      <c r="R353" s="4">
        <v>0.113</v>
      </c>
      <c r="S353" s="4">
        <v>17</v>
      </c>
      <c r="T353" s="4">
        <f t="shared" si="35"/>
        <v>24437.027399999999</v>
      </c>
      <c r="U353">
        <f t="shared" si="36"/>
        <v>14944.36</v>
      </c>
      <c r="V353" s="4">
        <f t="shared" si="39"/>
        <v>9492.6673999999985</v>
      </c>
      <c r="W353" s="4">
        <f t="shared" si="40"/>
        <v>0.38845426019369272</v>
      </c>
    </row>
    <row r="354" spans="1:23" x14ac:dyDescent="0.3">
      <c r="A354" t="s">
        <v>806</v>
      </c>
      <c r="B354" s="7">
        <v>45121</v>
      </c>
      <c r="C354" s="2">
        <v>45121</v>
      </c>
      <c r="D354" s="4">
        <f t="shared" si="41"/>
        <v>0</v>
      </c>
      <c r="E354" s="4" t="str">
        <f>TEXT(Data!B354,"MMM-YYYY")</f>
        <v>Aug-2024</v>
      </c>
      <c r="F354" s="4" t="str">
        <f t="shared" si="37"/>
        <v>Q3-2023</v>
      </c>
      <c r="G354" t="s">
        <v>16</v>
      </c>
      <c r="H354" t="s">
        <v>25</v>
      </c>
      <c r="I354" t="s">
        <v>38</v>
      </c>
      <c r="J354" t="s">
        <v>27</v>
      </c>
      <c r="K354" t="s">
        <v>20</v>
      </c>
      <c r="L354" t="s">
        <v>34</v>
      </c>
      <c r="M354" t="s">
        <v>81</v>
      </c>
      <c r="N354" t="s">
        <v>807</v>
      </c>
      <c r="O354" s="4">
        <v>956.38</v>
      </c>
      <c r="P354" s="8" t="str">
        <f t="shared" si="38"/>
        <v>High</v>
      </c>
      <c r="Q354" s="4">
        <v>1454.22</v>
      </c>
      <c r="R354" s="4">
        <v>3.9E-2</v>
      </c>
      <c r="S354" s="4">
        <v>19</v>
      </c>
      <c r="T354" s="4">
        <f t="shared" si="35"/>
        <v>18891.856940000001</v>
      </c>
      <c r="U354">
        <f t="shared" si="36"/>
        <v>18171.22</v>
      </c>
      <c r="V354" s="4">
        <f t="shared" si="39"/>
        <v>720.63694000000032</v>
      </c>
      <c r="W354" s="4">
        <f t="shared" si="40"/>
        <v>3.8145373548440616E-2</v>
      </c>
    </row>
    <row r="355" spans="1:23" x14ac:dyDescent="0.3">
      <c r="A355" t="s">
        <v>808</v>
      </c>
      <c r="B355" s="7">
        <v>45512</v>
      </c>
      <c r="C355" s="2">
        <v>45524</v>
      </c>
      <c r="D355" s="4">
        <f t="shared" si="41"/>
        <v>12</v>
      </c>
      <c r="E355" s="4" t="str">
        <f>TEXT(Data!B355,"MMM-YYYY")</f>
        <v>Nov-2024</v>
      </c>
      <c r="F355" s="4" t="str">
        <f t="shared" si="37"/>
        <v>Q3-2024</v>
      </c>
      <c r="G355" t="s">
        <v>45</v>
      </c>
      <c r="H355" t="s">
        <v>46</v>
      </c>
      <c r="I355" t="s">
        <v>47</v>
      </c>
      <c r="J355" t="s">
        <v>62</v>
      </c>
      <c r="K355" t="s">
        <v>20</v>
      </c>
      <c r="L355" t="s">
        <v>92</v>
      </c>
      <c r="M355" t="s">
        <v>35</v>
      </c>
      <c r="N355" t="s">
        <v>809</v>
      </c>
      <c r="O355" s="4">
        <v>1233.3599999999999</v>
      </c>
      <c r="P355" s="8" t="str">
        <f t="shared" si="38"/>
        <v>High</v>
      </c>
      <c r="Q355" s="4">
        <v>2120.4</v>
      </c>
      <c r="R355" s="4">
        <v>0.17899999999999999</v>
      </c>
      <c r="S355" s="4">
        <v>20</v>
      </c>
      <c r="T355" s="4">
        <f t="shared" si="35"/>
        <v>31286.9964</v>
      </c>
      <c r="U355">
        <f t="shared" si="36"/>
        <v>24667.199999999997</v>
      </c>
      <c r="V355" s="4">
        <f t="shared" si="39"/>
        <v>6619.7964000000029</v>
      </c>
      <c r="W355" s="4">
        <f t="shared" si="40"/>
        <v>0.21158299490838958</v>
      </c>
    </row>
    <row r="356" spans="1:23" x14ac:dyDescent="0.3">
      <c r="A356" t="s">
        <v>810</v>
      </c>
      <c r="B356" s="7">
        <v>45603</v>
      </c>
      <c r="C356" s="2">
        <v>45622</v>
      </c>
      <c r="D356" s="4">
        <f t="shared" si="41"/>
        <v>19</v>
      </c>
      <c r="E356" s="4" t="str">
        <f>TEXT(Data!B356,"MMM-YYYY")</f>
        <v>Jan-2024</v>
      </c>
      <c r="F356" s="4" t="str">
        <f t="shared" si="37"/>
        <v>Q4-2024</v>
      </c>
      <c r="G356" t="s">
        <v>52</v>
      </c>
      <c r="H356" t="s">
        <v>73</v>
      </c>
      <c r="I356" t="s">
        <v>225</v>
      </c>
      <c r="J356" t="s">
        <v>39</v>
      </c>
      <c r="K356" t="s">
        <v>55</v>
      </c>
      <c r="L356" t="s">
        <v>29</v>
      </c>
      <c r="M356" t="s">
        <v>30</v>
      </c>
      <c r="N356" t="s">
        <v>811</v>
      </c>
      <c r="O356" s="4">
        <v>55.35</v>
      </c>
      <c r="P356" s="8" t="str">
        <f t="shared" si="38"/>
        <v>Medium</v>
      </c>
      <c r="Q356" s="4">
        <v>128.68</v>
      </c>
      <c r="R356" s="4">
        <v>0.128</v>
      </c>
      <c r="S356" s="4">
        <v>10</v>
      </c>
      <c r="T356" s="4">
        <f t="shared" si="35"/>
        <v>4722.4031999999997</v>
      </c>
      <c r="U356">
        <f t="shared" si="36"/>
        <v>553.5</v>
      </c>
      <c r="V356" s="4">
        <f t="shared" si="39"/>
        <v>4168.9031999999997</v>
      </c>
      <c r="W356" s="4">
        <f t="shared" si="40"/>
        <v>0.88279272722837387</v>
      </c>
    </row>
    <row r="357" spans="1:23" x14ac:dyDescent="0.3">
      <c r="A357" t="s">
        <v>812</v>
      </c>
      <c r="B357" s="7">
        <v>45292</v>
      </c>
      <c r="C357" s="2">
        <v>45318</v>
      </c>
      <c r="D357" s="4">
        <f t="shared" si="41"/>
        <v>26</v>
      </c>
      <c r="E357" s="4" t="str">
        <f>TEXT(Data!B357,"MMM-YYYY")</f>
        <v>Aug-2025</v>
      </c>
      <c r="F357" s="4" t="str">
        <f t="shared" si="37"/>
        <v>Q1-2024</v>
      </c>
      <c r="G357" t="s">
        <v>78</v>
      </c>
      <c r="H357" t="s">
        <v>108</v>
      </c>
      <c r="I357" t="s">
        <v>228</v>
      </c>
      <c r="J357" t="s">
        <v>27</v>
      </c>
      <c r="K357" t="s">
        <v>55</v>
      </c>
      <c r="L357" t="s">
        <v>145</v>
      </c>
      <c r="M357" t="s">
        <v>81</v>
      </c>
      <c r="N357" t="s">
        <v>813</v>
      </c>
      <c r="O357" s="4">
        <v>657.45</v>
      </c>
      <c r="P357" s="8" t="str">
        <f t="shared" si="38"/>
        <v>High</v>
      </c>
      <c r="Q357" s="4">
        <v>1325.96</v>
      </c>
      <c r="R357" s="4">
        <v>0.16700000000000001</v>
      </c>
      <c r="S357" s="4">
        <v>21</v>
      </c>
      <c r="T357" s="4">
        <f t="shared" si="35"/>
        <v>19532.683799999999</v>
      </c>
      <c r="U357">
        <f t="shared" si="36"/>
        <v>13806.45</v>
      </c>
      <c r="V357" s="4">
        <f t="shared" si="39"/>
        <v>5726.2337999999982</v>
      </c>
      <c r="W357" s="4">
        <f t="shared" si="40"/>
        <v>0.29316164939914702</v>
      </c>
    </row>
    <row r="358" spans="1:23" x14ac:dyDescent="0.3">
      <c r="A358" t="s">
        <v>814</v>
      </c>
      <c r="B358" s="7">
        <v>45883</v>
      </c>
      <c r="C358" s="2">
        <v>45911</v>
      </c>
      <c r="D358" s="4">
        <f t="shared" si="41"/>
        <v>28</v>
      </c>
      <c r="E358" s="4" t="str">
        <f>TEXT(Data!B358,"MMM-YYYY")</f>
        <v>Apr-2024</v>
      </c>
      <c r="F358" s="4" t="str">
        <f t="shared" si="37"/>
        <v>Q3-2025</v>
      </c>
      <c r="G358" t="s">
        <v>52</v>
      </c>
      <c r="H358" t="s">
        <v>73</v>
      </c>
      <c r="I358" t="s">
        <v>74</v>
      </c>
      <c r="J358" t="s">
        <v>39</v>
      </c>
      <c r="K358" t="s">
        <v>98</v>
      </c>
      <c r="L358" t="s">
        <v>84</v>
      </c>
      <c r="M358" t="s">
        <v>30</v>
      </c>
      <c r="N358" t="s">
        <v>815</v>
      </c>
      <c r="O358" s="4">
        <v>1203.02</v>
      </c>
      <c r="P358" s="8" t="str">
        <f t="shared" si="38"/>
        <v>High</v>
      </c>
      <c r="Q358" s="4">
        <v>2439.33</v>
      </c>
      <c r="R358" s="4">
        <v>0</v>
      </c>
      <c r="S358" s="4">
        <v>18</v>
      </c>
      <c r="T358" s="4">
        <f t="shared" si="35"/>
        <v>26190</v>
      </c>
      <c r="U358">
        <f t="shared" si="36"/>
        <v>21654.36</v>
      </c>
      <c r="V358" s="4">
        <f t="shared" si="39"/>
        <v>4535.6399999999994</v>
      </c>
      <c r="W358" s="4">
        <f t="shared" si="40"/>
        <v>0.17318213058419241</v>
      </c>
    </row>
    <row r="359" spans="1:23" x14ac:dyDescent="0.3">
      <c r="A359" t="s">
        <v>816</v>
      </c>
      <c r="B359" s="7">
        <v>45385</v>
      </c>
      <c r="C359" s="2">
        <v>45403</v>
      </c>
      <c r="D359" s="4">
        <f t="shared" si="41"/>
        <v>18</v>
      </c>
      <c r="E359" s="4" t="str">
        <f>TEXT(Data!B359,"MMM-YYYY")</f>
        <v>Nov-2024</v>
      </c>
      <c r="F359" s="4" t="str">
        <f t="shared" si="37"/>
        <v>Q2-2024</v>
      </c>
      <c r="G359" t="s">
        <v>52</v>
      </c>
      <c r="H359" t="s">
        <v>73</v>
      </c>
      <c r="I359" t="s">
        <v>87</v>
      </c>
      <c r="J359" t="s">
        <v>62</v>
      </c>
      <c r="K359" t="s">
        <v>55</v>
      </c>
      <c r="L359" t="s">
        <v>56</v>
      </c>
      <c r="M359" t="s">
        <v>35</v>
      </c>
      <c r="N359" t="s">
        <v>817</v>
      </c>
      <c r="O359" s="4">
        <v>1176.69</v>
      </c>
      <c r="P359" s="8" t="str">
        <f t="shared" si="38"/>
        <v>High</v>
      </c>
      <c r="Q359" s="4">
        <v>2201.54</v>
      </c>
      <c r="R359" s="4">
        <v>0.17</v>
      </c>
      <c r="S359" s="4">
        <v>27</v>
      </c>
      <c r="T359" s="4">
        <f t="shared" si="35"/>
        <v>28646.702999999998</v>
      </c>
      <c r="U359">
        <f t="shared" si="36"/>
        <v>31770.63</v>
      </c>
      <c r="V359" s="4">
        <f t="shared" si="39"/>
        <v>-3123.9270000000033</v>
      </c>
      <c r="W359" s="4">
        <f t="shared" si="40"/>
        <v>-0.1090501409533936</v>
      </c>
    </row>
    <row r="360" spans="1:23" x14ac:dyDescent="0.3">
      <c r="A360" t="s">
        <v>818</v>
      </c>
      <c r="B360" s="7">
        <v>45621</v>
      </c>
      <c r="C360" s="2">
        <v>45633</v>
      </c>
      <c r="D360" s="4">
        <f t="shared" si="41"/>
        <v>12</v>
      </c>
      <c r="E360" s="4" t="str">
        <f>TEXT(Data!B360,"MMM-YYYY")</f>
        <v>Jan-2024</v>
      </c>
      <c r="F360" s="4" t="str">
        <f t="shared" si="37"/>
        <v>Q4-2024</v>
      </c>
      <c r="G360" t="s">
        <v>45</v>
      </c>
      <c r="H360" t="s">
        <v>116</v>
      </c>
      <c r="I360" t="s">
        <v>162</v>
      </c>
      <c r="J360" t="s">
        <v>19</v>
      </c>
      <c r="K360" t="s">
        <v>55</v>
      </c>
      <c r="L360" t="s">
        <v>75</v>
      </c>
      <c r="M360" t="s">
        <v>81</v>
      </c>
      <c r="N360" t="s">
        <v>819</v>
      </c>
      <c r="O360" s="4">
        <v>769.9</v>
      </c>
      <c r="P360" s="8" t="str">
        <f t="shared" si="38"/>
        <v>High</v>
      </c>
      <c r="Q360" s="4">
        <v>814.36</v>
      </c>
      <c r="R360" s="4">
        <v>0</v>
      </c>
      <c r="S360" s="4">
        <v>5</v>
      </c>
      <c r="T360" s="4">
        <f t="shared" si="35"/>
        <v>4499.1500000000005</v>
      </c>
      <c r="U360">
        <f t="shared" si="36"/>
        <v>3849.5</v>
      </c>
      <c r="V360" s="4">
        <f t="shared" si="39"/>
        <v>649.65000000000055</v>
      </c>
      <c r="W360" s="4">
        <f t="shared" si="40"/>
        <v>0.14439394107775924</v>
      </c>
    </row>
    <row r="361" spans="1:23" x14ac:dyDescent="0.3">
      <c r="A361" t="s">
        <v>820</v>
      </c>
      <c r="B361" s="7">
        <v>45309</v>
      </c>
      <c r="C361" s="2">
        <v>45325</v>
      </c>
      <c r="D361" s="4">
        <f t="shared" si="41"/>
        <v>16</v>
      </c>
      <c r="E361" s="4" t="str">
        <f>TEXT(Data!B361,"MMM-YYYY")</f>
        <v>Jun-2024</v>
      </c>
      <c r="F361" s="4" t="str">
        <f t="shared" si="37"/>
        <v>Q1-2024</v>
      </c>
      <c r="G361" t="s">
        <v>16</v>
      </c>
      <c r="H361" t="s">
        <v>148</v>
      </c>
      <c r="I361" t="s">
        <v>258</v>
      </c>
      <c r="J361" t="s">
        <v>39</v>
      </c>
      <c r="K361" t="s">
        <v>55</v>
      </c>
      <c r="L361" t="s">
        <v>49</v>
      </c>
      <c r="M361" t="s">
        <v>30</v>
      </c>
      <c r="N361" t="s">
        <v>821</v>
      </c>
      <c r="O361" s="4">
        <v>666.23</v>
      </c>
      <c r="P361" s="8" t="str">
        <f t="shared" si="38"/>
        <v>High</v>
      </c>
      <c r="Q361" s="4">
        <v>1382.91</v>
      </c>
      <c r="R361" s="4">
        <v>0.17599999999999999</v>
      </c>
      <c r="S361" s="4">
        <v>13</v>
      </c>
      <c r="T361" s="4">
        <f t="shared" si="35"/>
        <v>9412.9557600000007</v>
      </c>
      <c r="U361">
        <f t="shared" si="36"/>
        <v>8660.99</v>
      </c>
      <c r="V361" s="4">
        <f t="shared" si="39"/>
        <v>751.96576000000096</v>
      </c>
      <c r="W361" s="4">
        <f t="shared" si="40"/>
        <v>7.9886252434697616E-2</v>
      </c>
    </row>
    <row r="362" spans="1:23" x14ac:dyDescent="0.3">
      <c r="A362" t="s">
        <v>822</v>
      </c>
      <c r="B362" s="7">
        <v>45466</v>
      </c>
      <c r="C362" s="2">
        <v>45468</v>
      </c>
      <c r="D362" s="4">
        <f t="shared" si="41"/>
        <v>2</v>
      </c>
      <c r="E362" s="4" t="str">
        <f>TEXT(Data!B362,"MMM-YYYY")</f>
        <v>Jun-2025</v>
      </c>
      <c r="F362" s="4" t="str">
        <f t="shared" si="37"/>
        <v>Q2-2024</v>
      </c>
      <c r="G362" t="s">
        <v>78</v>
      </c>
      <c r="H362" t="s">
        <v>108</v>
      </c>
      <c r="I362" t="s">
        <v>109</v>
      </c>
      <c r="J362" t="s">
        <v>62</v>
      </c>
      <c r="K362" t="s">
        <v>40</v>
      </c>
      <c r="L362" t="s">
        <v>49</v>
      </c>
      <c r="M362" t="s">
        <v>81</v>
      </c>
      <c r="N362" t="s">
        <v>823</v>
      </c>
      <c r="O362" s="4">
        <v>951.44</v>
      </c>
      <c r="P362" s="8" t="str">
        <f t="shared" si="38"/>
        <v>High</v>
      </c>
      <c r="Q362" s="4">
        <v>1646.43</v>
      </c>
      <c r="R362" s="4">
        <v>0.11</v>
      </c>
      <c r="S362" s="4">
        <v>24</v>
      </c>
      <c r="T362" s="4">
        <f t="shared" si="35"/>
        <v>12696.811199999998</v>
      </c>
      <c r="U362">
        <f t="shared" si="36"/>
        <v>22834.560000000001</v>
      </c>
      <c r="V362" s="4">
        <f t="shared" si="39"/>
        <v>-10137.748800000003</v>
      </c>
      <c r="W362" s="4">
        <f t="shared" si="40"/>
        <v>-0.79844841671741995</v>
      </c>
    </row>
    <row r="363" spans="1:23" x14ac:dyDescent="0.3">
      <c r="A363" t="s">
        <v>824</v>
      </c>
      <c r="B363" s="7">
        <v>45833</v>
      </c>
      <c r="C363" s="2">
        <v>45848</v>
      </c>
      <c r="D363" s="4">
        <f t="shared" si="41"/>
        <v>15</v>
      </c>
      <c r="E363" s="4" t="str">
        <f>TEXT(Data!B363,"MMM-YYYY")</f>
        <v>Jul-2023</v>
      </c>
      <c r="F363" s="4" t="str">
        <f t="shared" si="37"/>
        <v>Q2-2025</v>
      </c>
      <c r="G363" t="s">
        <v>78</v>
      </c>
      <c r="H363" t="s">
        <v>108</v>
      </c>
      <c r="I363" t="s">
        <v>109</v>
      </c>
      <c r="J363" t="s">
        <v>39</v>
      </c>
      <c r="K363" t="s">
        <v>40</v>
      </c>
      <c r="L363" t="s">
        <v>145</v>
      </c>
      <c r="M363" t="s">
        <v>42</v>
      </c>
      <c r="N363" t="s">
        <v>825</v>
      </c>
      <c r="O363" s="4">
        <v>546.83000000000004</v>
      </c>
      <c r="P363" s="8" t="str">
        <f t="shared" si="38"/>
        <v>High</v>
      </c>
      <c r="Q363" s="4">
        <v>400.84</v>
      </c>
      <c r="R363" s="4">
        <v>7.8E-2</v>
      </c>
      <c r="S363" s="4">
        <v>13</v>
      </c>
      <c r="T363" s="4">
        <f t="shared" si="35"/>
        <v>19391.5501</v>
      </c>
      <c r="U363">
        <f t="shared" si="36"/>
        <v>7108.7900000000009</v>
      </c>
      <c r="V363" s="4">
        <f t="shared" si="39"/>
        <v>12282.7601</v>
      </c>
      <c r="W363" s="4">
        <f t="shared" si="40"/>
        <v>0.63340785221703344</v>
      </c>
    </row>
    <row r="364" spans="1:23" x14ac:dyDescent="0.3">
      <c r="A364" t="s">
        <v>826</v>
      </c>
      <c r="B364" s="7">
        <v>45108</v>
      </c>
      <c r="C364" s="2">
        <v>45115</v>
      </c>
      <c r="D364" s="4">
        <f t="shared" si="41"/>
        <v>7</v>
      </c>
      <c r="E364" s="4" t="str">
        <f>TEXT(Data!B364,"MMM-YYYY")</f>
        <v>Mar-2024</v>
      </c>
      <c r="F364" s="4" t="str">
        <f t="shared" si="37"/>
        <v>Q3-2023</v>
      </c>
      <c r="G364" t="s">
        <v>16</v>
      </c>
      <c r="H364" t="s">
        <v>25</v>
      </c>
      <c r="I364" t="s">
        <v>26</v>
      </c>
      <c r="J364" t="s">
        <v>19</v>
      </c>
      <c r="K364" t="s">
        <v>20</v>
      </c>
      <c r="L364" t="s">
        <v>75</v>
      </c>
      <c r="M364" t="s">
        <v>57</v>
      </c>
      <c r="N364" t="s">
        <v>827</v>
      </c>
      <c r="O364" s="4">
        <v>834.26</v>
      </c>
      <c r="P364" s="8" t="str">
        <f t="shared" si="38"/>
        <v>High</v>
      </c>
      <c r="Q364" s="4">
        <v>1780.56</v>
      </c>
      <c r="R364" s="4">
        <v>1.4E-2</v>
      </c>
      <c r="S364" s="4">
        <v>47</v>
      </c>
      <c r="T364" s="4">
        <f t="shared" si="35"/>
        <v>45086.595219999996</v>
      </c>
      <c r="U364">
        <f t="shared" si="36"/>
        <v>39210.22</v>
      </c>
      <c r="V364" s="4">
        <f t="shared" si="39"/>
        <v>5876.3752199999944</v>
      </c>
      <c r="W364" s="4">
        <f t="shared" si="40"/>
        <v>0.13033530678744376</v>
      </c>
    </row>
    <row r="365" spans="1:23" x14ac:dyDescent="0.3">
      <c r="A365" t="s">
        <v>828</v>
      </c>
      <c r="B365" s="7">
        <v>45360</v>
      </c>
      <c r="C365" s="2">
        <v>45377</v>
      </c>
      <c r="D365" s="4">
        <f t="shared" si="41"/>
        <v>17</v>
      </c>
      <c r="E365" s="4" t="str">
        <f>TEXT(Data!B365,"MMM-YYYY")</f>
        <v>Jun-2023</v>
      </c>
      <c r="F365" s="4" t="str">
        <f t="shared" si="37"/>
        <v>Q1-2024</v>
      </c>
      <c r="G365" t="s">
        <v>45</v>
      </c>
      <c r="H365" t="s">
        <v>116</v>
      </c>
      <c r="I365" t="s">
        <v>117</v>
      </c>
      <c r="J365" t="s">
        <v>105</v>
      </c>
      <c r="K365" t="s">
        <v>28</v>
      </c>
      <c r="L365" t="s">
        <v>95</v>
      </c>
      <c r="M365" t="s">
        <v>64</v>
      </c>
      <c r="N365" t="s">
        <v>829</v>
      </c>
      <c r="O365" s="4">
        <v>1029.67</v>
      </c>
      <c r="P365" s="8" t="str">
        <f t="shared" si="38"/>
        <v>High</v>
      </c>
      <c r="Q365" s="4">
        <v>1118.43</v>
      </c>
      <c r="R365" s="4">
        <v>0.27200000000000002</v>
      </c>
      <c r="S365" s="4">
        <v>9</v>
      </c>
      <c r="T365" s="4">
        <f t="shared" si="35"/>
        <v>278.85311999999999</v>
      </c>
      <c r="U365">
        <f t="shared" si="36"/>
        <v>9267.0300000000007</v>
      </c>
      <c r="V365" s="4">
        <f t="shared" si="39"/>
        <v>-8988.1768800000009</v>
      </c>
      <c r="W365" s="4">
        <f t="shared" si="40"/>
        <v>-32.232656676030743</v>
      </c>
    </row>
    <row r="366" spans="1:23" x14ac:dyDescent="0.3">
      <c r="A366" t="s">
        <v>830</v>
      </c>
      <c r="B366" s="7">
        <v>45082</v>
      </c>
      <c r="C366" s="2">
        <v>45105</v>
      </c>
      <c r="D366" s="4">
        <f t="shared" si="41"/>
        <v>23</v>
      </c>
      <c r="E366" s="4" t="str">
        <f>TEXT(Data!B366,"MMM-YYYY")</f>
        <v>Mar-2025</v>
      </c>
      <c r="F366" s="4" t="str">
        <f t="shared" si="37"/>
        <v>Q2-2023</v>
      </c>
      <c r="G366" t="s">
        <v>78</v>
      </c>
      <c r="H366" t="s">
        <v>108</v>
      </c>
      <c r="I366" t="s">
        <v>109</v>
      </c>
      <c r="J366" t="s">
        <v>19</v>
      </c>
      <c r="K366" t="s">
        <v>98</v>
      </c>
      <c r="L366" t="s">
        <v>95</v>
      </c>
      <c r="M366" t="s">
        <v>30</v>
      </c>
      <c r="N366" t="s">
        <v>831</v>
      </c>
      <c r="O366" s="4">
        <v>605.82000000000005</v>
      </c>
      <c r="P366" s="8" t="str">
        <f t="shared" si="38"/>
        <v>High</v>
      </c>
      <c r="Q366" s="4">
        <v>771.12</v>
      </c>
      <c r="R366" s="4">
        <v>0.13200000000000001</v>
      </c>
      <c r="S366" s="4">
        <v>19</v>
      </c>
      <c r="T366" s="4">
        <f t="shared" si="35"/>
        <v>24421.848359999996</v>
      </c>
      <c r="U366">
        <f t="shared" si="36"/>
        <v>11510.580000000002</v>
      </c>
      <c r="V366" s="4">
        <f t="shared" si="39"/>
        <v>12911.268359999995</v>
      </c>
      <c r="W366" s="4">
        <f t="shared" si="40"/>
        <v>0.52867695227962652</v>
      </c>
    </row>
    <row r="367" spans="1:23" x14ac:dyDescent="0.3">
      <c r="A367" t="s">
        <v>832</v>
      </c>
      <c r="B367" s="7">
        <v>45737</v>
      </c>
      <c r="C367" s="2">
        <v>45756</v>
      </c>
      <c r="D367" s="4">
        <f t="shared" si="41"/>
        <v>19</v>
      </c>
      <c r="E367" s="4" t="str">
        <f>TEXT(Data!B367,"MMM-YYYY")</f>
        <v>Jun-2024</v>
      </c>
      <c r="F367" s="4" t="str">
        <f t="shared" si="37"/>
        <v>Q1-2025</v>
      </c>
      <c r="G367" t="s">
        <v>45</v>
      </c>
      <c r="H367" t="s">
        <v>46</v>
      </c>
      <c r="I367" t="s">
        <v>214</v>
      </c>
      <c r="J367" t="s">
        <v>62</v>
      </c>
      <c r="K367" t="s">
        <v>55</v>
      </c>
      <c r="L367" t="s">
        <v>63</v>
      </c>
      <c r="M367" t="s">
        <v>22</v>
      </c>
      <c r="N367" t="s">
        <v>833</v>
      </c>
      <c r="O367" s="4">
        <v>1055.45</v>
      </c>
      <c r="P367" s="8" t="str">
        <f t="shared" si="38"/>
        <v>High</v>
      </c>
      <c r="Q367" s="4">
        <v>1210.04</v>
      </c>
      <c r="R367" s="4">
        <v>8.9999999999999993E-3</v>
      </c>
      <c r="S367" s="4">
        <v>18</v>
      </c>
      <c r="T367" s="4">
        <f t="shared" si="35"/>
        <v>10065.26988</v>
      </c>
      <c r="U367">
        <f t="shared" si="36"/>
        <v>18998.100000000002</v>
      </c>
      <c r="V367" s="4">
        <f t="shared" si="39"/>
        <v>-8932.8301200000024</v>
      </c>
      <c r="W367" s="4">
        <f t="shared" si="40"/>
        <v>-0.887490372985409</v>
      </c>
    </row>
    <row r="368" spans="1:23" x14ac:dyDescent="0.3">
      <c r="A368" t="s">
        <v>834</v>
      </c>
      <c r="B368" s="7">
        <v>45445</v>
      </c>
      <c r="C368" s="2">
        <v>45458</v>
      </c>
      <c r="D368" s="4">
        <f t="shared" si="41"/>
        <v>13</v>
      </c>
      <c r="E368" s="4" t="str">
        <f>TEXT(Data!B368,"MMM-YYYY")</f>
        <v>Mar-2025</v>
      </c>
      <c r="F368" s="4" t="str">
        <f t="shared" si="37"/>
        <v>Q2-2024</v>
      </c>
      <c r="G368" t="s">
        <v>16</v>
      </c>
      <c r="H368" t="s">
        <v>17</v>
      </c>
      <c r="I368" t="s">
        <v>113</v>
      </c>
      <c r="J368" t="s">
        <v>27</v>
      </c>
      <c r="K368" t="s">
        <v>28</v>
      </c>
      <c r="L368" t="s">
        <v>68</v>
      </c>
      <c r="M368" t="s">
        <v>42</v>
      </c>
      <c r="N368" t="s">
        <v>835</v>
      </c>
      <c r="O368" s="4">
        <v>1295.18</v>
      </c>
      <c r="P368" s="8" t="str">
        <f t="shared" si="38"/>
        <v>High</v>
      </c>
      <c r="Q368" s="4">
        <v>3024.03</v>
      </c>
      <c r="R368" s="4">
        <v>0.192</v>
      </c>
      <c r="S368" s="4">
        <v>8</v>
      </c>
      <c r="T368" s="4">
        <f t="shared" si="35"/>
        <v>13814.925440000001</v>
      </c>
      <c r="U368">
        <f t="shared" si="36"/>
        <v>10361.44</v>
      </c>
      <c r="V368" s="4">
        <f t="shared" si="39"/>
        <v>3453.4854400000004</v>
      </c>
      <c r="W368" s="4">
        <f t="shared" si="40"/>
        <v>0.24998219896292109</v>
      </c>
    </row>
    <row r="369" spans="1:23" x14ac:dyDescent="0.3">
      <c r="A369" t="s">
        <v>836</v>
      </c>
      <c r="B369" s="7">
        <v>45731</v>
      </c>
      <c r="C369" s="2">
        <v>45745</v>
      </c>
      <c r="D369" s="4">
        <f t="shared" si="41"/>
        <v>14</v>
      </c>
      <c r="E369" s="4" t="str">
        <f>TEXT(Data!B369,"MMM-YYYY")</f>
        <v>Sept-2023</v>
      </c>
      <c r="F369" s="4" t="str">
        <f t="shared" si="37"/>
        <v>Q1-2025</v>
      </c>
      <c r="G369" t="s">
        <v>45</v>
      </c>
      <c r="H369" t="s">
        <v>60</v>
      </c>
      <c r="I369" t="s">
        <v>220</v>
      </c>
      <c r="J369" t="s">
        <v>105</v>
      </c>
      <c r="K369" t="s">
        <v>98</v>
      </c>
      <c r="L369" t="s">
        <v>21</v>
      </c>
      <c r="M369" t="s">
        <v>22</v>
      </c>
      <c r="N369" t="s">
        <v>837</v>
      </c>
      <c r="O369" s="4">
        <v>935.83</v>
      </c>
      <c r="P369" s="8" t="str">
        <f t="shared" si="38"/>
        <v>High</v>
      </c>
      <c r="Q369" s="4">
        <v>2303.46</v>
      </c>
      <c r="R369" s="4">
        <v>0.105</v>
      </c>
      <c r="S369" s="4">
        <v>9</v>
      </c>
      <c r="T369" s="4">
        <f t="shared" si="35"/>
        <v>13539.891150000001</v>
      </c>
      <c r="U369">
        <f t="shared" si="36"/>
        <v>8422.4700000000012</v>
      </c>
      <c r="V369" s="4">
        <f t="shared" si="39"/>
        <v>5117.4211500000001</v>
      </c>
      <c r="W369" s="4">
        <f t="shared" si="40"/>
        <v>0.37795142466858012</v>
      </c>
    </row>
    <row r="370" spans="1:23" x14ac:dyDescent="0.3">
      <c r="A370" t="s">
        <v>838</v>
      </c>
      <c r="B370" s="7">
        <v>45194</v>
      </c>
      <c r="C370" s="2">
        <v>45208</v>
      </c>
      <c r="D370" s="4">
        <f t="shared" si="41"/>
        <v>14</v>
      </c>
      <c r="E370" s="4" t="str">
        <f>TEXT(Data!B370,"MMM-YYYY")</f>
        <v>Jun-2025</v>
      </c>
      <c r="F370" s="4" t="str">
        <f t="shared" si="37"/>
        <v>Q3-2023</v>
      </c>
      <c r="G370" t="s">
        <v>52</v>
      </c>
      <c r="H370" t="s">
        <v>122</v>
      </c>
      <c r="I370" t="s">
        <v>387</v>
      </c>
      <c r="J370" t="s">
        <v>62</v>
      </c>
      <c r="K370" t="s">
        <v>40</v>
      </c>
      <c r="L370" t="s">
        <v>29</v>
      </c>
      <c r="M370" t="s">
        <v>57</v>
      </c>
      <c r="N370" t="s">
        <v>839</v>
      </c>
      <c r="O370" s="4">
        <v>1279.56</v>
      </c>
      <c r="P370" s="8" t="str">
        <f t="shared" si="38"/>
        <v>High</v>
      </c>
      <c r="Q370" s="4">
        <v>3083.8</v>
      </c>
      <c r="R370" s="4">
        <v>0.106</v>
      </c>
      <c r="S370" s="4">
        <v>5</v>
      </c>
      <c r="T370" s="4">
        <f t="shared" si="35"/>
        <v>12985.618199999999</v>
      </c>
      <c r="U370">
        <f t="shared" si="36"/>
        <v>6397.7999999999993</v>
      </c>
      <c r="V370" s="4">
        <f t="shared" si="39"/>
        <v>6587.8181999999997</v>
      </c>
      <c r="W370" s="4">
        <f t="shared" si="40"/>
        <v>0.50731648648040495</v>
      </c>
    </row>
    <row r="371" spans="1:23" x14ac:dyDescent="0.3">
      <c r="A371" t="s">
        <v>840</v>
      </c>
      <c r="B371" s="7">
        <v>45832</v>
      </c>
      <c r="C371" s="2">
        <v>45861</v>
      </c>
      <c r="D371" s="4">
        <f t="shared" si="41"/>
        <v>29</v>
      </c>
      <c r="E371" s="4" t="str">
        <f>TEXT(Data!B371,"MMM-YYYY")</f>
        <v>Dec-2023</v>
      </c>
      <c r="F371" s="4" t="str">
        <f t="shared" si="37"/>
        <v>Q2-2025</v>
      </c>
      <c r="G371" t="s">
        <v>52</v>
      </c>
      <c r="H371" t="s">
        <v>53</v>
      </c>
      <c r="I371" t="s">
        <v>179</v>
      </c>
      <c r="J371" t="s">
        <v>39</v>
      </c>
      <c r="K371" t="s">
        <v>40</v>
      </c>
      <c r="L371" t="s">
        <v>34</v>
      </c>
      <c r="M371" t="s">
        <v>30</v>
      </c>
      <c r="N371" t="s">
        <v>841</v>
      </c>
      <c r="O371" s="4">
        <v>255.4</v>
      </c>
      <c r="P371" s="8" t="str">
        <f t="shared" si="38"/>
        <v>High</v>
      </c>
      <c r="Q371" s="4">
        <v>322.70999999999998</v>
      </c>
      <c r="R371" s="4">
        <v>0.115</v>
      </c>
      <c r="S371" s="4">
        <v>16</v>
      </c>
      <c r="T371" s="4">
        <f t="shared" si="35"/>
        <v>11923.994400000001</v>
      </c>
      <c r="U371">
        <f t="shared" si="36"/>
        <v>4086.4</v>
      </c>
      <c r="V371" s="4">
        <f t="shared" si="39"/>
        <v>7837.5944000000018</v>
      </c>
      <c r="W371" s="4">
        <f t="shared" si="40"/>
        <v>0.65729604837788258</v>
      </c>
    </row>
    <row r="372" spans="1:23" x14ac:dyDescent="0.3">
      <c r="A372" t="s">
        <v>842</v>
      </c>
      <c r="B372" s="7">
        <v>45286</v>
      </c>
      <c r="C372" s="2">
        <v>45294</v>
      </c>
      <c r="D372" s="4">
        <f t="shared" si="41"/>
        <v>8</v>
      </c>
      <c r="E372" s="4" t="str">
        <f>TEXT(Data!B372,"MMM-YYYY")</f>
        <v>Feb-2023</v>
      </c>
      <c r="F372" s="4" t="str">
        <f t="shared" si="37"/>
        <v>Q4-2023</v>
      </c>
      <c r="G372" t="s">
        <v>78</v>
      </c>
      <c r="H372" t="s">
        <v>90</v>
      </c>
      <c r="I372" t="s">
        <v>138</v>
      </c>
      <c r="J372" t="s">
        <v>62</v>
      </c>
      <c r="K372" t="s">
        <v>20</v>
      </c>
      <c r="L372" t="s">
        <v>110</v>
      </c>
      <c r="M372" t="s">
        <v>57</v>
      </c>
      <c r="N372" t="s">
        <v>843</v>
      </c>
      <c r="O372" s="4">
        <v>492.75</v>
      </c>
      <c r="P372" s="8" t="str">
        <f t="shared" si="38"/>
        <v>High</v>
      </c>
      <c r="Q372" s="4">
        <v>731.29</v>
      </c>
      <c r="R372" s="4">
        <v>5.8000000000000003E-2</v>
      </c>
      <c r="S372" s="4">
        <v>6</v>
      </c>
      <c r="T372" s="4">
        <f t="shared" si="35"/>
        <v>17698.503240000002</v>
      </c>
      <c r="U372">
        <f t="shared" si="36"/>
        <v>2956.5</v>
      </c>
      <c r="V372" s="4">
        <f t="shared" si="39"/>
        <v>14742.003240000002</v>
      </c>
      <c r="W372" s="4">
        <f t="shared" si="40"/>
        <v>0.83295197566096557</v>
      </c>
    </row>
    <row r="373" spans="1:23" x14ac:dyDescent="0.3">
      <c r="A373" t="s">
        <v>844</v>
      </c>
      <c r="B373" s="7">
        <v>44962</v>
      </c>
      <c r="C373" s="2">
        <v>44985</v>
      </c>
      <c r="D373" s="4">
        <f t="shared" si="41"/>
        <v>23</v>
      </c>
      <c r="E373" s="4" t="str">
        <f>TEXT(Data!B373,"MMM-YYYY")</f>
        <v>Apr-2023</v>
      </c>
      <c r="F373" s="4" t="str">
        <f t="shared" si="37"/>
        <v>Q1-2023</v>
      </c>
      <c r="G373" t="s">
        <v>52</v>
      </c>
      <c r="H373" t="s">
        <v>122</v>
      </c>
      <c r="I373" t="s">
        <v>326</v>
      </c>
      <c r="J373" t="s">
        <v>39</v>
      </c>
      <c r="K373" t="s">
        <v>55</v>
      </c>
      <c r="L373" t="s">
        <v>49</v>
      </c>
      <c r="M373" t="s">
        <v>42</v>
      </c>
      <c r="N373" t="s">
        <v>845</v>
      </c>
      <c r="O373" s="4">
        <v>1214.49</v>
      </c>
      <c r="P373" s="8" t="str">
        <f t="shared" si="38"/>
        <v>High</v>
      </c>
      <c r="Q373" s="4">
        <v>1533.95</v>
      </c>
      <c r="R373" s="4">
        <v>0</v>
      </c>
      <c r="S373" s="4">
        <v>11</v>
      </c>
      <c r="T373" s="4">
        <f t="shared" si="35"/>
        <v>15891.92</v>
      </c>
      <c r="U373">
        <f t="shared" si="36"/>
        <v>13359.39</v>
      </c>
      <c r="V373" s="4">
        <f t="shared" si="39"/>
        <v>2532.5300000000007</v>
      </c>
      <c r="W373" s="4">
        <f t="shared" si="40"/>
        <v>0.15935959909186559</v>
      </c>
    </row>
    <row r="374" spans="1:23" x14ac:dyDescent="0.3">
      <c r="A374" t="s">
        <v>846</v>
      </c>
      <c r="B374" s="7">
        <v>45022</v>
      </c>
      <c r="C374" s="2">
        <v>45024</v>
      </c>
      <c r="D374" s="4">
        <f t="shared" si="41"/>
        <v>2</v>
      </c>
      <c r="E374" s="4" t="str">
        <f>TEXT(Data!B374,"MMM-YYYY")</f>
        <v>Apr-2025</v>
      </c>
      <c r="F374" s="4" t="str">
        <f t="shared" si="37"/>
        <v>Q2-2023</v>
      </c>
      <c r="G374" t="s">
        <v>16</v>
      </c>
      <c r="H374" t="s">
        <v>25</v>
      </c>
      <c r="I374" t="s">
        <v>67</v>
      </c>
      <c r="J374" t="s">
        <v>62</v>
      </c>
      <c r="K374" t="s">
        <v>40</v>
      </c>
      <c r="L374" t="s">
        <v>95</v>
      </c>
      <c r="M374" t="s">
        <v>64</v>
      </c>
      <c r="N374" t="s">
        <v>847</v>
      </c>
      <c r="O374" s="4">
        <v>720.35</v>
      </c>
      <c r="P374" s="8" t="str">
        <f t="shared" si="38"/>
        <v>High</v>
      </c>
      <c r="Q374" s="4">
        <v>1571.66</v>
      </c>
      <c r="R374" s="4">
        <v>0.107</v>
      </c>
      <c r="S374" s="4">
        <v>23</v>
      </c>
      <c r="T374" s="4">
        <f t="shared" si="35"/>
        <v>59066.056200000006</v>
      </c>
      <c r="U374">
        <f t="shared" si="36"/>
        <v>16568.05</v>
      </c>
      <c r="V374" s="4">
        <f t="shared" si="39"/>
        <v>42498.006200000003</v>
      </c>
      <c r="W374" s="4">
        <f t="shared" si="40"/>
        <v>0.71949964047201787</v>
      </c>
    </row>
    <row r="375" spans="1:23" x14ac:dyDescent="0.3">
      <c r="A375" t="s">
        <v>848</v>
      </c>
      <c r="B375" s="7">
        <v>45751</v>
      </c>
      <c r="C375" s="2">
        <v>45757</v>
      </c>
      <c r="D375" s="4">
        <f t="shared" si="41"/>
        <v>6</v>
      </c>
      <c r="E375" s="4" t="str">
        <f>TEXT(Data!B375,"MMM-YYYY")</f>
        <v>May-2024</v>
      </c>
      <c r="F375" s="4" t="str">
        <f t="shared" si="37"/>
        <v>Q2-2025</v>
      </c>
      <c r="G375" t="s">
        <v>78</v>
      </c>
      <c r="H375" t="s">
        <v>108</v>
      </c>
      <c r="I375" t="s">
        <v>109</v>
      </c>
      <c r="J375" t="s">
        <v>39</v>
      </c>
      <c r="K375" t="s">
        <v>98</v>
      </c>
      <c r="L375" t="s">
        <v>126</v>
      </c>
      <c r="M375" t="s">
        <v>30</v>
      </c>
      <c r="N375" t="s">
        <v>849</v>
      </c>
      <c r="O375" s="4">
        <v>290.14</v>
      </c>
      <c r="P375" s="8" t="str">
        <f t="shared" si="38"/>
        <v>High</v>
      </c>
      <c r="Q375" s="4">
        <v>250.73</v>
      </c>
      <c r="R375" s="4">
        <v>3.4000000000000002E-2</v>
      </c>
      <c r="S375" s="4">
        <v>17</v>
      </c>
      <c r="T375" s="4">
        <f t="shared" si="35"/>
        <v>26958.519419999997</v>
      </c>
      <c r="U375">
        <f t="shared" si="36"/>
        <v>4932.38</v>
      </c>
      <c r="V375" s="4">
        <f t="shared" si="39"/>
        <v>22026.139419999996</v>
      </c>
      <c r="W375" s="4">
        <f t="shared" si="40"/>
        <v>0.81703817174986382</v>
      </c>
    </row>
    <row r="376" spans="1:23" x14ac:dyDescent="0.3">
      <c r="A376" t="s">
        <v>850</v>
      </c>
      <c r="B376" s="7">
        <v>45429</v>
      </c>
      <c r="C376" s="2">
        <v>45439</v>
      </c>
      <c r="D376" s="4">
        <f t="shared" si="41"/>
        <v>10</v>
      </c>
      <c r="E376" s="4" t="str">
        <f>TEXT(Data!B376,"MMM-YYYY")</f>
        <v>Mar-2024</v>
      </c>
      <c r="F376" s="4" t="str">
        <f t="shared" si="37"/>
        <v>Q2-2024</v>
      </c>
      <c r="G376" t="s">
        <v>52</v>
      </c>
      <c r="H376" t="s">
        <v>122</v>
      </c>
      <c r="I376" t="s">
        <v>326</v>
      </c>
      <c r="J376" t="s">
        <v>39</v>
      </c>
      <c r="K376" t="s">
        <v>28</v>
      </c>
      <c r="L376" t="s">
        <v>21</v>
      </c>
      <c r="M376" t="s">
        <v>42</v>
      </c>
      <c r="N376" t="s">
        <v>851</v>
      </c>
      <c r="O376" s="4">
        <v>1484.23</v>
      </c>
      <c r="P376" s="8" t="str">
        <f t="shared" si="38"/>
        <v>High</v>
      </c>
      <c r="Q376" s="4">
        <v>3472.81</v>
      </c>
      <c r="R376" s="4">
        <v>0.25600000000000001</v>
      </c>
      <c r="S376" s="4">
        <v>12</v>
      </c>
      <c r="T376" s="4">
        <f t="shared" si="35"/>
        <v>11597.65056</v>
      </c>
      <c r="U376">
        <f t="shared" si="36"/>
        <v>17810.760000000002</v>
      </c>
      <c r="V376" s="4">
        <f t="shared" si="39"/>
        <v>-6213.109440000002</v>
      </c>
      <c r="W376" s="4">
        <f t="shared" si="40"/>
        <v>-0.53572138665988589</v>
      </c>
    </row>
    <row r="377" spans="1:23" x14ac:dyDescent="0.3">
      <c r="A377" t="s">
        <v>852</v>
      </c>
      <c r="B377" s="7">
        <v>45354</v>
      </c>
      <c r="C377" s="2">
        <v>45370</v>
      </c>
      <c r="D377" s="4">
        <f t="shared" si="41"/>
        <v>16</v>
      </c>
      <c r="E377" s="4" t="str">
        <f>TEXT(Data!B377,"MMM-YYYY")</f>
        <v>Jun-2025</v>
      </c>
      <c r="F377" s="4" t="str">
        <f t="shared" si="37"/>
        <v>Q1-2024</v>
      </c>
      <c r="G377" t="s">
        <v>45</v>
      </c>
      <c r="H377" t="s">
        <v>116</v>
      </c>
      <c r="I377" t="s">
        <v>338</v>
      </c>
      <c r="J377" t="s">
        <v>48</v>
      </c>
      <c r="K377" t="s">
        <v>55</v>
      </c>
      <c r="L377" t="s">
        <v>41</v>
      </c>
      <c r="M377" t="s">
        <v>42</v>
      </c>
      <c r="N377" t="s">
        <v>853</v>
      </c>
      <c r="O377" s="4">
        <v>988.83</v>
      </c>
      <c r="P377" s="8" t="str">
        <f t="shared" si="38"/>
        <v>High</v>
      </c>
      <c r="Q377" s="4">
        <v>1206.04</v>
      </c>
      <c r="R377" s="4">
        <v>6.3E-2</v>
      </c>
      <c r="S377" s="4">
        <v>34</v>
      </c>
      <c r="T377" s="4">
        <f t="shared" si="35"/>
        <v>35635.084480000005</v>
      </c>
      <c r="U377">
        <f t="shared" si="36"/>
        <v>33620.22</v>
      </c>
      <c r="V377" s="4">
        <f t="shared" si="39"/>
        <v>2014.8644800000038</v>
      </c>
      <c r="W377" s="4">
        <f t="shared" si="40"/>
        <v>5.6541594033005182E-2</v>
      </c>
    </row>
    <row r="378" spans="1:23" x14ac:dyDescent="0.3">
      <c r="A378" t="s">
        <v>854</v>
      </c>
      <c r="B378" s="7">
        <v>45835</v>
      </c>
      <c r="C378" s="2">
        <v>45849</v>
      </c>
      <c r="D378" s="4">
        <f t="shared" si="41"/>
        <v>14</v>
      </c>
      <c r="E378" s="4" t="str">
        <f>TEXT(Data!B378,"MMM-YYYY")</f>
        <v>Mar-2023</v>
      </c>
      <c r="F378" s="4" t="str">
        <f t="shared" si="37"/>
        <v>Q2-2025</v>
      </c>
      <c r="G378" t="s">
        <v>45</v>
      </c>
      <c r="H378" t="s">
        <v>116</v>
      </c>
      <c r="I378" t="s">
        <v>162</v>
      </c>
      <c r="J378" t="s">
        <v>62</v>
      </c>
      <c r="K378" t="s">
        <v>40</v>
      </c>
      <c r="L378" t="s">
        <v>49</v>
      </c>
      <c r="M378" t="s">
        <v>35</v>
      </c>
      <c r="N378" t="s">
        <v>855</v>
      </c>
      <c r="O378" s="4">
        <v>1227.7</v>
      </c>
      <c r="P378" s="8" t="str">
        <f t="shared" si="38"/>
        <v>High</v>
      </c>
      <c r="Q378" s="4">
        <v>2197.23</v>
      </c>
      <c r="R378" s="4">
        <v>9.9000000000000005E-2</v>
      </c>
      <c r="S378" s="4">
        <v>22</v>
      </c>
      <c r="T378" s="4">
        <f t="shared" si="35"/>
        <v>23483.321620000002</v>
      </c>
      <c r="U378">
        <f t="shared" si="36"/>
        <v>27009.4</v>
      </c>
      <c r="V378" s="4">
        <f t="shared" si="39"/>
        <v>-3526.078379999999</v>
      </c>
      <c r="W378" s="4">
        <f t="shared" si="40"/>
        <v>-0.15015245445503542</v>
      </c>
    </row>
    <row r="379" spans="1:23" x14ac:dyDescent="0.3">
      <c r="A379" t="s">
        <v>856</v>
      </c>
      <c r="B379" s="7">
        <v>44998</v>
      </c>
      <c r="C379" s="2">
        <v>45020</v>
      </c>
      <c r="D379" s="4">
        <f t="shared" si="41"/>
        <v>22</v>
      </c>
      <c r="E379" s="4" t="str">
        <f>TEXT(Data!B379,"MMM-YYYY")</f>
        <v>Jan-2025</v>
      </c>
      <c r="F379" s="4" t="str">
        <f t="shared" si="37"/>
        <v>Q1-2023</v>
      </c>
      <c r="G379" t="s">
        <v>16</v>
      </c>
      <c r="H379" t="s">
        <v>148</v>
      </c>
      <c r="I379" t="s">
        <v>172</v>
      </c>
      <c r="J379" t="s">
        <v>62</v>
      </c>
      <c r="K379" t="s">
        <v>20</v>
      </c>
      <c r="L379" t="s">
        <v>75</v>
      </c>
      <c r="M379" t="s">
        <v>22</v>
      </c>
      <c r="N379" t="s">
        <v>857</v>
      </c>
      <c r="O379" s="4">
        <v>1113.7</v>
      </c>
      <c r="P379" s="8" t="str">
        <f t="shared" si="38"/>
        <v>High</v>
      </c>
      <c r="Q379" s="4">
        <v>1620.6</v>
      </c>
      <c r="R379" s="4">
        <v>0.13900000000000001</v>
      </c>
      <c r="S379" s="4">
        <v>11</v>
      </c>
      <c r="T379" s="4">
        <f t="shared" si="35"/>
        <v>11379.122369999999</v>
      </c>
      <c r="U379">
        <f t="shared" si="36"/>
        <v>12250.7</v>
      </c>
      <c r="V379" s="4">
        <f t="shared" si="39"/>
        <v>-871.57763000000159</v>
      </c>
      <c r="W379" s="4">
        <f t="shared" si="40"/>
        <v>-7.6594450930401736E-2</v>
      </c>
    </row>
    <row r="380" spans="1:23" x14ac:dyDescent="0.3">
      <c r="A380" t="s">
        <v>858</v>
      </c>
      <c r="B380" s="7">
        <v>45664</v>
      </c>
      <c r="C380" s="2">
        <v>45677</v>
      </c>
      <c r="D380" s="4">
        <f t="shared" si="41"/>
        <v>13</v>
      </c>
      <c r="E380" s="4" t="str">
        <f>TEXT(Data!B380,"MMM-YYYY")</f>
        <v>Feb-2025</v>
      </c>
      <c r="F380" s="4" t="str">
        <f t="shared" si="37"/>
        <v>Q1-2025</v>
      </c>
      <c r="G380" t="s">
        <v>16</v>
      </c>
      <c r="H380" t="s">
        <v>148</v>
      </c>
      <c r="I380" t="s">
        <v>258</v>
      </c>
      <c r="J380" t="s">
        <v>19</v>
      </c>
      <c r="K380" t="s">
        <v>98</v>
      </c>
      <c r="L380" t="s">
        <v>95</v>
      </c>
      <c r="M380" t="s">
        <v>35</v>
      </c>
      <c r="N380" t="s">
        <v>859</v>
      </c>
      <c r="O380" s="4">
        <v>432.13</v>
      </c>
      <c r="P380" s="8" t="str">
        <f t="shared" si="38"/>
        <v>High</v>
      </c>
      <c r="Q380" s="4">
        <v>1034.6600000000001</v>
      </c>
      <c r="R380" s="4">
        <v>9.1999999999999998E-2</v>
      </c>
      <c r="S380" s="4">
        <v>7</v>
      </c>
      <c r="T380" s="4">
        <f t="shared" si="35"/>
        <v>5599.5724400000008</v>
      </c>
      <c r="U380">
        <f t="shared" si="36"/>
        <v>3024.91</v>
      </c>
      <c r="V380" s="4">
        <f t="shared" si="39"/>
        <v>2574.662440000001</v>
      </c>
      <c r="W380" s="4">
        <f t="shared" si="40"/>
        <v>0.45979625544410324</v>
      </c>
    </row>
    <row r="381" spans="1:23" x14ac:dyDescent="0.3">
      <c r="A381" t="s">
        <v>860</v>
      </c>
      <c r="B381" s="7">
        <v>45694</v>
      </c>
      <c r="C381" s="2">
        <v>45703</v>
      </c>
      <c r="D381" s="4">
        <f t="shared" si="41"/>
        <v>9</v>
      </c>
      <c r="E381" s="4" t="str">
        <f>TEXT(Data!B381,"MMM-YYYY")</f>
        <v>Jan-2025</v>
      </c>
      <c r="F381" s="4" t="str">
        <f t="shared" si="37"/>
        <v>Q1-2025</v>
      </c>
      <c r="G381" t="s">
        <v>52</v>
      </c>
      <c r="H381" t="s">
        <v>73</v>
      </c>
      <c r="I381" t="s">
        <v>74</v>
      </c>
      <c r="J381" t="s">
        <v>39</v>
      </c>
      <c r="K381" t="s">
        <v>55</v>
      </c>
      <c r="L381" t="s">
        <v>84</v>
      </c>
      <c r="M381" t="s">
        <v>35</v>
      </c>
      <c r="N381" t="s">
        <v>861</v>
      </c>
      <c r="O381" s="4">
        <v>837.39</v>
      </c>
      <c r="P381" s="8" t="str">
        <f t="shared" si="38"/>
        <v>High</v>
      </c>
      <c r="Q381" s="4">
        <v>1905.42</v>
      </c>
      <c r="R381" s="4">
        <v>3.2000000000000001E-2</v>
      </c>
      <c r="S381" s="4">
        <v>18</v>
      </c>
      <c r="T381" s="4">
        <f t="shared" si="35"/>
        <v>35734.358879999992</v>
      </c>
      <c r="U381">
        <f t="shared" si="36"/>
        <v>15073.02</v>
      </c>
      <c r="V381" s="4">
        <f t="shared" si="39"/>
        <v>20661.338879999992</v>
      </c>
      <c r="W381" s="4">
        <f t="shared" si="40"/>
        <v>0.57819251632254265</v>
      </c>
    </row>
    <row r="382" spans="1:23" x14ac:dyDescent="0.3">
      <c r="A382" t="s">
        <v>862</v>
      </c>
      <c r="B382" s="7">
        <v>45688</v>
      </c>
      <c r="C382" s="2">
        <v>45705</v>
      </c>
      <c r="D382" s="4">
        <f t="shared" si="41"/>
        <v>17</v>
      </c>
      <c r="E382" s="4" t="str">
        <f>TEXT(Data!B382,"MMM-YYYY")</f>
        <v>Aug-2025</v>
      </c>
      <c r="F382" s="4" t="str">
        <f t="shared" si="37"/>
        <v>Q1-2025</v>
      </c>
      <c r="G382" t="s">
        <v>78</v>
      </c>
      <c r="H382" t="s">
        <v>108</v>
      </c>
      <c r="I382" t="s">
        <v>152</v>
      </c>
      <c r="J382" t="s">
        <v>105</v>
      </c>
      <c r="K382" t="s">
        <v>20</v>
      </c>
      <c r="L382" t="s">
        <v>92</v>
      </c>
      <c r="M382" t="s">
        <v>22</v>
      </c>
      <c r="N382" t="s">
        <v>254</v>
      </c>
      <c r="O382" s="4">
        <v>378.26</v>
      </c>
      <c r="P382" s="8" t="str">
        <f t="shared" si="38"/>
        <v>High</v>
      </c>
      <c r="Q382" s="4">
        <v>541.55999999999995</v>
      </c>
      <c r="R382" s="4">
        <v>0.16300000000000001</v>
      </c>
      <c r="S382" s="4">
        <v>25</v>
      </c>
      <c r="T382" s="4">
        <f t="shared" si="35"/>
        <v>36365.557499999995</v>
      </c>
      <c r="U382">
        <f t="shared" si="36"/>
        <v>9456.5</v>
      </c>
      <c r="V382" s="4">
        <f t="shared" si="39"/>
        <v>26909.057499999995</v>
      </c>
      <c r="W382" s="4">
        <f t="shared" si="40"/>
        <v>0.73995998823887132</v>
      </c>
    </row>
    <row r="383" spans="1:23" x14ac:dyDescent="0.3">
      <c r="A383" t="s">
        <v>863</v>
      </c>
      <c r="B383" s="7">
        <v>45876</v>
      </c>
      <c r="C383" s="2">
        <v>45906</v>
      </c>
      <c r="D383" s="4">
        <f t="shared" si="41"/>
        <v>30</v>
      </c>
      <c r="E383" s="4" t="str">
        <f>TEXT(Data!B383,"MMM-YYYY")</f>
        <v>Jul-2025</v>
      </c>
      <c r="F383" s="4" t="str">
        <f t="shared" si="37"/>
        <v>Q3-2025</v>
      </c>
      <c r="G383" t="s">
        <v>52</v>
      </c>
      <c r="H383" t="s">
        <v>53</v>
      </c>
      <c r="I383" t="s">
        <v>144</v>
      </c>
      <c r="J383" t="s">
        <v>27</v>
      </c>
      <c r="K383" t="s">
        <v>98</v>
      </c>
      <c r="L383" t="s">
        <v>110</v>
      </c>
      <c r="M383" t="s">
        <v>35</v>
      </c>
      <c r="N383" t="s">
        <v>864</v>
      </c>
      <c r="O383" s="4">
        <v>833.73</v>
      </c>
      <c r="P383" s="8" t="str">
        <f t="shared" si="38"/>
        <v>High</v>
      </c>
      <c r="Q383" s="4">
        <v>1116.5999999999999</v>
      </c>
      <c r="R383" s="4">
        <v>0.17599999999999999</v>
      </c>
      <c r="S383" s="4">
        <v>14</v>
      </c>
      <c r="T383" s="4">
        <f t="shared" si="35"/>
        <v>16015.544160000001</v>
      </c>
      <c r="U383">
        <f t="shared" si="36"/>
        <v>11672.220000000001</v>
      </c>
      <c r="V383" s="4">
        <f t="shared" si="39"/>
        <v>4343.3241600000001</v>
      </c>
      <c r="W383" s="4">
        <f t="shared" si="40"/>
        <v>0.27119429203334666</v>
      </c>
    </row>
    <row r="384" spans="1:23" x14ac:dyDescent="0.3">
      <c r="A384" t="s">
        <v>865</v>
      </c>
      <c r="B384" s="7">
        <v>45861</v>
      </c>
      <c r="C384" s="2">
        <v>45886</v>
      </c>
      <c r="D384" s="4">
        <f t="shared" si="41"/>
        <v>25</v>
      </c>
      <c r="E384" s="4" t="str">
        <f>TEXT(Data!B384,"MMM-YYYY")</f>
        <v>Jun-2023</v>
      </c>
      <c r="F384" s="4" t="str">
        <f t="shared" si="37"/>
        <v>Q3-2025</v>
      </c>
      <c r="G384" t="s">
        <v>78</v>
      </c>
      <c r="H384" t="s">
        <v>108</v>
      </c>
      <c r="I384" t="s">
        <v>109</v>
      </c>
      <c r="J384" t="s">
        <v>27</v>
      </c>
      <c r="K384" t="s">
        <v>28</v>
      </c>
      <c r="L384" t="s">
        <v>34</v>
      </c>
      <c r="M384" t="s">
        <v>30</v>
      </c>
      <c r="N384" t="s">
        <v>866</v>
      </c>
      <c r="O384" s="4">
        <v>1142.06</v>
      </c>
      <c r="P384" s="8" t="str">
        <f t="shared" si="38"/>
        <v>High</v>
      </c>
      <c r="Q384" s="4">
        <v>1455</v>
      </c>
      <c r="R384" s="4">
        <v>7.8E-2</v>
      </c>
      <c r="S384" s="4">
        <v>28</v>
      </c>
      <c r="T384" s="4">
        <f t="shared" si="35"/>
        <v>13660.278240000001</v>
      </c>
      <c r="U384">
        <f t="shared" si="36"/>
        <v>31977.68</v>
      </c>
      <c r="V384" s="4">
        <f t="shared" si="39"/>
        <v>-18317.401760000001</v>
      </c>
      <c r="W384" s="4">
        <f t="shared" si="40"/>
        <v>-1.3409244993533893</v>
      </c>
    </row>
    <row r="385" spans="1:23" x14ac:dyDescent="0.3">
      <c r="A385" t="s">
        <v>867</v>
      </c>
      <c r="B385" s="7">
        <v>45097</v>
      </c>
      <c r="C385" s="2">
        <v>45115</v>
      </c>
      <c r="D385" s="4">
        <f t="shared" si="41"/>
        <v>18</v>
      </c>
      <c r="E385" s="4" t="str">
        <f>TEXT(Data!B385,"MMM-YYYY")</f>
        <v>Jul-2024</v>
      </c>
      <c r="F385" s="4" t="str">
        <f t="shared" si="37"/>
        <v>Q2-2023</v>
      </c>
      <c r="G385" t="s">
        <v>52</v>
      </c>
      <c r="H385" t="s">
        <v>122</v>
      </c>
      <c r="I385" t="s">
        <v>387</v>
      </c>
      <c r="J385" t="s">
        <v>48</v>
      </c>
      <c r="K385" t="s">
        <v>40</v>
      </c>
      <c r="L385" t="s">
        <v>68</v>
      </c>
      <c r="M385" t="s">
        <v>35</v>
      </c>
      <c r="N385" t="s">
        <v>868</v>
      </c>
      <c r="O385" s="4">
        <v>1145.53</v>
      </c>
      <c r="P385" s="8" t="str">
        <f t="shared" si="38"/>
        <v>High</v>
      </c>
      <c r="Q385" s="4">
        <v>1278.3</v>
      </c>
      <c r="R385" s="4">
        <v>0.09</v>
      </c>
      <c r="S385" s="4">
        <v>41</v>
      </c>
      <c r="T385" s="4">
        <f t="shared" si="35"/>
        <v>73589.497799999997</v>
      </c>
      <c r="U385">
        <f t="shared" si="36"/>
        <v>46966.729999999996</v>
      </c>
      <c r="V385" s="4">
        <f t="shared" si="39"/>
        <v>26622.767800000001</v>
      </c>
      <c r="W385" s="4">
        <f t="shared" si="40"/>
        <v>0.36177401118234026</v>
      </c>
    </row>
    <row r="386" spans="1:23" x14ac:dyDescent="0.3">
      <c r="A386" t="s">
        <v>869</v>
      </c>
      <c r="B386" s="7">
        <v>45491</v>
      </c>
      <c r="C386" s="2">
        <v>45511</v>
      </c>
      <c r="D386" s="4">
        <f t="shared" si="41"/>
        <v>20</v>
      </c>
      <c r="E386" s="4" t="str">
        <f>TEXT(Data!B386,"MMM-YYYY")</f>
        <v>May-2023</v>
      </c>
      <c r="F386" s="4" t="str">
        <f t="shared" si="37"/>
        <v>Q3-2024</v>
      </c>
      <c r="G386" t="s">
        <v>78</v>
      </c>
      <c r="H386" t="s">
        <v>90</v>
      </c>
      <c r="I386" t="s">
        <v>91</v>
      </c>
      <c r="J386" t="s">
        <v>19</v>
      </c>
      <c r="K386" t="s">
        <v>20</v>
      </c>
      <c r="L386" t="s">
        <v>84</v>
      </c>
      <c r="M386" t="s">
        <v>64</v>
      </c>
      <c r="N386" t="s">
        <v>870</v>
      </c>
      <c r="O386" s="4">
        <v>941.35</v>
      </c>
      <c r="P386" s="8" t="str">
        <f t="shared" si="38"/>
        <v>High</v>
      </c>
      <c r="Q386" s="4">
        <v>899.83</v>
      </c>
      <c r="R386" s="4">
        <v>5.8000000000000003E-2</v>
      </c>
      <c r="S386" s="4">
        <v>18</v>
      </c>
      <c r="T386" s="4">
        <f t="shared" ref="T386:T449" si="42">(Q412*S386)*(1-R386)</f>
        <v>14867.190359999997</v>
      </c>
      <c r="U386">
        <f t="shared" ref="U386:U449" si="43">(O386*S386)</f>
        <v>16944.3</v>
      </c>
      <c r="V386" s="4">
        <f t="shared" si="39"/>
        <v>-2077.1096400000024</v>
      </c>
      <c r="W386" s="4">
        <f t="shared" si="40"/>
        <v>-0.13971097360725546</v>
      </c>
    </row>
    <row r="387" spans="1:23" x14ac:dyDescent="0.3">
      <c r="A387" t="s">
        <v>871</v>
      </c>
      <c r="B387" s="7">
        <v>45066</v>
      </c>
      <c r="C387" s="2">
        <v>45096</v>
      </c>
      <c r="D387" s="4">
        <f t="shared" si="41"/>
        <v>30</v>
      </c>
      <c r="E387" s="4" t="str">
        <f>TEXT(Data!B387,"MMM-YYYY")</f>
        <v>May-2025</v>
      </c>
      <c r="F387" s="4" t="str">
        <f t="shared" ref="F387:F450" si="44">"Q"&amp;ROUNDUP(MONTH(B387)/3,0)&amp;"-"&amp;YEAR(B387)</f>
        <v>Q2-2023</v>
      </c>
      <c r="G387" t="s">
        <v>45</v>
      </c>
      <c r="H387" t="s">
        <v>60</v>
      </c>
      <c r="I387" t="s">
        <v>141</v>
      </c>
      <c r="J387" t="s">
        <v>39</v>
      </c>
      <c r="K387" t="s">
        <v>40</v>
      </c>
      <c r="L387" t="s">
        <v>92</v>
      </c>
      <c r="M387" t="s">
        <v>57</v>
      </c>
      <c r="N387" t="s">
        <v>872</v>
      </c>
      <c r="O387" s="4">
        <v>1161.2</v>
      </c>
      <c r="P387" s="8" t="str">
        <f t="shared" ref="P387:P450" si="45">IF(Q387&lt;50, "Low", IF(Q387&lt;200, "Medium", "High"))</f>
        <v>High</v>
      </c>
      <c r="Q387" s="4">
        <v>878.73</v>
      </c>
      <c r="R387" s="4">
        <v>0.19</v>
      </c>
      <c r="S387" s="4">
        <v>31</v>
      </c>
      <c r="T387" s="4">
        <f t="shared" si="42"/>
        <v>20697.168600000001</v>
      </c>
      <c r="U387">
        <f t="shared" si="43"/>
        <v>35997.200000000004</v>
      </c>
      <c r="V387" s="4">
        <f t="shared" ref="V387:V450" si="46">(T387-U387)</f>
        <v>-15300.031400000003</v>
      </c>
      <c r="W387" s="4">
        <f t="shared" ref="W387:W450" si="47">IF(T387=0, 0, V387/T387)</f>
        <v>-0.73923306591801174</v>
      </c>
    </row>
    <row r="388" spans="1:23" x14ac:dyDescent="0.3">
      <c r="A388" t="s">
        <v>873</v>
      </c>
      <c r="B388" s="7">
        <v>45789</v>
      </c>
      <c r="C388" s="2">
        <v>45803</v>
      </c>
      <c r="D388" s="4">
        <f t="shared" si="41"/>
        <v>14</v>
      </c>
      <c r="E388" s="4" t="str">
        <f>TEXT(Data!B388,"MMM-YYYY")</f>
        <v>May-2024</v>
      </c>
      <c r="F388" s="4" t="str">
        <f t="shared" si="44"/>
        <v>Q2-2025</v>
      </c>
      <c r="G388" t="s">
        <v>45</v>
      </c>
      <c r="H388" t="s">
        <v>60</v>
      </c>
      <c r="I388" t="s">
        <v>281</v>
      </c>
      <c r="J388" t="s">
        <v>19</v>
      </c>
      <c r="K388" t="s">
        <v>40</v>
      </c>
      <c r="L388" t="s">
        <v>41</v>
      </c>
      <c r="M388" t="s">
        <v>30</v>
      </c>
      <c r="N388" t="s">
        <v>874</v>
      </c>
      <c r="O388" s="4">
        <v>320.12</v>
      </c>
      <c r="P388" s="8" t="str">
        <f t="shared" si="45"/>
        <v>High</v>
      </c>
      <c r="Q388" s="4">
        <v>594.41999999999996</v>
      </c>
      <c r="R388" s="4">
        <v>0.104</v>
      </c>
      <c r="S388" s="4">
        <v>18</v>
      </c>
      <c r="T388" s="4">
        <f t="shared" si="42"/>
        <v>18697.996800000001</v>
      </c>
      <c r="U388">
        <f t="shared" si="43"/>
        <v>5762.16</v>
      </c>
      <c r="V388" s="4">
        <f t="shared" si="46"/>
        <v>12935.836800000001</v>
      </c>
      <c r="W388" s="4">
        <f t="shared" si="47"/>
        <v>0.69183008952060576</v>
      </c>
    </row>
    <row r="389" spans="1:23" x14ac:dyDescent="0.3">
      <c r="A389" t="s">
        <v>875</v>
      </c>
      <c r="B389" s="7">
        <v>45419</v>
      </c>
      <c r="C389" s="2">
        <v>45424</v>
      </c>
      <c r="D389" s="4">
        <f t="shared" ref="D389:D451" si="48">DATEDIF(B389,C389, "MD")</f>
        <v>5</v>
      </c>
      <c r="E389" s="4" t="str">
        <f>TEXT(Data!B389,"MMM-YYYY")</f>
        <v>Sept-2023</v>
      </c>
      <c r="F389" s="4" t="str">
        <f t="shared" si="44"/>
        <v>Q2-2024</v>
      </c>
      <c r="G389" t="s">
        <v>16</v>
      </c>
      <c r="H389" t="s">
        <v>25</v>
      </c>
      <c r="I389" t="s">
        <v>67</v>
      </c>
      <c r="J389" t="s">
        <v>39</v>
      </c>
      <c r="K389" t="s">
        <v>55</v>
      </c>
      <c r="L389" t="s">
        <v>49</v>
      </c>
      <c r="M389" t="s">
        <v>57</v>
      </c>
      <c r="N389" t="s">
        <v>876</v>
      </c>
      <c r="O389" s="4">
        <v>1163.99</v>
      </c>
      <c r="P389" s="8" t="str">
        <f t="shared" si="45"/>
        <v>High</v>
      </c>
      <c r="Q389" s="4">
        <v>1617.85</v>
      </c>
      <c r="R389" s="4">
        <v>0.127</v>
      </c>
      <c r="S389" s="4">
        <v>14</v>
      </c>
      <c r="T389" s="4">
        <f t="shared" si="42"/>
        <v>30720.11922</v>
      </c>
      <c r="U389">
        <f t="shared" si="43"/>
        <v>16295.86</v>
      </c>
      <c r="V389" s="4">
        <f t="shared" si="46"/>
        <v>14424.25922</v>
      </c>
      <c r="W389" s="4">
        <f t="shared" si="47"/>
        <v>0.4695378659406127</v>
      </c>
    </row>
    <row r="390" spans="1:23" x14ac:dyDescent="0.3">
      <c r="A390" t="s">
        <v>877</v>
      </c>
      <c r="B390" s="7">
        <v>45199</v>
      </c>
      <c r="C390" s="2">
        <v>45202</v>
      </c>
      <c r="D390" s="4">
        <f t="shared" si="48"/>
        <v>3</v>
      </c>
      <c r="E390" s="4" t="str">
        <f>TEXT(Data!B390,"MMM-YYYY")</f>
        <v>Oct-2023</v>
      </c>
      <c r="F390" s="4" t="str">
        <f t="shared" si="44"/>
        <v>Q3-2023</v>
      </c>
      <c r="G390" t="s">
        <v>45</v>
      </c>
      <c r="H390" t="s">
        <v>116</v>
      </c>
      <c r="I390" t="s">
        <v>338</v>
      </c>
      <c r="J390" t="s">
        <v>39</v>
      </c>
      <c r="K390" t="s">
        <v>20</v>
      </c>
      <c r="L390" t="s">
        <v>29</v>
      </c>
      <c r="M390" t="s">
        <v>57</v>
      </c>
      <c r="N390" t="s">
        <v>878</v>
      </c>
      <c r="O390" s="4">
        <v>1019.36</v>
      </c>
      <c r="P390" s="8" t="str">
        <f t="shared" si="45"/>
        <v>High</v>
      </c>
      <c r="Q390" s="4">
        <v>972.91</v>
      </c>
      <c r="R390" s="4">
        <v>0.14699999999999999</v>
      </c>
      <c r="S390" s="4">
        <v>17</v>
      </c>
      <c r="T390" s="4">
        <f t="shared" si="42"/>
        <v>44766.472129999995</v>
      </c>
      <c r="U390">
        <f t="shared" si="43"/>
        <v>17329.12</v>
      </c>
      <c r="V390" s="4">
        <f t="shared" si="46"/>
        <v>27437.352129999996</v>
      </c>
      <c r="W390" s="4">
        <f t="shared" si="47"/>
        <v>0.61289958365097552</v>
      </c>
    </row>
    <row r="391" spans="1:23" x14ac:dyDescent="0.3">
      <c r="A391" t="s">
        <v>879</v>
      </c>
      <c r="B391" s="7">
        <v>45225</v>
      </c>
      <c r="C391" s="2">
        <v>45235</v>
      </c>
      <c r="D391" s="4">
        <f t="shared" si="48"/>
        <v>10</v>
      </c>
      <c r="E391" s="4" t="str">
        <f>TEXT(Data!B391,"MMM-YYYY")</f>
        <v>Jun-2025</v>
      </c>
      <c r="F391" s="4" t="str">
        <f t="shared" si="44"/>
        <v>Q4-2023</v>
      </c>
      <c r="G391" t="s">
        <v>16</v>
      </c>
      <c r="H391" t="s">
        <v>148</v>
      </c>
      <c r="I391" t="s">
        <v>258</v>
      </c>
      <c r="J391" t="s">
        <v>39</v>
      </c>
      <c r="K391" t="s">
        <v>28</v>
      </c>
      <c r="L391" t="s">
        <v>34</v>
      </c>
      <c r="M391" t="s">
        <v>57</v>
      </c>
      <c r="N391" t="s">
        <v>880</v>
      </c>
      <c r="O391" s="4">
        <v>20.38</v>
      </c>
      <c r="P391" s="8" t="str">
        <f t="shared" si="45"/>
        <v>Low</v>
      </c>
      <c r="Q391" s="4">
        <v>42.56</v>
      </c>
      <c r="R391" s="4">
        <v>7.1999999999999995E-2</v>
      </c>
      <c r="S391" s="4">
        <v>11</v>
      </c>
      <c r="T391" s="4">
        <f t="shared" si="42"/>
        <v>27736.667200000004</v>
      </c>
      <c r="U391">
        <f t="shared" si="43"/>
        <v>224.17999999999998</v>
      </c>
      <c r="V391" s="4">
        <f t="shared" si="46"/>
        <v>27512.487200000003</v>
      </c>
      <c r="W391" s="4">
        <f t="shared" si="47"/>
        <v>0.99191755814123195</v>
      </c>
    </row>
    <row r="392" spans="1:23" x14ac:dyDescent="0.3">
      <c r="A392" t="s">
        <v>881</v>
      </c>
      <c r="B392" s="7">
        <v>45823</v>
      </c>
      <c r="C392" s="2">
        <v>45838</v>
      </c>
      <c r="D392" s="4">
        <f t="shared" si="48"/>
        <v>15</v>
      </c>
      <c r="E392" s="4" t="str">
        <f>TEXT(Data!B392,"MMM-YYYY")</f>
        <v>Aug-2024</v>
      </c>
      <c r="F392" s="4" t="str">
        <f t="shared" si="44"/>
        <v>Q2-2025</v>
      </c>
      <c r="G392" t="s">
        <v>16</v>
      </c>
      <c r="H392" t="s">
        <v>148</v>
      </c>
      <c r="I392" t="s">
        <v>149</v>
      </c>
      <c r="J392" t="s">
        <v>62</v>
      </c>
      <c r="K392" t="s">
        <v>98</v>
      </c>
      <c r="L392" t="s">
        <v>21</v>
      </c>
      <c r="M392" t="s">
        <v>64</v>
      </c>
      <c r="N392" t="s">
        <v>882</v>
      </c>
      <c r="O392" s="4">
        <v>1487.59</v>
      </c>
      <c r="P392" s="8" t="str">
        <f t="shared" si="45"/>
        <v>High</v>
      </c>
      <c r="Q392" s="4">
        <v>1480.83</v>
      </c>
      <c r="R392" s="4">
        <v>8.9999999999999993E-3</v>
      </c>
      <c r="S392" s="4">
        <v>11</v>
      </c>
      <c r="T392" s="4">
        <f t="shared" si="42"/>
        <v>9830.4127899999985</v>
      </c>
      <c r="U392">
        <f t="shared" si="43"/>
        <v>16363.49</v>
      </c>
      <c r="V392" s="4">
        <f t="shared" si="46"/>
        <v>-6533.0772100000013</v>
      </c>
      <c r="W392" s="4">
        <f t="shared" si="47"/>
        <v>-0.66457811584939586</v>
      </c>
    </row>
    <row r="393" spans="1:23" x14ac:dyDescent="0.3">
      <c r="A393" t="s">
        <v>883</v>
      </c>
      <c r="B393" s="7">
        <v>45514</v>
      </c>
      <c r="C393" s="2">
        <v>45542</v>
      </c>
      <c r="D393" s="4">
        <f t="shared" si="48"/>
        <v>28</v>
      </c>
      <c r="E393" s="4" t="str">
        <f>TEXT(Data!B393,"MMM-YYYY")</f>
        <v>Oct-2023</v>
      </c>
      <c r="F393" s="4" t="str">
        <f t="shared" si="44"/>
        <v>Q3-2024</v>
      </c>
      <c r="G393" t="s">
        <v>78</v>
      </c>
      <c r="H393" t="s">
        <v>90</v>
      </c>
      <c r="I393" t="s">
        <v>91</v>
      </c>
      <c r="J393" t="s">
        <v>39</v>
      </c>
      <c r="K393" t="s">
        <v>98</v>
      </c>
      <c r="L393" t="s">
        <v>84</v>
      </c>
      <c r="M393" t="s">
        <v>30</v>
      </c>
      <c r="N393" t="s">
        <v>884</v>
      </c>
      <c r="O393" s="4">
        <v>229.96</v>
      </c>
      <c r="P393" s="8" t="str">
        <f t="shared" si="45"/>
        <v>High</v>
      </c>
      <c r="Q393" s="4">
        <v>564.26</v>
      </c>
      <c r="R393" s="4">
        <v>0.105</v>
      </c>
      <c r="S393" s="4">
        <v>5</v>
      </c>
      <c r="T393" s="4">
        <f t="shared" si="42"/>
        <v>3562.7712500000002</v>
      </c>
      <c r="U393">
        <f t="shared" si="43"/>
        <v>1149.8</v>
      </c>
      <c r="V393" s="4">
        <f t="shared" si="46"/>
        <v>2412.9712500000005</v>
      </c>
      <c r="W393" s="4">
        <f t="shared" si="47"/>
        <v>0.67727369530109471</v>
      </c>
    </row>
    <row r="394" spans="1:23" x14ac:dyDescent="0.3">
      <c r="A394" t="s">
        <v>885</v>
      </c>
      <c r="B394" s="7">
        <v>45208</v>
      </c>
      <c r="C394" s="2">
        <v>45225</v>
      </c>
      <c r="D394" s="4">
        <f t="shared" si="48"/>
        <v>17</v>
      </c>
      <c r="E394" s="4" t="str">
        <f>TEXT(Data!B394,"MMM-YYYY")</f>
        <v>Mar-2024</v>
      </c>
      <c r="F394" s="4" t="str">
        <f t="shared" si="44"/>
        <v>Q4-2023</v>
      </c>
      <c r="G394" t="s">
        <v>45</v>
      </c>
      <c r="H394" t="s">
        <v>116</v>
      </c>
      <c r="I394" t="s">
        <v>162</v>
      </c>
      <c r="J394" t="s">
        <v>48</v>
      </c>
      <c r="K394" t="s">
        <v>40</v>
      </c>
      <c r="L394" t="s">
        <v>21</v>
      </c>
      <c r="M394" t="s">
        <v>22</v>
      </c>
      <c r="N394" t="s">
        <v>886</v>
      </c>
      <c r="O394" s="4">
        <v>1132.03</v>
      </c>
      <c r="P394" s="8" t="str">
        <f t="shared" si="45"/>
        <v>High</v>
      </c>
      <c r="Q394" s="4">
        <v>2137.21</v>
      </c>
      <c r="R394" s="4">
        <v>0.35699999999999998</v>
      </c>
      <c r="S394" s="4">
        <v>35</v>
      </c>
      <c r="T394" s="4">
        <f t="shared" si="42"/>
        <v>3551.7390999999998</v>
      </c>
      <c r="U394">
        <f t="shared" si="43"/>
        <v>39621.049999999996</v>
      </c>
      <c r="V394" s="4">
        <f t="shared" si="46"/>
        <v>-36069.310899999997</v>
      </c>
      <c r="W394" s="4">
        <f t="shared" si="47"/>
        <v>-10.155394268683755</v>
      </c>
    </row>
    <row r="395" spans="1:23" x14ac:dyDescent="0.3">
      <c r="A395" t="s">
        <v>887</v>
      </c>
      <c r="B395" s="7">
        <v>45360</v>
      </c>
      <c r="C395" s="2">
        <v>45377</v>
      </c>
      <c r="D395" s="4">
        <f t="shared" si="48"/>
        <v>17</v>
      </c>
      <c r="E395" s="4" t="str">
        <f>TEXT(Data!B395,"MMM-YYYY")</f>
        <v>May-2023</v>
      </c>
      <c r="F395" s="4" t="str">
        <f t="shared" si="44"/>
        <v>Q1-2024</v>
      </c>
      <c r="G395" t="s">
        <v>52</v>
      </c>
      <c r="H395" t="s">
        <v>122</v>
      </c>
      <c r="I395" t="s">
        <v>167</v>
      </c>
      <c r="J395" t="s">
        <v>27</v>
      </c>
      <c r="K395" t="s">
        <v>98</v>
      </c>
      <c r="L395" t="s">
        <v>34</v>
      </c>
      <c r="M395" t="s">
        <v>42</v>
      </c>
      <c r="N395" t="s">
        <v>888</v>
      </c>
      <c r="O395" s="4">
        <v>1137.4100000000001</v>
      </c>
      <c r="P395" s="8" t="str">
        <f t="shared" si="45"/>
        <v>High</v>
      </c>
      <c r="Q395" s="4">
        <v>1680.93</v>
      </c>
      <c r="R395" s="4">
        <v>0.254</v>
      </c>
      <c r="S395" s="4">
        <v>9</v>
      </c>
      <c r="T395" s="4">
        <f t="shared" si="42"/>
        <v>5499.1688399999994</v>
      </c>
      <c r="U395">
        <f t="shared" si="43"/>
        <v>10236.69</v>
      </c>
      <c r="V395" s="4">
        <f t="shared" si="46"/>
        <v>-4737.5211600000011</v>
      </c>
      <c r="W395" s="4">
        <f t="shared" si="47"/>
        <v>-0.86149767316473258</v>
      </c>
    </row>
    <row r="396" spans="1:23" x14ac:dyDescent="0.3">
      <c r="A396" t="s">
        <v>889</v>
      </c>
      <c r="B396" s="7">
        <v>45075</v>
      </c>
      <c r="C396" s="2">
        <v>45097</v>
      </c>
      <c r="D396" s="4">
        <f t="shared" si="48"/>
        <v>22</v>
      </c>
      <c r="E396" s="4" t="str">
        <f>TEXT(Data!B396,"MMM-YYYY")</f>
        <v>May-2025</v>
      </c>
      <c r="F396" s="4" t="str">
        <f t="shared" si="44"/>
        <v>Q2-2023</v>
      </c>
      <c r="G396" t="s">
        <v>78</v>
      </c>
      <c r="H396" t="s">
        <v>108</v>
      </c>
      <c r="I396" t="s">
        <v>152</v>
      </c>
      <c r="J396" t="s">
        <v>62</v>
      </c>
      <c r="K396" t="s">
        <v>98</v>
      </c>
      <c r="L396" t="s">
        <v>95</v>
      </c>
      <c r="M396" t="s">
        <v>22</v>
      </c>
      <c r="N396" t="s">
        <v>890</v>
      </c>
      <c r="O396" s="4">
        <v>1295.3900000000001</v>
      </c>
      <c r="P396" s="8" t="str">
        <f t="shared" si="45"/>
        <v>High</v>
      </c>
      <c r="Q396" s="4">
        <v>2905.06</v>
      </c>
      <c r="R396" s="4">
        <v>0.14799999999999999</v>
      </c>
      <c r="S396" s="4">
        <v>8</v>
      </c>
      <c r="T396" s="4">
        <f t="shared" si="42"/>
        <v>11663.26656</v>
      </c>
      <c r="U396">
        <f t="shared" si="43"/>
        <v>10363.120000000001</v>
      </c>
      <c r="V396" s="4">
        <f t="shared" si="46"/>
        <v>1300.1465599999992</v>
      </c>
      <c r="W396" s="4">
        <f t="shared" si="47"/>
        <v>0.11147362133168971</v>
      </c>
    </row>
    <row r="397" spans="1:23" x14ac:dyDescent="0.3">
      <c r="A397" t="s">
        <v>891</v>
      </c>
      <c r="B397" s="7">
        <v>45804</v>
      </c>
      <c r="C397" s="2">
        <v>45816</v>
      </c>
      <c r="D397" s="4">
        <f t="shared" si="48"/>
        <v>12</v>
      </c>
      <c r="E397" s="4" t="str">
        <f>TEXT(Data!B397,"MMM-YYYY")</f>
        <v>Aug-2025</v>
      </c>
      <c r="F397" s="4" t="str">
        <f t="shared" si="44"/>
        <v>Q2-2025</v>
      </c>
      <c r="G397" t="s">
        <v>45</v>
      </c>
      <c r="H397" t="s">
        <v>46</v>
      </c>
      <c r="I397" t="s">
        <v>47</v>
      </c>
      <c r="J397" t="s">
        <v>19</v>
      </c>
      <c r="K397" t="s">
        <v>20</v>
      </c>
      <c r="L397" t="s">
        <v>92</v>
      </c>
      <c r="M397" t="s">
        <v>81</v>
      </c>
      <c r="N397" t="s">
        <v>892</v>
      </c>
      <c r="O397" s="4">
        <v>653.6</v>
      </c>
      <c r="P397" s="8" t="str">
        <f t="shared" si="45"/>
        <v>High</v>
      </c>
      <c r="Q397" s="4">
        <v>842.09</v>
      </c>
      <c r="R397" s="4">
        <v>9.8000000000000004E-2</v>
      </c>
      <c r="S397" s="4">
        <v>19</v>
      </c>
      <c r="T397" s="4">
        <f t="shared" si="42"/>
        <v>29072.046299999998</v>
      </c>
      <c r="U397">
        <f t="shared" si="43"/>
        <v>12418.4</v>
      </c>
      <c r="V397" s="4">
        <f t="shared" si="46"/>
        <v>16653.6463</v>
      </c>
      <c r="W397" s="4">
        <f t="shared" si="47"/>
        <v>0.5728405261930255</v>
      </c>
    </row>
    <row r="398" spans="1:23" x14ac:dyDescent="0.3">
      <c r="A398" t="s">
        <v>893</v>
      </c>
      <c r="B398" s="7">
        <v>45890</v>
      </c>
      <c r="C398" s="2">
        <v>45914</v>
      </c>
      <c r="D398" s="4">
        <f t="shared" si="48"/>
        <v>24</v>
      </c>
      <c r="E398" s="4" t="str">
        <f>TEXT(Data!B398,"MMM-YYYY")</f>
        <v>Dec-2024</v>
      </c>
      <c r="F398" s="4" t="str">
        <f t="shared" si="44"/>
        <v>Q3-2025</v>
      </c>
      <c r="G398" t="s">
        <v>78</v>
      </c>
      <c r="H398" t="s">
        <v>79</v>
      </c>
      <c r="I398" t="s">
        <v>80</v>
      </c>
      <c r="J398" t="s">
        <v>39</v>
      </c>
      <c r="K398" t="s">
        <v>28</v>
      </c>
      <c r="L398" t="s">
        <v>75</v>
      </c>
      <c r="M398" t="s">
        <v>64</v>
      </c>
      <c r="N398" t="s">
        <v>894</v>
      </c>
      <c r="O398" s="4">
        <v>1397.67</v>
      </c>
      <c r="P398" s="8" t="str">
        <f t="shared" si="45"/>
        <v>High</v>
      </c>
      <c r="Q398" s="4">
        <v>3131.37</v>
      </c>
      <c r="R398" s="4">
        <v>0.10299999999999999</v>
      </c>
      <c r="S398" s="4">
        <v>20</v>
      </c>
      <c r="T398" s="4">
        <f t="shared" si="42"/>
        <v>51745.059600000001</v>
      </c>
      <c r="U398">
        <f t="shared" si="43"/>
        <v>27953.4</v>
      </c>
      <c r="V398" s="4">
        <f t="shared" si="46"/>
        <v>23791.659599999999</v>
      </c>
      <c r="W398" s="4">
        <f t="shared" si="47"/>
        <v>0.45978610873993464</v>
      </c>
    </row>
    <row r="399" spans="1:23" x14ac:dyDescent="0.3">
      <c r="A399" t="s">
        <v>895</v>
      </c>
      <c r="B399" s="7">
        <v>45638</v>
      </c>
      <c r="C399" s="2">
        <v>45646</v>
      </c>
      <c r="D399" s="4">
        <f t="shared" si="48"/>
        <v>8</v>
      </c>
      <c r="E399" s="4" t="str">
        <f>TEXT(Data!B399,"MMM-YYYY")</f>
        <v>Sept-2025</v>
      </c>
      <c r="F399" s="4" t="str">
        <f t="shared" si="44"/>
        <v>Q4-2024</v>
      </c>
      <c r="G399" t="s">
        <v>45</v>
      </c>
      <c r="H399" t="s">
        <v>46</v>
      </c>
      <c r="I399" t="s">
        <v>214</v>
      </c>
      <c r="J399" t="s">
        <v>19</v>
      </c>
      <c r="K399" t="s">
        <v>20</v>
      </c>
      <c r="L399" t="s">
        <v>56</v>
      </c>
      <c r="M399" t="s">
        <v>57</v>
      </c>
      <c r="N399" t="s">
        <v>896</v>
      </c>
      <c r="O399" s="4">
        <v>1202.47</v>
      </c>
      <c r="P399" s="8" t="str">
        <f t="shared" si="45"/>
        <v>High</v>
      </c>
      <c r="Q399" s="4">
        <v>1444.72</v>
      </c>
      <c r="R399" s="4">
        <v>0.24099999999999999</v>
      </c>
      <c r="S399" s="4">
        <v>17</v>
      </c>
      <c r="T399" s="4">
        <f t="shared" si="42"/>
        <v>19144.697220000002</v>
      </c>
      <c r="U399">
        <f t="shared" si="43"/>
        <v>20441.990000000002</v>
      </c>
      <c r="V399" s="4">
        <f t="shared" si="46"/>
        <v>-1297.2927799999998</v>
      </c>
      <c r="W399" s="4">
        <f t="shared" si="47"/>
        <v>-6.7762512255599913E-2</v>
      </c>
    </row>
    <row r="400" spans="1:23" x14ac:dyDescent="0.3">
      <c r="A400" t="s">
        <v>897</v>
      </c>
      <c r="B400" s="7">
        <v>45914</v>
      </c>
      <c r="C400" s="2">
        <v>45923</v>
      </c>
      <c r="D400" s="4">
        <f t="shared" si="48"/>
        <v>9</v>
      </c>
      <c r="E400" s="4" t="str">
        <f>TEXT(Data!B400,"MMM-YYYY")</f>
        <v>Sept-2024</v>
      </c>
      <c r="F400" s="4" t="str">
        <f t="shared" si="44"/>
        <v>Q3-2025</v>
      </c>
      <c r="G400" t="s">
        <v>16</v>
      </c>
      <c r="H400" t="s">
        <v>148</v>
      </c>
      <c r="I400" t="s">
        <v>172</v>
      </c>
      <c r="J400" t="s">
        <v>39</v>
      </c>
      <c r="K400" t="s">
        <v>28</v>
      </c>
      <c r="L400" t="s">
        <v>145</v>
      </c>
      <c r="M400" t="s">
        <v>22</v>
      </c>
      <c r="N400" t="s">
        <v>898</v>
      </c>
      <c r="O400" s="4">
        <v>1310.3</v>
      </c>
      <c r="P400" s="8" t="str">
        <f t="shared" si="45"/>
        <v>High</v>
      </c>
      <c r="Q400" s="4">
        <v>2875.8</v>
      </c>
      <c r="R400" s="4">
        <v>8.3000000000000004E-2</v>
      </c>
      <c r="S400" s="4">
        <v>5</v>
      </c>
      <c r="T400" s="4">
        <f t="shared" si="42"/>
        <v>14660.399949999999</v>
      </c>
      <c r="U400">
        <f t="shared" si="43"/>
        <v>6551.5</v>
      </c>
      <c r="V400" s="4">
        <f t="shared" si="46"/>
        <v>8108.8999499999991</v>
      </c>
      <c r="W400" s="4">
        <f t="shared" si="47"/>
        <v>0.55311587525959682</v>
      </c>
    </row>
    <row r="401" spans="1:23" x14ac:dyDescent="0.3">
      <c r="A401" t="s">
        <v>899</v>
      </c>
      <c r="B401" s="7">
        <v>45541</v>
      </c>
      <c r="C401" s="2">
        <v>45569</v>
      </c>
      <c r="D401" s="4">
        <f t="shared" si="48"/>
        <v>28</v>
      </c>
      <c r="E401" s="4" t="str">
        <f>TEXT(Data!B401,"MMM-YYYY")</f>
        <v>Apr-2025</v>
      </c>
      <c r="F401" s="4" t="str">
        <f t="shared" si="44"/>
        <v>Q3-2024</v>
      </c>
      <c r="G401" t="s">
        <v>16</v>
      </c>
      <c r="H401" t="s">
        <v>148</v>
      </c>
      <c r="I401" t="s">
        <v>258</v>
      </c>
      <c r="J401" t="s">
        <v>19</v>
      </c>
      <c r="K401" t="s">
        <v>40</v>
      </c>
      <c r="L401" t="s">
        <v>145</v>
      </c>
      <c r="M401" t="s">
        <v>64</v>
      </c>
      <c r="N401" t="s">
        <v>900</v>
      </c>
      <c r="O401" s="4">
        <v>1174.17</v>
      </c>
      <c r="P401" s="8" t="str">
        <f t="shared" si="45"/>
        <v>High</v>
      </c>
      <c r="Q401" s="4">
        <v>1641.61</v>
      </c>
      <c r="R401" s="4">
        <v>0.122</v>
      </c>
      <c r="S401" s="4">
        <v>9</v>
      </c>
      <c r="T401" s="4">
        <f t="shared" si="42"/>
        <v>18353.975399999999</v>
      </c>
      <c r="U401">
        <f t="shared" si="43"/>
        <v>10567.53</v>
      </c>
      <c r="V401" s="4">
        <f t="shared" si="46"/>
        <v>7786.4453999999987</v>
      </c>
      <c r="W401" s="4">
        <f t="shared" si="47"/>
        <v>0.42423754147561943</v>
      </c>
    </row>
    <row r="402" spans="1:23" x14ac:dyDescent="0.3">
      <c r="A402" t="s">
        <v>901</v>
      </c>
      <c r="B402" s="7">
        <v>45759</v>
      </c>
      <c r="C402" s="2">
        <v>45777</v>
      </c>
      <c r="D402" s="4">
        <f t="shared" si="48"/>
        <v>18</v>
      </c>
      <c r="E402" s="4" t="str">
        <f>TEXT(Data!B402,"MMM-YYYY")</f>
        <v>Aug-2024</v>
      </c>
      <c r="F402" s="4" t="str">
        <f t="shared" si="44"/>
        <v>Q2-2025</v>
      </c>
      <c r="G402" t="s">
        <v>16</v>
      </c>
      <c r="H402" t="s">
        <v>17</v>
      </c>
      <c r="I402" t="s">
        <v>18</v>
      </c>
      <c r="J402" t="s">
        <v>19</v>
      </c>
      <c r="K402" t="s">
        <v>40</v>
      </c>
      <c r="L402" t="s">
        <v>84</v>
      </c>
      <c r="M402" t="s">
        <v>35</v>
      </c>
      <c r="N402" t="s">
        <v>902</v>
      </c>
      <c r="O402" s="4">
        <v>1119.04</v>
      </c>
      <c r="P402" s="8" t="str">
        <f t="shared" si="45"/>
        <v>High</v>
      </c>
      <c r="Q402" s="4">
        <v>1299.02</v>
      </c>
      <c r="R402" s="4">
        <v>2.5000000000000001E-2</v>
      </c>
      <c r="S402" s="4">
        <v>14</v>
      </c>
      <c r="T402" s="4">
        <f t="shared" si="42"/>
        <v>26377.532999999999</v>
      </c>
      <c r="U402">
        <f t="shared" si="43"/>
        <v>15666.56</v>
      </c>
      <c r="V402" s="4">
        <f t="shared" si="46"/>
        <v>10710.973</v>
      </c>
      <c r="W402" s="4">
        <f t="shared" si="47"/>
        <v>0.40606424414292269</v>
      </c>
    </row>
    <row r="403" spans="1:23" x14ac:dyDescent="0.3">
      <c r="A403" t="s">
        <v>903</v>
      </c>
      <c r="B403" s="7">
        <v>45516</v>
      </c>
      <c r="C403" s="2">
        <v>45519</v>
      </c>
      <c r="D403" s="4">
        <f t="shared" si="48"/>
        <v>3</v>
      </c>
      <c r="E403" s="4" t="str">
        <f>TEXT(Data!B403,"MMM-YYYY")</f>
        <v>Nov-2024</v>
      </c>
      <c r="F403" s="4" t="str">
        <f t="shared" si="44"/>
        <v>Q3-2024</v>
      </c>
      <c r="G403" t="s">
        <v>52</v>
      </c>
      <c r="H403" t="s">
        <v>122</v>
      </c>
      <c r="I403" t="s">
        <v>123</v>
      </c>
      <c r="J403" t="s">
        <v>19</v>
      </c>
      <c r="K403" t="s">
        <v>40</v>
      </c>
      <c r="L403" t="s">
        <v>145</v>
      </c>
      <c r="M403" t="s">
        <v>30</v>
      </c>
      <c r="N403" t="s">
        <v>904</v>
      </c>
      <c r="O403" s="4">
        <v>850.7</v>
      </c>
      <c r="P403" s="8" t="str">
        <f t="shared" si="45"/>
        <v>High</v>
      </c>
      <c r="Q403" s="4">
        <v>1118.56</v>
      </c>
      <c r="R403" s="4">
        <v>0.18</v>
      </c>
      <c r="S403" s="4">
        <v>19</v>
      </c>
      <c r="T403" s="4">
        <f t="shared" si="42"/>
        <v>24777.808799999999</v>
      </c>
      <c r="U403">
        <f t="shared" si="43"/>
        <v>16163.300000000001</v>
      </c>
      <c r="V403" s="4">
        <f t="shared" si="46"/>
        <v>8614.5087999999978</v>
      </c>
      <c r="W403" s="4">
        <f t="shared" si="47"/>
        <v>0.34767032345491333</v>
      </c>
    </row>
    <row r="404" spans="1:23" x14ac:dyDescent="0.3">
      <c r="A404" t="s">
        <v>905</v>
      </c>
      <c r="B404" s="7">
        <v>45601</v>
      </c>
      <c r="C404" s="2">
        <v>45604</v>
      </c>
      <c r="D404" s="4">
        <f t="shared" si="48"/>
        <v>3</v>
      </c>
      <c r="E404" s="4" t="str">
        <f>TEXT(Data!B404,"MMM-YYYY")</f>
        <v>Jul-2024</v>
      </c>
      <c r="F404" s="4" t="str">
        <f t="shared" si="44"/>
        <v>Q4-2024</v>
      </c>
      <c r="G404" t="s">
        <v>52</v>
      </c>
      <c r="H404" t="s">
        <v>53</v>
      </c>
      <c r="I404" t="s">
        <v>54</v>
      </c>
      <c r="J404" t="s">
        <v>27</v>
      </c>
      <c r="K404" t="s">
        <v>40</v>
      </c>
      <c r="L404" t="s">
        <v>68</v>
      </c>
      <c r="M404" t="s">
        <v>22</v>
      </c>
      <c r="N404" t="s">
        <v>906</v>
      </c>
      <c r="O404" s="4">
        <v>1020.4</v>
      </c>
      <c r="P404" s="8" t="str">
        <f t="shared" si="45"/>
        <v>High</v>
      </c>
      <c r="Q404" s="4">
        <v>1184.71</v>
      </c>
      <c r="R404" s="4">
        <v>0.106</v>
      </c>
      <c r="S404" s="4">
        <v>16</v>
      </c>
      <c r="T404" s="4">
        <f t="shared" si="42"/>
        <v>5658.8054400000001</v>
      </c>
      <c r="U404">
        <f t="shared" si="43"/>
        <v>16326.4</v>
      </c>
      <c r="V404" s="4">
        <f t="shared" si="46"/>
        <v>-10667.59456</v>
      </c>
      <c r="W404" s="4">
        <f t="shared" si="47"/>
        <v>-1.8851318839475772</v>
      </c>
    </row>
    <row r="405" spans="1:23" x14ac:dyDescent="0.3">
      <c r="A405" t="s">
        <v>907</v>
      </c>
      <c r="B405" s="7">
        <v>45497</v>
      </c>
      <c r="C405" s="2">
        <v>45512</v>
      </c>
      <c r="D405" s="4">
        <f t="shared" si="48"/>
        <v>15</v>
      </c>
      <c r="E405" s="4" t="str">
        <f>TEXT(Data!B405,"MMM-YYYY")</f>
        <v>Jan-2025</v>
      </c>
      <c r="F405" s="4" t="str">
        <f t="shared" si="44"/>
        <v>Q3-2024</v>
      </c>
      <c r="G405" t="s">
        <v>78</v>
      </c>
      <c r="H405" t="s">
        <v>90</v>
      </c>
      <c r="I405" t="s">
        <v>91</v>
      </c>
      <c r="J405" t="s">
        <v>105</v>
      </c>
      <c r="K405" t="s">
        <v>40</v>
      </c>
      <c r="L405" t="s">
        <v>92</v>
      </c>
      <c r="M405" t="s">
        <v>57</v>
      </c>
      <c r="N405" t="s">
        <v>908</v>
      </c>
      <c r="O405" s="4">
        <v>501.5</v>
      </c>
      <c r="P405" s="8" t="str">
        <f t="shared" si="45"/>
        <v>High</v>
      </c>
      <c r="Q405" s="4">
        <v>1201.47</v>
      </c>
      <c r="R405" s="4">
        <v>0.126</v>
      </c>
      <c r="S405" s="4">
        <v>5</v>
      </c>
      <c r="T405" s="4">
        <f t="shared" si="42"/>
        <v>9079.5053000000007</v>
      </c>
      <c r="U405">
        <f t="shared" si="43"/>
        <v>2507.5</v>
      </c>
      <c r="V405" s="4">
        <f t="shared" si="46"/>
        <v>6572.0053000000007</v>
      </c>
      <c r="W405" s="4">
        <f t="shared" si="47"/>
        <v>0.72382856585809807</v>
      </c>
    </row>
    <row r="406" spans="1:23" x14ac:dyDescent="0.3">
      <c r="A406" t="s">
        <v>909</v>
      </c>
      <c r="B406" s="7">
        <v>45677</v>
      </c>
      <c r="C406" s="2">
        <v>45691</v>
      </c>
      <c r="D406" s="4">
        <f t="shared" si="48"/>
        <v>14</v>
      </c>
      <c r="E406" s="4" t="str">
        <f>TEXT(Data!B406,"MMM-YYYY")</f>
        <v>Mar-2023</v>
      </c>
      <c r="F406" s="4" t="str">
        <f t="shared" si="44"/>
        <v>Q1-2025</v>
      </c>
      <c r="G406" t="s">
        <v>52</v>
      </c>
      <c r="H406" t="s">
        <v>73</v>
      </c>
      <c r="I406" t="s">
        <v>87</v>
      </c>
      <c r="J406" t="s">
        <v>105</v>
      </c>
      <c r="K406" t="s">
        <v>40</v>
      </c>
      <c r="L406" t="s">
        <v>84</v>
      </c>
      <c r="M406" t="s">
        <v>22</v>
      </c>
      <c r="N406" t="s">
        <v>910</v>
      </c>
      <c r="O406" s="4">
        <v>974.11</v>
      </c>
      <c r="P406" s="8" t="str">
        <f t="shared" si="45"/>
        <v>High</v>
      </c>
      <c r="Q406" s="4">
        <v>880.99</v>
      </c>
      <c r="R406" s="4">
        <v>0.111</v>
      </c>
      <c r="S406" s="4">
        <v>10</v>
      </c>
      <c r="T406" s="4">
        <f t="shared" si="42"/>
        <v>11831.2565</v>
      </c>
      <c r="U406">
        <f t="shared" si="43"/>
        <v>9741.1</v>
      </c>
      <c r="V406" s="4">
        <f t="shared" si="46"/>
        <v>2090.1564999999991</v>
      </c>
      <c r="W406" s="4">
        <f t="shared" si="47"/>
        <v>0.17666394942920891</v>
      </c>
    </row>
    <row r="407" spans="1:23" x14ac:dyDescent="0.3">
      <c r="A407" t="s">
        <v>911</v>
      </c>
      <c r="B407" s="7">
        <v>44991</v>
      </c>
      <c r="C407" s="2">
        <v>45020</v>
      </c>
      <c r="D407" s="4">
        <f t="shared" si="48"/>
        <v>29</v>
      </c>
      <c r="E407" s="4" t="str">
        <f>TEXT(Data!B407,"MMM-YYYY")</f>
        <v>Dec-2024</v>
      </c>
      <c r="F407" s="4" t="str">
        <f t="shared" si="44"/>
        <v>Q1-2023</v>
      </c>
      <c r="G407" t="s">
        <v>45</v>
      </c>
      <c r="H407" t="s">
        <v>116</v>
      </c>
      <c r="I407" t="s">
        <v>338</v>
      </c>
      <c r="J407" t="s">
        <v>62</v>
      </c>
      <c r="K407" t="s">
        <v>98</v>
      </c>
      <c r="L407" t="s">
        <v>21</v>
      </c>
      <c r="M407" t="s">
        <v>64</v>
      </c>
      <c r="N407" t="s">
        <v>912</v>
      </c>
      <c r="O407" s="4">
        <v>1126.29</v>
      </c>
      <c r="P407" s="8" t="str">
        <f t="shared" si="45"/>
        <v>High</v>
      </c>
      <c r="Q407" s="4">
        <v>2050.87</v>
      </c>
      <c r="R407" s="4">
        <v>6.4000000000000001E-2</v>
      </c>
      <c r="S407" s="4">
        <v>7</v>
      </c>
      <c r="T407" s="4">
        <f t="shared" si="42"/>
        <v>18113.986799999999</v>
      </c>
      <c r="U407">
        <f t="shared" si="43"/>
        <v>7884.03</v>
      </c>
      <c r="V407" s="4">
        <f t="shared" si="46"/>
        <v>10229.9568</v>
      </c>
      <c r="W407" s="4">
        <f t="shared" si="47"/>
        <v>0.56475456855251771</v>
      </c>
    </row>
    <row r="408" spans="1:23" x14ac:dyDescent="0.3">
      <c r="A408" t="s">
        <v>913</v>
      </c>
      <c r="B408" s="7">
        <v>45646</v>
      </c>
      <c r="C408" s="2">
        <v>45671</v>
      </c>
      <c r="D408" s="4">
        <f t="shared" si="48"/>
        <v>25</v>
      </c>
      <c r="E408" s="4" t="str">
        <f>TEXT(Data!B408,"MMM-YYYY")</f>
        <v>Feb-2025</v>
      </c>
      <c r="F408" s="4" t="str">
        <f t="shared" si="44"/>
        <v>Q4-2024</v>
      </c>
      <c r="G408" t="s">
        <v>45</v>
      </c>
      <c r="H408" t="s">
        <v>60</v>
      </c>
      <c r="I408" t="s">
        <v>141</v>
      </c>
      <c r="J408" t="s">
        <v>62</v>
      </c>
      <c r="K408" t="s">
        <v>20</v>
      </c>
      <c r="L408" t="s">
        <v>110</v>
      </c>
      <c r="M408" t="s">
        <v>30</v>
      </c>
      <c r="N408" t="s">
        <v>914</v>
      </c>
      <c r="O408" s="4">
        <v>1361.34</v>
      </c>
      <c r="P408" s="8" t="str">
        <f t="shared" si="45"/>
        <v>High</v>
      </c>
      <c r="Q408" s="4">
        <v>1737.9</v>
      </c>
      <c r="R408" s="4">
        <v>7.6999999999999999E-2</v>
      </c>
      <c r="S408" s="4">
        <v>14</v>
      </c>
      <c r="T408" s="4">
        <f t="shared" si="42"/>
        <v>3596.8387000000007</v>
      </c>
      <c r="U408">
        <f t="shared" si="43"/>
        <v>19058.759999999998</v>
      </c>
      <c r="V408" s="4">
        <f t="shared" si="46"/>
        <v>-15461.921299999998</v>
      </c>
      <c r="W408" s="4">
        <f t="shared" si="47"/>
        <v>-4.2987530411080135</v>
      </c>
    </row>
    <row r="409" spans="1:23" x14ac:dyDescent="0.3">
      <c r="A409" t="s">
        <v>915</v>
      </c>
      <c r="B409" s="7">
        <v>45709</v>
      </c>
      <c r="C409" s="2">
        <v>45737</v>
      </c>
      <c r="D409" s="4">
        <f t="shared" si="48"/>
        <v>0</v>
      </c>
      <c r="E409" s="4" t="str">
        <f>TEXT(Data!B409,"MMM-YYYY")</f>
        <v>Mar-2025</v>
      </c>
      <c r="F409" s="4" t="str">
        <f t="shared" si="44"/>
        <v>Q1-2025</v>
      </c>
      <c r="G409" t="s">
        <v>16</v>
      </c>
      <c r="H409" t="s">
        <v>25</v>
      </c>
      <c r="I409" t="s">
        <v>67</v>
      </c>
      <c r="J409" t="s">
        <v>105</v>
      </c>
      <c r="K409" t="s">
        <v>40</v>
      </c>
      <c r="L409" t="s">
        <v>34</v>
      </c>
      <c r="M409" t="s">
        <v>42</v>
      </c>
      <c r="N409" t="s">
        <v>916</v>
      </c>
      <c r="O409" s="4">
        <v>1437.39</v>
      </c>
      <c r="P409" s="8" t="str">
        <f t="shared" si="45"/>
        <v>High</v>
      </c>
      <c r="Q409" s="4">
        <v>1388.31</v>
      </c>
      <c r="R409" s="4">
        <v>0.13800000000000001</v>
      </c>
      <c r="S409" s="4">
        <v>18</v>
      </c>
      <c r="T409" s="4">
        <f t="shared" si="42"/>
        <v>15273.329759999999</v>
      </c>
      <c r="U409">
        <f t="shared" si="43"/>
        <v>25873.02</v>
      </c>
      <c r="V409" s="4">
        <f t="shared" si="46"/>
        <v>-10599.690240000002</v>
      </c>
      <c r="W409" s="4">
        <f t="shared" si="47"/>
        <v>-0.69399995983587026</v>
      </c>
    </row>
    <row r="410" spans="1:23" x14ac:dyDescent="0.3">
      <c r="A410" t="s">
        <v>917</v>
      </c>
      <c r="B410" s="7">
        <v>45724</v>
      </c>
      <c r="C410" s="2">
        <v>45731</v>
      </c>
      <c r="D410" s="4">
        <f t="shared" si="48"/>
        <v>7</v>
      </c>
      <c r="E410" s="4" t="str">
        <f>TEXT(Data!B410,"MMM-YYYY")</f>
        <v>Dec-2023</v>
      </c>
      <c r="F410" s="4" t="str">
        <f t="shared" si="44"/>
        <v>Q1-2025</v>
      </c>
      <c r="G410" t="s">
        <v>45</v>
      </c>
      <c r="H410" t="s">
        <v>60</v>
      </c>
      <c r="I410" t="s">
        <v>61</v>
      </c>
      <c r="J410" t="s">
        <v>19</v>
      </c>
      <c r="K410" t="s">
        <v>55</v>
      </c>
      <c r="L410" t="s">
        <v>95</v>
      </c>
      <c r="M410" t="s">
        <v>57</v>
      </c>
      <c r="N410" t="s">
        <v>918</v>
      </c>
      <c r="O410" s="4">
        <v>475.66</v>
      </c>
      <c r="P410" s="8" t="str">
        <f t="shared" si="45"/>
        <v>High</v>
      </c>
      <c r="Q410" s="4">
        <v>529.14</v>
      </c>
      <c r="R410" s="4">
        <v>0.19600000000000001</v>
      </c>
      <c r="S410" s="4">
        <v>11</v>
      </c>
      <c r="T410" s="4">
        <f t="shared" si="42"/>
        <v>1687.7889600000003</v>
      </c>
      <c r="U410">
        <f t="shared" si="43"/>
        <v>5232.26</v>
      </c>
      <c r="V410" s="4">
        <f t="shared" si="46"/>
        <v>-3544.4710399999999</v>
      </c>
      <c r="W410" s="4">
        <f t="shared" si="47"/>
        <v>-2.1000676767076372</v>
      </c>
    </row>
    <row r="411" spans="1:23" x14ac:dyDescent="0.3">
      <c r="A411" t="s">
        <v>919</v>
      </c>
      <c r="B411" s="7">
        <v>45276</v>
      </c>
      <c r="C411" s="2">
        <v>45279</v>
      </c>
      <c r="D411" s="4">
        <f t="shared" si="48"/>
        <v>3</v>
      </c>
      <c r="E411" s="4" t="str">
        <f>TEXT(Data!B411,"MMM-YYYY")</f>
        <v>Aug-2024</v>
      </c>
      <c r="F411" s="4" t="str">
        <f t="shared" si="44"/>
        <v>Q4-2023</v>
      </c>
      <c r="G411" t="s">
        <v>45</v>
      </c>
      <c r="H411" t="s">
        <v>116</v>
      </c>
      <c r="I411" t="s">
        <v>338</v>
      </c>
      <c r="J411" t="s">
        <v>27</v>
      </c>
      <c r="K411" t="s">
        <v>20</v>
      </c>
      <c r="L411" t="s">
        <v>75</v>
      </c>
      <c r="M411" t="s">
        <v>81</v>
      </c>
      <c r="N411" t="s">
        <v>920</v>
      </c>
      <c r="O411" s="4">
        <v>1415.05</v>
      </c>
      <c r="P411" s="8" t="str">
        <f t="shared" si="45"/>
        <v>High</v>
      </c>
      <c r="Q411" s="4">
        <v>1972.38</v>
      </c>
      <c r="R411" s="4">
        <v>0</v>
      </c>
      <c r="S411" s="4">
        <v>12</v>
      </c>
      <c r="T411" s="4">
        <f t="shared" si="42"/>
        <v>10899.599999999999</v>
      </c>
      <c r="U411">
        <f t="shared" si="43"/>
        <v>16980.599999999999</v>
      </c>
      <c r="V411" s="4">
        <f t="shared" si="46"/>
        <v>-6081</v>
      </c>
      <c r="W411" s="4">
        <f t="shared" si="47"/>
        <v>-0.5579103820323682</v>
      </c>
    </row>
    <row r="412" spans="1:23" x14ac:dyDescent="0.3">
      <c r="A412" t="s">
        <v>921</v>
      </c>
      <c r="B412" s="7">
        <v>45534</v>
      </c>
      <c r="C412" s="2">
        <v>45540</v>
      </c>
      <c r="D412" s="4">
        <f t="shared" si="48"/>
        <v>6</v>
      </c>
      <c r="E412" s="4" t="str">
        <f>TEXT(Data!B412,"MMM-YYYY")</f>
        <v>May-2024</v>
      </c>
      <c r="F412" s="4" t="str">
        <f t="shared" si="44"/>
        <v>Q3-2024</v>
      </c>
      <c r="G412" t="s">
        <v>45</v>
      </c>
      <c r="H412" t="s">
        <v>46</v>
      </c>
      <c r="I412" t="s">
        <v>231</v>
      </c>
      <c r="J412" t="s">
        <v>27</v>
      </c>
      <c r="K412" t="s">
        <v>28</v>
      </c>
      <c r="L412" t="s">
        <v>126</v>
      </c>
      <c r="M412" t="s">
        <v>57</v>
      </c>
      <c r="N412" t="s">
        <v>922</v>
      </c>
      <c r="O412" s="4">
        <v>466.16</v>
      </c>
      <c r="P412" s="8" t="str">
        <f t="shared" si="45"/>
        <v>High</v>
      </c>
      <c r="Q412" s="4">
        <v>876.81</v>
      </c>
      <c r="R412" s="4">
        <v>0.24099999999999999</v>
      </c>
      <c r="S412" s="4">
        <v>8</v>
      </c>
      <c r="T412" s="4">
        <f t="shared" si="42"/>
        <v>1725.8445600000002</v>
      </c>
      <c r="U412">
        <f t="shared" si="43"/>
        <v>3729.28</v>
      </c>
      <c r="V412" s="4">
        <f t="shared" si="46"/>
        <v>-2003.43544</v>
      </c>
      <c r="W412" s="4">
        <f t="shared" si="47"/>
        <v>-1.1608435002976165</v>
      </c>
    </row>
    <row r="413" spans="1:23" x14ac:dyDescent="0.3">
      <c r="A413" t="s">
        <v>923</v>
      </c>
      <c r="B413" s="7">
        <v>45430</v>
      </c>
      <c r="C413" s="2">
        <v>45433</v>
      </c>
      <c r="D413" s="4">
        <f t="shared" si="48"/>
        <v>3</v>
      </c>
      <c r="E413" s="4" t="str">
        <f>TEXT(Data!B413,"MMM-YYYY")</f>
        <v>Mar-2023</v>
      </c>
      <c r="F413" s="4" t="str">
        <f t="shared" si="44"/>
        <v>Q2-2024</v>
      </c>
      <c r="G413" t="s">
        <v>78</v>
      </c>
      <c r="H413" t="s">
        <v>90</v>
      </c>
      <c r="I413" t="s">
        <v>91</v>
      </c>
      <c r="J413" t="s">
        <v>39</v>
      </c>
      <c r="K413" t="s">
        <v>40</v>
      </c>
      <c r="L413" t="s">
        <v>145</v>
      </c>
      <c r="M413" t="s">
        <v>30</v>
      </c>
      <c r="N413" t="s">
        <v>924</v>
      </c>
      <c r="O413" s="4">
        <v>663.66</v>
      </c>
      <c r="P413" s="8" t="str">
        <f t="shared" si="45"/>
        <v>High</v>
      </c>
      <c r="Q413" s="4">
        <v>824.26</v>
      </c>
      <c r="R413" s="4">
        <v>0.23899999999999999</v>
      </c>
      <c r="S413" s="4">
        <v>11</v>
      </c>
      <c r="T413" s="4">
        <f t="shared" si="42"/>
        <v>10290.80514</v>
      </c>
      <c r="U413">
        <f t="shared" si="43"/>
        <v>7300.2599999999993</v>
      </c>
      <c r="V413" s="4">
        <f t="shared" si="46"/>
        <v>2990.5451400000011</v>
      </c>
      <c r="W413" s="4">
        <f t="shared" si="47"/>
        <v>0.29060361160429093</v>
      </c>
    </row>
    <row r="414" spans="1:23" x14ac:dyDescent="0.3">
      <c r="A414" t="s">
        <v>925</v>
      </c>
      <c r="B414" s="7">
        <v>45002</v>
      </c>
      <c r="C414" s="2">
        <v>45022</v>
      </c>
      <c r="D414" s="4">
        <f t="shared" si="48"/>
        <v>20</v>
      </c>
      <c r="E414" s="4" t="str">
        <f>TEXT(Data!B414,"MMM-YYYY")</f>
        <v>Aug-2023</v>
      </c>
      <c r="F414" s="4" t="str">
        <f t="shared" si="44"/>
        <v>Q1-2023</v>
      </c>
      <c r="G414" t="s">
        <v>78</v>
      </c>
      <c r="H414" t="s">
        <v>79</v>
      </c>
      <c r="I414" t="s">
        <v>159</v>
      </c>
      <c r="J414" t="s">
        <v>48</v>
      </c>
      <c r="K414" t="s">
        <v>20</v>
      </c>
      <c r="L414" t="s">
        <v>68</v>
      </c>
      <c r="M414" t="s">
        <v>42</v>
      </c>
      <c r="N414" t="s">
        <v>926</v>
      </c>
      <c r="O414" s="4">
        <v>692.18</v>
      </c>
      <c r="P414" s="8" t="str">
        <f t="shared" si="45"/>
        <v>High</v>
      </c>
      <c r="Q414" s="4">
        <v>1159.3499999999999</v>
      </c>
      <c r="R414" s="4">
        <v>0.112</v>
      </c>
      <c r="S414" s="4">
        <v>2</v>
      </c>
      <c r="T414" s="4">
        <f t="shared" si="42"/>
        <v>2175.1027199999999</v>
      </c>
      <c r="U414">
        <f t="shared" si="43"/>
        <v>1384.36</v>
      </c>
      <c r="V414" s="4">
        <f t="shared" si="46"/>
        <v>790.74271999999996</v>
      </c>
      <c r="W414" s="4">
        <f t="shared" si="47"/>
        <v>0.36354270202006828</v>
      </c>
    </row>
    <row r="415" spans="1:23" x14ac:dyDescent="0.3">
      <c r="A415" t="s">
        <v>927</v>
      </c>
      <c r="B415" s="7">
        <v>45163</v>
      </c>
      <c r="C415" s="2">
        <v>45185</v>
      </c>
      <c r="D415" s="4">
        <f t="shared" si="48"/>
        <v>22</v>
      </c>
      <c r="E415" s="4" t="str">
        <f>TEXT(Data!B415,"MMM-YYYY")</f>
        <v>Jun-2024</v>
      </c>
      <c r="F415" s="4" t="str">
        <f t="shared" si="44"/>
        <v>Q3-2023</v>
      </c>
      <c r="G415" t="s">
        <v>16</v>
      </c>
      <c r="H415" t="s">
        <v>25</v>
      </c>
      <c r="I415" t="s">
        <v>67</v>
      </c>
      <c r="J415" t="s">
        <v>19</v>
      </c>
      <c r="K415" t="s">
        <v>40</v>
      </c>
      <c r="L415" t="s">
        <v>49</v>
      </c>
      <c r="M415" t="s">
        <v>42</v>
      </c>
      <c r="N415" t="s">
        <v>928</v>
      </c>
      <c r="O415" s="4">
        <v>1196.83</v>
      </c>
      <c r="P415" s="8" t="str">
        <f t="shared" si="45"/>
        <v>High</v>
      </c>
      <c r="Q415" s="4">
        <v>2513.5100000000002</v>
      </c>
      <c r="R415" s="4">
        <v>8.3000000000000004E-2</v>
      </c>
      <c r="S415" s="4">
        <v>7</v>
      </c>
      <c r="T415" s="4">
        <f t="shared" si="42"/>
        <v>3118.7353400000002</v>
      </c>
      <c r="U415">
        <f t="shared" si="43"/>
        <v>8377.81</v>
      </c>
      <c r="V415" s="4">
        <f t="shared" si="46"/>
        <v>-5259.0746599999993</v>
      </c>
      <c r="W415" s="4">
        <f t="shared" si="47"/>
        <v>-1.6862843706385162</v>
      </c>
    </row>
    <row r="416" spans="1:23" x14ac:dyDescent="0.3">
      <c r="A416" t="s">
        <v>929</v>
      </c>
      <c r="B416" s="7">
        <v>45449</v>
      </c>
      <c r="C416" s="2">
        <v>45467</v>
      </c>
      <c r="D416" s="4">
        <f t="shared" si="48"/>
        <v>18</v>
      </c>
      <c r="E416" s="4" t="str">
        <f>TEXT(Data!B416,"MMM-YYYY")</f>
        <v>Aug-2023</v>
      </c>
      <c r="F416" s="4" t="str">
        <f t="shared" si="44"/>
        <v>Q2-2024</v>
      </c>
      <c r="G416" t="s">
        <v>45</v>
      </c>
      <c r="H416" t="s">
        <v>60</v>
      </c>
      <c r="I416" t="s">
        <v>61</v>
      </c>
      <c r="J416" t="s">
        <v>62</v>
      </c>
      <c r="K416" t="s">
        <v>98</v>
      </c>
      <c r="L416" t="s">
        <v>92</v>
      </c>
      <c r="M416" t="s">
        <v>35</v>
      </c>
      <c r="N416" t="s">
        <v>930</v>
      </c>
      <c r="O416" s="4">
        <v>1253.25</v>
      </c>
      <c r="P416" s="8" t="str">
        <f t="shared" si="45"/>
        <v>High</v>
      </c>
      <c r="Q416" s="4">
        <v>3087.13</v>
      </c>
      <c r="R416" s="4">
        <v>7.1999999999999995E-2</v>
      </c>
      <c r="S416" s="4">
        <v>11</v>
      </c>
      <c r="T416" s="4">
        <f t="shared" si="42"/>
        <v>22569.275520000003</v>
      </c>
      <c r="U416">
        <f t="shared" si="43"/>
        <v>13785.75</v>
      </c>
      <c r="V416" s="4">
        <f t="shared" si="46"/>
        <v>8783.5255200000029</v>
      </c>
      <c r="W416" s="4">
        <f t="shared" si="47"/>
        <v>0.38918065899884063</v>
      </c>
    </row>
    <row r="417" spans="1:23" x14ac:dyDescent="0.3">
      <c r="A417" t="s">
        <v>931</v>
      </c>
      <c r="B417" s="7">
        <v>45167</v>
      </c>
      <c r="C417" s="2">
        <v>45182</v>
      </c>
      <c r="D417" s="4">
        <f t="shared" si="48"/>
        <v>15</v>
      </c>
      <c r="E417" s="4" t="str">
        <f>TEXT(Data!B417,"MMM-YYYY")</f>
        <v>Nov-2024</v>
      </c>
      <c r="F417" s="4" t="str">
        <f t="shared" si="44"/>
        <v>Q3-2023</v>
      </c>
      <c r="G417" t="s">
        <v>52</v>
      </c>
      <c r="H417" t="s">
        <v>53</v>
      </c>
      <c r="I417" t="s">
        <v>179</v>
      </c>
      <c r="J417" t="s">
        <v>62</v>
      </c>
      <c r="K417" t="s">
        <v>40</v>
      </c>
      <c r="L417" t="s">
        <v>68</v>
      </c>
      <c r="M417" t="s">
        <v>30</v>
      </c>
      <c r="N417" t="s">
        <v>932</v>
      </c>
      <c r="O417" s="4">
        <v>1287.6400000000001</v>
      </c>
      <c r="P417" s="8" t="str">
        <f t="shared" si="45"/>
        <v>High</v>
      </c>
      <c r="Q417" s="4">
        <v>2717.15</v>
      </c>
      <c r="R417" s="4">
        <v>3.2000000000000001E-2</v>
      </c>
      <c r="S417" s="4">
        <v>7</v>
      </c>
      <c r="T417" s="4">
        <f t="shared" si="42"/>
        <v>3875.12664</v>
      </c>
      <c r="U417">
        <f t="shared" si="43"/>
        <v>9013.4800000000014</v>
      </c>
      <c r="V417" s="4">
        <f t="shared" si="46"/>
        <v>-5138.353360000001</v>
      </c>
      <c r="W417" s="4">
        <f t="shared" si="47"/>
        <v>-1.3259833387019324</v>
      </c>
    </row>
    <row r="418" spans="1:23" x14ac:dyDescent="0.3">
      <c r="A418" t="s">
        <v>933</v>
      </c>
      <c r="B418" s="7">
        <v>45626</v>
      </c>
      <c r="C418" s="2">
        <v>45636</v>
      </c>
      <c r="D418" s="4">
        <f t="shared" si="48"/>
        <v>10</v>
      </c>
      <c r="E418" s="4" t="str">
        <f>TEXT(Data!B418,"MMM-YYYY")</f>
        <v>Jun-2025</v>
      </c>
      <c r="F418" s="4" t="str">
        <f t="shared" si="44"/>
        <v>Q4-2024</v>
      </c>
      <c r="G418" t="s">
        <v>45</v>
      </c>
      <c r="H418" t="s">
        <v>60</v>
      </c>
      <c r="I418" t="s">
        <v>281</v>
      </c>
      <c r="J418" t="s">
        <v>62</v>
      </c>
      <c r="K418" t="s">
        <v>20</v>
      </c>
      <c r="L418" t="s">
        <v>84</v>
      </c>
      <c r="M418" t="s">
        <v>81</v>
      </c>
      <c r="N418" t="s">
        <v>934</v>
      </c>
      <c r="O418" s="4">
        <v>851.49</v>
      </c>
      <c r="P418" s="8" t="str">
        <f t="shared" si="45"/>
        <v>High</v>
      </c>
      <c r="Q418" s="4">
        <v>901.79</v>
      </c>
      <c r="R418" s="4">
        <v>0.245</v>
      </c>
      <c r="S418" s="4">
        <v>16</v>
      </c>
      <c r="T418" s="4">
        <f t="shared" si="42"/>
        <v>41052.309600000001</v>
      </c>
      <c r="U418">
        <f t="shared" si="43"/>
        <v>13623.84</v>
      </c>
      <c r="V418" s="4">
        <f t="shared" si="46"/>
        <v>27428.4696</v>
      </c>
      <c r="W418" s="4">
        <f t="shared" si="47"/>
        <v>0.66813462792358946</v>
      </c>
    </row>
    <row r="419" spans="1:23" x14ac:dyDescent="0.3">
      <c r="A419" t="s">
        <v>935</v>
      </c>
      <c r="B419" s="7">
        <v>45813</v>
      </c>
      <c r="C419" s="2">
        <v>45822</v>
      </c>
      <c r="D419" s="4">
        <f t="shared" si="48"/>
        <v>9</v>
      </c>
      <c r="E419" s="4" t="str">
        <f>TEXT(Data!B419,"MMM-YYYY")</f>
        <v>Mar-2025</v>
      </c>
      <c r="F419" s="4" t="str">
        <f t="shared" si="44"/>
        <v>Q2-2025</v>
      </c>
      <c r="G419" t="s">
        <v>45</v>
      </c>
      <c r="H419" t="s">
        <v>60</v>
      </c>
      <c r="I419" t="s">
        <v>141</v>
      </c>
      <c r="J419" t="s">
        <v>39</v>
      </c>
      <c r="K419" t="s">
        <v>20</v>
      </c>
      <c r="L419" t="s">
        <v>75</v>
      </c>
      <c r="M419" t="s">
        <v>81</v>
      </c>
      <c r="N419" t="s">
        <v>936</v>
      </c>
      <c r="O419" s="4">
        <v>618.69000000000005</v>
      </c>
      <c r="P419" s="8" t="str">
        <f t="shared" si="45"/>
        <v>High</v>
      </c>
      <c r="Q419" s="4">
        <v>796.15</v>
      </c>
      <c r="R419" s="4">
        <v>0.09</v>
      </c>
      <c r="S419" s="4">
        <v>11</v>
      </c>
      <c r="T419" s="4">
        <f t="shared" si="42"/>
        <v>1948.1462000000001</v>
      </c>
      <c r="U419">
        <f t="shared" si="43"/>
        <v>6805.59</v>
      </c>
      <c r="V419" s="4">
        <f t="shared" si="46"/>
        <v>-4857.4438</v>
      </c>
      <c r="W419" s="4">
        <f t="shared" si="47"/>
        <v>-2.4933671815801093</v>
      </c>
    </row>
    <row r="420" spans="1:23" x14ac:dyDescent="0.3">
      <c r="A420" t="s">
        <v>937</v>
      </c>
      <c r="B420" s="7">
        <v>45730</v>
      </c>
      <c r="C420" s="2">
        <v>45755</v>
      </c>
      <c r="D420" s="4">
        <f t="shared" si="48"/>
        <v>25</v>
      </c>
      <c r="E420" s="4" t="str">
        <f>TEXT(Data!B420,"MMM-YYYY")</f>
        <v>Jan-2024</v>
      </c>
      <c r="F420" s="4" t="str">
        <f t="shared" si="44"/>
        <v>Q1-2025</v>
      </c>
      <c r="G420" t="s">
        <v>45</v>
      </c>
      <c r="H420" t="s">
        <v>116</v>
      </c>
      <c r="I420" t="s">
        <v>1364</v>
      </c>
      <c r="J420" t="s">
        <v>19</v>
      </c>
      <c r="K420" t="s">
        <v>55</v>
      </c>
      <c r="L420" t="s">
        <v>145</v>
      </c>
      <c r="M420" t="s">
        <v>30</v>
      </c>
      <c r="N420" t="s">
        <v>938</v>
      </c>
      <c r="O420" s="4">
        <v>80.59</v>
      </c>
      <c r="P420" s="8" t="str">
        <f t="shared" si="45"/>
        <v>Medium</v>
      </c>
      <c r="Q420" s="4">
        <v>157.82</v>
      </c>
      <c r="R420" s="4">
        <v>0.217</v>
      </c>
      <c r="S420" s="4">
        <v>6</v>
      </c>
      <c r="T420" s="4">
        <f t="shared" si="42"/>
        <v>4846.6447200000002</v>
      </c>
      <c r="U420">
        <f t="shared" si="43"/>
        <v>483.54</v>
      </c>
      <c r="V420" s="4">
        <f t="shared" si="46"/>
        <v>4363.1047200000003</v>
      </c>
      <c r="W420" s="4">
        <f t="shared" si="47"/>
        <v>0.90023201040409662</v>
      </c>
    </row>
    <row r="421" spans="1:23" x14ac:dyDescent="0.3">
      <c r="A421" t="s">
        <v>939</v>
      </c>
      <c r="B421" s="7">
        <v>45307</v>
      </c>
      <c r="C421" s="2">
        <v>45333</v>
      </c>
      <c r="D421" s="4">
        <f t="shared" si="48"/>
        <v>26</v>
      </c>
      <c r="E421" s="4" t="str">
        <f>TEXT(Data!B421,"MMM-YYYY")</f>
        <v>Oct-2023</v>
      </c>
      <c r="F421" s="4" t="str">
        <f t="shared" si="44"/>
        <v>Q1-2024</v>
      </c>
      <c r="G421" t="s">
        <v>78</v>
      </c>
      <c r="H421" t="s">
        <v>79</v>
      </c>
      <c r="I421" t="s">
        <v>335</v>
      </c>
      <c r="J421" t="s">
        <v>39</v>
      </c>
      <c r="K421" t="s">
        <v>55</v>
      </c>
      <c r="L421" t="s">
        <v>63</v>
      </c>
      <c r="M421" t="s">
        <v>64</v>
      </c>
      <c r="N421" t="s">
        <v>940</v>
      </c>
      <c r="O421" s="4">
        <v>504.93</v>
      </c>
      <c r="P421" s="8" t="str">
        <f t="shared" si="45"/>
        <v>High</v>
      </c>
      <c r="Q421" s="4">
        <v>819.06</v>
      </c>
      <c r="R421" s="4">
        <v>0.22600000000000001</v>
      </c>
      <c r="S421" s="4">
        <v>15</v>
      </c>
      <c r="T421" s="4">
        <f t="shared" si="42"/>
        <v>5749.1559000000007</v>
      </c>
      <c r="U421">
        <f t="shared" si="43"/>
        <v>7573.95</v>
      </c>
      <c r="V421" s="4">
        <f t="shared" si="46"/>
        <v>-1824.7940999999992</v>
      </c>
      <c r="W421" s="4">
        <f t="shared" si="47"/>
        <v>-0.31740209027902672</v>
      </c>
    </row>
    <row r="422" spans="1:23" x14ac:dyDescent="0.3">
      <c r="A422" t="s">
        <v>941</v>
      </c>
      <c r="B422" s="7">
        <v>45211</v>
      </c>
      <c r="C422" s="2">
        <v>45228</v>
      </c>
      <c r="D422" s="4">
        <f t="shared" si="48"/>
        <v>17</v>
      </c>
      <c r="E422" s="4" t="str">
        <f>TEXT(Data!B422,"MMM-YYYY")</f>
        <v>Feb-2025</v>
      </c>
      <c r="F422" s="4" t="str">
        <f t="shared" si="44"/>
        <v>Q4-2023</v>
      </c>
      <c r="G422" t="s">
        <v>45</v>
      </c>
      <c r="H422" t="s">
        <v>46</v>
      </c>
      <c r="I422" t="s">
        <v>231</v>
      </c>
      <c r="J422" t="s">
        <v>39</v>
      </c>
      <c r="K422" t="s">
        <v>98</v>
      </c>
      <c r="L422" t="s">
        <v>92</v>
      </c>
      <c r="M422" t="s">
        <v>42</v>
      </c>
      <c r="N422" t="s">
        <v>942</v>
      </c>
      <c r="O422" s="4">
        <v>1102.19</v>
      </c>
      <c r="P422" s="8" t="str">
        <f t="shared" si="45"/>
        <v>High</v>
      </c>
      <c r="Q422" s="4">
        <v>1711.16</v>
      </c>
      <c r="R422" s="4">
        <v>0.151</v>
      </c>
      <c r="S422" s="4">
        <v>10</v>
      </c>
      <c r="T422" s="4">
        <f t="shared" si="42"/>
        <v>11198.649599999999</v>
      </c>
      <c r="U422">
        <f t="shared" si="43"/>
        <v>11021.900000000001</v>
      </c>
      <c r="V422" s="4">
        <f t="shared" si="46"/>
        <v>176.74959999999737</v>
      </c>
      <c r="W422" s="4">
        <f t="shared" si="47"/>
        <v>1.5783117278711657E-2</v>
      </c>
    </row>
    <row r="423" spans="1:23" x14ac:dyDescent="0.3">
      <c r="A423" t="s">
        <v>943</v>
      </c>
      <c r="B423" s="7">
        <v>45713</v>
      </c>
      <c r="C423" s="2">
        <v>45733</v>
      </c>
      <c r="D423" s="4">
        <f t="shared" si="48"/>
        <v>20</v>
      </c>
      <c r="E423" s="4" t="str">
        <f>TEXT(Data!B423,"MMM-YYYY")</f>
        <v>Jul-2025</v>
      </c>
      <c r="F423" s="4" t="str">
        <f t="shared" si="44"/>
        <v>Q1-2025</v>
      </c>
      <c r="G423" t="s">
        <v>52</v>
      </c>
      <c r="H423" t="s">
        <v>122</v>
      </c>
      <c r="I423" t="s">
        <v>167</v>
      </c>
      <c r="J423" t="s">
        <v>39</v>
      </c>
      <c r="K423" t="s">
        <v>40</v>
      </c>
      <c r="L423" t="s">
        <v>92</v>
      </c>
      <c r="M423" t="s">
        <v>42</v>
      </c>
      <c r="N423" t="s">
        <v>944</v>
      </c>
      <c r="O423" s="4">
        <v>1205.26</v>
      </c>
      <c r="P423" s="8" t="str">
        <f t="shared" si="45"/>
        <v>High</v>
      </c>
      <c r="Q423" s="4">
        <v>1696.35</v>
      </c>
      <c r="R423" s="4">
        <v>1.9E-2</v>
      </c>
      <c r="S423" s="4">
        <v>6</v>
      </c>
      <c r="T423" s="4">
        <f t="shared" si="42"/>
        <v>1853.32482</v>
      </c>
      <c r="U423">
        <f t="shared" si="43"/>
        <v>7231.5599999999995</v>
      </c>
      <c r="V423" s="4">
        <f t="shared" si="46"/>
        <v>-5378.2351799999997</v>
      </c>
      <c r="W423" s="4">
        <f t="shared" si="47"/>
        <v>-2.9019387869634206</v>
      </c>
    </row>
    <row r="424" spans="1:23" x14ac:dyDescent="0.3">
      <c r="A424" t="s">
        <v>945</v>
      </c>
      <c r="B424" s="7">
        <v>45841</v>
      </c>
      <c r="C424" s="2">
        <v>45844</v>
      </c>
      <c r="D424" s="4">
        <f t="shared" si="48"/>
        <v>3</v>
      </c>
      <c r="E424" s="4" t="str">
        <f>TEXT(Data!B424,"MMM-YYYY")</f>
        <v>Sept-2025</v>
      </c>
      <c r="F424" s="4" t="str">
        <f t="shared" si="44"/>
        <v>Q3-2025</v>
      </c>
      <c r="G424" t="s">
        <v>16</v>
      </c>
      <c r="H424" t="s">
        <v>25</v>
      </c>
      <c r="I424" t="s">
        <v>38</v>
      </c>
      <c r="J424" t="s">
        <v>48</v>
      </c>
      <c r="K424" t="s">
        <v>28</v>
      </c>
      <c r="L424" t="s">
        <v>1364</v>
      </c>
      <c r="M424" t="s">
        <v>57</v>
      </c>
      <c r="N424" t="s">
        <v>946</v>
      </c>
      <c r="O424" s="4">
        <v>1313.3</v>
      </c>
      <c r="P424" s="8" t="str">
        <f t="shared" si="45"/>
        <v>High</v>
      </c>
      <c r="Q424" s="4">
        <v>2884.34</v>
      </c>
      <c r="R424" s="4">
        <v>0.157</v>
      </c>
      <c r="S424" s="4">
        <v>42</v>
      </c>
      <c r="T424" s="4">
        <f t="shared" si="42"/>
        <v>78253.279020000002</v>
      </c>
      <c r="U424">
        <f t="shared" si="43"/>
        <v>55158.6</v>
      </c>
      <c r="V424" s="4">
        <f t="shared" si="46"/>
        <v>23094.679020000003</v>
      </c>
      <c r="W424" s="4">
        <f t="shared" si="47"/>
        <v>0.29512730085211453</v>
      </c>
    </row>
    <row r="425" spans="1:23" x14ac:dyDescent="0.3">
      <c r="A425" t="s">
        <v>947</v>
      </c>
      <c r="B425" s="7">
        <v>45915</v>
      </c>
      <c r="C425" s="2">
        <v>45925</v>
      </c>
      <c r="D425" s="4">
        <f t="shared" si="48"/>
        <v>10</v>
      </c>
      <c r="E425" s="4" t="str">
        <f>TEXT(Data!B425,"MMM-YYYY")</f>
        <v>Feb-2024</v>
      </c>
      <c r="F425" s="4" t="str">
        <f t="shared" si="44"/>
        <v>Q3-2025</v>
      </c>
      <c r="G425" t="s">
        <v>45</v>
      </c>
      <c r="H425" t="s">
        <v>60</v>
      </c>
      <c r="I425" t="s">
        <v>141</v>
      </c>
      <c r="J425" t="s">
        <v>48</v>
      </c>
      <c r="K425" t="s">
        <v>20</v>
      </c>
      <c r="L425" t="s">
        <v>75</v>
      </c>
      <c r="M425" t="s">
        <v>42</v>
      </c>
      <c r="N425" t="s">
        <v>948</v>
      </c>
      <c r="O425" s="4">
        <v>1488.91</v>
      </c>
      <c r="P425" s="8" t="str">
        <f t="shared" si="45"/>
        <v>High</v>
      </c>
      <c r="Q425" s="4">
        <v>1483.74</v>
      </c>
      <c r="R425" s="4">
        <v>0.16800000000000001</v>
      </c>
      <c r="S425" s="4">
        <v>24</v>
      </c>
      <c r="T425" s="4">
        <f t="shared" si="42"/>
        <v>20866.559999999998</v>
      </c>
      <c r="U425">
        <f t="shared" si="43"/>
        <v>35733.840000000004</v>
      </c>
      <c r="V425" s="4">
        <f t="shared" si="46"/>
        <v>-14867.280000000006</v>
      </c>
      <c r="W425" s="4">
        <f t="shared" si="47"/>
        <v>-0.71249309900625724</v>
      </c>
    </row>
    <row r="426" spans="1:23" x14ac:dyDescent="0.3">
      <c r="A426" t="s">
        <v>949</v>
      </c>
      <c r="B426" s="7">
        <v>45341</v>
      </c>
      <c r="C426" s="2">
        <v>45357</v>
      </c>
      <c r="D426" s="4">
        <f t="shared" si="48"/>
        <v>16</v>
      </c>
      <c r="E426" s="4" t="str">
        <f>TEXT(Data!B426,"MMM-YYYY")</f>
        <v>Feb-2024</v>
      </c>
      <c r="F426" s="4" t="str">
        <f t="shared" si="44"/>
        <v>Q1-2024</v>
      </c>
      <c r="G426" t="s">
        <v>45</v>
      </c>
      <c r="H426" t="s">
        <v>116</v>
      </c>
      <c r="I426" t="s">
        <v>338</v>
      </c>
      <c r="J426" t="s">
        <v>27</v>
      </c>
      <c r="K426" t="s">
        <v>40</v>
      </c>
      <c r="L426" t="s">
        <v>68</v>
      </c>
      <c r="M426" t="s">
        <v>30</v>
      </c>
      <c r="N426" t="s">
        <v>950</v>
      </c>
      <c r="O426" s="4">
        <v>1477.84</v>
      </c>
      <c r="P426" s="8" t="str">
        <f t="shared" si="45"/>
        <v>High</v>
      </c>
      <c r="Q426" s="4">
        <v>3197.47</v>
      </c>
      <c r="R426" s="4">
        <v>0.24299999999999999</v>
      </c>
      <c r="S426" s="4">
        <v>24</v>
      </c>
      <c r="T426" s="4">
        <f t="shared" si="42"/>
        <v>38737.627919999999</v>
      </c>
      <c r="U426">
        <f t="shared" si="43"/>
        <v>35468.159999999996</v>
      </c>
      <c r="V426" s="4">
        <f t="shared" si="46"/>
        <v>3269.4679200000028</v>
      </c>
      <c r="W426" s="4">
        <f t="shared" si="47"/>
        <v>8.4400312965781696E-2</v>
      </c>
    </row>
    <row r="427" spans="1:23" x14ac:dyDescent="0.3">
      <c r="A427" t="s">
        <v>951</v>
      </c>
      <c r="B427" s="7">
        <v>45349</v>
      </c>
      <c r="C427" s="2">
        <v>45377</v>
      </c>
      <c r="D427" s="4">
        <f t="shared" si="48"/>
        <v>28</v>
      </c>
      <c r="E427" s="4" t="str">
        <f>TEXT(Data!B427,"MMM-YYYY")</f>
        <v>Aug-2025</v>
      </c>
      <c r="F427" s="4" t="str">
        <f t="shared" si="44"/>
        <v>Q1-2024</v>
      </c>
      <c r="G427" t="s">
        <v>45</v>
      </c>
      <c r="H427" t="s">
        <v>60</v>
      </c>
      <c r="I427" t="s">
        <v>220</v>
      </c>
      <c r="J427" t="s">
        <v>27</v>
      </c>
      <c r="K427" t="s">
        <v>40</v>
      </c>
      <c r="L427" t="s">
        <v>41</v>
      </c>
      <c r="M427" t="s">
        <v>57</v>
      </c>
      <c r="N427" t="s">
        <v>952</v>
      </c>
      <c r="O427" s="4">
        <v>1035.19</v>
      </c>
      <c r="P427" s="8" t="str">
        <f t="shared" si="45"/>
        <v>High</v>
      </c>
      <c r="Q427" s="4">
        <v>2322.6999999999998</v>
      </c>
      <c r="R427" s="4">
        <v>0.17299999999999999</v>
      </c>
      <c r="S427" s="4">
        <v>8</v>
      </c>
      <c r="T427" s="4">
        <f t="shared" si="42"/>
        <v>13903.854800000001</v>
      </c>
      <c r="U427">
        <f t="shared" si="43"/>
        <v>8281.52</v>
      </c>
      <c r="V427" s="4">
        <f t="shared" si="46"/>
        <v>5622.3348000000005</v>
      </c>
      <c r="W427" s="4">
        <f t="shared" si="47"/>
        <v>0.40437237592555986</v>
      </c>
    </row>
    <row r="428" spans="1:23" x14ac:dyDescent="0.3">
      <c r="A428" t="s">
        <v>953</v>
      </c>
      <c r="B428" s="7">
        <v>45897</v>
      </c>
      <c r="C428" s="2">
        <v>45905</v>
      </c>
      <c r="D428" s="4">
        <f t="shared" si="48"/>
        <v>8</v>
      </c>
      <c r="E428" s="4" t="str">
        <f>TEXT(Data!B428,"MMM-YYYY")</f>
        <v>Aug-2024</v>
      </c>
      <c r="F428" s="4" t="str">
        <f t="shared" si="44"/>
        <v>Q3-2025</v>
      </c>
      <c r="G428" t="s">
        <v>16</v>
      </c>
      <c r="H428" t="s">
        <v>25</v>
      </c>
      <c r="I428" t="s">
        <v>26</v>
      </c>
      <c r="J428" t="s">
        <v>62</v>
      </c>
      <c r="K428" t="s">
        <v>40</v>
      </c>
      <c r="L428" t="s">
        <v>63</v>
      </c>
      <c r="M428" t="s">
        <v>57</v>
      </c>
      <c r="N428" t="s">
        <v>954</v>
      </c>
      <c r="O428" s="4">
        <v>1271.0999999999999</v>
      </c>
      <c r="P428" s="8" t="str">
        <f t="shared" si="45"/>
        <v>High</v>
      </c>
      <c r="Q428" s="4">
        <v>1932.42</v>
      </c>
      <c r="R428" s="4">
        <v>0.25</v>
      </c>
      <c r="S428" s="4">
        <v>21</v>
      </c>
      <c r="T428" s="4">
        <f t="shared" si="42"/>
        <v>33475.68</v>
      </c>
      <c r="U428">
        <f t="shared" si="43"/>
        <v>26693.1</v>
      </c>
      <c r="V428" s="4">
        <f t="shared" si="46"/>
        <v>6782.5800000000017</v>
      </c>
      <c r="W428" s="4">
        <f t="shared" si="47"/>
        <v>0.20261216501053905</v>
      </c>
    </row>
    <row r="429" spans="1:23" x14ac:dyDescent="0.3">
      <c r="A429" t="s">
        <v>955</v>
      </c>
      <c r="B429" s="7">
        <v>45522</v>
      </c>
      <c r="C429" s="2">
        <v>45547</v>
      </c>
      <c r="D429" s="4">
        <f t="shared" si="48"/>
        <v>25</v>
      </c>
      <c r="E429" s="4" t="str">
        <f>TEXT(Data!B429,"MMM-YYYY")</f>
        <v>Feb-2024</v>
      </c>
      <c r="F429" s="4" t="str">
        <f t="shared" si="44"/>
        <v>Q3-2024</v>
      </c>
      <c r="G429" t="s">
        <v>45</v>
      </c>
      <c r="H429" t="s">
        <v>60</v>
      </c>
      <c r="I429" t="s">
        <v>220</v>
      </c>
      <c r="J429" t="s">
        <v>48</v>
      </c>
      <c r="K429" t="s">
        <v>40</v>
      </c>
      <c r="L429" t="s">
        <v>21</v>
      </c>
      <c r="M429" t="s">
        <v>42</v>
      </c>
      <c r="N429" t="s">
        <v>956</v>
      </c>
      <c r="O429" s="4">
        <v>1154.03</v>
      </c>
      <c r="P429" s="8" t="str">
        <f t="shared" si="45"/>
        <v>High</v>
      </c>
      <c r="Q429" s="4">
        <v>1590.36</v>
      </c>
      <c r="R429" s="4">
        <v>0.314</v>
      </c>
      <c r="S429" s="4">
        <v>18</v>
      </c>
      <c r="T429" s="4">
        <f t="shared" si="42"/>
        <v>8801.0369999999984</v>
      </c>
      <c r="U429">
        <f t="shared" si="43"/>
        <v>20772.54</v>
      </c>
      <c r="V429" s="4">
        <f t="shared" si="46"/>
        <v>-11971.503000000002</v>
      </c>
      <c r="W429" s="4">
        <f t="shared" si="47"/>
        <v>-1.360237776525653</v>
      </c>
    </row>
    <row r="430" spans="1:23" x14ac:dyDescent="0.3">
      <c r="A430" t="s">
        <v>957</v>
      </c>
      <c r="B430" s="7">
        <v>45347</v>
      </c>
      <c r="C430" s="2">
        <v>45360</v>
      </c>
      <c r="D430" s="4">
        <f t="shared" si="48"/>
        <v>13</v>
      </c>
      <c r="E430" s="4" t="str">
        <f>TEXT(Data!B430,"MMM-YYYY")</f>
        <v>May-2025</v>
      </c>
      <c r="F430" s="4" t="str">
        <f t="shared" si="44"/>
        <v>Q1-2024</v>
      </c>
      <c r="G430" t="s">
        <v>78</v>
      </c>
      <c r="H430" t="s">
        <v>90</v>
      </c>
      <c r="I430" t="s">
        <v>91</v>
      </c>
      <c r="J430" t="s">
        <v>62</v>
      </c>
      <c r="K430" t="s">
        <v>55</v>
      </c>
      <c r="L430" t="s">
        <v>63</v>
      </c>
      <c r="M430" t="s">
        <v>64</v>
      </c>
      <c r="N430" t="s">
        <v>958</v>
      </c>
      <c r="O430" s="4">
        <v>322.44</v>
      </c>
      <c r="P430" s="8" t="str">
        <f t="shared" si="45"/>
        <v>High</v>
      </c>
      <c r="Q430" s="4">
        <v>395.61</v>
      </c>
      <c r="R430" s="4">
        <v>0</v>
      </c>
      <c r="S430" s="4">
        <v>34</v>
      </c>
      <c r="T430" s="4">
        <f t="shared" si="42"/>
        <v>53340.22</v>
      </c>
      <c r="U430">
        <f t="shared" si="43"/>
        <v>10962.96</v>
      </c>
      <c r="V430" s="4">
        <f t="shared" si="46"/>
        <v>42377.26</v>
      </c>
      <c r="W430" s="4">
        <f t="shared" si="47"/>
        <v>0.79447103892709858</v>
      </c>
    </row>
    <row r="431" spans="1:23" x14ac:dyDescent="0.3">
      <c r="A431" t="s">
        <v>959</v>
      </c>
      <c r="B431" s="7">
        <v>45784</v>
      </c>
      <c r="C431" s="2">
        <v>45790</v>
      </c>
      <c r="D431" s="4">
        <f t="shared" si="48"/>
        <v>6</v>
      </c>
      <c r="E431" s="4" t="str">
        <f>TEXT(Data!B431,"MMM-YYYY")</f>
        <v>Nov-2024</v>
      </c>
      <c r="F431" s="4" t="str">
        <f t="shared" si="44"/>
        <v>Q2-2025</v>
      </c>
      <c r="G431" t="s">
        <v>45</v>
      </c>
      <c r="H431" t="s">
        <v>60</v>
      </c>
      <c r="I431" t="s">
        <v>61</v>
      </c>
      <c r="J431" t="s">
        <v>105</v>
      </c>
      <c r="K431" t="s">
        <v>98</v>
      </c>
      <c r="L431" t="s">
        <v>29</v>
      </c>
      <c r="M431" t="s">
        <v>42</v>
      </c>
      <c r="N431" t="s">
        <v>960</v>
      </c>
      <c r="O431" s="4">
        <v>935.98</v>
      </c>
      <c r="P431" s="8" t="str">
        <f t="shared" si="45"/>
        <v>High</v>
      </c>
      <c r="Q431" s="4">
        <v>2077.69</v>
      </c>
      <c r="R431" s="4">
        <v>0.17499999999999999</v>
      </c>
      <c r="S431" s="4">
        <v>24</v>
      </c>
      <c r="T431" s="4">
        <f t="shared" si="42"/>
        <v>41071.932000000001</v>
      </c>
      <c r="U431">
        <f t="shared" si="43"/>
        <v>22463.52</v>
      </c>
      <c r="V431" s="4">
        <f t="shared" si="46"/>
        <v>18608.412</v>
      </c>
      <c r="W431" s="4">
        <f t="shared" si="47"/>
        <v>0.4530688256885505</v>
      </c>
    </row>
    <row r="432" spans="1:23" x14ac:dyDescent="0.3">
      <c r="A432" t="s">
        <v>961</v>
      </c>
      <c r="B432" s="7">
        <v>45597</v>
      </c>
      <c r="C432" s="2">
        <v>45608</v>
      </c>
      <c r="D432" s="4">
        <f t="shared" si="48"/>
        <v>11</v>
      </c>
      <c r="E432" s="4" t="str">
        <f>TEXT(Data!B432,"MMM-YYYY")</f>
        <v>Dec-2024</v>
      </c>
      <c r="F432" s="4" t="str">
        <f t="shared" si="44"/>
        <v>Q4-2024</v>
      </c>
      <c r="G432" t="s">
        <v>78</v>
      </c>
      <c r="H432" t="s">
        <v>79</v>
      </c>
      <c r="I432" t="s">
        <v>335</v>
      </c>
      <c r="J432" t="s">
        <v>48</v>
      </c>
      <c r="K432" t="s">
        <v>28</v>
      </c>
      <c r="L432" t="s">
        <v>56</v>
      </c>
      <c r="M432" t="s">
        <v>30</v>
      </c>
      <c r="N432" t="s">
        <v>962</v>
      </c>
      <c r="O432" s="4">
        <v>599.84</v>
      </c>
      <c r="P432" s="8" t="str">
        <f t="shared" si="45"/>
        <v>High</v>
      </c>
      <c r="Q432" s="4">
        <v>1330.85</v>
      </c>
      <c r="R432" s="4">
        <v>0.115</v>
      </c>
      <c r="S432" s="4">
        <v>11</v>
      </c>
      <c r="T432" s="4">
        <f t="shared" si="42"/>
        <v>4820.6746499999999</v>
      </c>
      <c r="U432">
        <f t="shared" si="43"/>
        <v>6598.2400000000007</v>
      </c>
      <c r="V432" s="4">
        <f t="shared" si="46"/>
        <v>-1777.5653500000008</v>
      </c>
      <c r="W432" s="4">
        <f t="shared" si="47"/>
        <v>-0.36873787987330792</v>
      </c>
    </row>
    <row r="433" spans="1:23" x14ac:dyDescent="0.3">
      <c r="A433" t="s">
        <v>963</v>
      </c>
      <c r="B433" s="7">
        <v>45654</v>
      </c>
      <c r="C433" s="2">
        <v>45665</v>
      </c>
      <c r="D433" s="4">
        <f t="shared" si="48"/>
        <v>11</v>
      </c>
      <c r="E433" s="4" t="str">
        <f>TEXT(Data!B433,"MMM-YYYY")</f>
        <v>Oct-2023</v>
      </c>
      <c r="F433" s="4" t="str">
        <f t="shared" si="44"/>
        <v>Q4-2024</v>
      </c>
      <c r="G433" t="s">
        <v>45</v>
      </c>
      <c r="H433" t="s">
        <v>116</v>
      </c>
      <c r="I433" t="s">
        <v>117</v>
      </c>
      <c r="J433" t="s">
        <v>105</v>
      </c>
      <c r="K433" t="s">
        <v>28</v>
      </c>
      <c r="L433" t="s">
        <v>95</v>
      </c>
      <c r="M433" t="s">
        <v>57</v>
      </c>
      <c r="N433" t="s">
        <v>964</v>
      </c>
      <c r="O433" s="4">
        <v>1201.31</v>
      </c>
      <c r="P433" s="8" t="str">
        <f t="shared" si="45"/>
        <v>High</v>
      </c>
      <c r="Q433" s="4">
        <v>2764.65</v>
      </c>
      <c r="R433" s="4">
        <v>0</v>
      </c>
      <c r="S433" s="4">
        <v>21</v>
      </c>
      <c r="T433" s="4">
        <f t="shared" si="42"/>
        <v>15909.390000000001</v>
      </c>
      <c r="U433">
        <f t="shared" si="43"/>
        <v>25227.51</v>
      </c>
      <c r="V433" s="4">
        <f t="shared" si="46"/>
        <v>-9318.1199999999972</v>
      </c>
      <c r="W433" s="4">
        <f t="shared" si="47"/>
        <v>-0.58569938885148942</v>
      </c>
    </row>
    <row r="434" spans="1:23" x14ac:dyDescent="0.3">
      <c r="A434" t="s">
        <v>965</v>
      </c>
      <c r="B434" s="7">
        <v>45220</v>
      </c>
      <c r="C434" s="2">
        <v>45220</v>
      </c>
      <c r="D434" s="4">
        <f t="shared" si="48"/>
        <v>0</v>
      </c>
      <c r="E434" s="4" t="str">
        <f>TEXT(Data!B434,"MMM-YYYY")</f>
        <v>Dec-2024</v>
      </c>
      <c r="F434" s="4" t="str">
        <f t="shared" si="44"/>
        <v>Q4-2023</v>
      </c>
      <c r="G434" t="s">
        <v>78</v>
      </c>
      <c r="H434" t="s">
        <v>108</v>
      </c>
      <c r="I434" t="s">
        <v>228</v>
      </c>
      <c r="J434" t="s">
        <v>105</v>
      </c>
      <c r="K434" t="s">
        <v>55</v>
      </c>
      <c r="L434" t="s">
        <v>29</v>
      </c>
      <c r="M434" t="s">
        <v>64</v>
      </c>
      <c r="N434" t="s">
        <v>966</v>
      </c>
      <c r="O434" s="4">
        <v>384.19</v>
      </c>
      <c r="P434" s="8" t="str">
        <f t="shared" si="45"/>
        <v>High</v>
      </c>
      <c r="Q434" s="4">
        <v>278.35000000000002</v>
      </c>
      <c r="R434" s="4">
        <v>5.6000000000000001E-2</v>
      </c>
      <c r="S434" s="4">
        <v>10</v>
      </c>
      <c r="T434" s="4">
        <f t="shared" si="42"/>
        <v>3926.6623999999993</v>
      </c>
      <c r="U434">
        <f t="shared" si="43"/>
        <v>3841.9</v>
      </c>
      <c r="V434" s="4">
        <f t="shared" si="46"/>
        <v>84.762399999999161</v>
      </c>
      <c r="W434" s="4">
        <f t="shared" si="47"/>
        <v>2.1586373200812775E-2</v>
      </c>
    </row>
    <row r="435" spans="1:23" x14ac:dyDescent="0.3">
      <c r="A435" t="s">
        <v>967</v>
      </c>
      <c r="B435" s="7">
        <v>45636</v>
      </c>
      <c r="C435" s="2">
        <v>45645</v>
      </c>
      <c r="D435" s="4">
        <f t="shared" si="48"/>
        <v>9</v>
      </c>
      <c r="E435" s="4" t="str">
        <f>TEXT(Data!B435,"MMM-YYYY")</f>
        <v>Sept-2024</v>
      </c>
      <c r="F435" s="4" t="str">
        <f t="shared" si="44"/>
        <v>Q4-2024</v>
      </c>
      <c r="G435" t="s">
        <v>16</v>
      </c>
      <c r="H435" t="s">
        <v>25</v>
      </c>
      <c r="I435" t="s">
        <v>38</v>
      </c>
      <c r="J435" t="s">
        <v>19</v>
      </c>
      <c r="K435" t="s">
        <v>20</v>
      </c>
      <c r="L435" t="s">
        <v>68</v>
      </c>
      <c r="M435" t="s">
        <v>64</v>
      </c>
      <c r="N435" t="s">
        <v>968</v>
      </c>
      <c r="O435" s="4">
        <v>488.68</v>
      </c>
      <c r="P435" s="8" t="str">
        <f t="shared" si="45"/>
        <v>High</v>
      </c>
      <c r="Q435" s="4">
        <v>984.36</v>
      </c>
      <c r="R435" s="4">
        <v>5.8999999999999997E-2</v>
      </c>
      <c r="S435" s="4">
        <v>14</v>
      </c>
      <c r="T435" s="4">
        <f t="shared" si="42"/>
        <v>24647.104860000003</v>
      </c>
      <c r="U435">
        <f t="shared" si="43"/>
        <v>6841.52</v>
      </c>
      <c r="V435" s="4">
        <f t="shared" si="46"/>
        <v>17805.584860000003</v>
      </c>
      <c r="W435" s="4">
        <f t="shared" si="47"/>
        <v>0.72242094806424251</v>
      </c>
    </row>
    <row r="436" spans="1:23" x14ac:dyDescent="0.3">
      <c r="A436" t="s">
        <v>969</v>
      </c>
      <c r="B436" s="7">
        <v>45542</v>
      </c>
      <c r="C436" s="2">
        <v>45553</v>
      </c>
      <c r="D436" s="4">
        <f t="shared" si="48"/>
        <v>11</v>
      </c>
      <c r="E436" s="4" t="str">
        <f>TEXT(Data!B436,"MMM-YYYY")</f>
        <v>Oct-2023</v>
      </c>
      <c r="F436" s="4" t="str">
        <f t="shared" si="44"/>
        <v>Q3-2024</v>
      </c>
      <c r="G436" t="s">
        <v>45</v>
      </c>
      <c r="H436" t="s">
        <v>116</v>
      </c>
      <c r="I436" t="s">
        <v>338</v>
      </c>
      <c r="J436" t="s">
        <v>48</v>
      </c>
      <c r="K436" t="s">
        <v>55</v>
      </c>
      <c r="L436" t="s">
        <v>68</v>
      </c>
      <c r="M436" t="s">
        <v>35</v>
      </c>
      <c r="N436" t="s">
        <v>970</v>
      </c>
      <c r="O436" s="4">
        <v>181.74</v>
      </c>
      <c r="P436" s="8" t="str">
        <f t="shared" si="45"/>
        <v>Medium</v>
      </c>
      <c r="Q436" s="4">
        <v>190.84</v>
      </c>
      <c r="R436" s="4">
        <v>0.214</v>
      </c>
      <c r="S436" s="4">
        <v>13</v>
      </c>
      <c r="T436" s="4">
        <f t="shared" si="42"/>
        <v>2113.89984</v>
      </c>
      <c r="U436">
        <f t="shared" si="43"/>
        <v>2362.62</v>
      </c>
      <c r="V436" s="4">
        <f t="shared" si="46"/>
        <v>-248.72015999999985</v>
      </c>
      <c r="W436" s="4">
        <f t="shared" si="47"/>
        <v>-0.11765938730569177</v>
      </c>
    </row>
    <row r="437" spans="1:23" x14ac:dyDescent="0.3">
      <c r="A437" t="s">
        <v>971</v>
      </c>
      <c r="B437" s="7">
        <v>45217</v>
      </c>
      <c r="C437" s="2">
        <v>45219</v>
      </c>
      <c r="D437" s="4">
        <f t="shared" si="48"/>
        <v>2</v>
      </c>
      <c r="E437" s="4" t="str">
        <f>TEXT(Data!B437,"MMM-YYYY")</f>
        <v>Dec-2024</v>
      </c>
      <c r="F437" s="4" t="str">
        <f t="shared" si="44"/>
        <v>Q4-2023</v>
      </c>
      <c r="G437" t="s">
        <v>16</v>
      </c>
      <c r="H437" t="s">
        <v>17</v>
      </c>
      <c r="I437" t="s">
        <v>18</v>
      </c>
      <c r="J437" t="s">
        <v>48</v>
      </c>
      <c r="K437" t="s">
        <v>20</v>
      </c>
      <c r="L437" t="s">
        <v>29</v>
      </c>
      <c r="M437" t="s">
        <v>42</v>
      </c>
      <c r="N437" t="s">
        <v>972</v>
      </c>
      <c r="O437" s="4">
        <v>774.12</v>
      </c>
      <c r="P437" s="8" t="str">
        <f t="shared" si="45"/>
        <v>High</v>
      </c>
      <c r="Q437" s="4">
        <v>908.3</v>
      </c>
      <c r="R437" s="4">
        <v>0</v>
      </c>
      <c r="S437" s="4">
        <v>30</v>
      </c>
      <c r="T437" s="4">
        <f t="shared" si="42"/>
        <v>1884.6</v>
      </c>
      <c r="U437">
        <f t="shared" si="43"/>
        <v>23223.599999999999</v>
      </c>
      <c r="V437" s="4">
        <f t="shared" si="46"/>
        <v>-21339</v>
      </c>
      <c r="W437" s="4">
        <f t="shared" si="47"/>
        <v>-11.322827125119389</v>
      </c>
    </row>
    <row r="438" spans="1:23" x14ac:dyDescent="0.3">
      <c r="A438" t="s">
        <v>973</v>
      </c>
      <c r="B438" s="7">
        <v>45650</v>
      </c>
      <c r="C438" s="2">
        <v>45670</v>
      </c>
      <c r="D438" s="4">
        <f t="shared" si="48"/>
        <v>20</v>
      </c>
      <c r="E438" s="4" t="str">
        <f>TEXT(Data!B438,"MMM-YYYY")</f>
        <v>Apr-2023</v>
      </c>
      <c r="F438" s="4" t="str">
        <f t="shared" si="44"/>
        <v>Q4-2024</v>
      </c>
      <c r="G438" t="s">
        <v>45</v>
      </c>
      <c r="H438" t="s">
        <v>60</v>
      </c>
      <c r="I438" t="s">
        <v>61</v>
      </c>
      <c r="J438" t="s">
        <v>19</v>
      </c>
      <c r="K438" t="s">
        <v>40</v>
      </c>
      <c r="L438" t="s">
        <v>145</v>
      </c>
      <c r="M438" t="s">
        <v>35</v>
      </c>
      <c r="N438" t="s">
        <v>974</v>
      </c>
      <c r="O438" s="4">
        <v>126.15</v>
      </c>
      <c r="P438" s="8" t="str">
        <f t="shared" si="45"/>
        <v>High</v>
      </c>
      <c r="Q438" s="4">
        <v>284.23</v>
      </c>
      <c r="R438" s="4">
        <v>0.113</v>
      </c>
      <c r="S438" s="4">
        <v>22</v>
      </c>
      <c r="T438" s="4">
        <f t="shared" si="42"/>
        <v>18664.94586</v>
      </c>
      <c r="U438">
        <f t="shared" si="43"/>
        <v>2775.3</v>
      </c>
      <c r="V438" s="4">
        <f t="shared" si="46"/>
        <v>15889.645860000001</v>
      </c>
      <c r="W438" s="4">
        <f t="shared" si="47"/>
        <v>0.85130950709331443</v>
      </c>
    </row>
    <row r="439" spans="1:23" x14ac:dyDescent="0.3">
      <c r="A439" t="s">
        <v>975</v>
      </c>
      <c r="B439" s="7">
        <v>45037</v>
      </c>
      <c r="C439" s="2">
        <v>45035</v>
      </c>
      <c r="D439" s="4">
        <f>DATEDIF(C439,B439, "MD")</f>
        <v>2</v>
      </c>
      <c r="E439" s="4" t="str">
        <f>TEXT(Data!B439,"MMM-YYYY")</f>
        <v>Dec-2023</v>
      </c>
      <c r="F439" s="4" t="str">
        <f t="shared" si="44"/>
        <v>Q2-2023</v>
      </c>
      <c r="G439" t="s">
        <v>45</v>
      </c>
      <c r="H439" t="s">
        <v>46</v>
      </c>
      <c r="I439" t="s">
        <v>231</v>
      </c>
      <c r="J439" t="s">
        <v>62</v>
      </c>
      <c r="K439" t="s">
        <v>98</v>
      </c>
      <c r="L439" t="s">
        <v>110</v>
      </c>
      <c r="M439" t="s">
        <v>22</v>
      </c>
      <c r="N439" t="s">
        <v>976</v>
      </c>
      <c r="O439" s="4">
        <v>607.04</v>
      </c>
      <c r="P439" s="8" t="str">
        <f t="shared" si="45"/>
        <v>High</v>
      </c>
      <c r="Q439" s="4">
        <v>1229.3399999999999</v>
      </c>
      <c r="R439" s="4">
        <v>0.14699999999999999</v>
      </c>
      <c r="S439" s="4">
        <v>7</v>
      </c>
      <c r="T439" s="4">
        <f t="shared" si="42"/>
        <v>989.39469999999983</v>
      </c>
      <c r="U439">
        <f t="shared" si="43"/>
        <v>4249.28</v>
      </c>
      <c r="V439" s="4">
        <f t="shared" si="46"/>
        <v>-3259.8852999999999</v>
      </c>
      <c r="W439" s="4">
        <f t="shared" si="47"/>
        <v>-3.2948279387387061</v>
      </c>
    </row>
    <row r="440" spans="1:23" x14ac:dyDescent="0.3">
      <c r="A440" t="s">
        <v>977</v>
      </c>
      <c r="B440" s="7">
        <v>45290</v>
      </c>
      <c r="C440" s="2">
        <v>45299</v>
      </c>
      <c r="D440" s="4">
        <f t="shared" si="48"/>
        <v>9</v>
      </c>
      <c r="E440" s="4" t="str">
        <f>TEXT(Data!B440,"MMM-YYYY")</f>
        <v>Feb-2023</v>
      </c>
      <c r="F440" s="4" t="str">
        <f t="shared" si="44"/>
        <v>Q4-2023</v>
      </c>
      <c r="G440" t="s">
        <v>78</v>
      </c>
      <c r="H440" t="s">
        <v>90</v>
      </c>
      <c r="I440" t="s">
        <v>91</v>
      </c>
      <c r="J440" t="s">
        <v>48</v>
      </c>
      <c r="K440" t="s">
        <v>40</v>
      </c>
      <c r="L440" t="s">
        <v>49</v>
      </c>
      <c r="M440" t="s">
        <v>81</v>
      </c>
      <c r="N440" t="s">
        <v>978</v>
      </c>
      <c r="O440" s="4">
        <v>861.1</v>
      </c>
      <c r="P440" s="8" t="str">
        <f t="shared" si="45"/>
        <v>High</v>
      </c>
      <c r="Q440" s="4">
        <v>1224.72</v>
      </c>
      <c r="R440" s="4">
        <v>0.17399999999999999</v>
      </c>
      <c r="S440" s="4">
        <v>24</v>
      </c>
      <c r="T440" s="4">
        <f t="shared" si="42"/>
        <v>12060.128640000001</v>
      </c>
      <c r="U440">
        <f t="shared" si="43"/>
        <v>20666.400000000001</v>
      </c>
      <c r="V440" s="4">
        <f t="shared" si="46"/>
        <v>-8606.2713600000006</v>
      </c>
      <c r="W440" s="4">
        <f t="shared" si="47"/>
        <v>-0.71361356225135586</v>
      </c>
    </row>
    <row r="441" spans="1:23" x14ac:dyDescent="0.3">
      <c r="A441" t="s">
        <v>979</v>
      </c>
      <c r="B441" s="7">
        <v>44978</v>
      </c>
      <c r="C441" s="2">
        <v>44997</v>
      </c>
      <c r="D441" s="4">
        <f t="shared" si="48"/>
        <v>19</v>
      </c>
      <c r="E441" s="4" t="str">
        <f>TEXT(Data!B441,"MMM-YYYY")</f>
        <v>May-2023</v>
      </c>
      <c r="F441" s="4" t="str">
        <f t="shared" si="44"/>
        <v>Q1-2023</v>
      </c>
      <c r="G441" t="s">
        <v>16</v>
      </c>
      <c r="H441" t="s">
        <v>17</v>
      </c>
      <c r="I441" t="s">
        <v>135</v>
      </c>
      <c r="J441" t="s">
        <v>19</v>
      </c>
      <c r="K441" t="s">
        <v>28</v>
      </c>
      <c r="L441" t="s">
        <v>84</v>
      </c>
      <c r="M441" t="s">
        <v>35</v>
      </c>
      <c r="N441" t="s">
        <v>980</v>
      </c>
      <c r="O441" s="4">
        <v>352.65</v>
      </c>
      <c r="P441" s="8" t="str">
        <f t="shared" si="45"/>
        <v>High</v>
      </c>
      <c r="Q441" s="4">
        <v>485.86</v>
      </c>
      <c r="R441" s="4">
        <v>4.1000000000000002E-2</v>
      </c>
      <c r="S441" s="4">
        <v>6</v>
      </c>
      <c r="T441" s="4">
        <f t="shared" si="42"/>
        <v>15339.646139999999</v>
      </c>
      <c r="U441">
        <f t="shared" si="43"/>
        <v>2115.8999999999996</v>
      </c>
      <c r="V441" s="4">
        <f t="shared" si="46"/>
        <v>13223.746139999999</v>
      </c>
      <c r="W441" s="4">
        <f t="shared" si="47"/>
        <v>0.86206331093371624</v>
      </c>
    </row>
    <row r="442" spans="1:23" x14ac:dyDescent="0.3">
      <c r="A442" t="s">
        <v>981</v>
      </c>
      <c r="B442" s="7">
        <v>45063</v>
      </c>
      <c r="C442" s="2">
        <v>45080</v>
      </c>
      <c r="D442" s="4">
        <f t="shared" si="48"/>
        <v>17</v>
      </c>
      <c r="E442" s="4" t="str">
        <f>TEXT(Data!B442,"MMM-YYYY")</f>
        <v>Mar-2024</v>
      </c>
      <c r="F442" s="4" t="str">
        <f t="shared" si="44"/>
        <v>Q2-2023</v>
      </c>
      <c r="G442" t="s">
        <v>45</v>
      </c>
      <c r="H442" t="s">
        <v>116</v>
      </c>
      <c r="I442" t="s">
        <v>338</v>
      </c>
      <c r="J442" t="s">
        <v>39</v>
      </c>
      <c r="K442" t="s">
        <v>55</v>
      </c>
      <c r="L442" t="s">
        <v>110</v>
      </c>
      <c r="M442" t="s">
        <v>30</v>
      </c>
      <c r="N442" t="s">
        <v>982</v>
      </c>
      <c r="O442" s="4">
        <v>979.59</v>
      </c>
      <c r="P442" s="8" t="str">
        <f t="shared" si="45"/>
        <v>High</v>
      </c>
      <c r="Q442" s="4">
        <v>2210.94</v>
      </c>
      <c r="R442" s="4">
        <v>0.15</v>
      </c>
      <c r="S442" s="4">
        <v>11</v>
      </c>
      <c r="T442" s="4">
        <f t="shared" si="42"/>
        <v>5497.3325000000004</v>
      </c>
      <c r="U442">
        <f t="shared" si="43"/>
        <v>10775.49</v>
      </c>
      <c r="V442" s="4">
        <f t="shared" si="46"/>
        <v>-5278.1574999999993</v>
      </c>
      <c r="W442" s="4">
        <f t="shared" si="47"/>
        <v>-0.96013066337173514</v>
      </c>
    </row>
    <row r="443" spans="1:23" x14ac:dyDescent="0.3">
      <c r="A443" t="s">
        <v>983</v>
      </c>
      <c r="B443" s="7">
        <v>45374</v>
      </c>
      <c r="C443" s="2">
        <v>45377</v>
      </c>
      <c r="D443" s="4">
        <f t="shared" si="48"/>
        <v>3</v>
      </c>
      <c r="E443" s="4" t="str">
        <f>TEXT(Data!B443,"MMM-YYYY")</f>
        <v>Sept-2023</v>
      </c>
      <c r="F443" s="4" t="str">
        <f t="shared" si="44"/>
        <v>Q1-2024</v>
      </c>
      <c r="G443" t="s">
        <v>45</v>
      </c>
      <c r="H443" t="s">
        <v>60</v>
      </c>
      <c r="I443" t="s">
        <v>61</v>
      </c>
      <c r="J443" t="s">
        <v>27</v>
      </c>
      <c r="K443" t="s">
        <v>98</v>
      </c>
      <c r="L443" t="s">
        <v>41</v>
      </c>
      <c r="M443" t="s">
        <v>42</v>
      </c>
      <c r="N443" t="s">
        <v>984</v>
      </c>
      <c r="O443" s="4">
        <v>382.21</v>
      </c>
      <c r="P443" s="8" t="str">
        <f t="shared" si="45"/>
        <v>High</v>
      </c>
      <c r="Q443" s="4">
        <v>571.89</v>
      </c>
      <c r="R443" s="4">
        <v>0.14799999999999999</v>
      </c>
      <c r="S443" s="4">
        <v>26</v>
      </c>
      <c r="T443" s="4">
        <f t="shared" si="42"/>
        <v>48582.215760000006</v>
      </c>
      <c r="U443">
        <f t="shared" si="43"/>
        <v>9937.4599999999991</v>
      </c>
      <c r="V443" s="4">
        <f t="shared" si="46"/>
        <v>38644.755760000007</v>
      </c>
      <c r="W443" s="4">
        <f t="shared" si="47"/>
        <v>0.79545066348781124</v>
      </c>
    </row>
    <row r="444" spans="1:23" x14ac:dyDescent="0.3">
      <c r="A444" t="s">
        <v>985</v>
      </c>
      <c r="B444" s="7">
        <v>45189</v>
      </c>
      <c r="C444" s="2">
        <v>45197</v>
      </c>
      <c r="D444" s="4">
        <f t="shared" si="48"/>
        <v>8</v>
      </c>
      <c r="E444" s="4" t="str">
        <f>TEXT(Data!B444,"MMM-YYYY")</f>
        <v>Aug-2024</v>
      </c>
      <c r="F444" s="4" t="str">
        <f t="shared" si="44"/>
        <v>Q3-2023</v>
      </c>
      <c r="G444" t="s">
        <v>45</v>
      </c>
      <c r="H444" t="s">
        <v>60</v>
      </c>
      <c r="I444" t="s">
        <v>1364</v>
      </c>
      <c r="J444" t="s">
        <v>19</v>
      </c>
      <c r="K444" t="s">
        <v>1364</v>
      </c>
      <c r="L444" t="s">
        <v>56</v>
      </c>
      <c r="M444" t="s">
        <v>81</v>
      </c>
      <c r="N444" t="s">
        <v>986</v>
      </c>
      <c r="O444" s="4">
        <v>1362.06</v>
      </c>
      <c r="P444" s="8" t="str">
        <f t="shared" si="45"/>
        <v>High</v>
      </c>
      <c r="Q444" s="4">
        <v>3398.37</v>
      </c>
      <c r="R444" s="4">
        <v>0.157</v>
      </c>
      <c r="S444" s="4">
        <v>11</v>
      </c>
      <c r="T444" s="4">
        <f t="shared" si="42"/>
        <v>20287.469400000002</v>
      </c>
      <c r="U444">
        <f t="shared" si="43"/>
        <v>14982.66</v>
      </c>
      <c r="V444" s="4">
        <f t="shared" si="46"/>
        <v>5304.8094000000019</v>
      </c>
      <c r="W444" s="4">
        <f t="shared" si="47"/>
        <v>0.26148206537775487</v>
      </c>
    </row>
    <row r="445" spans="1:23" x14ac:dyDescent="0.3">
      <c r="A445" t="s">
        <v>987</v>
      </c>
      <c r="B445" s="7">
        <v>45526</v>
      </c>
      <c r="C445" s="2">
        <v>45539</v>
      </c>
      <c r="D445" s="4">
        <f t="shared" si="48"/>
        <v>13</v>
      </c>
      <c r="E445" s="4" t="str">
        <f>TEXT(Data!B445,"MMM-YYYY")</f>
        <v>Sept-2024</v>
      </c>
      <c r="F445" s="4" t="str">
        <f t="shared" si="44"/>
        <v>Q3-2024</v>
      </c>
      <c r="G445" t="s">
        <v>78</v>
      </c>
      <c r="H445" t="s">
        <v>79</v>
      </c>
      <c r="I445" t="s">
        <v>335</v>
      </c>
      <c r="J445" t="s">
        <v>39</v>
      </c>
      <c r="K445" t="s">
        <v>20</v>
      </c>
      <c r="L445" t="s">
        <v>49</v>
      </c>
      <c r="M445" t="s">
        <v>30</v>
      </c>
      <c r="N445" t="s">
        <v>988</v>
      </c>
      <c r="O445" s="4">
        <v>90.04</v>
      </c>
      <c r="P445" s="8" t="str">
        <f t="shared" si="45"/>
        <v>Medium</v>
      </c>
      <c r="Q445" s="4">
        <v>194.62</v>
      </c>
      <c r="R445" s="4">
        <v>4.2999999999999997E-2</v>
      </c>
      <c r="S445" s="4">
        <v>32</v>
      </c>
      <c r="T445" s="4">
        <f t="shared" si="42"/>
        <v>30688.61664</v>
      </c>
      <c r="U445">
        <f t="shared" si="43"/>
        <v>2881.28</v>
      </c>
      <c r="V445" s="4">
        <f t="shared" si="46"/>
        <v>27807.336640000001</v>
      </c>
      <c r="W445" s="4">
        <f t="shared" si="47"/>
        <v>0.90611241836673417</v>
      </c>
    </row>
    <row r="446" spans="1:23" x14ac:dyDescent="0.3">
      <c r="A446" t="s">
        <v>989</v>
      </c>
      <c r="B446" s="7">
        <v>45560</v>
      </c>
      <c r="C446" s="2">
        <v>45568</v>
      </c>
      <c r="D446" s="4">
        <f t="shared" si="48"/>
        <v>8</v>
      </c>
      <c r="E446" s="4" t="str">
        <f>TEXT(Data!B446,"MMM-YYYY")</f>
        <v>Jun-2023</v>
      </c>
      <c r="F446" s="4" t="str">
        <f t="shared" si="44"/>
        <v>Q3-2024</v>
      </c>
      <c r="G446" t="s">
        <v>52</v>
      </c>
      <c r="H446" t="s">
        <v>53</v>
      </c>
      <c r="I446" t="s">
        <v>54</v>
      </c>
      <c r="J446" t="s">
        <v>48</v>
      </c>
      <c r="K446" t="s">
        <v>28</v>
      </c>
      <c r="L446" t="s">
        <v>63</v>
      </c>
      <c r="M446" t="s">
        <v>30</v>
      </c>
      <c r="N446" t="s">
        <v>990</v>
      </c>
      <c r="O446" s="4">
        <v>558.19000000000005</v>
      </c>
      <c r="P446" s="8" t="str">
        <f t="shared" si="45"/>
        <v>High</v>
      </c>
      <c r="Q446" s="4">
        <v>1031.6400000000001</v>
      </c>
      <c r="R446" s="4">
        <v>0</v>
      </c>
      <c r="S446" s="4">
        <v>21</v>
      </c>
      <c r="T446" s="4">
        <f t="shared" si="42"/>
        <v>19189.38</v>
      </c>
      <c r="U446">
        <f t="shared" si="43"/>
        <v>11721.990000000002</v>
      </c>
      <c r="V446" s="4">
        <f t="shared" si="46"/>
        <v>7467.3899999999994</v>
      </c>
      <c r="W446" s="4">
        <f t="shared" si="47"/>
        <v>0.3891418065617544</v>
      </c>
    </row>
    <row r="447" spans="1:23" x14ac:dyDescent="0.3">
      <c r="A447" t="s">
        <v>991</v>
      </c>
      <c r="B447" s="7">
        <v>45090</v>
      </c>
      <c r="C447" s="2">
        <v>45101</v>
      </c>
      <c r="D447" s="4">
        <f t="shared" si="48"/>
        <v>11</v>
      </c>
      <c r="E447" s="4" t="str">
        <f>TEXT(Data!B447,"MMM-YYYY")</f>
        <v>Dec-2023</v>
      </c>
      <c r="F447" s="4" t="str">
        <f t="shared" si="44"/>
        <v>Q2-2023</v>
      </c>
      <c r="G447" t="s">
        <v>52</v>
      </c>
      <c r="H447" t="s">
        <v>53</v>
      </c>
      <c r="I447" t="s">
        <v>54</v>
      </c>
      <c r="J447" t="s">
        <v>19</v>
      </c>
      <c r="K447" t="s">
        <v>28</v>
      </c>
      <c r="L447" t="s">
        <v>21</v>
      </c>
      <c r="M447" t="s">
        <v>30</v>
      </c>
      <c r="N447" t="s">
        <v>992</v>
      </c>
      <c r="O447" s="4">
        <v>247.07</v>
      </c>
      <c r="P447" s="8" t="str">
        <f t="shared" si="45"/>
        <v>High</v>
      </c>
      <c r="Q447" s="4">
        <v>495.19</v>
      </c>
      <c r="R447" s="4">
        <v>2.8000000000000001E-2</v>
      </c>
      <c r="S447" s="4">
        <v>4</v>
      </c>
      <c r="T447" s="4">
        <f t="shared" si="42"/>
        <v>7167.5668799999994</v>
      </c>
      <c r="U447">
        <f t="shared" si="43"/>
        <v>988.28</v>
      </c>
      <c r="V447" s="4">
        <f t="shared" si="46"/>
        <v>6179.2868799999997</v>
      </c>
      <c r="W447" s="4">
        <f t="shared" si="47"/>
        <v>0.86211778466167588</v>
      </c>
    </row>
    <row r="448" spans="1:23" x14ac:dyDescent="0.3">
      <c r="A448" t="s">
        <v>993</v>
      </c>
      <c r="B448" s="7">
        <v>45284</v>
      </c>
      <c r="C448" s="2">
        <v>45304</v>
      </c>
      <c r="D448" s="4">
        <f t="shared" si="48"/>
        <v>20</v>
      </c>
      <c r="E448" s="4" t="str">
        <f>TEXT(Data!B448,"MMM-YYYY")</f>
        <v>Mar-2025</v>
      </c>
      <c r="F448" s="4" t="str">
        <f t="shared" si="44"/>
        <v>Q4-2023</v>
      </c>
      <c r="G448" t="s">
        <v>45</v>
      </c>
      <c r="H448" t="s">
        <v>46</v>
      </c>
      <c r="I448" t="s">
        <v>231</v>
      </c>
      <c r="J448" t="s">
        <v>27</v>
      </c>
      <c r="K448" t="s">
        <v>98</v>
      </c>
      <c r="L448" t="s">
        <v>56</v>
      </c>
      <c r="M448" t="s">
        <v>57</v>
      </c>
      <c r="N448" t="s">
        <v>994</v>
      </c>
      <c r="O448" s="4">
        <v>625.37</v>
      </c>
      <c r="P448" s="8" t="str">
        <f t="shared" si="45"/>
        <v>High</v>
      </c>
      <c r="Q448" s="4">
        <v>1319.04</v>
      </c>
      <c r="R448" s="4">
        <v>7.3999999999999996E-2</v>
      </c>
      <c r="S448" s="4">
        <v>8</v>
      </c>
      <c r="T448" s="4">
        <f t="shared" si="42"/>
        <v>10249.7088</v>
      </c>
      <c r="U448">
        <f t="shared" si="43"/>
        <v>5002.96</v>
      </c>
      <c r="V448" s="4">
        <f t="shared" si="46"/>
        <v>5246.7488000000003</v>
      </c>
      <c r="W448" s="4">
        <f t="shared" si="47"/>
        <v>0.51189247444766428</v>
      </c>
    </row>
    <row r="449" spans="1:23" x14ac:dyDescent="0.3">
      <c r="A449" t="s">
        <v>995</v>
      </c>
      <c r="B449" s="7">
        <v>45746</v>
      </c>
      <c r="C449" s="2">
        <v>45776</v>
      </c>
      <c r="D449" s="4">
        <f t="shared" si="48"/>
        <v>30</v>
      </c>
      <c r="E449" s="4" t="str">
        <f>TEXT(Data!B449,"MMM-YYYY")</f>
        <v>Jun-2024</v>
      </c>
      <c r="F449" s="4" t="str">
        <f t="shared" si="44"/>
        <v>Q1-2025</v>
      </c>
      <c r="G449" t="s">
        <v>16</v>
      </c>
      <c r="H449" t="s">
        <v>148</v>
      </c>
      <c r="I449" t="s">
        <v>172</v>
      </c>
      <c r="J449" t="s">
        <v>48</v>
      </c>
      <c r="K449" t="s">
        <v>40</v>
      </c>
      <c r="L449" t="s">
        <v>29</v>
      </c>
      <c r="M449" t="s">
        <v>64</v>
      </c>
      <c r="N449" t="s">
        <v>996</v>
      </c>
      <c r="O449" s="4">
        <v>194.6</v>
      </c>
      <c r="P449" s="8" t="str">
        <f t="shared" si="45"/>
        <v>High</v>
      </c>
      <c r="Q449" s="4">
        <v>314.87</v>
      </c>
      <c r="R449" s="4">
        <v>0.29299999999999998</v>
      </c>
      <c r="S449" s="4">
        <v>25</v>
      </c>
      <c r="T449" s="4">
        <f t="shared" si="42"/>
        <v>28077.267750000003</v>
      </c>
      <c r="U449">
        <f t="shared" si="43"/>
        <v>4865</v>
      </c>
      <c r="V449" s="4">
        <f t="shared" si="46"/>
        <v>23212.267750000003</v>
      </c>
      <c r="W449" s="4">
        <f t="shared" si="47"/>
        <v>0.82672815448718295</v>
      </c>
    </row>
    <row r="450" spans="1:23" x14ac:dyDescent="0.3">
      <c r="A450" t="s">
        <v>997</v>
      </c>
      <c r="B450" s="7">
        <v>45446</v>
      </c>
      <c r="C450" s="2">
        <v>45467</v>
      </c>
      <c r="D450" s="4">
        <f t="shared" si="48"/>
        <v>21</v>
      </c>
      <c r="E450" s="4" t="str">
        <f>TEXT(Data!B450,"MMM-YYYY")</f>
        <v>Jun-2024</v>
      </c>
      <c r="F450" s="4" t="str">
        <f t="shared" si="44"/>
        <v>Q2-2024</v>
      </c>
      <c r="G450" t="s">
        <v>52</v>
      </c>
      <c r="H450" t="s">
        <v>53</v>
      </c>
      <c r="I450" t="s">
        <v>54</v>
      </c>
      <c r="J450" t="s">
        <v>62</v>
      </c>
      <c r="K450" t="s">
        <v>98</v>
      </c>
      <c r="L450" t="s">
        <v>41</v>
      </c>
      <c r="M450" t="s">
        <v>64</v>
      </c>
      <c r="N450" t="s">
        <v>998</v>
      </c>
      <c r="O450" s="4">
        <v>1205.5</v>
      </c>
      <c r="P450" s="8" t="str">
        <f t="shared" si="45"/>
        <v>High</v>
      </c>
      <c r="Q450" s="4">
        <v>2210.17</v>
      </c>
      <c r="R450" s="4">
        <v>0.104</v>
      </c>
      <c r="S450" s="4">
        <v>23</v>
      </c>
      <c r="T450" s="4">
        <f t="shared" ref="T450:T513" si="49">(Q476*S450)*(1-R450)</f>
        <v>27698.182399999998</v>
      </c>
      <c r="U450">
        <f t="shared" ref="U450:U513" si="50">(O450*S450)</f>
        <v>27726.5</v>
      </c>
      <c r="V450" s="4">
        <f t="shared" si="46"/>
        <v>-28.31760000000213</v>
      </c>
      <c r="W450" s="4">
        <f t="shared" si="47"/>
        <v>-1.0223631136172362E-3</v>
      </c>
    </row>
    <row r="451" spans="1:23" x14ac:dyDescent="0.3">
      <c r="A451" t="s">
        <v>999</v>
      </c>
      <c r="B451" s="7">
        <v>45454</v>
      </c>
      <c r="C451" s="2">
        <v>45482</v>
      </c>
      <c r="D451" s="4">
        <f t="shared" si="48"/>
        <v>28</v>
      </c>
      <c r="E451" s="4" t="str">
        <f>TEXT(Data!B451,"MMM-YYYY")</f>
        <v>Jul-2023</v>
      </c>
      <c r="F451" s="4" t="str">
        <f t="shared" ref="F451:F514" si="51">"Q"&amp;ROUNDUP(MONTH(B451)/3,0)&amp;"-"&amp;YEAR(B451)</f>
        <v>Q2-2024</v>
      </c>
      <c r="G451" t="s">
        <v>16</v>
      </c>
      <c r="H451" t="s">
        <v>25</v>
      </c>
      <c r="I451" t="s">
        <v>26</v>
      </c>
      <c r="J451" t="s">
        <v>19</v>
      </c>
      <c r="K451" t="s">
        <v>40</v>
      </c>
      <c r="L451" t="s">
        <v>34</v>
      </c>
      <c r="M451" t="s">
        <v>42</v>
      </c>
      <c r="N451" t="s">
        <v>1000</v>
      </c>
      <c r="O451" s="4">
        <v>895.54</v>
      </c>
      <c r="P451" s="8" t="str">
        <f t="shared" ref="P451:P514" si="52">IF(Q451&lt;50, "Low", IF(Q451&lt;200, "Medium", "High"))</f>
        <v>High</v>
      </c>
      <c r="Q451" s="4">
        <v>1045</v>
      </c>
      <c r="R451" s="4">
        <v>0.216</v>
      </c>
      <c r="S451" s="4">
        <v>15</v>
      </c>
      <c r="T451" s="4">
        <f t="shared" si="49"/>
        <v>15173.8104</v>
      </c>
      <c r="U451">
        <f t="shared" si="50"/>
        <v>13433.099999999999</v>
      </c>
      <c r="V451" s="4">
        <f t="shared" ref="V451:V514" si="53">(T451-U451)</f>
        <v>1740.7104000000018</v>
      </c>
      <c r="W451" s="4">
        <f t="shared" ref="W451:W514" si="54">IF(T451=0, 0, V451/T451)</f>
        <v>0.11471808030499721</v>
      </c>
    </row>
    <row r="452" spans="1:23" x14ac:dyDescent="0.3">
      <c r="A452" t="s">
        <v>1001</v>
      </c>
      <c r="B452" s="7">
        <v>45129</v>
      </c>
      <c r="C452" s="2">
        <v>45128</v>
      </c>
      <c r="D452" s="4">
        <f>DATEDIF(C452,B452, "MD")</f>
        <v>1</v>
      </c>
      <c r="E452" s="4" t="str">
        <f>TEXT(Data!B452,"MMM-YYYY")</f>
        <v>Jan-2023</v>
      </c>
      <c r="F452" s="4" t="str">
        <f t="shared" si="51"/>
        <v>Q3-2023</v>
      </c>
      <c r="G452" t="s">
        <v>45</v>
      </c>
      <c r="H452" t="s">
        <v>60</v>
      </c>
      <c r="I452" t="s">
        <v>141</v>
      </c>
      <c r="J452" t="s">
        <v>62</v>
      </c>
      <c r="K452" t="s">
        <v>55</v>
      </c>
      <c r="L452" t="s">
        <v>63</v>
      </c>
      <c r="M452" t="s">
        <v>30</v>
      </c>
      <c r="N452" t="s">
        <v>1002</v>
      </c>
      <c r="O452" s="4">
        <v>946.99</v>
      </c>
      <c r="P452" s="8" t="str">
        <f t="shared" si="52"/>
        <v>High</v>
      </c>
      <c r="Q452" s="4">
        <v>2132.19</v>
      </c>
      <c r="R452" s="4">
        <v>0.16500000000000001</v>
      </c>
      <c r="S452" s="4">
        <v>7</v>
      </c>
      <c r="T452" s="4">
        <f t="shared" si="49"/>
        <v>1295.1351000000002</v>
      </c>
      <c r="U452">
        <f t="shared" si="50"/>
        <v>6628.93</v>
      </c>
      <c r="V452" s="4">
        <f t="shared" si="53"/>
        <v>-5333.7948999999999</v>
      </c>
      <c r="W452" s="4">
        <f t="shared" si="54"/>
        <v>-4.1183308984522151</v>
      </c>
    </row>
    <row r="453" spans="1:23" x14ac:dyDescent="0.3">
      <c r="A453" t="s">
        <v>1003</v>
      </c>
      <c r="B453" s="7">
        <v>44945</v>
      </c>
      <c r="C453" s="2">
        <v>44960</v>
      </c>
      <c r="D453" s="4">
        <f t="shared" ref="D453:D516" si="55">DATEDIF(B453,C453, "MD")</f>
        <v>15</v>
      </c>
      <c r="E453" s="4" t="str">
        <f>TEXT(Data!B453,"MMM-YYYY")</f>
        <v>May-2024</v>
      </c>
      <c r="F453" s="4" t="str">
        <f t="shared" si="51"/>
        <v>Q1-2023</v>
      </c>
      <c r="G453" t="s">
        <v>78</v>
      </c>
      <c r="H453" t="s">
        <v>108</v>
      </c>
      <c r="I453" t="s">
        <v>152</v>
      </c>
      <c r="J453" t="s">
        <v>105</v>
      </c>
      <c r="K453" t="s">
        <v>55</v>
      </c>
      <c r="L453" t="s">
        <v>41</v>
      </c>
      <c r="M453" t="s">
        <v>81</v>
      </c>
      <c r="N453" t="s">
        <v>1004</v>
      </c>
      <c r="O453" s="4">
        <v>873.06</v>
      </c>
      <c r="P453" s="8" t="str">
        <f t="shared" si="52"/>
        <v>High</v>
      </c>
      <c r="Q453" s="4">
        <v>2101.5500000000002</v>
      </c>
      <c r="R453" s="4">
        <v>6.6000000000000003E-2</v>
      </c>
      <c r="S453" s="4">
        <v>10</v>
      </c>
      <c r="T453" s="4">
        <f t="shared" si="49"/>
        <v>3365.5755999999997</v>
      </c>
      <c r="U453">
        <f t="shared" si="50"/>
        <v>8730.5999999999985</v>
      </c>
      <c r="V453" s="4">
        <f t="shared" si="53"/>
        <v>-5365.0243999999984</v>
      </c>
      <c r="W453" s="4">
        <f t="shared" si="54"/>
        <v>-1.5940882148064062</v>
      </c>
    </row>
    <row r="454" spans="1:23" x14ac:dyDescent="0.3">
      <c r="A454" t="s">
        <v>1005</v>
      </c>
      <c r="B454" s="7">
        <v>45413</v>
      </c>
      <c r="C454" s="2">
        <v>45428</v>
      </c>
      <c r="D454" s="4">
        <f t="shared" si="55"/>
        <v>15</v>
      </c>
      <c r="E454" s="4" t="str">
        <f>TEXT(Data!B454,"MMM-YYYY")</f>
        <v>Jun-2025</v>
      </c>
      <c r="F454" s="4" t="str">
        <f t="shared" si="51"/>
        <v>Q2-2024</v>
      </c>
      <c r="G454" t="s">
        <v>45</v>
      </c>
      <c r="H454" t="s">
        <v>60</v>
      </c>
      <c r="I454" t="s">
        <v>61</v>
      </c>
      <c r="J454" t="s">
        <v>62</v>
      </c>
      <c r="K454" t="s">
        <v>20</v>
      </c>
      <c r="L454" t="s">
        <v>49</v>
      </c>
      <c r="M454" t="s">
        <v>22</v>
      </c>
      <c r="N454" t="s">
        <v>1006</v>
      </c>
      <c r="O454" s="4">
        <v>901.19</v>
      </c>
      <c r="P454" s="8" t="str">
        <f t="shared" si="52"/>
        <v>High</v>
      </c>
      <c r="Q454" s="4">
        <v>2125.44</v>
      </c>
      <c r="R454" s="4">
        <v>7.0999999999999994E-2</v>
      </c>
      <c r="S454" s="4">
        <v>12</v>
      </c>
      <c r="T454" s="4">
        <f t="shared" si="49"/>
        <v>28380.689880000002</v>
      </c>
      <c r="U454">
        <f t="shared" si="50"/>
        <v>10814.28</v>
      </c>
      <c r="V454" s="4">
        <f t="shared" si="53"/>
        <v>17566.409879999999</v>
      </c>
      <c r="W454" s="4">
        <f t="shared" si="54"/>
        <v>0.61895640853956568</v>
      </c>
    </row>
    <row r="455" spans="1:23" x14ac:dyDescent="0.3">
      <c r="A455" t="s">
        <v>1007</v>
      </c>
      <c r="B455" s="7">
        <v>45817</v>
      </c>
      <c r="C455" s="2">
        <v>45832</v>
      </c>
      <c r="D455" s="4">
        <f t="shared" si="55"/>
        <v>15</v>
      </c>
      <c r="E455" s="4" t="str">
        <f>TEXT(Data!B455,"MMM-YYYY")</f>
        <v>May-2023</v>
      </c>
      <c r="F455" s="4" t="str">
        <f t="shared" si="51"/>
        <v>Q2-2025</v>
      </c>
      <c r="G455" t="s">
        <v>45</v>
      </c>
      <c r="H455" t="s">
        <v>46</v>
      </c>
      <c r="I455" t="s">
        <v>231</v>
      </c>
      <c r="J455" t="s">
        <v>19</v>
      </c>
      <c r="K455" t="s">
        <v>98</v>
      </c>
      <c r="L455" t="s">
        <v>56</v>
      </c>
      <c r="M455" t="s">
        <v>42</v>
      </c>
      <c r="N455" t="s">
        <v>1008</v>
      </c>
      <c r="O455" s="4">
        <v>400.39</v>
      </c>
      <c r="P455" s="8" t="str">
        <f t="shared" si="52"/>
        <v>High</v>
      </c>
      <c r="Q455" s="4">
        <v>712.75</v>
      </c>
      <c r="R455" s="4">
        <v>0.115</v>
      </c>
      <c r="S455" s="4">
        <v>19</v>
      </c>
      <c r="T455" s="4">
        <f t="shared" si="49"/>
        <v>11761.58805</v>
      </c>
      <c r="U455">
        <f t="shared" si="50"/>
        <v>7607.41</v>
      </c>
      <c r="V455" s="4">
        <f t="shared" si="53"/>
        <v>4154.1780500000004</v>
      </c>
      <c r="W455" s="4">
        <f t="shared" si="54"/>
        <v>0.35319873747831187</v>
      </c>
    </row>
    <row r="456" spans="1:23" x14ac:dyDescent="0.3">
      <c r="A456" t="s">
        <v>1009</v>
      </c>
      <c r="B456" s="7">
        <v>45070</v>
      </c>
      <c r="C456" s="2">
        <v>45098</v>
      </c>
      <c r="D456" s="4">
        <f t="shared" si="55"/>
        <v>28</v>
      </c>
      <c r="E456" s="4" t="str">
        <f>TEXT(Data!B456,"MMM-YYYY")</f>
        <v>Dec-2024</v>
      </c>
      <c r="F456" s="4" t="str">
        <f t="shared" si="51"/>
        <v>Q2-2023</v>
      </c>
      <c r="G456" t="s">
        <v>52</v>
      </c>
      <c r="H456" t="s">
        <v>122</v>
      </c>
      <c r="I456" t="s">
        <v>326</v>
      </c>
      <c r="J456" t="s">
        <v>62</v>
      </c>
      <c r="K456" t="s">
        <v>40</v>
      </c>
      <c r="L456" t="s">
        <v>41</v>
      </c>
      <c r="M456" t="s">
        <v>64</v>
      </c>
      <c r="N456" t="s">
        <v>1010</v>
      </c>
      <c r="O456" s="4">
        <v>813.97</v>
      </c>
      <c r="P456" s="8" t="str">
        <f t="shared" si="52"/>
        <v>High</v>
      </c>
      <c r="Q456" s="4">
        <v>1568.83</v>
      </c>
      <c r="R456" s="4">
        <v>1.7000000000000001E-2</v>
      </c>
      <c r="S456" s="4">
        <v>15</v>
      </c>
      <c r="T456" s="4">
        <f t="shared" si="49"/>
        <v>40381.984049999999</v>
      </c>
      <c r="U456">
        <f t="shared" si="50"/>
        <v>12209.550000000001</v>
      </c>
      <c r="V456" s="4">
        <f t="shared" si="53"/>
        <v>28172.434049999996</v>
      </c>
      <c r="W456" s="4">
        <f t="shared" si="54"/>
        <v>0.69764858544636066</v>
      </c>
    </row>
    <row r="457" spans="1:23" x14ac:dyDescent="0.3">
      <c r="A457" t="s">
        <v>1011</v>
      </c>
      <c r="B457" s="7">
        <v>45653</v>
      </c>
      <c r="C457" s="2">
        <v>45655</v>
      </c>
      <c r="D457" s="4">
        <f t="shared" si="55"/>
        <v>2</v>
      </c>
      <c r="E457" s="4" t="str">
        <f>TEXT(Data!B457,"MMM-YYYY")</f>
        <v>Dec-2023</v>
      </c>
      <c r="F457" s="4" t="str">
        <f t="shared" si="51"/>
        <v>Q4-2024</v>
      </c>
      <c r="G457" t="s">
        <v>52</v>
      </c>
      <c r="H457" t="s">
        <v>53</v>
      </c>
      <c r="I457" t="s">
        <v>179</v>
      </c>
      <c r="J457" t="s">
        <v>105</v>
      </c>
      <c r="K457" t="s">
        <v>40</v>
      </c>
      <c r="L457" t="s">
        <v>21</v>
      </c>
      <c r="M457" t="s">
        <v>81</v>
      </c>
      <c r="N457" t="s">
        <v>1012</v>
      </c>
      <c r="O457" s="4">
        <v>1146.72</v>
      </c>
      <c r="P457" s="8" t="str">
        <f t="shared" si="52"/>
        <v>High</v>
      </c>
      <c r="Q457" s="4">
        <v>2074.34</v>
      </c>
      <c r="R457" s="4">
        <v>0.111</v>
      </c>
      <c r="S457" s="4">
        <v>8</v>
      </c>
      <c r="T457" s="4">
        <f t="shared" si="49"/>
        <v>674.07536000000005</v>
      </c>
      <c r="U457">
        <f t="shared" si="50"/>
        <v>9173.76</v>
      </c>
      <c r="V457" s="4">
        <f t="shared" si="53"/>
        <v>-8499.6846399999995</v>
      </c>
      <c r="W457" s="4">
        <f t="shared" si="54"/>
        <v>-12.60939821327989</v>
      </c>
    </row>
    <row r="458" spans="1:23" x14ac:dyDescent="0.3">
      <c r="A458" t="s">
        <v>1013</v>
      </c>
      <c r="B458" s="7">
        <v>45265</v>
      </c>
      <c r="C458" s="2">
        <v>45272</v>
      </c>
      <c r="D458" s="4">
        <f t="shared" si="55"/>
        <v>7</v>
      </c>
      <c r="E458" s="4" t="str">
        <f>TEXT(Data!B458,"MMM-YYYY")</f>
        <v>May-2023</v>
      </c>
      <c r="F458" s="4" t="str">
        <f t="shared" si="51"/>
        <v>Q4-2023</v>
      </c>
      <c r="G458" t="s">
        <v>52</v>
      </c>
      <c r="H458" t="s">
        <v>73</v>
      </c>
      <c r="I458" t="s">
        <v>87</v>
      </c>
      <c r="J458" t="s">
        <v>19</v>
      </c>
      <c r="K458" t="s">
        <v>98</v>
      </c>
      <c r="L458" t="s">
        <v>84</v>
      </c>
      <c r="M458" t="s">
        <v>42</v>
      </c>
      <c r="N458" t="s">
        <v>1014</v>
      </c>
      <c r="O458" s="4">
        <v>307.43</v>
      </c>
      <c r="P458" s="8" t="str">
        <f t="shared" si="52"/>
        <v>High</v>
      </c>
      <c r="Q458" s="4">
        <v>495.19</v>
      </c>
      <c r="R458" s="4">
        <v>0</v>
      </c>
      <c r="S458" s="4">
        <v>42</v>
      </c>
      <c r="T458" s="4">
        <f t="shared" si="49"/>
        <v>116648.7</v>
      </c>
      <c r="U458">
        <f t="shared" si="50"/>
        <v>12912.06</v>
      </c>
      <c r="V458" s="4">
        <f t="shared" si="53"/>
        <v>103736.64</v>
      </c>
      <c r="W458" s="4">
        <f t="shared" si="54"/>
        <v>0.88930815345563219</v>
      </c>
    </row>
    <row r="459" spans="1:23" x14ac:dyDescent="0.3">
      <c r="A459" t="s">
        <v>1015</v>
      </c>
      <c r="B459" s="7">
        <v>45048</v>
      </c>
      <c r="C459" s="2">
        <v>45065</v>
      </c>
      <c r="D459" s="4">
        <f t="shared" si="55"/>
        <v>17</v>
      </c>
      <c r="E459" s="4" t="str">
        <f>TEXT(Data!B459,"MMM-YYYY")</f>
        <v>Nov-2023</v>
      </c>
      <c r="F459" s="4" t="str">
        <f t="shared" si="51"/>
        <v>Q2-2023</v>
      </c>
      <c r="G459" t="s">
        <v>45</v>
      </c>
      <c r="H459" t="s">
        <v>116</v>
      </c>
      <c r="I459" t="s">
        <v>162</v>
      </c>
      <c r="J459" t="s">
        <v>39</v>
      </c>
      <c r="K459" t="s">
        <v>98</v>
      </c>
      <c r="L459" t="s">
        <v>29</v>
      </c>
      <c r="M459" t="s">
        <v>64</v>
      </c>
      <c r="N459" t="s">
        <v>1016</v>
      </c>
      <c r="O459" s="4">
        <v>714.28</v>
      </c>
      <c r="P459" s="8" t="str">
        <f t="shared" si="52"/>
        <v>High</v>
      </c>
      <c r="Q459" s="4">
        <v>757.59</v>
      </c>
      <c r="R459" s="4">
        <v>0.13600000000000001</v>
      </c>
      <c r="S459" s="4">
        <v>12</v>
      </c>
      <c r="T459" s="4">
        <f t="shared" si="49"/>
        <v>5102.9222399999999</v>
      </c>
      <c r="U459">
        <f t="shared" si="50"/>
        <v>8571.36</v>
      </c>
      <c r="V459" s="4">
        <f t="shared" si="53"/>
        <v>-3468.4377600000007</v>
      </c>
      <c r="W459" s="4">
        <f t="shared" si="54"/>
        <v>-0.67969637726637211</v>
      </c>
    </row>
    <row r="460" spans="1:23" x14ac:dyDescent="0.3">
      <c r="A460" t="s">
        <v>1017</v>
      </c>
      <c r="B460" s="7">
        <v>45260</v>
      </c>
      <c r="C460" s="2">
        <v>45270</v>
      </c>
      <c r="D460" s="4">
        <f t="shared" si="55"/>
        <v>10</v>
      </c>
      <c r="E460" s="4" t="str">
        <f>TEXT(Data!B460,"MMM-YYYY")</f>
        <v>May-2024</v>
      </c>
      <c r="F460" s="4" t="str">
        <f t="shared" si="51"/>
        <v>Q4-2023</v>
      </c>
      <c r="G460" t="s">
        <v>78</v>
      </c>
      <c r="H460" t="s">
        <v>79</v>
      </c>
      <c r="I460" t="s">
        <v>159</v>
      </c>
      <c r="J460" t="s">
        <v>62</v>
      </c>
      <c r="K460" t="s">
        <v>98</v>
      </c>
      <c r="L460" t="s">
        <v>84</v>
      </c>
      <c r="M460" t="s">
        <v>57</v>
      </c>
      <c r="N460" t="s">
        <v>1018</v>
      </c>
      <c r="O460" s="4">
        <v>174.74</v>
      </c>
      <c r="P460" s="8" t="str">
        <f t="shared" si="52"/>
        <v>High</v>
      </c>
      <c r="Q460" s="4">
        <v>415.96</v>
      </c>
      <c r="R460" s="4">
        <v>0.125</v>
      </c>
      <c r="S460" s="4">
        <v>21</v>
      </c>
      <c r="T460" s="4">
        <f t="shared" si="49"/>
        <v>35310.318749999999</v>
      </c>
      <c r="U460">
        <f t="shared" si="50"/>
        <v>3669.54</v>
      </c>
      <c r="V460" s="4">
        <f t="shared" si="53"/>
        <v>31640.778749999998</v>
      </c>
      <c r="W460" s="4">
        <f t="shared" si="54"/>
        <v>0.89607740371927391</v>
      </c>
    </row>
    <row r="461" spans="1:23" x14ac:dyDescent="0.3">
      <c r="A461" t="s">
        <v>1019</v>
      </c>
      <c r="B461" s="7">
        <v>45417</v>
      </c>
      <c r="C461" s="2">
        <v>45430</v>
      </c>
      <c r="D461" s="4">
        <f t="shared" si="55"/>
        <v>13</v>
      </c>
      <c r="E461" s="4" t="str">
        <f>TEXT(Data!B461,"MMM-YYYY")</f>
        <v>Jul-2023</v>
      </c>
      <c r="F461" s="4" t="str">
        <f t="shared" si="51"/>
        <v>Q2-2024</v>
      </c>
      <c r="G461" t="s">
        <v>78</v>
      </c>
      <c r="H461" t="s">
        <v>90</v>
      </c>
      <c r="I461" t="s">
        <v>91</v>
      </c>
      <c r="J461" t="s">
        <v>19</v>
      </c>
      <c r="K461" t="s">
        <v>40</v>
      </c>
      <c r="L461" t="s">
        <v>75</v>
      </c>
      <c r="M461" t="s">
        <v>22</v>
      </c>
      <c r="N461" t="s">
        <v>1020</v>
      </c>
      <c r="O461" s="4">
        <v>1264.04</v>
      </c>
      <c r="P461" s="8" t="str">
        <f t="shared" si="52"/>
        <v>High</v>
      </c>
      <c r="Q461" s="4">
        <v>1870.89</v>
      </c>
      <c r="R461" s="4">
        <v>0</v>
      </c>
      <c r="S461" s="4">
        <v>13</v>
      </c>
      <c r="T461" s="4">
        <f t="shared" si="49"/>
        <v>3774.29</v>
      </c>
      <c r="U461">
        <f t="shared" si="50"/>
        <v>16432.52</v>
      </c>
      <c r="V461" s="4">
        <f t="shared" si="53"/>
        <v>-12658.23</v>
      </c>
      <c r="W461" s="4">
        <f t="shared" si="54"/>
        <v>-3.3538042916681019</v>
      </c>
    </row>
    <row r="462" spans="1:23" x14ac:dyDescent="0.3">
      <c r="A462" t="s">
        <v>1021</v>
      </c>
      <c r="B462" s="7">
        <v>45116</v>
      </c>
      <c r="C462" s="2">
        <v>45126</v>
      </c>
      <c r="D462" s="4">
        <f t="shared" si="55"/>
        <v>10</v>
      </c>
      <c r="E462" s="4" t="str">
        <f>TEXT(Data!B462,"MMM-YYYY")</f>
        <v>May-2023</v>
      </c>
      <c r="F462" s="4" t="str">
        <f t="shared" si="51"/>
        <v>Q3-2023</v>
      </c>
      <c r="G462" t="s">
        <v>45</v>
      </c>
      <c r="H462" t="s">
        <v>46</v>
      </c>
      <c r="I462" t="s">
        <v>214</v>
      </c>
      <c r="J462" t="s">
        <v>105</v>
      </c>
      <c r="K462" t="s">
        <v>55</v>
      </c>
      <c r="L462" t="s">
        <v>126</v>
      </c>
      <c r="M462" t="s">
        <v>22</v>
      </c>
      <c r="N462" t="s">
        <v>1022</v>
      </c>
      <c r="O462" s="4">
        <v>141.26</v>
      </c>
      <c r="P462" s="8" t="str">
        <f t="shared" si="52"/>
        <v>High</v>
      </c>
      <c r="Q462" s="4">
        <v>206.88</v>
      </c>
      <c r="R462" s="4">
        <v>0.107</v>
      </c>
      <c r="S462" s="4">
        <v>9</v>
      </c>
      <c r="T462" s="4">
        <f t="shared" si="49"/>
        <v>4845.6680399999996</v>
      </c>
      <c r="U462">
        <f t="shared" si="50"/>
        <v>1271.3399999999999</v>
      </c>
      <c r="V462" s="4">
        <f t="shared" si="53"/>
        <v>3574.3280399999994</v>
      </c>
      <c r="W462" s="4">
        <f t="shared" si="54"/>
        <v>0.737633698902742</v>
      </c>
    </row>
    <row r="463" spans="1:23" x14ac:dyDescent="0.3">
      <c r="A463" t="s">
        <v>1023</v>
      </c>
      <c r="B463" s="7">
        <v>45063</v>
      </c>
      <c r="C463" s="2">
        <v>45092</v>
      </c>
      <c r="D463" s="4">
        <f t="shared" si="55"/>
        <v>29</v>
      </c>
      <c r="E463" s="4" t="str">
        <f>TEXT(Data!B463,"MMM-YYYY")</f>
        <v>Mar-2024</v>
      </c>
      <c r="F463" s="4" t="str">
        <f t="shared" si="51"/>
        <v>Q2-2023</v>
      </c>
      <c r="G463" t="s">
        <v>16</v>
      </c>
      <c r="H463" t="s">
        <v>148</v>
      </c>
      <c r="I463" t="s">
        <v>172</v>
      </c>
      <c r="J463" t="s">
        <v>105</v>
      </c>
      <c r="K463" t="s">
        <v>20</v>
      </c>
      <c r="L463" t="s">
        <v>95</v>
      </c>
      <c r="M463" t="s">
        <v>81</v>
      </c>
      <c r="N463" t="s">
        <v>1024</v>
      </c>
      <c r="O463" s="4">
        <v>40.89</v>
      </c>
      <c r="P463" s="8" t="str">
        <f t="shared" si="52"/>
        <v>Medium</v>
      </c>
      <c r="Q463" s="4">
        <v>62.82</v>
      </c>
      <c r="R463" s="4">
        <v>0.129</v>
      </c>
      <c r="S463" s="4">
        <v>17</v>
      </c>
      <c r="T463" s="4">
        <f t="shared" si="49"/>
        <v>30761.5425</v>
      </c>
      <c r="U463">
        <f t="shared" si="50"/>
        <v>695.13</v>
      </c>
      <c r="V463" s="4">
        <f t="shared" si="53"/>
        <v>30066.412499999999</v>
      </c>
      <c r="W463" s="4">
        <f t="shared" si="54"/>
        <v>0.97740262862306071</v>
      </c>
    </row>
    <row r="464" spans="1:23" x14ac:dyDescent="0.3">
      <c r="A464" t="s">
        <v>1025</v>
      </c>
      <c r="B464" s="7">
        <v>45358</v>
      </c>
      <c r="C464" s="2">
        <v>45385</v>
      </c>
      <c r="D464" s="4">
        <f t="shared" si="55"/>
        <v>27</v>
      </c>
      <c r="E464" s="4" t="str">
        <f>TEXT(Data!B464,"MMM-YYYY")</f>
        <v>Apr-2025</v>
      </c>
      <c r="F464" s="4" t="str">
        <f t="shared" si="51"/>
        <v>Q1-2024</v>
      </c>
      <c r="G464" t="s">
        <v>78</v>
      </c>
      <c r="H464" t="s">
        <v>79</v>
      </c>
      <c r="I464" t="s">
        <v>335</v>
      </c>
      <c r="J464" t="s">
        <v>19</v>
      </c>
      <c r="K464" t="s">
        <v>98</v>
      </c>
      <c r="L464" t="s">
        <v>110</v>
      </c>
      <c r="M464" t="s">
        <v>30</v>
      </c>
      <c r="N464" t="s">
        <v>1026</v>
      </c>
      <c r="O464" s="4">
        <v>738.16</v>
      </c>
      <c r="P464" s="8" t="str">
        <f t="shared" si="52"/>
        <v>High</v>
      </c>
      <c r="Q464" s="4">
        <v>956.49</v>
      </c>
      <c r="R464" s="4">
        <v>0.152</v>
      </c>
      <c r="S464" s="4">
        <v>5</v>
      </c>
      <c r="T464" s="4">
        <f t="shared" si="49"/>
        <v>733.01119999999992</v>
      </c>
      <c r="U464">
        <f t="shared" si="50"/>
        <v>3690.7999999999997</v>
      </c>
      <c r="V464" s="4">
        <f t="shared" si="53"/>
        <v>-2957.7887999999998</v>
      </c>
      <c r="W464" s="4">
        <f t="shared" si="54"/>
        <v>-4.0351208821911593</v>
      </c>
    </row>
    <row r="465" spans="1:23" x14ac:dyDescent="0.3">
      <c r="A465" t="s">
        <v>1027</v>
      </c>
      <c r="B465" s="7">
        <v>45757</v>
      </c>
      <c r="C465" s="2">
        <v>45766</v>
      </c>
      <c r="D465" s="4">
        <f t="shared" si="55"/>
        <v>9</v>
      </c>
      <c r="E465" s="4" t="str">
        <f>TEXT(Data!B465,"MMM-YYYY")</f>
        <v>Jul-2025</v>
      </c>
      <c r="F465" s="4" t="str">
        <f t="shared" si="51"/>
        <v>Q2-2025</v>
      </c>
      <c r="G465" t="s">
        <v>16</v>
      </c>
      <c r="H465" t="s">
        <v>148</v>
      </c>
      <c r="I465" t="s">
        <v>172</v>
      </c>
      <c r="J465" t="s">
        <v>105</v>
      </c>
      <c r="K465" t="s">
        <v>1364</v>
      </c>
      <c r="L465" t="s">
        <v>41</v>
      </c>
      <c r="M465" t="s">
        <v>35</v>
      </c>
      <c r="N465" t="s">
        <v>1028</v>
      </c>
      <c r="O465" s="4">
        <v>113.74</v>
      </c>
      <c r="P465" s="8" t="str">
        <f t="shared" si="52"/>
        <v>Medium</v>
      </c>
      <c r="Q465" s="4">
        <v>165.7</v>
      </c>
      <c r="R465" s="4">
        <v>0.124</v>
      </c>
      <c r="S465" s="4">
        <v>13</v>
      </c>
      <c r="T465" s="4">
        <f t="shared" si="49"/>
        <v>31644.291119999994</v>
      </c>
      <c r="U465">
        <f t="shared" si="50"/>
        <v>1478.62</v>
      </c>
      <c r="V465" s="4">
        <f t="shared" si="53"/>
        <v>30165.671119999995</v>
      </c>
      <c r="W465" s="4">
        <f t="shared" si="54"/>
        <v>0.95327372022988777</v>
      </c>
    </row>
    <row r="466" spans="1:23" x14ac:dyDescent="0.3">
      <c r="A466" t="s">
        <v>1029</v>
      </c>
      <c r="B466" s="7">
        <v>45865</v>
      </c>
      <c r="C466" s="2">
        <v>45884</v>
      </c>
      <c r="D466" s="4">
        <f t="shared" si="55"/>
        <v>19</v>
      </c>
      <c r="E466" s="4" t="str">
        <f>TEXT(Data!B466,"MMM-YYYY")</f>
        <v>Nov-2024</v>
      </c>
      <c r="F466" s="4" t="str">
        <f t="shared" si="51"/>
        <v>Q3-2025</v>
      </c>
      <c r="G466" t="s">
        <v>45</v>
      </c>
      <c r="H466" t="s">
        <v>46</v>
      </c>
      <c r="I466" t="s">
        <v>214</v>
      </c>
      <c r="J466" t="s">
        <v>62</v>
      </c>
      <c r="K466" t="s">
        <v>40</v>
      </c>
      <c r="L466" t="s">
        <v>29</v>
      </c>
      <c r="M466" t="s">
        <v>22</v>
      </c>
      <c r="N466" t="s">
        <v>1030</v>
      </c>
      <c r="O466" s="4">
        <v>275.43</v>
      </c>
      <c r="P466" s="8" t="str">
        <f t="shared" si="52"/>
        <v>High</v>
      </c>
      <c r="Q466" s="4">
        <v>608.36</v>
      </c>
      <c r="R466" s="4">
        <v>0.25700000000000001</v>
      </c>
      <c r="S466" s="4">
        <v>4</v>
      </c>
      <c r="T466" s="4">
        <f t="shared" si="49"/>
        <v>919.74484000000007</v>
      </c>
      <c r="U466">
        <f t="shared" si="50"/>
        <v>1101.72</v>
      </c>
      <c r="V466" s="4">
        <f t="shared" si="53"/>
        <v>-181.97515999999996</v>
      </c>
      <c r="W466" s="4">
        <f t="shared" si="54"/>
        <v>-0.19785396132257718</v>
      </c>
    </row>
    <row r="467" spans="1:23" x14ac:dyDescent="0.3">
      <c r="A467" t="s">
        <v>1031</v>
      </c>
      <c r="B467" s="7">
        <v>45618</v>
      </c>
      <c r="C467" s="2">
        <v>45641</v>
      </c>
      <c r="D467" s="4">
        <f t="shared" si="55"/>
        <v>23</v>
      </c>
      <c r="E467" s="4" t="str">
        <f>TEXT(Data!B467,"MMM-YYYY")</f>
        <v>Jun-2024</v>
      </c>
      <c r="F467" s="4" t="str">
        <f t="shared" si="51"/>
        <v>Q4-2024</v>
      </c>
      <c r="G467" t="s">
        <v>16</v>
      </c>
      <c r="H467" t="s">
        <v>17</v>
      </c>
      <c r="I467" t="s">
        <v>113</v>
      </c>
      <c r="J467" t="s">
        <v>39</v>
      </c>
      <c r="K467" t="s">
        <v>55</v>
      </c>
      <c r="L467" t="s">
        <v>21</v>
      </c>
      <c r="M467" t="s">
        <v>22</v>
      </c>
      <c r="N467" t="s">
        <v>1032</v>
      </c>
      <c r="O467" s="4">
        <v>1335.76</v>
      </c>
      <c r="P467" s="8" t="str">
        <f t="shared" si="52"/>
        <v>High</v>
      </c>
      <c r="Q467" s="4">
        <v>2665.91</v>
      </c>
      <c r="R467" s="4">
        <v>0.21099999999999999</v>
      </c>
      <c r="S467" s="4">
        <v>40</v>
      </c>
      <c r="T467" s="4">
        <f t="shared" si="49"/>
        <v>21031.899600000001</v>
      </c>
      <c r="U467">
        <f t="shared" si="50"/>
        <v>53430.400000000001</v>
      </c>
      <c r="V467" s="4">
        <f t="shared" si="53"/>
        <v>-32398.500400000001</v>
      </c>
      <c r="W467" s="4">
        <f t="shared" si="54"/>
        <v>-1.5404457522229709</v>
      </c>
    </row>
    <row r="468" spans="1:23" x14ac:dyDescent="0.3">
      <c r="A468" t="s">
        <v>1033</v>
      </c>
      <c r="B468" s="7">
        <v>45466</v>
      </c>
      <c r="C468" s="2">
        <v>45471</v>
      </c>
      <c r="D468" s="4">
        <f t="shared" si="55"/>
        <v>5</v>
      </c>
      <c r="E468" s="4" t="str">
        <f>TEXT(Data!B468,"MMM-YYYY")</f>
        <v>Dec-2023</v>
      </c>
      <c r="F468" s="4" t="str">
        <f t="shared" si="51"/>
        <v>Q2-2024</v>
      </c>
      <c r="G468" t="s">
        <v>16</v>
      </c>
      <c r="H468" t="s">
        <v>25</v>
      </c>
      <c r="I468" t="s">
        <v>26</v>
      </c>
      <c r="J468" t="s">
        <v>39</v>
      </c>
      <c r="K468" t="s">
        <v>98</v>
      </c>
      <c r="L468" t="s">
        <v>110</v>
      </c>
      <c r="M468" t="s">
        <v>81</v>
      </c>
      <c r="N468" t="s">
        <v>1034</v>
      </c>
      <c r="O468" s="4">
        <v>242.31</v>
      </c>
      <c r="P468" s="8" t="str">
        <f t="shared" si="52"/>
        <v>High</v>
      </c>
      <c r="Q468" s="4">
        <v>587.95000000000005</v>
      </c>
      <c r="R468" s="4">
        <v>0.22900000000000001</v>
      </c>
      <c r="S468" s="4">
        <v>6</v>
      </c>
      <c r="T468" s="4">
        <f t="shared" si="49"/>
        <v>3442.9930199999999</v>
      </c>
      <c r="U468">
        <f t="shared" si="50"/>
        <v>1453.8600000000001</v>
      </c>
      <c r="V468" s="4">
        <f t="shared" si="53"/>
        <v>1989.1330199999998</v>
      </c>
      <c r="W468" s="4">
        <f t="shared" si="54"/>
        <v>0.57773367777550699</v>
      </c>
    </row>
    <row r="469" spans="1:23" x14ac:dyDescent="0.3">
      <c r="A469" t="s">
        <v>1035</v>
      </c>
      <c r="B469" s="7">
        <v>45278</v>
      </c>
      <c r="C469" s="2">
        <v>45305</v>
      </c>
      <c r="D469" s="4">
        <f t="shared" si="55"/>
        <v>27</v>
      </c>
      <c r="E469" s="4" t="str">
        <f>TEXT(Data!B469,"MMM-YYYY")</f>
        <v>Jun-2025</v>
      </c>
      <c r="F469" s="4" t="str">
        <f t="shared" si="51"/>
        <v>Q4-2023</v>
      </c>
      <c r="G469" t="s">
        <v>45</v>
      </c>
      <c r="H469" t="s">
        <v>60</v>
      </c>
      <c r="I469" t="s">
        <v>220</v>
      </c>
      <c r="J469" t="s">
        <v>48</v>
      </c>
      <c r="K469" t="s">
        <v>55</v>
      </c>
      <c r="L469" t="s">
        <v>145</v>
      </c>
      <c r="M469" t="s">
        <v>35</v>
      </c>
      <c r="N469" t="s">
        <v>1036</v>
      </c>
      <c r="O469" s="4">
        <v>1408.3</v>
      </c>
      <c r="P469" s="8" t="str">
        <f t="shared" si="52"/>
        <v>High</v>
      </c>
      <c r="Q469" s="4">
        <v>2193.13</v>
      </c>
      <c r="R469" s="4">
        <v>7.0999999999999994E-2</v>
      </c>
      <c r="S469" s="4">
        <v>7</v>
      </c>
      <c r="T469" s="4">
        <f t="shared" si="49"/>
        <v>82.523070000000004</v>
      </c>
      <c r="U469">
        <f t="shared" si="50"/>
        <v>9858.1</v>
      </c>
      <c r="V469" s="4">
        <f t="shared" si="53"/>
        <v>-9775.5769300000011</v>
      </c>
      <c r="W469" s="4">
        <f t="shared" si="54"/>
        <v>-118.45871621111527</v>
      </c>
    </row>
    <row r="470" spans="1:23" x14ac:dyDescent="0.3">
      <c r="A470" t="s">
        <v>1037</v>
      </c>
      <c r="B470" s="7">
        <v>45809</v>
      </c>
      <c r="C470" s="2">
        <v>45813</v>
      </c>
      <c r="D470" s="4">
        <f t="shared" si="55"/>
        <v>4</v>
      </c>
      <c r="E470" s="4" t="str">
        <f>TEXT(Data!B470,"MMM-YYYY")</f>
        <v>Mar-2025</v>
      </c>
      <c r="F470" s="4" t="str">
        <f t="shared" si="51"/>
        <v>Q2-2025</v>
      </c>
      <c r="G470" t="s">
        <v>78</v>
      </c>
      <c r="H470" t="s">
        <v>79</v>
      </c>
      <c r="I470" t="s">
        <v>159</v>
      </c>
      <c r="J470" t="s">
        <v>105</v>
      </c>
      <c r="K470" t="s">
        <v>98</v>
      </c>
      <c r="L470" t="s">
        <v>110</v>
      </c>
      <c r="M470" t="s">
        <v>22</v>
      </c>
      <c r="N470" t="s">
        <v>1038</v>
      </c>
      <c r="O470" s="4">
        <v>1171.42</v>
      </c>
      <c r="P470" s="8" t="str">
        <f t="shared" si="52"/>
        <v>High</v>
      </c>
      <c r="Q470" s="4">
        <v>2187.8000000000002</v>
      </c>
      <c r="R470" s="4">
        <v>0.23</v>
      </c>
      <c r="S470" s="4">
        <v>15</v>
      </c>
      <c r="T470" s="4">
        <f t="shared" si="49"/>
        <v>7525.518</v>
      </c>
      <c r="U470">
        <f t="shared" si="50"/>
        <v>17571.300000000003</v>
      </c>
      <c r="V470" s="4">
        <f t="shared" si="53"/>
        <v>-10045.782000000003</v>
      </c>
      <c r="W470" s="4">
        <f t="shared" si="54"/>
        <v>-1.3348957506978261</v>
      </c>
    </row>
    <row r="471" spans="1:23" x14ac:dyDescent="0.3">
      <c r="A471" t="s">
        <v>1039</v>
      </c>
      <c r="B471" s="7">
        <v>45739</v>
      </c>
      <c r="C471" s="2">
        <v>45749</v>
      </c>
      <c r="D471" s="4">
        <f t="shared" si="55"/>
        <v>10</v>
      </c>
      <c r="E471" s="4" t="str">
        <f>TEXT(Data!B471,"MMM-YYYY")</f>
        <v>May-2023</v>
      </c>
      <c r="F471" s="4" t="str">
        <f t="shared" si="51"/>
        <v>Q1-2025</v>
      </c>
      <c r="G471" t="s">
        <v>78</v>
      </c>
      <c r="H471" t="s">
        <v>79</v>
      </c>
      <c r="I471" t="s">
        <v>80</v>
      </c>
      <c r="J471" t="s">
        <v>105</v>
      </c>
      <c r="K471" t="s">
        <v>28</v>
      </c>
      <c r="L471" t="s">
        <v>63</v>
      </c>
      <c r="M471" t="s">
        <v>30</v>
      </c>
      <c r="N471" t="s">
        <v>1040</v>
      </c>
      <c r="O471" s="4">
        <v>663.61</v>
      </c>
      <c r="P471" s="8" t="str">
        <f t="shared" si="52"/>
        <v>High</v>
      </c>
      <c r="Q471" s="4">
        <v>1002.11</v>
      </c>
      <c r="R471" s="4">
        <v>4.5999999999999999E-2</v>
      </c>
      <c r="S471" s="4">
        <v>17</v>
      </c>
      <c r="T471" s="4">
        <f t="shared" si="49"/>
        <v>12231.93996</v>
      </c>
      <c r="U471">
        <f t="shared" si="50"/>
        <v>11281.37</v>
      </c>
      <c r="V471" s="4">
        <f t="shared" si="53"/>
        <v>950.5699599999989</v>
      </c>
      <c r="W471" s="4">
        <f t="shared" si="54"/>
        <v>7.7712117874064429E-2</v>
      </c>
    </row>
    <row r="472" spans="1:23" x14ac:dyDescent="0.3">
      <c r="A472" t="s">
        <v>1041</v>
      </c>
      <c r="B472" s="7">
        <v>45060</v>
      </c>
      <c r="C472" s="2">
        <v>45068</v>
      </c>
      <c r="D472" s="4">
        <f t="shared" si="55"/>
        <v>8</v>
      </c>
      <c r="E472" s="4" t="str">
        <f>TEXT(Data!B472,"MMM-YYYY")</f>
        <v>Aug-2023</v>
      </c>
      <c r="F472" s="4" t="str">
        <f t="shared" si="51"/>
        <v>Q2-2023</v>
      </c>
      <c r="G472" t="s">
        <v>16</v>
      </c>
      <c r="H472" t="s">
        <v>17</v>
      </c>
      <c r="I472" t="s">
        <v>113</v>
      </c>
      <c r="J472" t="s">
        <v>62</v>
      </c>
      <c r="K472" t="s">
        <v>55</v>
      </c>
      <c r="L472" t="s">
        <v>84</v>
      </c>
      <c r="M472" t="s">
        <v>30</v>
      </c>
      <c r="N472" t="s">
        <v>1042</v>
      </c>
      <c r="O472" s="4">
        <v>432.01</v>
      </c>
      <c r="P472" s="8" t="str">
        <f t="shared" si="52"/>
        <v>High</v>
      </c>
      <c r="Q472" s="4">
        <v>913.78</v>
      </c>
      <c r="R472" s="4">
        <v>4.9000000000000002E-2</v>
      </c>
      <c r="S472" s="4">
        <v>12</v>
      </c>
      <c r="T472" s="4">
        <f t="shared" si="49"/>
        <v>34019.286120000004</v>
      </c>
      <c r="U472">
        <f t="shared" si="50"/>
        <v>5184.12</v>
      </c>
      <c r="V472" s="4">
        <f t="shared" si="53"/>
        <v>28835.166120000005</v>
      </c>
      <c r="W472" s="4">
        <f t="shared" si="54"/>
        <v>0.84761232255981278</v>
      </c>
    </row>
    <row r="473" spans="1:23" x14ac:dyDescent="0.3">
      <c r="A473" t="s">
        <v>1043</v>
      </c>
      <c r="B473" s="7">
        <v>45167</v>
      </c>
      <c r="C473" s="2">
        <v>45188</v>
      </c>
      <c r="D473" s="4">
        <f t="shared" si="55"/>
        <v>21</v>
      </c>
      <c r="E473" s="4" t="str">
        <f>TEXT(Data!B473,"MMM-YYYY")</f>
        <v>Jul-2025</v>
      </c>
      <c r="F473" s="4" t="str">
        <f t="shared" si="51"/>
        <v>Q3-2023</v>
      </c>
      <c r="G473" t="s">
        <v>78</v>
      </c>
      <c r="H473" t="s">
        <v>90</v>
      </c>
      <c r="I473" t="s">
        <v>138</v>
      </c>
      <c r="J473" t="s">
        <v>62</v>
      </c>
      <c r="K473" t="s">
        <v>98</v>
      </c>
      <c r="L473" t="s">
        <v>56</v>
      </c>
      <c r="M473" t="s">
        <v>30</v>
      </c>
      <c r="N473" t="s">
        <v>1044</v>
      </c>
      <c r="O473" s="4">
        <v>784.46</v>
      </c>
      <c r="P473" s="8" t="str">
        <f t="shared" si="52"/>
        <v>High</v>
      </c>
      <c r="Q473" s="4">
        <v>1843.51</v>
      </c>
      <c r="R473" s="4">
        <v>0.13800000000000001</v>
      </c>
      <c r="S473" s="4">
        <v>23</v>
      </c>
      <c r="T473" s="4">
        <f t="shared" si="49"/>
        <v>19353.546419999999</v>
      </c>
      <c r="U473">
        <f t="shared" si="50"/>
        <v>18042.580000000002</v>
      </c>
      <c r="V473" s="4">
        <f t="shared" si="53"/>
        <v>1310.966419999997</v>
      </c>
      <c r="W473" s="4">
        <f t="shared" si="54"/>
        <v>6.7737787770268371E-2</v>
      </c>
    </row>
    <row r="474" spans="1:23" x14ac:dyDescent="0.3">
      <c r="A474" t="s">
        <v>1045</v>
      </c>
      <c r="B474" s="7">
        <v>45841</v>
      </c>
      <c r="C474" s="2">
        <v>45861</v>
      </c>
      <c r="D474" s="4">
        <f t="shared" si="55"/>
        <v>20</v>
      </c>
      <c r="E474" s="4" t="str">
        <f>TEXT(Data!B474,"MMM-YYYY")</f>
        <v>Feb-2024</v>
      </c>
      <c r="F474" s="4" t="str">
        <f t="shared" si="51"/>
        <v>Q3-2025</v>
      </c>
      <c r="G474" t="s">
        <v>45</v>
      </c>
      <c r="H474" t="s">
        <v>116</v>
      </c>
      <c r="I474" t="s">
        <v>338</v>
      </c>
      <c r="J474" t="s">
        <v>62</v>
      </c>
      <c r="K474" t="s">
        <v>28</v>
      </c>
      <c r="L474" t="s">
        <v>110</v>
      </c>
      <c r="M474" t="s">
        <v>22</v>
      </c>
      <c r="N474" t="s">
        <v>1046</v>
      </c>
      <c r="O474" s="4">
        <v>647.36</v>
      </c>
      <c r="P474" s="8" t="str">
        <f t="shared" si="52"/>
        <v>High</v>
      </c>
      <c r="Q474" s="4">
        <v>1383.6</v>
      </c>
      <c r="R474" s="4">
        <v>7.3999999999999996E-2</v>
      </c>
      <c r="S474" s="4">
        <v>12</v>
      </c>
      <c r="T474" s="4">
        <f t="shared" si="49"/>
        <v>12733.240800000001</v>
      </c>
      <c r="U474">
        <f t="shared" si="50"/>
        <v>7768.32</v>
      </c>
      <c r="V474" s="4">
        <f t="shared" si="53"/>
        <v>4964.9208000000017</v>
      </c>
      <c r="W474" s="4">
        <f t="shared" si="54"/>
        <v>0.38991807961410746</v>
      </c>
    </row>
    <row r="475" spans="1:23" x14ac:dyDescent="0.3">
      <c r="A475" t="s">
        <v>1047</v>
      </c>
      <c r="B475" s="7">
        <v>45328</v>
      </c>
      <c r="C475" s="2">
        <v>45350</v>
      </c>
      <c r="D475" s="4">
        <f t="shared" si="55"/>
        <v>22</v>
      </c>
      <c r="E475" s="4" t="str">
        <f>TEXT(Data!B475,"MMM-YYYY")</f>
        <v>Aug-2025</v>
      </c>
      <c r="F475" s="4" t="str">
        <f t="shared" si="51"/>
        <v>Q1-2024</v>
      </c>
      <c r="G475" t="s">
        <v>16</v>
      </c>
      <c r="H475" t="s">
        <v>17</v>
      </c>
      <c r="I475" t="s">
        <v>18</v>
      </c>
      <c r="J475" t="s">
        <v>39</v>
      </c>
      <c r="K475" t="s">
        <v>28</v>
      </c>
      <c r="L475" t="s">
        <v>95</v>
      </c>
      <c r="M475" t="s">
        <v>64</v>
      </c>
      <c r="N475" t="s">
        <v>1048</v>
      </c>
      <c r="O475" s="4">
        <v>834.93</v>
      </c>
      <c r="P475" s="8" t="str">
        <f t="shared" si="52"/>
        <v>High</v>
      </c>
      <c r="Q475" s="4">
        <v>1588.53</v>
      </c>
      <c r="R475" s="4">
        <v>0.126</v>
      </c>
      <c r="S475" s="4">
        <v>6</v>
      </c>
      <c r="T475" s="4">
        <f t="shared" si="49"/>
        <v>8549.7651600000008</v>
      </c>
      <c r="U475">
        <f t="shared" si="50"/>
        <v>5009.58</v>
      </c>
      <c r="V475" s="4">
        <f t="shared" si="53"/>
        <v>3540.1851600000009</v>
      </c>
      <c r="W475" s="4">
        <f t="shared" si="54"/>
        <v>0.4140681169305942</v>
      </c>
    </row>
    <row r="476" spans="1:23" x14ac:dyDescent="0.3">
      <c r="A476" t="s">
        <v>1049</v>
      </c>
      <c r="B476" s="7">
        <v>45882</v>
      </c>
      <c r="C476" s="2">
        <v>45903</v>
      </c>
      <c r="D476" s="4">
        <f t="shared" si="55"/>
        <v>21</v>
      </c>
      <c r="E476" s="4" t="str">
        <f>TEXT(Data!B476,"MMM-YYYY")</f>
        <v>May-2023</v>
      </c>
      <c r="F476" s="4" t="str">
        <f t="shared" si="51"/>
        <v>Q3-2025</v>
      </c>
      <c r="G476" t="s">
        <v>78</v>
      </c>
      <c r="H476" t="s">
        <v>90</v>
      </c>
      <c r="I476" t="s">
        <v>217</v>
      </c>
      <c r="J476" t="s">
        <v>27</v>
      </c>
      <c r="K476" t="s">
        <v>20</v>
      </c>
      <c r="L476" t="s">
        <v>34</v>
      </c>
      <c r="M476" t="s">
        <v>42</v>
      </c>
      <c r="N476" t="s">
        <v>1050</v>
      </c>
      <c r="O476" s="4">
        <v>603.47</v>
      </c>
      <c r="P476" s="8" t="str">
        <f t="shared" si="52"/>
        <v>High</v>
      </c>
      <c r="Q476" s="4">
        <v>1344.05</v>
      </c>
      <c r="R476" s="4">
        <v>0.20499999999999999</v>
      </c>
      <c r="S476" s="4">
        <v>18</v>
      </c>
      <c r="T476" s="4">
        <f t="shared" si="49"/>
        <v>13790.9763</v>
      </c>
      <c r="U476">
        <f t="shared" si="50"/>
        <v>10862.460000000001</v>
      </c>
      <c r="V476" s="4">
        <f t="shared" si="53"/>
        <v>2928.5162999999993</v>
      </c>
      <c r="W476" s="4">
        <f t="shared" si="54"/>
        <v>0.21235018002315031</v>
      </c>
    </row>
    <row r="477" spans="1:23" x14ac:dyDescent="0.3">
      <c r="A477" t="s">
        <v>1051</v>
      </c>
      <c r="B477" s="7">
        <v>45069</v>
      </c>
      <c r="C477" s="2">
        <v>45071</v>
      </c>
      <c r="D477" s="4">
        <f t="shared" si="55"/>
        <v>2</v>
      </c>
      <c r="E477" s="4" t="str">
        <f>TEXT(Data!B477,"MMM-YYYY")</f>
        <v>May-2024</v>
      </c>
      <c r="F477" s="4" t="str">
        <f t="shared" si="51"/>
        <v>Q2-2023</v>
      </c>
      <c r="G477" t="s">
        <v>52</v>
      </c>
      <c r="H477" t="s">
        <v>73</v>
      </c>
      <c r="I477" t="s">
        <v>225</v>
      </c>
      <c r="J477" t="s">
        <v>105</v>
      </c>
      <c r="K477" t="s">
        <v>20</v>
      </c>
      <c r="L477" t="s">
        <v>110</v>
      </c>
      <c r="M477" t="s">
        <v>30</v>
      </c>
      <c r="N477" t="s">
        <v>1052</v>
      </c>
      <c r="O477" s="4">
        <v>690.49</v>
      </c>
      <c r="P477" s="8" t="str">
        <f t="shared" si="52"/>
        <v>High</v>
      </c>
      <c r="Q477" s="4">
        <v>1290.29</v>
      </c>
      <c r="R477" s="4">
        <v>4.2000000000000003E-2</v>
      </c>
      <c r="S477" s="4">
        <v>22</v>
      </c>
      <c r="T477" s="4">
        <f t="shared" si="49"/>
        <v>18794.101480000001</v>
      </c>
      <c r="U477">
        <f t="shared" si="50"/>
        <v>15190.78</v>
      </c>
      <c r="V477" s="4">
        <f t="shared" si="53"/>
        <v>3603.3214800000005</v>
      </c>
      <c r="W477" s="4">
        <f t="shared" si="54"/>
        <v>0.19172619046643566</v>
      </c>
    </row>
    <row r="478" spans="1:23" x14ac:dyDescent="0.3">
      <c r="A478" t="s">
        <v>1053</v>
      </c>
      <c r="B478" s="7">
        <v>45422</v>
      </c>
      <c r="C478" s="2">
        <v>45428</v>
      </c>
      <c r="D478" s="4">
        <f t="shared" si="55"/>
        <v>6</v>
      </c>
      <c r="E478" s="4" t="str">
        <f>TEXT(Data!B478,"MMM-YYYY")</f>
        <v>Mar-2023</v>
      </c>
      <c r="F478" s="4" t="str">
        <f t="shared" si="51"/>
        <v>Q2-2024</v>
      </c>
      <c r="G478" t="s">
        <v>78</v>
      </c>
      <c r="H478" t="s">
        <v>108</v>
      </c>
      <c r="I478" t="s">
        <v>109</v>
      </c>
      <c r="J478" t="s">
        <v>39</v>
      </c>
      <c r="K478" t="s">
        <v>98</v>
      </c>
      <c r="L478" t="s">
        <v>41</v>
      </c>
      <c r="M478" t="s">
        <v>57</v>
      </c>
      <c r="N478" t="s">
        <v>1054</v>
      </c>
      <c r="O478" s="4">
        <v>210.76</v>
      </c>
      <c r="P478" s="8" t="str">
        <f t="shared" si="52"/>
        <v>High</v>
      </c>
      <c r="Q478" s="4">
        <v>221.58</v>
      </c>
      <c r="R478" s="4">
        <v>8.8999999999999996E-2</v>
      </c>
      <c r="S478" s="4">
        <v>5</v>
      </c>
      <c r="T478" s="4">
        <f t="shared" si="49"/>
        <v>7596.9201000000003</v>
      </c>
      <c r="U478">
        <f t="shared" si="50"/>
        <v>1053.8</v>
      </c>
      <c r="V478" s="4">
        <f t="shared" si="53"/>
        <v>6543.1201000000001</v>
      </c>
      <c r="W478" s="4">
        <f t="shared" si="54"/>
        <v>0.86128589137063583</v>
      </c>
    </row>
    <row r="479" spans="1:23" x14ac:dyDescent="0.3">
      <c r="A479" t="s">
        <v>1055</v>
      </c>
      <c r="B479" s="7">
        <v>44999</v>
      </c>
      <c r="C479" s="2">
        <v>45003</v>
      </c>
      <c r="D479" s="4">
        <f t="shared" si="55"/>
        <v>4</v>
      </c>
      <c r="E479" s="4" t="str">
        <f>TEXT(Data!B479,"MMM-YYYY")</f>
        <v>Jul-2023</v>
      </c>
      <c r="F479" s="4" t="str">
        <f t="shared" si="51"/>
        <v>Q1-2023</v>
      </c>
      <c r="G479" t="s">
        <v>78</v>
      </c>
      <c r="H479" t="s">
        <v>79</v>
      </c>
      <c r="I479" t="s">
        <v>335</v>
      </c>
      <c r="J479" t="s">
        <v>105</v>
      </c>
      <c r="K479" t="s">
        <v>98</v>
      </c>
      <c r="L479" t="s">
        <v>75</v>
      </c>
      <c r="M479" t="s">
        <v>22</v>
      </c>
      <c r="N479" t="s">
        <v>1056</v>
      </c>
      <c r="O479" s="4">
        <v>472.33</v>
      </c>
      <c r="P479" s="8" t="str">
        <f t="shared" si="52"/>
        <v>High</v>
      </c>
      <c r="Q479" s="4">
        <v>360.34</v>
      </c>
      <c r="R479" s="4">
        <v>0.16500000000000001</v>
      </c>
      <c r="S479" s="4">
        <v>14</v>
      </c>
      <c r="T479" s="4">
        <f t="shared" si="49"/>
        <v>22462.4519</v>
      </c>
      <c r="U479">
        <f t="shared" si="50"/>
        <v>6612.62</v>
      </c>
      <c r="V479" s="4">
        <f t="shared" si="53"/>
        <v>15849.831900000001</v>
      </c>
      <c r="W479" s="4">
        <f t="shared" si="54"/>
        <v>0.70561450595693875</v>
      </c>
    </row>
    <row r="480" spans="1:23" x14ac:dyDescent="0.3">
      <c r="A480" t="s">
        <v>1057</v>
      </c>
      <c r="B480" s="7">
        <v>45123</v>
      </c>
      <c r="C480" s="2">
        <v>45151</v>
      </c>
      <c r="D480" s="4">
        <f t="shared" si="55"/>
        <v>28</v>
      </c>
      <c r="E480" s="4" t="str">
        <f>TEXT(Data!B480,"MMM-YYYY")</f>
        <v>Apr-2023</v>
      </c>
      <c r="F480" s="4" t="str">
        <f t="shared" si="51"/>
        <v>Q3-2023</v>
      </c>
      <c r="G480" t="s">
        <v>78</v>
      </c>
      <c r="H480" t="s">
        <v>108</v>
      </c>
      <c r="I480" t="s">
        <v>228</v>
      </c>
      <c r="J480" t="s">
        <v>39</v>
      </c>
      <c r="K480" t="s">
        <v>28</v>
      </c>
      <c r="L480" t="s">
        <v>29</v>
      </c>
      <c r="M480" t="s">
        <v>57</v>
      </c>
      <c r="N480" t="s">
        <v>1058</v>
      </c>
      <c r="O480" s="4">
        <v>1039.03</v>
      </c>
      <c r="P480" s="8" t="str">
        <f t="shared" si="52"/>
        <v>High</v>
      </c>
      <c r="Q480" s="4">
        <v>2545.81</v>
      </c>
      <c r="R480" s="4">
        <v>0.216</v>
      </c>
      <c r="S480" s="4">
        <v>21</v>
      </c>
      <c r="T480" s="4">
        <f t="shared" si="49"/>
        <v>20043.767520000001</v>
      </c>
      <c r="U480">
        <f t="shared" si="50"/>
        <v>21819.63</v>
      </c>
      <c r="V480" s="4">
        <f t="shared" si="53"/>
        <v>-1775.8624799999998</v>
      </c>
      <c r="W480" s="4">
        <f t="shared" si="54"/>
        <v>-8.8599235559283701E-2</v>
      </c>
    </row>
    <row r="481" spans="1:23" x14ac:dyDescent="0.3">
      <c r="A481" t="s">
        <v>1059</v>
      </c>
      <c r="B481" s="7">
        <v>45032</v>
      </c>
      <c r="C481" s="2">
        <v>45035</v>
      </c>
      <c r="D481" s="4">
        <f t="shared" si="55"/>
        <v>3</v>
      </c>
      <c r="E481" s="4" t="str">
        <f>TEXT(Data!B481,"MMM-YYYY")</f>
        <v>Jan-2024</v>
      </c>
      <c r="F481" s="4" t="str">
        <f t="shared" si="51"/>
        <v>Q2-2023</v>
      </c>
      <c r="G481" t="s">
        <v>78</v>
      </c>
      <c r="H481" t="s">
        <v>79</v>
      </c>
      <c r="I481" t="s">
        <v>159</v>
      </c>
      <c r="J481" t="s">
        <v>19</v>
      </c>
      <c r="K481" t="s">
        <v>98</v>
      </c>
      <c r="L481" t="s">
        <v>56</v>
      </c>
      <c r="M481" t="s">
        <v>81</v>
      </c>
      <c r="N481" t="s">
        <v>1060</v>
      </c>
      <c r="O481" s="4">
        <v>553.61</v>
      </c>
      <c r="P481" s="8" t="str">
        <f t="shared" si="52"/>
        <v>High</v>
      </c>
      <c r="Q481" s="4">
        <v>699.47</v>
      </c>
      <c r="R481" s="4">
        <v>0.02</v>
      </c>
      <c r="S481" s="4">
        <v>33</v>
      </c>
      <c r="T481" s="4">
        <f t="shared" si="49"/>
        <v>31378.531800000001</v>
      </c>
      <c r="U481">
        <f t="shared" si="50"/>
        <v>18269.13</v>
      </c>
      <c r="V481" s="4">
        <f t="shared" si="53"/>
        <v>13109.4018</v>
      </c>
      <c r="W481" s="4">
        <f t="shared" si="54"/>
        <v>0.41778251078018885</v>
      </c>
    </row>
    <row r="482" spans="1:23" x14ac:dyDescent="0.3">
      <c r="A482" t="s">
        <v>1061</v>
      </c>
      <c r="B482" s="7">
        <v>45293</v>
      </c>
      <c r="C482" s="2">
        <v>45306</v>
      </c>
      <c r="D482" s="4">
        <f t="shared" si="55"/>
        <v>13</v>
      </c>
      <c r="E482" s="4" t="str">
        <f>TEXT(Data!B482,"MMM-YYYY")</f>
        <v>Sept-2024</v>
      </c>
      <c r="F482" s="4" t="str">
        <f t="shared" si="51"/>
        <v>Q1-2024</v>
      </c>
      <c r="G482" t="s">
        <v>45</v>
      </c>
      <c r="H482" t="s">
        <v>46</v>
      </c>
      <c r="I482" t="s">
        <v>231</v>
      </c>
      <c r="J482" t="s">
        <v>62</v>
      </c>
      <c r="K482" t="s">
        <v>40</v>
      </c>
      <c r="L482" t="s">
        <v>41</v>
      </c>
      <c r="M482" t="s">
        <v>35</v>
      </c>
      <c r="N482" t="s">
        <v>1062</v>
      </c>
      <c r="O482" s="4">
        <v>1219.06</v>
      </c>
      <c r="P482" s="8" t="str">
        <f t="shared" si="52"/>
        <v>High</v>
      </c>
      <c r="Q482" s="4">
        <v>2738.69</v>
      </c>
      <c r="R482" s="4">
        <v>7.5999999999999998E-2</v>
      </c>
      <c r="S482" s="4">
        <v>16</v>
      </c>
      <c r="T482" s="4">
        <f t="shared" si="49"/>
        <v>24019.121280000003</v>
      </c>
      <c r="U482">
        <f t="shared" si="50"/>
        <v>19504.96</v>
      </c>
      <c r="V482" s="4">
        <f t="shared" si="53"/>
        <v>4514.1612800000039</v>
      </c>
      <c r="W482" s="4">
        <f t="shared" si="54"/>
        <v>0.18794031752355611</v>
      </c>
    </row>
    <row r="483" spans="1:23" x14ac:dyDescent="0.3">
      <c r="A483" t="s">
        <v>1063</v>
      </c>
      <c r="B483" s="7">
        <v>45538</v>
      </c>
      <c r="C483" s="2">
        <v>45542</v>
      </c>
      <c r="D483" s="4">
        <f t="shared" si="55"/>
        <v>4</v>
      </c>
      <c r="E483" s="4" t="str">
        <f>TEXT(Data!B483,"MMM-YYYY")</f>
        <v>Aug-2025</v>
      </c>
      <c r="F483" s="4" t="str">
        <f t="shared" si="51"/>
        <v>Q3-2024</v>
      </c>
      <c r="G483" t="s">
        <v>45</v>
      </c>
      <c r="H483" t="s">
        <v>46</v>
      </c>
      <c r="I483" t="s">
        <v>214</v>
      </c>
      <c r="J483" t="s">
        <v>62</v>
      </c>
      <c r="K483" t="s">
        <v>55</v>
      </c>
      <c r="L483" t="s">
        <v>126</v>
      </c>
      <c r="M483" t="s">
        <v>30</v>
      </c>
      <c r="N483" t="s">
        <v>1064</v>
      </c>
      <c r="O483" s="4">
        <v>43.23</v>
      </c>
      <c r="P483" s="8" t="str">
        <f t="shared" si="52"/>
        <v>Medium</v>
      </c>
      <c r="Q483" s="4">
        <v>94.78</v>
      </c>
      <c r="R483" s="4">
        <v>9.0999999999999998E-2</v>
      </c>
      <c r="S483" s="4">
        <v>55</v>
      </c>
      <c r="T483" s="4">
        <f t="shared" si="49"/>
        <v>130292.46945000002</v>
      </c>
      <c r="U483">
        <f t="shared" si="50"/>
        <v>2377.6499999999996</v>
      </c>
      <c r="V483" s="4">
        <f t="shared" si="53"/>
        <v>127914.81945000002</v>
      </c>
      <c r="W483" s="4">
        <f t="shared" si="54"/>
        <v>0.98175143958790023</v>
      </c>
    </row>
    <row r="484" spans="1:23" x14ac:dyDescent="0.3">
      <c r="A484" t="s">
        <v>1065</v>
      </c>
      <c r="B484" s="7">
        <v>45899</v>
      </c>
      <c r="C484" s="2">
        <v>45903</v>
      </c>
      <c r="D484" s="4">
        <f t="shared" si="55"/>
        <v>4</v>
      </c>
      <c r="E484" s="4" t="str">
        <f>TEXT(Data!B484,"MMM-YYYY")</f>
        <v>Apr-2025</v>
      </c>
      <c r="F484" s="4" t="str">
        <f t="shared" si="51"/>
        <v>Q3-2025</v>
      </c>
      <c r="G484" t="s">
        <v>78</v>
      </c>
      <c r="H484" t="s">
        <v>90</v>
      </c>
      <c r="I484" t="s">
        <v>91</v>
      </c>
      <c r="J484" t="s">
        <v>62</v>
      </c>
      <c r="K484" t="s">
        <v>40</v>
      </c>
      <c r="L484" t="s">
        <v>29</v>
      </c>
      <c r="M484" t="s">
        <v>57</v>
      </c>
      <c r="N484" t="s">
        <v>1066</v>
      </c>
      <c r="O484" s="4">
        <v>1286.56</v>
      </c>
      <c r="P484" s="8" t="str">
        <f t="shared" si="52"/>
        <v>High</v>
      </c>
      <c r="Q484" s="4">
        <v>2777.35</v>
      </c>
      <c r="R484" s="4">
        <v>0.13200000000000001</v>
      </c>
      <c r="S484" s="4">
        <v>15</v>
      </c>
      <c r="T484" s="4">
        <f t="shared" si="49"/>
        <v>5660.0544</v>
      </c>
      <c r="U484">
        <f t="shared" si="50"/>
        <v>19298.399999999998</v>
      </c>
      <c r="V484" s="4">
        <f t="shared" si="53"/>
        <v>-13638.345599999997</v>
      </c>
      <c r="W484" s="4">
        <f t="shared" si="54"/>
        <v>-2.4095785369130014</v>
      </c>
    </row>
    <row r="485" spans="1:23" x14ac:dyDescent="0.3">
      <c r="A485" t="s">
        <v>1067</v>
      </c>
      <c r="B485" s="7">
        <v>45775</v>
      </c>
      <c r="C485" s="2">
        <v>45796</v>
      </c>
      <c r="D485" s="4">
        <f t="shared" si="55"/>
        <v>21</v>
      </c>
      <c r="E485" s="4" t="str">
        <f>TEXT(Data!B485,"MMM-YYYY")</f>
        <v>Aug-2023</v>
      </c>
      <c r="F485" s="4" t="str">
        <f t="shared" si="51"/>
        <v>Q2-2025</v>
      </c>
      <c r="G485" t="s">
        <v>78</v>
      </c>
      <c r="H485" t="s">
        <v>79</v>
      </c>
      <c r="I485" t="s">
        <v>80</v>
      </c>
      <c r="J485" t="s">
        <v>19</v>
      </c>
      <c r="K485" t="s">
        <v>55</v>
      </c>
      <c r="L485" t="s">
        <v>56</v>
      </c>
      <c r="M485" t="s">
        <v>42</v>
      </c>
      <c r="N485" t="s">
        <v>1068</v>
      </c>
      <c r="O485" s="4">
        <v>350.76</v>
      </c>
      <c r="P485" s="8" t="str">
        <f t="shared" si="52"/>
        <v>High</v>
      </c>
      <c r="Q485" s="4">
        <v>492.18</v>
      </c>
      <c r="R485" s="4">
        <v>5.2999999999999999E-2</v>
      </c>
      <c r="S485" s="4">
        <v>11</v>
      </c>
      <c r="T485" s="4">
        <f t="shared" si="49"/>
        <v>19379.89097</v>
      </c>
      <c r="U485">
        <f t="shared" si="50"/>
        <v>3858.3599999999997</v>
      </c>
      <c r="V485" s="4">
        <f t="shared" si="53"/>
        <v>15521.53097</v>
      </c>
      <c r="W485" s="4">
        <f t="shared" si="54"/>
        <v>0.80090909665215726</v>
      </c>
    </row>
    <row r="486" spans="1:23" x14ac:dyDescent="0.3">
      <c r="A486" t="s">
        <v>1069</v>
      </c>
      <c r="B486" s="7">
        <v>45148</v>
      </c>
      <c r="C486" s="2">
        <v>45153</v>
      </c>
      <c r="D486" s="4">
        <f t="shared" si="55"/>
        <v>5</v>
      </c>
      <c r="E486" s="4" t="str">
        <f>TEXT(Data!B486,"MMM-YYYY")</f>
        <v>Dec-2024</v>
      </c>
      <c r="F486" s="4" t="str">
        <f t="shared" si="51"/>
        <v>Q3-2023</v>
      </c>
      <c r="G486" t="s">
        <v>52</v>
      </c>
      <c r="H486" t="s">
        <v>73</v>
      </c>
      <c r="I486" t="s">
        <v>74</v>
      </c>
      <c r="J486" t="s">
        <v>27</v>
      </c>
      <c r="K486" t="s">
        <v>98</v>
      </c>
      <c r="L486" t="s">
        <v>41</v>
      </c>
      <c r="M486" t="s">
        <v>35</v>
      </c>
      <c r="N486" t="s">
        <v>1070</v>
      </c>
      <c r="O486" s="4">
        <v>1307.52</v>
      </c>
      <c r="P486" s="8" t="str">
        <f t="shared" si="52"/>
        <v>High</v>
      </c>
      <c r="Q486" s="4">
        <v>1921.65</v>
      </c>
      <c r="R486" s="4">
        <v>0.123</v>
      </c>
      <c r="S486" s="4">
        <v>13</v>
      </c>
      <c r="T486" s="4">
        <f t="shared" si="49"/>
        <v>9504.8996900000002</v>
      </c>
      <c r="U486">
        <f t="shared" si="50"/>
        <v>16997.759999999998</v>
      </c>
      <c r="V486" s="4">
        <f t="shared" si="53"/>
        <v>-7492.8603099999982</v>
      </c>
      <c r="W486" s="4">
        <f t="shared" si="54"/>
        <v>-0.78831555875157244</v>
      </c>
    </row>
    <row r="487" spans="1:23" x14ac:dyDescent="0.3">
      <c r="A487" t="s">
        <v>1071</v>
      </c>
      <c r="B487" s="7">
        <v>45634</v>
      </c>
      <c r="C487" s="2">
        <v>45634</v>
      </c>
      <c r="D487" s="4">
        <f t="shared" si="55"/>
        <v>0</v>
      </c>
      <c r="E487" s="4" t="str">
        <f>TEXT(Data!B487,"MMM-YYYY")</f>
        <v>Oct-2023</v>
      </c>
      <c r="F487" s="4" t="str">
        <f t="shared" si="51"/>
        <v>Q4-2024</v>
      </c>
      <c r="G487" t="s">
        <v>78</v>
      </c>
      <c r="H487" t="s">
        <v>90</v>
      </c>
      <c r="I487" t="s">
        <v>138</v>
      </c>
      <c r="J487" t="s">
        <v>105</v>
      </c>
      <c r="K487" t="s">
        <v>20</v>
      </c>
      <c r="L487" t="s">
        <v>92</v>
      </c>
      <c r="M487" t="s">
        <v>22</v>
      </c>
      <c r="N487" t="s">
        <v>1072</v>
      </c>
      <c r="O487" s="4">
        <v>257.44</v>
      </c>
      <c r="P487" s="8" t="str">
        <f t="shared" si="52"/>
        <v>High</v>
      </c>
      <c r="Q487" s="4">
        <v>290.33</v>
      </c>
      <c r="R487" s="4">
        <v>9.1999999999999998E-2</v>
      </c>
      <c r="S487" s="4">
        <v>23</v>
      </c>
      <c r="T487" s="4">
        <f t="shared" si="49"/>
        <v>6964.3963200000007</v>
      </c>
      <c r="U487">
        <f t="shared" si="50"/>
        <v>5921.12</v>
      </c>
      <c r="V487" s="4">
        <f t="shared" si="53"/>
        <v>1043.2763200000009</v>
      </c>
      <c r="W487" s="4">
        <f t="shared" si="54"/>
        <v>0.14980140015926044</v>
      </c>
    </row>
    <row r="488" spans="1:23" x14ac:dyDescent="0.3">
      <c r="A488" t="s">
        <v>1073</v>
      </c>
      <c r="B488" s="7">
        <v>45224</v>
      </c>
      <c r="C488" s="2">
        <v>45254</v>
      </c>
      <c r="D488" s="4">
        <f t="shared" si="55"/>
        <v>30</v>
      </c>
      <c r="E488" s="4" t="str">
        <f>TEXT(Data!B488,"MMM-YYYY")</f>
        <v>Nov-2024</v>
      </c>
      <c r="F488" s="4" t="str">
        <f t="shared" si="51"/>
        <v>Q4-2023</v>
      </c>
      <c r="G488" t="s">
        <v>78</v>
      </c>
      <c r="H488" t="s">
        <v>90</v>
      </c>
      <c r="I488" t="s">
        <v>217</v>
      </c>
      <c r="J488" t="s">
        <v>105</v>
      </c>
      <c r="K488" t="s">
        <v>55</v>
      </c>
      <c r="L488" t="s">
        <v>21</v>
      </c>
      <c r="M488" t="s">
        <v>42</v>
      </c>
      <c r="N488" t="s">
        <v>1074</v>
      </c>
      <c r="O488" s="4">
        <v>287.85000000000002</v>
      </c>
      <c r="P488" s="8" t="str">
        <f t="shared" si="52"/>
        <v>High</v>
      </c>
      <c r="Q488" s="4">
        <v>602.91999999999996</v>
      </c>
      <c r="R488" s="4">
        <v>0.222</v>
      </c>
      <c r="S488" s="4">
        <v>11</v>
      </c>
      <c r="T488" s="4">
        <f t="shared" si="49"/>
        <v>15273.462600000001</v>
      </c>
      <c r="U488">
        <f t="shared" si="50"/>
        <v>3166.3500000000004</v>
      </c>
      <c r="V488" s="4">
        <f t="shared" si="53"/>
        <v>12107.1126</v>
      </c>
      <c r="W488" s="4">
        <f t="shared" si="54"/>
        <v>0.79268944554851628</v>
      </c>
    </row>
    <row r="489" spans="1:23" x14ac:dyDescent="0.3">
      <c r="A489" t="s">
        <v>1075</v>
      </c>
      <c r="B489" s="7">
        <v>45613</v>
      </c>
      <c r="C489" s="2">
        <v>45624</v>
      </c>
      <c r="D489" s="4">
        <f t="shared" si="55"/>
        <v>11</v>
      </c>
      <c r="E489" s="4" t="str">
        <f>TEXT(Data!B489,"MMM-YYYY")</f>
        <v>May-2024</v>
      </c>
      <c r="F489" s="4" t="str">
        <f t="shared" si="51"/>
        <v>Q4-2024</v>
      </c>
      <c r="G489" t="s">
        <v>52</v>
      </c>
      <c r="H489" t="s">
        <v>53</v>
      </c>
      <c r="I489" t="s">
        <v>1364</v>
      </c>
      <c r="J489" t="s">
        <v>48</v>
      </c>
      <c r="K489" t="s">
        <v>55</v>
      </c>
      <c r="L489" t="s">
        <v>75</v>
      </c>
      <c r="M489" t="s">
        <v>30</v>
      </c>
      <c r="N489" t="s">
        <v>1076</v>
      </c>
      <c r="O489" s="4">
        <v>1008.16</v>
      </c>
      <c r="P489" s="8" t="str">
        <f t="shared" si="52"/>
        <v>High</v>
      </c>
      <c r="Q489" s="4">
        <v>2077.5</v>
      </c>
      <c r="R489" s="4">
        <v>7.3999999999999996E-2</v>
      </c>
      <c r="S489" s="4">
        <v>15</v>
      </c>
      <c r="T489" s="4">
        <f t="shared" si="49"/>
        <v>14894.108099999999</v>
      </c>
      <c r="U489">
        <f t="shared" si="50"/>
        <v>15122.4</v>
      </c>
      <c r="V489" s="4">
        <f t="shared" si="53"/>
        <v>-228.29190000000017</v>
      </c>
      <c r="W489" s="4">
        <f t="shared" si="54"/>
        <v>-1.5327665038230801E-2</v>
      </c>
    </row>
    <row r="490" spans="1:23" x14ac:dyDescent="0.3">
      <c r="A490" t="s">
        <v>1077</v>
      </c>
      <c r="B490" s="7">
        <v>45424</v>
      </c>
      <c r="C490" s="2">
        <v>45436</v>
      </c>
      <c r="D490" s="4">
        <f t="shared" si="55"/>
        <v>12</v>
      </c>
      <c r="E490" s="4" t="str">
        <f>TEXT(Data!B490,"MMM-YYYY")</f>
        <v>May-2025</v>
      </c>
      <c r="F490" s="4" t="str">
        <f t="shared" si="51"/>
        <v>Q2-2024</v>
      </c>
      <c r="G490" t="s">
        <v>78</v>
      </c>
      <c r="H490" t="s">
        <v>108</v>
      </c>
      <c r="I490" t="s">
        <v>228</v>
      </c>
      <c r="J490" t="s">
        <v>27</v>
      </c>
      <c r="K490" t="s">
        <v>40</v>
      </c>
      <c r="L490" t="s">
        <v>95</v>
      </c>
      <c r="M490" t="s">
        <v>30</v>
      </c>
      <c r="N490" t="s">
        <v>1078</v>
      </c>
      <c r="O490" s="4">
        <v>111.02</v>
      </c>
      <c r="P490" s="8" t="str">
        <f t="shared" si="52"/>
        <v>Medium</v>
      </c>
      <c r="Q490" s="4">
        <v>172.88</v>
      </c>
      <c r="R490" s="4">
        <v>0.19700000000000001</v>
      </c>
      <c r="S490" s="4">
        <v>29</v>
      </c>
      <c r="T490" s="4">
        <f t="shared" si="49"/>
        <v>70514.200349999999</v>
      </c>
      <c r="U490">
        <f t="shared" si="50"/>
        <v>3219.58</v>
      </c>
      <c r="V490" s="4">
        <f t="shared" si="53"/>
        <v>67294.620349999997</v>
      </c>
      <c r="W490" s="4">
        <f t="shared" si="54"/>
        <v>0.95434139529315387</v>
      </c>
    </row>
    <row r="491" spans="1:23" x14ac:dyDescent="0.3">
      <c r="A491" t="s">
        <v>1079</v>
      </c>
      <c r="B491" s="7">
        <v>45792</v>
      </c>
      <c r="C491" s="2">
        <v>45813</v>
      </c>
      <c r="D491" s="4">
        <f t="shared" si="55"/>
        <v>21</v>
      </c>
      <c r="E491" s="4" t="str">
        <f>TEXT(Data!B491,"MMM-YYYY")</f>
        <v>Apr-2024</v>
      </c>
      <c r="F491" s="4" t="str">
        <f t="shared" si="51"/>
        <v>Q2-2025</v>
      </c>
      <c r="G491" t="s">
        <v>45</v>
      </c>
      <c r="H491" t="s">
        <v>46</v>
      </c>
      <c r="I491" t="s">
        <v>47</v>
      </c>
      <c r="J491" t="s">
        <v>105</v>
      </c>
      <c r="K491" t="s">
        <v>98</v>
      </c>
      <c r="L491" t="s">
        <v>92</v>
      </c>
      <c r="M491" t="s">
        <v>42</v>
      </c>
      <c r="N491" t="s">
        <v>1080</v>
      </c>
      <c r="O491" s="4">
        <v>1466.5</v>
      </c>
      <c r="P491" s="8" t="str">
        <f t="shared" si="52"/>
        <v>High</v>
      </c>
      <c r="Q491" s="4">
        <v>2778.74</v>
      </c>
      <c r="R491" s="4">
        <v>0.13500000000000001</v>
      </c>
      <c r="S491" s="4">
        <v>4</v>
      </c>
      <c r="T491" s="4">
        <f t="shared" si="49"/>
        <v>3415.8503999999998</v>
      </c>
      <c r="U491">
        <f t="shared" si="50"/>
        <v>5866</v>
      </c>
      <c r="V491" s="4">
        <f t="shared" si="53"/>
        <v>-2450.1496000000002</v>
      </c>
      <c r="W491" s="4">
        <f t="shared" si="54"/>
        <v>-0.71728832152602473</v>
      </c>
    </row>
    <row r="492" spans="1:23" x14ac:dyDescent="0.3">
      <c r="A492" t="s">
        <v>1081</v>
      </c>
      <c r="B492" s="7">
        <v>45403</v>
      </c>
      <c r="C492" s="2">
        <v>45431</v>
      </c>
      <c r="D492" s="4">
        <f t="shared" si="55"/>
        <v>28</v>
      </c>
      <c r="E492" s="4" t="str">
        <f>TEXT(Data!B492,"MMM-YYYY")</f>
        <v>Aug-2024</v>
      </c>
      <c r="F492" s="4" t="str">
        <f t="shared" si="51"/>
        <v>Q2-2024</v>
      </c>
      <c r="G492" t="s">
        <v>16</v>
      </c>
      <c r="H492" t="s">
        <v>25</v>
      </c>
      <c r="I492" t="s">
        <v>38</v>
      </c>
      <c r="J492" t="s">
        <v>19</v>
      </c>
      <c r="K492" t="s">
        <v>55</v>
      </c>
      <c r="L492" t="s">
        <v>75</v>
      </c>
      <c r="M492" t="s">
        <v>81</v>
      </c>
      <c r="N492" t="s">
        <v>1082</v>
      </c>
      <c r="O492" s="4">
        <v>187.22</v>
      </c>
      <c r="P492" s="8" t="str">
        <f t="shared" si="52"/>
        <v>High</v>
      </c>
      <c r="Q492" s="4">
        <v>309.47000000000003</v>
      </c>
      <c r="R492" s="4">
        <v>0</v>
      </c>
      <c r="S492" s="4">
        <v>5</v>
      </c>
      <c r="T492" s="4">
        <f t="shared" si="49"/>
        <v>4877.1499999999996</v>
      </c>
      <c r="U492">
        <f t="shared" si="50"/>
        <v>936.1</v>
      </c>
      <c r="V492" s="4">
        <f t="shared" si="53"/>
        <v>3941.0499999999997</v>
      </c>
      <c r="W492" s="4">
        <f t="shared" si="54"/>
        <v>0.8080641358170243</v>
      </c>
    </row>
    <row r="493" spans="1:23" x14ac:dyDescent="0.3">
      <c r="A493" t="s">
        <v>1083</v>
      </c>
      <c r="B493" s="7">
        <v>45523</v>
      </c>
      <c r="C493" s="2">
        <v>45542</v>
      </c>
      <c r="D493" s="4">
        <f t="shared" si="55"/>
        <v>19</v>
      </c>
      <c r="E493" s="4" t="str">
        <f>TEXT(Data!B493,"MMM-YYYY")</f>
        <v>Jul-2025</v>
      </c>
      <c r="F493" s="4" t="str">
        <f t="shared" si="51"/>
        <v>Q3-2024</v>
      </c>
      <c r="G493" t="s">
        <v>78</v>
      </c>
      <c r="H493" t="s">
        <v>90</v>
      </c>
      <c r="I493" t="s">
        <v>138</v>
      </c>
      <c r="J493" t="s">
        <v>19</v>
      </c>
      <c r="K493" t="s">
        <v>98</v>
      </c>
      <c r="L493" t="s">
        <v>29</v>
      </c>
      <c r="M493" t="s">
        <v>22</v>
      </c>
      <c r="N493" t="s">
        <v>1084</v>
      </c>
      <c r="O493" s="4">
        <v>297.58999999999997</v>
      </c>
      <c r="P493" s="8" t="str">
        <f t="shared" si="52"/>
        <v>High</v>
      </c>
      <c r="Q493" s="4">
        <v>666.41</v>
      </c>
      <c r="R493" s="4">
        <v>0</v>
      </c>
      <c r="S493" s="4">
        <v>10</v>
      </c>
      <c r="T493" s="4">
        <f t="shared" si="49"/>
        <v>1414.3000000000002</v>
      </c>
      <c r="U493">
        <f t="shared" si="50"/>
        <v>2975.8999999999996</v>
      </c>
      <c r="V493" s="4">
        <f t="shared" si="53"/>
        <v>-1561.5999999999995</v>
      </c>
      <c r="W493" s="4">
        <f t="shared" si="54"/>
        <v>-1.1041504631266346</v>
      </c>
    </row>
    <row r="494" spans="1:23" x14ac:dyDescent="0.3">
      <c r="A494" t="s">
        <v>1085</v>
      </c>
      <c r="B494" s="7">
        <v>45861</v>
      </c>
      <c r="C494" s="2">
        <v>45888</v>
      </c>
      <c r="D494" s="4">
        <f t="shared" si="55"/>
        <v>27</v>
      </c>
      <c r="E494" s="4" t="str">
        <f>TEXT(Data!B494,"MMM-YYYY")</f>
        <v>Mar-2024</v>
      </c>
      <c r="F494" s="4" t="str">
        <f t="shared" si="51"/>
        <v>Q3-2025</v>
      </c>
      <c r="G494" t="s">
        <v>45</v>
      </c>
      <c r="H494" t="s">
        <v>46</v>
      </c>
      <c r="I494" t="s">
        <v>231</v>
      </c>
      <c r="J494" t="s">
        <v>48</v>
      </c>
      <c r="K494" t="s">
        <v>40</v>
      </c>
      <c r="L494" t="s">
        <v>56</v>
      </c>
      <c r="M494" t="s">
        <v>81</v>
      </c>
      <c r="N494" t="s">
        <v>1086</v>
      </c>
      <c r="O494" s="4">
        <v>896.09</v>
      </c>
      <c r="P494" s="8" t="str">
        <f t="shared" si="52"/>
        <v>High</v>
      </c>
      <c r="Q494" s="4">
        <v>744.27</v>
      </c>
      <c r="R494" s="4">
        <v>8.3000000000000004E-2</v>
      </c>
      <c r="S494" s="4">
        <v>11</v>
      </c>
      <c r="T494" s="4">
        <f t="shared" si="49"/>
        <v>16395.611540000002</v>
      </c>
      <c r="U494">
        <f t="shared" si="50"/>
        <v>9856.99</v>
      </c>
      <c r="V494" s="4">
        <f t="shared" si="53"/>
        <v>6538.6215400000019</v>
      </c>
      <c r="W494" s="4">
        <f t="shared" si="54"/>
        <v>0.3988031507118765</v>
      </c>
    </row>
    <row r="495" spans="1:23" x14ac:dyDescent="0.3">
      <c r="A495" t="s">
        <v>1087</v>
      </c>
      <c r="B495" s="7">
        <v>45352</v>
      </c>
      <c r="C495" s="2">
        <v>45351</v>
      </c>
      <c r="D495" s="4">
        <f>DATEDIF(C495,B495, "MD")</f>
        <v>1</v>
      </c>
      <c r="E495" s="4" t="str">
        <f>TEXT(Data!B495,"MMM-YYYY")</f>
        <v>May-2024</v>
      </c>
      <c r="F495" s="4" t="str">
        <f t="shared" si="51"/>
        <v>Q1-2024</v>
      </c>
      <c r="G495" t="s">
        <v>52</v>
      </c>
      <c r="H495" t="s">
        <v>73</v>
      </c>
      <c r="I495" t="s">
        <v>74</v>
      </c>
      <c r="J495" t="s">
        <v>39</v>
      </c>
      <c r="K495" t="s">
        <v>98</v>
      </c>
      <c r="L495" t="s">
        <v>34</v>
      </c>
      <c r="M495" t="s">
        <v>42</v>
      </c>
      <c r="N495" t="s">
        <v>1088</v>
      </c>
      <c r="O495" s="4">
        <v>5.34</v>
      </c>
      <c r="P495" s="8" t="str">
        <f t="shared" si="52"/>
        <v>Low</v>
      </c>
      <c r="Q495" s="4">
        <v>12.69</v>
      </c>
      <c r="R495" s="4">
        <v>0.13200000000000001</v>
      </c>
      <c r="S495" s="4">
        <v>10</v>
      </c>
      <c r="T495" s="4">
        <f t="shared" si="49"/>
        <v>2603.4792000000002</v>
      </c>
      <c r="U495">
        <f t="shared" si="50"/>
        <v>53.4</v>
      </c>
      <c r="V495" s="4">
        <f t="shared" si="53"/>
        <v>2550.0792000000001</v>
      </c>
      <c r="W495" s="4">
        <f t="shared" si="54"/>
        <v>0.97948898535467455</v>
      </c>
    </row>
    <row r="496" spans="1:23" x14ac:dyDescent="0.3">
      <c r="A496" t="s">
        <v>1089</v>
      </c>
      <c r="B496" s="7">
        <v>45439</v>
      </c>
      <c r="C496" s="2">
        <v>45460</v>
      </c>
      <c r="D496" s="4">
        <f t="shared" si="55"/>
        <v>21</v>
      </c>
      <c r="E496" s="4" t="str">
        <f>TEXT(Data!B496,"MMM-YYYY")</f>
        <v>Aug-2024</v>
      </c>
      <c r="F496" s="4" t="str">
        <f t="shared" si="51"/>
        <v>Q2-2024</v>
      </c>
      <c r="G496" t="s">
        <v>45</v>
      </c>
      <c r="H496" t="s">
        <v>60</v>
      </c>
      <c r="I496" t="s">
        <v>141</v>
      </c>
      <c r="J496" t="s">
        <v>62</v>
      </c>
      <c r="K496" t="s">
        <v>28</v>
      </c>
      <c r="L496" t="s">
        <v>92</v>
      </c>
      <c r="M496" t="s">
        <v>81</v>
      </c>
      <c r="N496" t="s">
        <v>1090</v>
      </c>
      <c r="O496" s="4">
        <v>465.02</v>
      </c>
      <c r="P496" s="8" t="str">
        <f t="shared" si="52"/>
        <v>High</v>
      </c>
      <c r="Q496" s="4">
        <v>651.55999999999995</v>
      </c>
      <c r="R496" s="4">
        <v>4.2000000000000003E-2</v>
      </c>
      <c r="S496" s="4">
        <v>19</v>
      </c>
      <c r="T496" s="4">
        <f t="shared" si="49"/>
        <v>27375.07992</v>
      </c>
      <c r="U496">
        <f t="shared" si="50"/>
        <v>8835.3799999999992</v>
      </c>
      <c r="V496" s="4">
        <f t="shared" si="53"/>
        <v>18539.699919999999</v>
      </c>
      <c r="W496" s="4">
        <f t="shared" si="54"/>
        <v>0.67724733495499501</v>
      </c>
    </row>
    <row r="497" spans="1:23" x14ac:dyDescent="0.3">
      <c r="A497" t="s">
        <v>1091</v>
      </c>
      <c r="B497" s="7">
        <v>45508</v>
      </c>
      <c r="C497" s="2">
        <v>45521</v>
      </c>
      <c r="D497" s="4">
        <f t="shared" si="55"/>
        <v>13</v>
      </c>
      <c r="E497" s="4" t="str">
        <f>TEXT(Data!B497,"MMM-YYYY")</f>
        <v>Jun-2023</v>
      </c>
      <c r="F497" s="4" t="str">
        <f t="shared" si="51"/>
        <v>Q3-2024</v>
      </c>
      <c r="G497" t="s">
        <v>52</v>
      </c>
      <c r="H497" t="s">
        <v>122</v>
      </c>
      <c r="I497" t="s">
        <v>326</v>
      </c>
      <c r="J497" t="s">
        <v>48</v>
      </c>
      <c r="K497" t="s">
        <v>20</v>
      </c>
      <c r="L497" t="s">
        <v>145</v>
      </c>
      <c r="M497" t="s">
        <v>64</v>
      </c>
      <c r="N497" t="s">
        <v>1092</v>
      </c>
      <c r="O497" s="4">
        <v>352.79</v>
      </c>
      <c r="P497" s="8" t="str">
        <f t="shared" si="52"/>
        <v>High</v>
      </c>
      <c r="Q497" s="4">
        <v>754.22</v>
      </c>
      <c r="R497" s="4">
        <v>0.113</v>
      </c>
      <c r="S497" s="4">
        <v>7</v>
      </c>
      <c r="T497" s="4">
        <f t="shared" si="49"/>
        <v>19254.791990000002</v>
      </c>
      <c r="U497">
        <f t="shared" si="50"/>
        <v>2469.5300000000002</v>
      </c>
      <c r="V497" s="4">
        <f t="shared" si="53"/>
        <v>16785.261990000003</v>
      </c>
      <c r="W497" s="4">
        <f t="shared" si="54"/>
        <v>0.87174465445887173</v>
      </c>
    </row>
    <row r="498" spans="1:23" x14ac:dyDescent="0.3">
      <c r="A498" t="s">
        <v>1093</v>
      </c>
      <c r="B498" s="7">
        <v>45097</v>
      </c>
      <c r="C498" s="2">
        <v>45111</v>
      </c>
      <c r="D498" s="4">
        <f t="shared" si="55"/>
        <v>14</v>
      </c>
      <c r="E498" s="4" t="str">
        <f>TEXT(Data!B498,"MMM-YYYY")</f>
        <v>Sept-2024</v>
      </c>
      <c r="F498" s="4" t="str">
        <f t="shared" si="51"/>
        <v>Q2-2023</v>
      </c>
      <c r="G498" t="s">
        <v>52</v>
      </c>
      <c r="H498" t="s">
        <v>73</v>
      </c>
      <c r="I498" t="s">
        <v>87</v>
      </c>
      <c r="J498" t="s">
        <v>39</v>
      </c>
      <c r="K498" t="s">
        <v>98</v>
      </c>
      <c r="L498" t="s">
        <v>21</v>
      </c>
      <c r="M498" t="s">
        <v>35</v>
      </c>
      <c r="N498" t="s">
        <v>1094</v>
      </c>
      <c r="O498" s="4">
        <v>1292.8599999999999</v>
      </c>
      <c r="P498" s="8" t="str">
        <f t="shared" si="52"/>
        <v>High</v>
      </c>
      <c r="Q498" s="4">
        <v>2981.01</v>
      </c>
      <c r="R498" s="4">
        <v>0.14199999999999999</v>
      </c>
      <c r="S498" s="4">
        <v>12</v>
      </c>
      <c r="T498" s="4">
        <f t="shared" si="49"/>
        <v>10084.108319999999</v>
      </c>
      <c r="U498">
        <f t="shared" si="50"/>
        <v>15514.32</v>
      </c>
      <c r="V498" s="4">
        <f t="shared" si="53"/>
        <v>-5430.2116800000003</v>
      </c>
      <c r="W498" s="4">
        <f t="shared" si="54"/>
        <v>-0.5384920022358507</v>
      </c>
    </row>
    <row r="499" spans="1:23" x14ac:dyDescent="0.3">
      <c r="A499" t="s">
        <v>1095</v>
      </c>
      <c r="B499" s="7">
        <v>45544</v>
      </c>
      <c r="C499" s="2">
        <v>45548</v>
      </c>
      <c r="D499" s="4">
        <f t="shared" si="55"/>
        <v>4</v>
      </c>
      <c r="E499" s="4" t="str">
        <f>TEXT(Data!B499,"MMM-YYYY")</f>
        <v>Oct-2023</v>
      </c>
      <c r="F499" s="4" t="str">
        <f t="shared" si="51"/>
        <v>Q3-2024</v>
      </c>
      <c r="G499" t="s">
        <v>78</v>
      </c>
      <c r="H499" t="s">
        <v>108</v>
      </c>
      <c r="I499" t="s">
        <v>152</v>
      </c>
      <c r="J499" t="s">
        <v>48</v>
      </c>
      <c r="K499" t="s">
        <v>40</v>
      </c>
      <c r="L499" t="s">
        <v>84</v>
      </c>
      <c r="M499" t="s">
        <v>35</v>
      </c>
      <c r="N499" t="s">
        <v>1096</v>
      </c>
      <c r="O499" s="4">
        <v>1133.08</v>
      </c>
      <c r="P499" s="8" t="str">
        <f t="shared" si="52"/>
        <v>High</v>
      </c>
      <c r="Q499" s="4">
        <v>976.17</v>
      </c>
      <c r="R499" s="4">
        <v>4.2000000000000003E-2</v>
      </c>
      <c r="S499" s="4">
        <v>27</v>
      </c>
      <c r="T499" s="4">
        <f t="shared" si="49"/>
        <v>30683.801159999999</v>
      </c>
      <c r="U499">
        <f t="shared" si="50"/>
        <v>30593.159999999996</v>
      </c>
      <c r="V499" s="4">
        <f t="shared" si="53"/>
        <v>90.641160000002856</v>
      </c>
      <c r="W499" s="4">
        <f t="shared" si="54"/>
        <v>2.9540394792469337E-3</v>
      </c>
    </row>
    <row r="500" spans="1:23" x14ac:dyDescent="0.3">
      <c r="A500" t="s">
        <v>1097</v>
      </c>
      <c r="B500" s="7">
        <v>45224</v>
      </c>
      <c r="C500" s="2">
        <v>45227</v>
      </c>
      <c r="D500" s="4">
        <f t="shared" si="55"/>
        <v>3</v>
      </c>
      <c r="E500" s="4" t="str">
        <f>TEXT(Data!B500,"MMM-YYYY")</f>
        <v>Sept-2025</v>
      </c>
      <c r="F500" s="4" t="str">
        <f t="shared" si="51"/>
        <v>Q4-2023</v>
      </c>
      <c r="G500" t="s">
        <v>52</v>
      </c>
      <c r="H500" t="s">
        <v>73</v>
      </c>
      <c r="I500" t="s">
        <v>87</v>
      </c>
      <c r="J500" t="s">
        <v>19</v>
      </c>
      <c r="K500" t="s">
        <v>55</v>
      </c>
      <c r="L500" t="s">
        <v>49</v>
      </c>
      <c r="M500" t="s">
        <v>81</v>
      </c>
      <c r="N500" t="s">
        <v>1098</v>
      </c>
      <c r="O500" s="4">
        <v>509.31</v>
      </c>
      <c r="P500" s="8" t="str">
        <f t="shared" si="52"/>
        <v>High</v>
      </c>
      <c r="Q500" s="4">
        <v>1145.9000000000001</v>
      </c>
      <c r="R500" s="4">
        <v>5.7000000000000002E-2</v>
      </c>
      <c r="S500" s="4">
        <v>8</v>
      </c>
      <c r="T500" s="4">
        <f t="shared" si="49"/>
        <v>14622.761519999998</v>
      </c>
      <c r="U500">
        <f t="shared" si="50"/>
        <v>4074.48</v>
      </c>
      <c r="V500" s="4">
        <f t="shared" si="53"/>
        <v>10548.281519999999</v>
      </c>
      <c r="W500" s="4">
        <f t="shared" si="54"/>
        <v>0.7213604287789821</v>
      </c>
    </row>
    <row r="501" spans="1:23" x14ac:dyDescent="0.3">
      <c r="A501" t="s">
        <v>1099</v>
      </c>
      <c r="B501" s="7">
        <v>45908</v>
      </c>
      <c r="C501" s="2">
        <v>45935</v>
      </c>
      <c r="D501" s="4">
        <f t="shared" si="55"/>
        <v>27</v>
      </c>
      <c r="E501" s="4" t="str">
        <f>TEXT(Data!B501,"MMM-YYYY")</f>
        <v>May-2023</v>
      </c>
      <c r="F501" s="4" t="str">
        <f t="shared" si="51"/>
        <v>Q3-2025</v>
      </c>
      <c r="G501" t="s">
        <v>52</v>
      </c>
      <c r="H501" t="s">
        <v>73</v>
      </c>
      <c r="I501" t="s">
        <v>225</v>
      </c>
      <c r="J501" t="s">
        <v>27</v>
      </c>
      <c r="K501" t="s">
        <v>28</v>
      </c>
      <c r="L501" t="s">
        <v>21</v>
      </c>
      <c r="M501" t="s">
        <v>64</v>
      </c>
      <c r="N501" t="s">
        <v>1100</v>
      </c>
      <c r="O501" s="4">
        <v>660.78</v>
      </c>
      <c r="P501" s="8" t="str">
        <f t="shared" si="52"/>
        <v>High</v>
      </c>
      <c r="Q501" s="4">
        <v>1630.39</v>
      </c>
      <c r="R501" s="4">
        <v>0.218</v>
      </c>
      <c r="S501" s="4">
        <v>13</v>
      </c>
      <c r="T501" s="4">
        <f t="shared" si="49"/>
        <v>8401.8940200000015</v>
      </c>
      <c r="U501">
        <f t="shared" si="50"/>
        <v>8590.14</v>
      </c>
      <c r="V501" s="4">
        <f t="shared" si="53"/>
        <v>-188.24597999999787</v>
      </c>
      <c r="W501" s="4">
        <f t="shared" si="54"/>
        <v>-2.2405183825443903E-2</v>
      </c>
    </row>
    <row r="502" spans="1:23" x14ac:dyDescent="0.3">
      <c r="A502" t="s">
        <v>1101</v>
      </c>
      <c r="B502" s="7">
        <v>45048</v>
      </c>
      <c r="C502" s="2">
        <v>45062</v>
      </c>
      <c r="D502" s="4">
        <f t="shared" si="55"/>
        <v>14</v>
      </c>
      <c r="E502" s="4" t="str">
        <f>TEXT(Data!B502,"MMM-YYYY")</f>
        <v>Apr-2024</v>
      </c>
      <c r="F502" s="4" t="str">
        <f t="shared" si="51"/>
        <v>Q2-2023</v>
      </c>
      <c r="G502" t="s">
        <v>45</v>
      </c>
      <c r="H502" t="s">
        <v>60</v>
      </c>
      <c r="I502" t="s">
        <v>61</v>
      </c>
      <c r="J502" t="s">
        <v>39</v>
      </c>
      <c r="K502" t="s">
        <v>20</v>
      </c>
      <c r="L502" t="s">
        <v>49</v>
      </c>
      <c r="M502" t="s">
        <v>64</v>
      </c>
      <c r="N502" t="s">
        <v>1102</v>
      </c>
      <c r="O502" s="4">
        <v>475.37</v>
      </c>
      <c r="P502" s="8" t="str">
        <f t="shared" si="52"/>
        <v>High</v>
      </c>
      <c r="Q502" s="4">
        <v>963.73</v>
      </c>
      <c r="R502" s="4">
        <v>4.1000000000000002E-2</v>
      </c>
      <c r="S502" s="4">
        <v>22</v>
      </c>
      <c r="T502" s="4">
        <f t="shared" si="49"/>
        <v>2493.1506600000002</v>
      </c>
      <c r="U502">
        <f t="shared" si="50"/>
        <v>10458.14</v>
      </c>
      <c r="V502" s="4">
        <f t="shared" si="53"/>
        <v>-7964.9893399999992</v>
      </c>
      <c r="W502" s="4">
        <f t="shared" si="54"/>
        <v>-3.194748503485946</v>
      </c>
    </row>
    <row r="503" spans="1:23" x14ac:dyDescent="0.3">
      <c r="A503" t="s">
        <v>1103</v>
      </c>
      <c r="B503" s="7">
        <v>45408</v>
      </c>
      <c r="C503" s="2">
        <v>45406</v>
      </c>
      <c r="D503" s="4">
        <f>DATEDIF(C503,B503, "MD")</f>
        <v>2</v>
      </c>
      <c r="E503" s="4" t="str">
        <f>TEXT(Data!B503,"MMM-YYYY")</f>
        <v>Feb-2023</v>
      </c>
      <c r="F503" s="4" t="str">
        <f t="shared" si="51"/>
        <v>Q2-2024</v>
      </c>
      <c r="G503" t="s">
        <v>78</v>
      </c>
      <c r="H503" t="s">
        <v>108</v>
      </c>
      <c r="I503" t="s">
        <v>152</v>
      </c>
      <c r="J503" t="s">
        <v>39</v>
      </c>
      <c r="K503" t="s">
        <v>55</v>
      </c>
      <c r="L503" t="s">
        <v>126</v>
      </c>
      <c r="M503" t="s">
        <v>42</v>
      </c>
      <c r="N503" t="s">
        <v>1104</v>
      </c>
      <c r="O503" s="4">
        <v>1232.77</v>
      </c>
      <c r="P503" s="8" t="str">
        <f t="shared" si="52"/>
        <v>High</v>
      </c>
      <c r="Q503" s="4">
        <v>891.73</v>
      </c>
      <c r="R503" s="4">
        <v>0.16700000000000001</v>
      </c>
      <c r="S503" s="4">
        <v>10</v>
      </c>
      <c r="T503" s="4">
        <f t="shared" si="49"/>
        <v>11877.497099999999</v>
      </c>
      <c r="U503">
        <f t="shared" si="50"/>
        <v>12327.7</v>
      </c>
      <c r="V503" s="4">
        <f t="shared" si="53"/>
        <v>-450.20290000000205</v>
      </c>
      <c r="W503" s="4">
        <f t="shared" si="54"/>
        <v>-3.7903852655960836E-2</v>
      </c>
    </row>
    <row r="504" spans="1:23" x14ac:dyDescent="0.3">
      <c r="A504" t="s">
        <v>1105</v>
      </c>
      <c r="B504" s="7">
        <v>44980</v>
      </c>
      <c r="C504" s="2">
        <v>45003</v>
      </c>
      <c r="D504" s="4">
        <f t="shared" si="55"/>
        <v>23</v>
      </c>
      <c r="E504" s="4" t="str">
        <f>TEXT(Data!B504,"MMM-YYYY")</f>
        <v>Mar-2025</v>
      </c>
      <c r="F504" s="4" t="str">
        <f t="shared" si="51"/>
        <v>Q1-2023</v>
      </c>
      <c r="G504" t="s">
        <v>45</v>
      </c>
      <c r="H504" t="s">
        <v>116</v>
      </c>
      <c r="I504" t="s">
        <v>338</v>
      </c>
      <c r="J504" t="s">
        <v>27</v>
      </c>
      <c r="K504" t="s">
        <v>55</v>
      </c>
      <c r="L504" t="s">
        <v>95</v>
      </c>
      <c r="M504" t="s">
        <v>30</v>
      </c>
      <c r="N504" t="s">
        <v>1106</v>
      </c>
      <c r="O504" s="4">
        <v>770.11</v>
      </c>
      <c r="P504" s="8" t="str">
        <f t="shared" si="52"/>
        <v>High</v>
      </c>
      <c r="Q504" s="4">
        <v>1667.82</v>
      </c>
      <c r="R504" s="4">
        <v>6.9000000000000006E-2</v>
      </c>
      <c r="S504" s="4">
        <v>7</v>
      </c>
      <c r="T504" s="4">
        <f t="shared" si="49"/>
        <v>10393.181259999999</v>
      </c>
      <c r="U504">
        <f t="shared" si="50"/>
        <v>5390.77</v>
      </c>
      <c r="V504" s="4">
        <f t="shared" si="53"/>
        <v>5002.4112599999989</v>
      </c>
      <c r="W504" s="4">
        <f t="shared" si="54"/>
        <v>0.48131665703288229</v>
      </c>
    </row>
    <row r="505" spans="1:23" x14ac:dyDescent="0.3">
      <c r="A505" t="s">
        <v>1107</v>
      </c>
      <c r="B505" s="7">
        <v>45740</v>
      </c>
      <c r="C505" s="2">
        <v>45741</v>
      </c>
      <c r="D505" s="4">
        <f t="shared" si="55"/>
        <v>1</v>
      </c>
      <c r="E505" s="4" t="str">
        <f>TEXT(Data!B505,"MMM-YYYY")</f>
        <v>Mar-2025</v>
      </c>
      <c r="F505" s="4" t="str">
        <f t="shared" si="51"/>
        <v>Q1-2025</v>
      </c>
      <c r="G505" t="s">
        <v>45</v>
      </c>
      <c r="H505" t="s">
        <v>116</v>
      </c>
      <c r="I505" t="s">
        <v>338</v>
      </c>
      <c r="J505" t="s">
        <v>39</v>
      </c>
      <c r="K505" t="s">
        <v>28</v>
      </c>
      <c r="L505" t="s">
        <v>41</v>
      </c>
      <c r="M505" t="s">
        <v>35</v>
      </c>
      <c r="N505" t="s">
        <v>1108</v>
      </c>
      <c r="O505" s="4">
        <v>1133.03</v>
      </c>
      <c r="P505" s="8" t="str">
        <f t="shared" si="52"/>
        <v>High</v>
      </c>
      <c r="Q505" s="4">
        <v>1921.51</v>
      </c>
      <c r="R505" s="4">
        <v>0.10100000000000001</v>
      </c>
      <c r="S505" s="4">
        <v>5</v>
      </c>
      <c r="T505" s="4">
        <f t="shared" si="49"/>
        <v>15022.784449999999</v>
      </c>
      <c r="U505">
        <f t="shared" si="50"/>
        <v>5665.15</v>
      </c>
      <c r="V505" s="4">
        <f t="shared" si="53"/>
        <v>9357.6344499999996</v>
      </c>
      <c r="W505" s="4">
        <f t="shared" si="54"/>
        <v>0.62289614026912299</v>
      </c>
    </row>
    <row r="506" spans="1:23" x14ac:dyDescent="0.3">
      <c r="A506" t="s">
        <v>1109</v>
      </c>
      <c r="B506" s="7">
        <v>45726</v>
      </c>
      <c r="C506" s="2">
        <v>45743</v>
      </c>
      <c r="D506" s="4">
        <f t="shared" si="55"/>
        <v>17</v>
      </c>
      <c r="E506" s="4" t="str">
        <f>TEXT(Data!B506,"MMM-YYYY")</f>
        <v>Apr-2024</v>
      </c>
      <c r="F506" s="4" t="str">
        <f t="shared" si="51"/>
        <v>Q1-2025</v>
      </c>
      <c r="G506" t="s">
        <v>52</v>
      </c>
      <c r="H506" t="s">
        <v>73</v>
      </c>
      <c r="I506" t="s">
        <v>225</v>
      </c>
      <c r="J506" t="s">
        <v>105</v>
      </c>
      <c r="K506" t="s">
        <v>98</v>
      </c>
      <c r="L506" t="s">
        <v>84</v>
      </c>
      <c r="M506" t="s">
        <v>35</v>
      </c>
      <c r="N506" t="s">
        <v>1110</v>
      </c>
      <c r="O506" s="4">
        <v>996.73</v>
      </c>
      <c r="P506" s="8" t="str">
        <f t="shared" si="52"/>
        <v>High</v>
      </c>
      <c r="Q506" s="4">
        <v>1217.43</v>
      </c>
      <c r="R506" s="4">
        <v>7.0000000000000007E-2</v>
      </c>
      <c r="S506" s="4">
        <v>9</v>
      </c>
      <c r="T506" s="4">
        <f t="shared" si="49"/>
        <v>8953.9748999999993</v>
      </c>
      <c r="U506">
        <f t="shared" si="50"/>
        <v>8970.57</v>
      </c>
      <c r="V506" s="4">
        <f t="shared" si="53"/>
        <v>-16.595100000000457</v>
      </c>
      <c r="W506" s="4">
        <f t="shared" si="54"/>
        <v>-1.8533779897015859E-3</v>
      </c>
    </row>
    <row r="507" spans="1:23" x14ac:dyDescent="0.3">
      <c r="A507" t="s">
        <v>1111</v>
      </c>
      <c r="B507" s="7">
        <v>45387</v>
      </c>
      <c r="C507" s="2">
        <v>45391</v>
      </c>
      <c r="D507" s="4">
        <f t="shared" si="55"/>
        <v>4</v>
      </c>
      <c r="E507" s="4" t="str">
        <f>TEXT(Data!B507,"MMM-YYYY")</f>
        <v>Apr-2025</v>
      </c>
      <c r="F507" s="4" t="str">
        <f t="shared" si="51"/>
        <v>Q2-2024</v>
      </c>
      <c r="G507" t="s">
        <v>16</v>
      </c>
      <c r="H507" t="s">
        <v>25</v>
      </c>
      <c r="I507" t="s">
        <v>38</v>
      </c>
      <c r="J507" t="s">
        <v>39</v>
      </c>
      <c r="K507" t="s">
        <v>98</v>
      </c>
      <c r="L507" t="s">
        <v>95</v>
      </c>
      <c r="M507" t="s">
        <v>22</v>
      </c>
      <c r="N507" t="s">
        <v>1112</v>
      </c>
      <c r="O507" s="4">
        <v>395.07</v>
      </c>
      <c r="P507" s="8" t="str">
        <f t="shared" si="52"/>
        <v>High</v>
      </c>
      <c r="Q507" s="4">
        <v>970.27</v>
      </c>
      <c r="R507" s="4">
        <v>0.123</v>
      </c>
      <c r="S507" s="4">
        <v>38</v>
      </c>
      <c r="T507" s="4">
        <f t="shared" si="49"/>
        <v>4692.9673199999997</v>
      </c>
      <c r="U507">
        <f t="shared" si="50"/>
        <v>15012.66</v>
      </c>
      <c r="V507" s="4">
        <f t="shared" si="53"/>
        <v>-10319.69268</v>
      </c>
      <c r="W507" s="4">
        <f t="shared" si="54"/>
        <v>-2.1989696446469185</v>
      </c>
    </row>
    <row r="508" spans="1:23" x14ac:dyDescent="0.3">
      <c r="A508" t="s">
        <v>1113</v>
      </c>
      <c r="B508" s="7">
        <v>45774</v>
      </c>
      <c r="C508" s="2">
        <v>45794</v>
      </c>
      <c r="D508" s="4">
        <f t="shared" si="55"/>
        <v>20</v>
      </c>
      <c r="E508" s="4" t="str">
        <f>TEXT(Data!B508,"MMM-YYYY")</f>
        <v>Oct-2024</v>
      </c>
      <c r="F508" s="4" t="str">
        <f t="shared" si="51"/>
        <v>Q2-2025</v>
      </c>
      <c r="G508" t="s">
        <v>52</v>
      </c>
      <c r="H508" t="s">
        <v>122</v>
      </c>
      <c r="I508" t="s">
        <v>326</v>
      </c>
      <c r="J508" t="s">
        <v>19</v>
      </c>
      <c r="K508" t="s">
        <v>98</v>
      </c>
      <c r="L508" t="s">
        <v>126</v>
      </c>
      <c r="M508" t="s">
        <v>42</v>
      </c>
      <c r="N508" t="s">
        <v>1114</v>
      </c>
      <c r="O508" s="4">
        <v>932.26</v>
      </c>
      <c r="P508" s="8" t="str">
        <f t="shared" si="52"/>
        <v>High</v>
      </c>
      <c r="Q508" s="4">
        <v>1624.67</v>
      </c>
      <c r="R508" s="4">
        <v>0.23499999999999999</v>
      </c>
      <c r="S508" s="4">
        <v>28</v>
      </c>
      <c r="T508" s="4">
        <f t="shared" si="49"/>
        <v>1435.9968000000001</v>
      </c>
      <c r="U508">
        <f t="shared" si="50"/>
        <v>26103.279999999999</v>
      </c>
      <c r="V508" s="4">
        <f t="shared" si="53"/>
        <v>-24667.283199999998</v>
      </c>
      <c r="W508" s="4">
        <f t="shared" si="54"/>
        <v>-17.177812095402995</v>
      </c>
    </row>
    <row r="509" spans="1:23" x14ac:dyDescent="0.3">
      <c r="A509" t="s">
        <v>1115</v>
      </c>
      <c r="B509" s="7">
        <v>45589</v>
      </c>
      <c r="C509" s="2">
        <v>45593</v>
      </c>
      <c r="D509" s="4">
        <f t="shared" si="55"/>
        <v>4</v>
      </c>
      <c r="E509" s="4" t="str">
        <f>TEXT(Data!B509,"MMM-YYYY")</f>
        <v>Apr-2023</v>
      </c>
      <c r="F509" s="4" t="str">
        <f t="shared" si="51"/>
        <v>Q4-2024</v>
      </c>
      <c r="G509" t="s">
        <v>45</v>
      </c>
      <c r="H509" t="s">
        <v>116</v>
      </c>
      <c r="I509" t="s">
        <v>162</v>
      </c>
      <c r="J509" t="s">
        <v>62</v>
      </c>
      <c r="K509" t="s">
        <v>55</v>
      </c>
      <c r="L509" t="s">
        <v>34</v>
      </c>
      <c r="M509" t="s">
        <v>35</v>
      </c>
      <c r="N509" t="s">
        <v>1116</v>
      </c>
      <c r="O509" s="4">
        <v>1331.77</v>
      </c>
      <c r="P509" s="8" t="str">
        <f t="shared" si="52"/>
        <v>High</v>
      </c>
      <c r="Q509" s="4">
        <v>2606.11</v>
      </c>
      <c r="R509" s="4">
        <v>0.02</v>
      </c>
      <c r="S509" s="4">
        <v>6</v>
      </c>
      <c r="T509" s="4">
        <f t="shared" si="49"/>
        <v>7506.8196000000007</v>
      </c>
      <c r="U509">
        <f t="shared" si="50"/>
        <v>7990.62</v>
      </c>
      <c r="V509" s="4">
        <f t="shared" si="53"/>
        <v>-483.80039999999917</v>
      </c>
      <c r="W509" s="4">
        <f t="shared" si="54"/>
        <v>-6.444811861470591E-2</v>
      </c>
    </row>
    <row r="510" spans="1:23" x14ac:dyDescent="0.3">
      <c r="A510" t="s">
        <v>1117</v>
      </c>
      <c r="B510" s="7">
        <v>45029</v>
      </c>
      <c r="C510" s="2">
        <v>45036</v>
      </c>
      <c r="D510" s="4">
        <f t="shared" si="55"/>
        <v>7</v>
      </c>
      <c r="E510" s="4" t="str">
        <f>TEXT(Data!B510,"MMM-YYYY")</f>
        <v>Nov-2024</v>
      </c>
      <c r="F510" s="4" t="str">
        <f t="shared" si="51"/>
        <v>Q2-2023</v>
      </c>
      <c r="G510" t="s">
        <v>78</v>
      </c>
      <c r="H510" t="s">
        <v>90</v>
      </c>
      <c r="I510" t="s">
        <v>138</v>
      </c>
      <c r="J510" t="s">
        <v>62</v>
      </c>
      <c r="K510" t="s">
        <v>28</v>
      </c>
      <c r="L510" t="s">
        <v>75</v>
      </c>
      <c r="M510" t="s">
        <v>57</v>
      </c>
      <c r="N510" t="s">
        <v>1118</v>
      </c>
      <c r="O510" s="4">
        <v>227.02</v>
      </c>
      <c r="P510" s="8" t="str">
        <f t="shared" si="52"/>
        <v>High</v>
      </c>
      <c r="Q510" s="4">
        <v>434.72</v>
      </c>
      <c r="R510" s="4">
        <v>9.8000000000000004E-2</v>
      </c>
      <c r="S510" s="4">
        <v>10</v>
      </c>
      <c r="T510" s="4">
        <f t="shared" si="49"/>
        <v>25448.667200000004</v>
      </c>
      <c r="U510">
        <f t="shared" si="50"/>
        <v>2270.2000000000003</v>
      </c>
      <c r="V510" s="4">
        <f t="shared" si="53"/>
        <v>23178.467200000003</v>
      </c>
      <c r="W510" s="4">
        <f t="shared" si="54"/>
        <v>0.91079297072186161</v>
      </c>
    </row>
    <row r="511" spans="1:23" x14ac:dyDescent="0.3">
      <c r="A511" t="s">
        <v>1119</v>
      </c>
      <c r="B511" s="7">
        <v>45608</v>
      </c>
      <c r="C511" s="2">
        <v>45617</v>
      </c>
      <c r="D511" s="4">
        <f t="shared" si="55"/>
        <v>9</v>
      </c>
      <c r="E511" s="4" t="str">
        <f>TEXT(Data!B511,"MMM-YYYY")</f>
        <v>May-2023</v>
      </c>
      <c r="F511" s="4" t="str">
        <f t="shared" si="51"/>
        <v>Q4-2024</v>
      </c>
      <c r="G511" t="s">
        <v>45</v>
      </c>
      <c r="H511" t="s">
        <v>60</v>
      </c>
      <c r="I511" t="s">
        <v>220</v>
      </c>
      <c r="J511" t="s">
        <v>19</v>
      </c>
      <c r="K511" t="s">
        <v>98</v>
      </c>
      <c r="L511" t="s">
        <v>92</v>
      </c>
      <c r="M511" t="s">
        <v>57</v>
      </c>
      <c r="N511" t="s">
        <v>1120</v>
      </c>
      <c r="O511" s="4">
        <v>903.41</v>
      </c>
      <c r="P511" s="8" t="str">
        <f t="shared" si="52"/>
        <v>High</v>
      </c>
      <c r="Q511" s="4">
        <v>1860.41</v>
      </c>
      <c r="R511" s="4">
        <v>0.108</v>
      </c>
      <c r="S511" s="4">
        <v>5</v>
      </c>
      <c r="T511" s="4">
        <f t="shared" si="49"/>
        <v>6953.9874000000009</v>
      </c>
      <c r="U511">
        <f t="shared" si="50"/>
        <v>4517.05</v>
      </c>
      <c r="V511" s="4">
        <f t="shared" si="53"/>
        <v>2436.9374000000007</v>
      </c>
      <c r="W511" s="4">
        <f t="shared" si="54"/>
        <v>0.35043741954436103</v>
      </c>
    </row>
    <row r="512" spans="1:23" x14ac:dyDescent="0.3">
      <c r="A512" t="s">
        <v>1121</v>
      </c>
      <c r="B512" s="7">
        <v>45056</v>
      </c>
      <c r="C512" s="2">
        <v>45060</v>
      </c>
      <c r="D512" s="4">
        <f t="shared" si="55"/>
        <v>4</v>
      </c>
      <c r="E512" s="4" t="str">
        <f>TEXT(Data!B512,"MMM-YYYY")</f>
        <v>Mar-2024</v>
      </c>
      <c r="F512" s="4" t="str">
        <f t="shared" si="51"/>
        <v>Q2-2023</v>
      </c>
      <c r="G512" t="s">
        <v>45</v>
      </c>
      <c r="H512" t="s">
        <v>60</v>
      </c>
      <c r="I512" t="s">
        <v>141</v>
      </c>
      <c r="J512" t="s">
        <v>39</v>
      </c>
      <c r="K512" t="s">
        <v>55</v>
      </c>
      <c r="L512" t="s">
        <v>21</v>
      </c>
      <c r="M512" t="s">
        <v>64</v>
      </c>
      <c r="N512" t="s">
        <v>1122</v>
      </c>
      <c r="O512" s="4">
        <v>622.6</v>
      </c>
      <c r="P512" s="8" t="str">
        <f t="shared" si="52"/>
        <v>High</v>
      </c>
      <c r="Q512" s="4">
        <v>833.69</v>
      </c>
      <c r="R512" s="4">
        <v>0.20899999999999999</v>
      </c>
      <c r="S512" s="4">
        <v>14</v>
      </c>
      <c r="T512" s="4">
        <f t="shared" si="49"/>
        <v>7271.8528400000005</v>
      </c>
      <c r="U512">
        <f t="shared" si="50"/>
        <v>8716.4</v>
      </c>
      <c r="V512" s="4">
        <f t="shared" si="53"/>
        <v>-1444.5471599999992</v>
      </c>
      <c r="W512" s="4">
        <f t="shared" si="54"/>
        <v>-0.19864911897749557</v>
      </c>
    </row>
    <row r="513" spans="1:23" x14ac:dyDescent="0.3">
      <c r="A513" t="s">
        <v>1123</v>
      </c>
      <c r="B513" s="7">
        <v>45353</v>
      </c>
      <c r="C513" s="2">
        <v>45374</v>
      </c>
      <c r="D513" s="4">
        <f t="shared" si="55"/>
        <v>21</v>
      </c>
      <c r="E513" s="4" t="str">
        <f>TEXT(Data!B513,"MMM-YYYY")</f>
        <v>Oct-2024</v>
      </c>
      <c r="F513" s="4" t="str">
        <f t="shared" si="51"/>
        <v>Q1-2024</v>
      </c>
      <c r="G513" t="s">
        <v>52</v>
      </c>
      <c r="H513" t="s">
        <v>122</v>
      </c>
      <c r="I513" t="s">
        <v>123</v>
      </c>
      <c r="J513" t="s">
        <v>62</v>
      </c>
      <c r="K513" t="s">
        <v>28</v>
      </c>
      <c r="L513" t="s">
        <v>84</v>
      </c>
      <c r="M513" t="s">
        <v>22</v>
      </c>
      <c r="N513" t="s">
        <v>1124</v>
      </c>
      <c r="O513" s="4">
        <v>225.01</v>
      </c>
      <c r="P513" s="8" t="str">
        <f t="shared" si="52"/>
        <v>High</v>
      </c>
      <c r="Q513" s="4">
        <v>333.48</v>
      </c>
      <c r="R513" s="4">
        <v>0.11899999999999999</v>
      </c>
      <c r="S513" s="4">
        <v>12</v>
      </c>
      <c r="T513" s="4">
        <f t="shared" si="49"/>
        <v>28098.68448</v>
      </c>
      <c r="U513">
        <f t="shared" si="50"/>
        <v>2700.12</v>
      </c>
      <c r="V513" s="4">
        <f t="shared" si="53"/>
        <v>25398.564480000001</v>
      </c>
      <c r="W513" s="4">
        <f t="shared" si="54"/>
        <v>0.90390582157246957</v>
      </c>
    </row>
    <row r="514" spans="1:23" x14ac:dyDescent="0.3">
      <c r="A514" t="s">
        <v>1125</v>
      </c>
      <c r="B514" s="7">
        <v>45575</v>
      </c>
      <c r="C514" s="2">
        <v>45576</v>
      </c>
      <c r="D514" s="4">
        <f t="shared" si="55"/>
        <v>1</v>
      </c>
      <c r="E514" s="4" t="str">
        <f>TEXT(Data!B514,"MMM-YYYY")</f>
        <v>Jun-2023</v>
      </c>
      <c r="F514" s="4" t="str">
        <f t="shared" si="51"/>
        <v>Q4-2024</v>
      </c>
      <c r="G514" t="s">
        <v>78</v>
      </c>
      <c r="H514" t="s">
        <v>108</v>
      </c>
      <c r="I514" t="s">
        <v>228</v>
      </c>
      <c r="J514" t="s">
        <v>39</v>
      </c>
      <c r="K514" t="s">
        <v>55</v>
      </c>
      <c r="L514" t="s">
        <v>49</v>
      </c>
      <c r="M514" t="s">
        <v>22</v>
      </c>
      <c r="N514" t="s">
        <v>1126</v>
      </c>
      <c r="O514" s="4">
        <v>1389.46</v>
      </c>
      <c r="P514" s="8" t="str">
        <f t="shared" si="52"/>
        <v>High</v>
      </c>
      <c r="Q514" s="4">
        <v>1784.7</v>
      </c>
      <c r="R514" s="4">
        <v>0.14599999999999999</v>
      </c>
      <c r="S514" s="4">
        <v>33</v>
      </c>
      <c r="T514" s="4">
        <f t="shared" ref="T514:T577" si="56">(Q540*S514)*(1-R514)</f>
        <v>40152.022679999995</v>
      </c>
      <c r="U514">
        <f t="shared" ref="U514:U577" si="57">(O514*S514)</f>
        <v>45852.18</v>
      </c>
      <c r="V514" s="4">
        <f t="shared" si="53"/>
        <v>-5700.1573200000057</v>
      </c>
      <c r="W514" s="4">
        <f t="shared" si="54"/>
        <v>-0.14196438783242904</v>
      </c>
    </row>
    <row r="515" spans="1:23" x14ac:dyDescent="0.3">
      <c r="A515" t="s">
        <v>1127</v>
      </c>
      <c r="B515" s="7">
        <v>45078</v>
      </c>
      <c r="C515" s="2">
        <v>45085</v>
      </c>
      <c r="D515" s="4">
        <f t="shared" si="55"/>
        <v>7</v>
      </c>
      <c r="E515" s="4" t="str">
        <f>TEXT(Data!B515,"MMM-YYYY")</f>
        <v>Jan-2025</v>
      </c>
      <c r="F515" s="4" t="str">
        <f t="shared" ref="F515:F578" si="58">"Q"&amp;ROUNDUP(MONTH(B515)/3,0)&amp;"-"&amp;YEAR(B515)</f>
        <v>Q2-2023</v>
      </c>
      <c r="G515" t="s">
        <v>78</v>
      </c>
      <c r="H515" t="s">
        <v>79</v>
      </c>
      <c r="I515" t="s">
        <v>335</v>
      </c>
      <c r="J515" t="s">
        <v>48</v>
      </c>
      <c r="K515" t="s">
        <v>28</v>
      </c>
      <c r="L515" t="s">
        <v>75</v>
      </c>
      <c r="M515" t="s">
        <v>42</v>
      </c>
      <c r="N515" t="s">
        <v>1128</v>
      </c>
      <c r="O515" s="4">
        <v>804.17</v>
      </c>
      <c r="P515" s="8" t="str">
        <f t="shared" ref="P515:P578" si="59">IF(Q515&lt;50, "Low", IF(Q515&lt;200, "Medium", "High"))</f>
        <v>High</v>
      </c>
      <c r="Q515" s="4">
        <v>1072.29</v>
      </c>
      <c r="R515" s="4">
        <v>3.2000000000000001E-2</v>
      </c>
      <c r="S515" s="4">
        <v>5</v>
      </c>
      <c r="T515" s="4">
        <f t="shared" si="56"/>
        <v>11222.701599999999</v>
      </c>
      <c r="U515">
        <f t="shared" si="57"/>
        <v>4020.85</v>
      </c>
      <c r="V515" s="4">
        <f t="shared" ref="V515:V578" si="60">(T515-U515)</f>
        <v>7201.8515999999981</v>
      </c>
      <c r="W515" s="4">
        <f t="shared" ref="W515:W578" si="61">IF(T515=0, 0, V515/T515)</f>
        <v>0.64172174015568584</v>
      </c>
    </row>
    <row r="516" spans="1:23" x14ac:dyDescent="0.3">
      <c r="A516" t="s">
        <v>1129</v>
      </c>
      <c r="B516" s="7">
        <v>45661</v>
      </c>
      <c r="C516" s="2">
        <v>45662</v>
      </c>
      <c r="D516" s="4">
        <f t="shared" si="55"/>
        <v>1</v>
      </c>
      <c r="E516" s="4" t="str">
        <f>TEXT(Data!B516,"MMM-YYYY")</f>
        <v>Aug-2025</v>
      </c>
      <c r="F516" s="4" t="str">
        <f t="shared" si="58"/>
        <v>Q1-2025</v>
      </c>
      <c r="G516" t="s">
        <v>45</v>
      </c>
      <c r="H516" t="s">
        <v>60</v>
      </c>
      <c r="I516" t="s">
        <v>141</v>
      </c>
      <c r="J516" t="s">
        <v>27</v>
      </c>
      <c r="K516" t="s">
        <v>20</v>
      </c>
      <c r="L516" t="s">
        <v>34</v>
      </c>
      <c r="M516" t="s">
        <v>22</v>
      </c>
      <c r="N516" t="s">
        <v>1130</v>
      </c>
      <c r="O516" s="4">
        <v>1428.33</v>
      </c>
      <c r="P516" s="8" t="str">
        <f t="shared" si="59"/>
        <v>High</v>
      </c>
      <c r="Q516" s="4">
        <v>3028.05</v>
      </c>
      <c r="R516" s="4">
        <v>0</v>
      </c>
      <c r="S516" s="4">
        <v>11</v>
      </c>
      <c r="T516" s="4">
        <f t="shared" si="56"/>
        <v>4033.7</v>
      </c>
      <c r="U516">
        <f t="shared" si="57"/>
        <v>15711.63</v>
      </c>
      <c r="V516" s="4">
        <f t="shared" si="60"/>
        <v>-11677.93</v>
      </c>
      <c r="W516" s="4">
        <f t="shared" si="61"/>
        <v>-2.8950913553313335</v>
      </c>
    </row>
    <row r="517" spans="1:23" x14ac:dyDescent="0.3">
      <c r="A517" t="s">
        <v>1131</v>
      </c>
      <c r="B517" s="7">
        <v>45874</v>
      </c>
      <c r="C517" s="2">
        <v>45897</v>
      </c>
      <c r="D517" s="4">
        <f t="shared" ref="D517:D580" si="62">DATEDIF(B517,C517, "MD")</f>
        <v>23</v>
      </c>
      <c r="E517" s="4" t="str">
        <f>TEXT(Data!B517,"MMM-YYYY")</f>
        <v>Sept-2023</v>
      </c>
      <c r="F517" s="4" t="str">
        <f t="shared" si="58"/>
        <v>Q3-2025</v>
      </c>
      <c r="G517" t="s">
        <v>45</v>
      </c>
      <c r="H517" t="s">
        <v>60</v>
      </c>
      <c r="I517" t="s">
        <v>220</v>
      </c>
      <c r="J517" t="s">
        <v>39</v>
      </c>
      <c r="K517" t="s">
        <v>55</v>
      </c>
      <c r="L517" t="s">
        <v>126</v>
      </c>
      <c r="M517" t="s">
        <v>57</v>
      </c>
      <c r="N517" t="s">
        <v>1132</v>
      </c>
      <c r="O517" s="4">
        <v>638.54</v>
      </c>
      <c r="P517" s="8" t="str">
        <f t="shared" si="59"/>
        <v>High</v>
      </c>
      <c r="Q517" s="4">
        <v>987.24</v>
      </c>
      <c r="R517" s="4">
        <v>0</v>
      </c>
      <c r="S517" s="4">
        <v>11</v>
      </c>
      <c r="T517" s="4">
        <f t="shared" si="56"/>
        <v>30771.51</v>
      </c>
      <c r="U517">
        <f t="shared" si="57"/>
        <v>7023.94</v>
      </c>
      <c r="V517" s="4">
        <f t="shared" si="60"/>
        <v>23747.57</v>
      </c>
      <c r="W517" s="4">
        <f t="shared" si="61"/>
        <v>0.77173885844406076</v>
      </c>
    </row>
    <row r="518" spans="1:23" x14ac:dyDescent="0.3">
      <c r="A518" t="s">
        <v>1133</v>
      </c>
      <c r="B518" s="7">
        <v>45199</v>
      </c>
      <c r="C518" s="2">
        <v>45229</v>
      </c>
      <c r="D518" s="4">
        <f t="shared" si="62"/>
        <v>0</v>
      </c>
      <c r="E518" s="4" t="str">
        <f>TEXT(Data!B518,"MMM-YYYY")</f>
        <v>May-2025</v>
      </c>
      <c r="F518" s="4" t="str">
        <f t="shared" si="58"/>
        <v>Q3-2023</v>
      </c>
      <c r="G518" t="s">
        <v>45</v>
      </c>
      <c r="H518" t="s">
        <v>46</v>
      </c>
      <c r="I518" t="s">
        <v>214</v>
      </c>
      <c r="J518" t="s">
        <v>105</v>
      </c>
      <c r="K518" t="s">
        <v>28</v>
      </c>
      <c r="L518" t="s">
        <v>145</v>
      </c>
      <c r="M518" t="s">
        <v>30</v>
      </c>
      <c r="N518" t="s">
        <v>1134</v>
      </c>
      <c r="O518" s="4">
        <v>649.13</v>
      </c>
      <c r="P518" s="8" t="str">
        <f t="shared" si="59"/>
        <v>High</v>
      </c>
      <c r="Q518" s="4">
        <v>975.43</v>
      </c>
      <c r="R518" s="4">
        <v>0.157</v>
      </c>
      <c r="S518" s="4">
        <v>27</v>
      </c>
      <c r="T518" s="4">
        <f t="shared" si="56"/>
        <v>50294.07125999999</v>
      </c>
      <c r="U518">
        <f t="shared" si="57"/>
        <v>17526.509999999998</v>
      </c>
      <c r="V518" s="4">
        <f t="shared" si="60"/>
        <v>32767.561259999991</v>
      </c>
      <c r="W518" s="4">
        <f t="shared" si="61"/>
        <v>0.65151936280133227</v>
      </c>
    </row>
    <row r="519" spans="1:23" x14ac:dyDescent="0.3">
      <c r="A519" t="s">
        <v>1135</v>
      </c>
      <c r="B519" s="7">
        <v>45794</v>
      </c>
      <c r="C519" s="2">
        <v>45807</v>
      </c>
      <c r="D519" s="4">
        <f t="shared" si="62"/>
        <v>13</v>
      </c>
      <c r="E519" s="4" t="str">
        <f>TEXT(Data!B519,"MMM-YYYY")</f>
        <v>May-2024</v>
      </c>
      <c r="F519" s="4" t="str">
        <f t="shared" si="58"/>
        <v>Q2-2025</v>
      </c>
      <c r="G519" t="s">
        <v>16</v>
      </c>
      <c r="H519" t="s">
        <v>25</v>
      </c>
      <c r="I519" t="s">
        <v>38</v>
      </c>
      <c r="J519" t="s">
        <v>48</v>
      </c>
      <c r="K519" t="s">
        <v>55</v>
      </c>
      <c r="L519" t="s">
        <v>84</v>
      </c>
      <c r="M519" t="s">
        <v>81</v>
      </c>
      <c r="N519" t="s">
        <v>1136</v>
      </c>
      <c r="O519" s="4">
        <v>66.400000000000006</v>
      </c>
      <c r="P519" s="8" t="str">
        <f t="shared" si="59"/>
        <v>Medium</v>
      </c>
      <c r="Q519" s="4">
        <v>141.43</v>
      </c>
      <c r="R519" s="4">
        <v>0.107</v>
      </c>
      <c r="S519" s="4">
        <v>8</v>
      </c>
      <c r="T519" s="4">
        <f t="shared" si="56"/>
        <v>5994.1017599999996</v>
      </c>
      <c r="U519">
        <f t="shared" si="57"/>
        <v>531.20000000000005</v>
      </c>
      <c r="V519" s="4">
        <f t="shared" si="60"/>
        <v>5462.9017599999997</v>
      </c>
      <c r="W519" s="4">
        <f t="shared" si="61"/>
        <v>0.91137954921873066</v>
      </c>
    </row>
    <row r="520" spans="1:23" x14ac:dyDescent="0.3">
      <c r="A520" t="s">
        <v>1137</v>
      </c>
      <c r="B520" s="7">
        <v>45413</v>
      </c>
      <c r="C520" s="2">
        <v>45438</v>
      </c>
      <c r="D520" s="4">
        <f t="shared" si="62"/>
        <v>25</v>
      </c>
      <c r="E520" s="4" t="str">
        <f>TEXT(Data!B520,"MMM-YYYY")</f>
        <v>May-2023</v>
      </c>
      <c r="F520" s="4" t="str">
        <f t="shared" si="58"/>
        <v>Q2-2024</v>
      </c>
      <c r="G520" t="s">
        <v>78</v>
      </c>
      <c r="H520" t="s">
        <v>79</v>
      </c>
      <c r="I520" t="s">
        <v>80</v>
      </c>
      <c r="J520" t="s">
        <v>39</v>
      </c>
      <c r="K520" t="s">
        <v>20</v>
      </c>
      <c r="L520" t="s">
        <v>56</v>
      </c>
      <c r="M520" t="s">
        <v>35</v>
      </c>
      <c r="N520" t="s">
        <v>1138</v>
      </c>
      <c r="O520" s="4">
        <v>930.71</v>
      </c>
      <c r="P520" s="8" t="str">
        <f t="shared" si="59"/>
        <v>High</v>
      </c>
      <c r="Q520" s="4">
        <v>1625.42</v>
      </c>
      <c r="R520" s="4">
        <v>0.13800000000000001</v>
      </c>
      <c r="S520" s="4">
        <v>7</v>
      </c>
      <c r="T520" s="4">
        <f t="shared" si="56"/>
        <v>6873.6311000000005</v>
      </c>
      <c r="U520">
        <f t="shared" si="57"/>
        <v>6514.97</v>
      </c>
      <c r="V520" s="4">
        <f t="shared" si="60"/>
        <v>358.66110000000026</v>
      </c>
      <c r="W520" s="4">
        <f t="shared" si="61"/>
        <v>5.2179276830844216E-2</v>
      </c>
    </row>
    <row r="521" spans="1:23" x14ac:dyDescent="0.3">
      <c r="A521" t="s">
        <v>1139</v>
      </c>
      <c r="B521" s="7">
        <v>45047</v>
      </c>
      <c r="C521" s="2">
        <v>45064</v>
      </c>
      <c r="D521" s="4">
        <f t="shared" si="62"/>
        <v>17</v>
      </c>
      <c r="E521" s="4" t="str">
        <f>TEXT(Data!B521,"MMM-YYYY")</f>
        <v>Jul-2024</v>
      </c>
      <c r="F521" s="4" t="str">
        <f t="shared" si="58"/>
        <v>Q2-2023</v>
      </c>
      <c r="G521" t="s">
        <v>16</v>
      </c>
      <c r="H521" t="s">
        <v>25</v>
      </c>
      <c r="I521" t="s">
        <v>26</v>
      </c>
      <c r="J521" t="s">
        <v>19</v>
      </c>
      <c r="K521" t="s">
        <v>98</v>
      </c>
      <c r="L521" t="s">
        <v>84</v>
      </c>
      <c r="M521" t="s">
        <v>22</v>
      </c>
      <c r="N521" t="s">
        <v>1140</v>
      </c>
      <c r="O521" s="4">
        <v>327.97</v>
      </c>
      <c r="P521" s="8" t="str">
        <f t="shared" si="59"/>
        <v>High</v>
      </c>
      <c r="Q521" s="4">
        <v>299.94</v>
      </c>
      <c r="R521" s="4">
        <v>4.9000000000000002E-2</v>
      </c>
      <c r="S521" s="4">
        <v>3</v>
      </c>
      <c r="T521" s="4">
        <f t="shared" si="56"/>
        <v>4884.4215899999999</v>
      </c>
      <c r="U521">
        <f t="shared" si="57"/>
        <v>983.91000000000008</v>
      </c>
      <c r="V521" s="4">
        <f t="shared" si="60"/>
        <v>3900.5115900000001</v>
      </c>
      <c r="W521" s="4">
        <f t="shared" si="61"/>
        <v>0.79856161433435968</v>
      </c>
    </row>
    <row r="522" spans="1:23" x14ac:dyDescent="0.3">
      <c r="A522" t="s">
        <v>1141</v>
      </c>
      <c r="B522" s="7">
        <v>45482</v>
      </c>
      <c r="C522" s="2">
        <v>45512</v>
      </c>
      <c r="D522" s="4">
        <f t="shared" si="62"/>
        <v>30</v>
      </c>
      <c r="E522" s="4" t="str">
        <f>TEXT(Data!B522,"MMM-YYYY")</f>
        <v>May-2023</v>
      </c>
      <c r="F522" s="4" t="str">
        <f t="shared" si="58"/>
        <v>Q3-2024</v>
      </c>
      <c r="G522" t="s">
        <v>78</v>
      </c>
      <c r="H522" t="s">
        <v>90</v>
      </c>
      <c r="I522" t="s">
        <v>91</v>
      </c>
      <c r="J522" t="s">
        <v>19</v>
      </c>
      <c r="K522" t="s">
        <v>98</v>
      </c>
      <c r="L522" t="s">
        <v>29</v>
      </c>
      <c r="M522" t="s">
        <v>22</v>
      </c>
      <c r="N522" t="s">
        <v>1142</v>
      </c>
      <c r="O522" s="4">
        <v>1062.3800000000001</v>
      </c>
      <c r="P522" s="8" t="str">
        <f t="shared" si="59"/>
        <v>High</v>
      </c>
      <c r="Q522" s="4">
        <v>1503.96</v>
      </c>
      <c r="R522" s="4">
        <v>0.18</v>
      </c>
      <c r="S522" s="4">
        <v>6</v>
      </c>
      <c r="T522" s="4">
        <f t="shared" si="56"/>
        <v>5187.1068000000005</v>
      </c>
      <c r="U522">
        <f t="shared" si="57"/>
        <v>6374.2800000000007</v>
      </c>
      <c r="V522" s="4">
        <f t="shared" si="60"/>
        <v>-1187.1732000000002</v>
      </c>
      <c r="W522" s="4">
        <f t="shared" si="61"/>
        <v>-0.22887001285572142</v>
      </c>
    </row>
    <row r="523" spans="1:23" x14ac:dyDescent="0.3">
      <c r="A523" t="s">
        <v>1143</v>
      </c>
      <c r="B523" s="7">
        <v>45056</v>
      </c>
      <c r="C523" s="2">
        <v>45073</v>
      </c>
      <c r="D523" s="4">
        <f t="shared" si="62"/>
        <v>17</v>
      </c>
      <c r="E523" s="4" t="str">
        <f>TEXT(Data!B523,"MMM-YYYY")</f>
        <v>Jul-2024</v>
      </c>
      <c r="F523" s="4" t="str">
        <f t="shared" si="58"/>
        <v>Q2-2023</v>
      </c>
      <c r="G523" t="s">
        <v>45</v>
      </c>
      <c r="H523" t="s">
        <v>60</v>
      </c>
      <c r="I523" t="s">
        <v>220</v>
      </c>
      <c r="J523" t="s">
        <v>48</v>
      </c>
      <c r="K523" t="s">
        <v>20</v>
      </c>
      <c r="L523" t="s">
        <v>110</v>
      </c>
      <c r="M523" t="s">
        <v>57</v>
      </c>
      <c r="N523" t="s">
        <v>1144</v>
      </c>
      <c r="O523" s="4">
        <v>1286.1600000000001</v>
      </c>
      <c r="P523" s="8" t="str">
        <f t="shared" si="59"/>
        <v>High</v>
      </c>
      <c r="Q523" s="4">
        <v>3101.11</v>
      </c>
      <c r="R523" s="4">
        <v>0.1</v>
      </c>
      <c r="S523" s="4">
        <v>23</v>
      </c>
      <c r="T523" s="4">
        <f t="shared" si="56"/>
        <v>50740.254000000001</v>
      </c>
      <c r="U523">
        <f t="shared" si="57"/>
        <v>29581.68</v>
      </c>
      <c r="V523" s="4">
        <f t="shared" si="60"/>
        <v>21158.574000000001</v>
      </c>
      <c r="W523" s="4">
        <f t="shared" si="61"/>
        <v>0.41699779429562966</v>
      </c>
    </row>
    <row r="524" spans="1:23" x14ac:dyDescent="0.3">
      <c r="A524" t="s">
        <v>1145</v>
      </c>
      <c r="B524" s="7">
        <v>45482</v>
      </c>
      <c r="C524" s="2">
        <v>45485</v>
      </c>
      <c r="D524" s="4">
        <f t="shared" si="62"/>
        <v>3</v>
      </c>
      <c r="E524" s="4" t="str">
        <f>TEXT(Data!B524,"MMM-YYYY")</f>
        <v>Apr-2024</v>
      </c>
      <c r="F524" s="4" t="str">
        <f t="shared" si="58"/>
        <v>Q3-2024</v>
      </c>
      <c r="G524" t="s">
        <v>45</v>
      </c>
      <c r="H524" t="s">
        <v>116</v>
      </c>
      <c r="I524" t="s">
        <v>162</v>
      </c>
      <c r="J524" t="s">
        <v>62</v>
      </c>
      <c r="K524" t="s">
        <v>20</v>
      </c>
      <c r="L524" t="s">
        <v>145</v>
      </c>
      <c r="M524" t="s">
        <v>81</v>
      </c>
      <c r="N524" t="s">
        <v>1146</v>
      </c>
      <c r="O524" s="4">
        <v>748.39</v>
      </c>
      <c r="P524" s="8" t="str">
        <f t="shared" si="59"/>
        <v>High</v>
      </c>
      <c r="Q524" s="4">
        <v>979.42</v>
      </c>
      <c r="R524" s="4">
        <v>0</v>
      </c>
      <c r="S524" s="4">
        <v>23</v>
      </c>
      <c r="T524" s="4">
        <f t="shared" si="56"/>
        <v>28777.83</v>
      </c>
      <c r="U524">
        <f t="shared" si="57"/>
        <v>17212.97</v>
      </c>
      <c r="V524" s="4">
        <f t="shared" si="60"/>
        <v>11564.86</v>
      </c>
      <c r="W524" s="4">
        <f t="shared" si="61"/>
        <v>0.401866992751017</v>
      </c>
    </row>
    <row r="525" spans="1:23" x14ac:dyDescent="0.3">
      <c r="A525" t="s">
        <v>1147</v>
      </c>
      <c r="B525" s="7">
        <v>45406</v>
      </c>
      <c r="C525" s="2">
        <v>45422</v>
      </c>
      <c r="D525" s="4">
        <f t="shared" si="62"/>
        <v>16</v>
      </c>
      <c r="E525" s="4" t="str">
        <f>TEXT(Data!B525,"MMM-YYYY")</f>
        <v>Jan-2024</v>
      </c>
      <c r="F525" s="4" t="str">
        <f t="shared" si="58"/>
        <v>Q2-2024</v>
      </c>
      <c r="G525" t="s">
        <v>16</v>
      </c>
      <c r="H525" t="s">
        <v>17</v>
      </c>
      <c r="I525" t="s">
        <v>18</v>
      </c>
      <c r="J525" t="s">
        <v>39</v>
      </c>
      <c r="K525" t="s">
        <v>28</v>
      </c>
      <c r="L525" t="s">
        <v>126</v>
      </c>
      <c r="M525" t="s">
        <v>64</v>
      </c>
      <c r="N525" t="s">
        <v>1148</v>
      </c>
      <c r="O525" s="4">
        <v>513.30999999999995</v>
      </c>
      <c r="P525" s="8" t="str">
        <f t="shared" si="59"/>
        <v>High</v>
      </c>
      <c r="Q525" s="4">
        <v>1186.26</v>
      </c>
      <c r="R525" s="4">
        <v>9.4E-2</v>
      </c>
      <c r="S525" s="4">
        <v>15</v>
      </c>
      <c r="T525" s="4">
        <f t="shared" si="56"/>
        <v>15014.232</v>
      </c>
      <c r="U525">
        <f t="shared" si="57"/>
        <v>7699.65</v>
      </c>
      <c r="V525" s="4">
        <f t="shared" si="60"/>
        <v>7314.5820000000003</v>
      </c>
      <c r="W525" s="4">
        <f t="shared" si="61"/>
        <v>0.48717656687335059</v>
      </c>
    </row>
    <row r="526" spans="1:23" x14ac:dyDescent="0.3">
      <c r="A526" t="s">
        <v>1149</v>
      </c>
      <c r="B526" s="7">
        <v>45304</v>
      </c>
      <c r="C526" s="2">
        <v>45306</v>
      </c>
      <c r="D526" s="4">
        <f t="shared" si="62"/>
        <v>2</v>
      </c>
      <c r="E526" s="4" t="str">
        <f>TEXT(Data!B526,"MMM-YYYY")</f>
        <v>Apr-2024</v>
      </c>
      <c r="F526" s="4" t="str">
        <f t="shared" si="58"/>
        <v>Q1-2024</v>
      </c>
      <c r="G526" t="s">
        <v>52</v>
      </c>
      <c r="H526" t="s">
        <v>122</v>
      </c>
      <c r="I526" t="s">
        <v>167</v>
      </c>
      <c r="J526" t="s">
        <v>39</v>
      </c>
      <c r="K526" t="s">
        <v>98</v>
      </c>
      <c r="L526" t="s">
        <v>63</v>
      </c>
      <c r="M526" t="s">
        <v>22</v>
      </c>
      <c r="N526" t="s">
        <v>1150</v>
      </c>
      <c r="O526" s="4">
        <v>1061.3699999999999</v>
      </c>
      <c r="P526" s="8" t="str">
        <f t="shared" si="59"/>
        <v>High</v>
      </c>
      <c r="Q526" s="4">
        <v>1938.33</v>
      </c>
      <c r="R526" s="4">
        <v>0.17</v>
      </c>
      <c r="S526" s="4">
        <v>4</v>
      </c>
      <c r="T526" s="4">
        <f t="shared" si="56"/>
        <v>7912.9211999999989</v>
      </c>
      <c r="U526">
        <f t="shared" si="57"/>
        <v>4245.4799999999996</v>
      </c>
      <c r="V526" s="4">
        <f t="shared" si="60"/>
        <v>3667.4411999999993</v>
      </c>
      <c r="W526" s="4">
        <f t="shared" si="61"/>
        <v>0.46347500591816837</v>
      </c>
    </row>
    <row r="527" spans="1:23" x14ac:dyDescent="0.3">
      <c r="A527" t="s">
        <v>1151</v>
      </c>
      <c r="B527" s="7">
        <v>45398</v>
      </c>
      <c r="C527" s="2">
        <v>45409</v>
      </c>
      <c r="D527" s="4">
        <f t="shared" si="62"/>
        <v>11</v>
      </c>
      <c r="E527" s="4" t="str">
        <f>TEXT(Data!B527,"MMM-YYYY")</f>
        <v>Feb-2025</v>
      </c>
      <c r="F527" s="4" t="str">
        <f t="shared" si="58"/>
        <v>Q2-2024</v>
      </c>
      <c r="G527" t="s">
        <v>16</v>
      </c>
      <c r="H527" t="s">
        <v>17</v>
      </c>
      <c r="I527" t="s">
        <v>135</v>
      </c>
      <c r="J527" t="s">
        <v>105</v>
      </c>
      <c r="K527" t="s">
        <v>28</v>
      </c>
      <c r="L527" t="s">
        <v>145</v>
      </c>
      <c r="M527" t="s">
        <v>30</v>
      </c>
      <c r="N527" t="s">
        <v>1152</v>
      </c>
      <c r="O527" s="4">
        <v>401.3</v>
      </c>
      <c r="P527" s="8" t="str">
        <f t="shared" si="59"/>
        <v>High</v>
      </c>
      <c r="Q527" s="4">
        <v>826.47</v>
      </c>
      <c r="R527" s="4">
        <v>0.22500000000000001</v>
      </c>
      <c r="S527" s="4">
        <v>13</v>
      </c>
      <c r="T527" s="4">
        <f t="shared" si="56"/>
        <v>2146.5795000000003</v>
      </c>
      <c r="U527">
        <f t="shared" si="57"/>
        <v>5216.9000000000005</v>
      </c>
      <c r="V527" s="4">
        <f t="shared" si="60"/>
        <v>-3070.3205000000003</v>
      </c>
      <c r="W527" s="4">
        <f t="shared" si="61"/>
        <v>-1.4303316043034977</v>
      </c>
    </row>
    <row r="528" spans="1:23" x14ac:dyDescent="0.3">
      <c r="A528" t="s">
        <v>1153</v>
      </c>
      <c r="B528" s="7">
        <v>45695</v>
      </c>
      <c r="C528" s="2">
        <v>45704</v>
      </c>
      <c r="D528" s="4">
        <f t="shared" si="62"/>
        <v>9</v>
      </c>
      <c r="E528" s="4" t="str">
        <f>TEXT(Data!B528,"MMM-YYYY")</f>
        <v>Jan-2023</v>
      </c>
      <c r="F528" s="4" t="str">
        <f t="shared" si="58"/>
        <v>Q1-2025</v>
      </c>
      <c r="G528" t="s">
        <v>16</v>
      </c>
      <c r="H528" t="s">
        <v>25</v>
      </c>
      <c r="I528" t="s">
        <v>38</v>
      </c>
      <c r="J528" t="s">
        <v>62</v>
      </c>
      <c r="K528" t="s">
        <v>55</v>
      </c>
      <c r="L528" t="s">
        <v>21</v>
      </c>
      <c r="M528" t="s">
        <v>30</v>
      </c>
      <c r="N528" t="s">
        <v>1154</v>
      </c>
      <c r="O528" s="4">
        <v>90.68</v>
      </c>
      <c r="P528" s="8" t="str">
        <f t="shared" si="59"/>
        <v>Medium</v>
      </c>
      <c r="Q528" s="4">
        <v>118.17</v>
      </c>
      <c r="R528" s="4">
        <v>0.13500000000000001</v>
      </c>
      <c r="S528" s="4">
        <v>21</v>
      </c>
      <c r="T528" s="4">
        <f t="shared" si="56"/>
        <v>36886.575600000004</v>
      </c>
      <c r="U528">
        <f t="shared" si="57"/>
        <v>1904.2800000000002</v>
      </c>
      <c r="V528" s="4">
        <f t="shared" si="60"/>
        <v>34982.295600000005</v>
      </c>
      <c r="W528" s="4">
        <f t="shared" si="61"/>
        <v>0.94837471440422894</v>
      </c>
    </row>
    <row r="529" spans="1:23" x14ac:dyDescent="0.3">
      <c r="A529" t="s">
        <v>1155</v>
      </c>
      <c r="B529" s="7">
        <v>44938</v>
      </c>
      <c r="C529" s="2">
        <v>44952</v>
      </c>
      <c r="D529" s="4">
        <f t="shared" si="62"/>
        <v>14</v>
      </c>
      <c r="E529" s="4" t="str">
        <f>TEXT(Data!B529,"MMM-YYYY")</f>
        <v>Jun-2024</v>
      </c>
      <c r="F529" s="4" t="str">
        <f t="shared" si="58"/>
        <v>Q1-2023</v>
      </c>
      <c r="G529" t="s">
        <v>45</v>
      </c>
      <c r="H529" t="s">
        <v>116</v>
      </c>
      <c r="I529" t="s">
        <v>117</v>
      </c>
      <c r="J529" t="s">
        <v>39</v>
      </c>
      <c r="K529" t="s">
        <v>20</v>
      </c>
      <c r="L529" t="s">
        <v>110</v>
      </c>
      <c r="M529" t="s">
        <v>30</v>
      </c>
      <c r="N529" t="s">
        <v>1156</v>
      </c>
      <c r="O529" s="4">
        <v>1083.0899999999999</v>
      </c>
      <c r="P529" s="8" t="str">
        <f t="shared" si="59"/>
        <v>High</v>
      </c>
      <c r="Q529" s="4">
        <v>1425.87</v>
      </c>
      <c r="R529" s="4">
        <v>0</v>
      </c>
      <c r="S529" s="4">
        <v>8</v>
      </c>
      <c r="T529" s="4">
        <f t="shared" si="56"/>
        <v>7653.6</v>
      </c>
      <c r="U529">
        <f t="shared" si="57"/>
        <v>8664.7199999999993</v>
      </c>
      <c r="V529" s="4">
        <f t="shared" si="60"/>
        <v>-1011.119999999999</v>
      </c>
      <c r="W529" s="4">
        <f t="shared" si="61"/>
        <v>-0.13211037942928805</v>
      </c>
    </row>
    <row r="530" spans="1:23" x14ac:dyDescent="0.3">
      <c r="A530" t="s">
        <v>1157</v>
      </c>
      <c r="B530" s="7">
        <v>45448</v>
      </c>
      <c r="C530" s="2">
        <v>45466</v>
      </c>
      <c r="D530" s="4">
        <f t="shared" si="62"/>
        <v>18</v>
      </c>
      <c r="E530" s="4" t="str">
        <f>TEXT(Data!B530,"MMM-YYYY")</f>
        <v>Aug-2023</v>
      </c>
      <c r="F530" s="4" t="str">
        <f t="shared" si="58"/>
        <v>Q2-2024</v>
      </c>
      <c r="G530" t="s">
        <v>16</v>
      </c>
      <c r="H530" t="s">
        <v>17</v>
      </c>
      <c r="I530" t="s">
        <v>33</v>
      </c>
      <c r="J530" t="s">
        <v>48</v>
      </c>
      <c r="K530" t="s">
        <v>55</v>
      </c>
      <c r="L530" t="s">
        <v>145</v>
      </c>
      <c r="M530" t="s">
        <v>57</v>
      </c>
      <c r="N530" t="s">
        <v>1158</v>
      </c>
      <c r="O530" s="4">
        <v>1208.74</v>
      </c>
      <c r="P530" s="8" t="str">
        <f t="shared" si="59"/>
        <v>High</v>
      </c>
      <c r="Q530" s="4">
        <v>1594.78</v>
      </c>
      <c r="R530" s="4">
        <v>5.8999999999999997E-2</v>
      </c>
      <c r="S530" s="4">
        <v>39</v>
      </c>
      <c r="T530" s="4">
        <f t="shared" si="56"/>
        <v>53128.40832000001</v>
      </c>
      <c r="U530">
        <f t="shared" si="57"/>
        <v>47140.86</v>
      </c>
      <c r="V530" s="4">
        <f t="shared" si="60"/>
        <v>5987.548320000009</v>
      </c>
      <c r="W530" s="4">
        <f t="shared" si="61"/>
        <v>0.11269956148387032</v>
      </c>
    </row>
    <row r="531" spans="1:23" x14ac:dyDescent="0.3">
      <c r="A531" t="s">
        <v>1159</v>
      </c>
      <c r="B531" s="7">
        <v>45162</v>
      </c>
      <c r="C531" s="2">
        <v>45189</v>
      </c>
      <c r="D531" s="4">
        <f t="shared" si="62"/>
        <v>27</v>
      </c>
      <c r="E531" s="4" t="str">
        <f>TEXT(Data!B531,"MMM-YYYY")</f>
        <v>Jan-2024</v>
      </c>
      <c r="F531" s="4" t="str">
        <f t="shared" si="58"/>
        <v>Q3-2023</v>
      </c>
      <c r="G531" t="s">
        <v>16</v>
      </c>
      <c r="H531" t="s">
        <v>148</v>
      </c>
      <c r="I531" t="s">
        <v>172</v>
      </c>
      <c r="J531" t="s">
        <v>62</v>
      </c>
      <c r="K531" t="s">
        <v>40</v>
      </c>
      <c r="L531" t="s">
        <v>110</v>
      </c>
      <c r="M531" t="s">
        <v>30</v>
      </c>
      <c r="N531" t="s">
        <v>1160</v>
      </c>
      <c r="O531" s="4">
        <v>1399.64</v>
      </c>
      <c r="P531" s="8" t="str">
        <f t="shared" si="59"/>
        <v>High</v>
      </c>
      <c r="Q531" s="4">
        <v>3342.11</v>
      </c>
      <c r="R531" s="4">
        <v>0</v>
      </c>
      <c r="S531" s="4">
        <v>10</v>
      </c>
      <c r="T531" s="4">
        <f t="shared" si="56"/>
        <v>29496.199999999997</v>
      </c>
      <c r="U531">
        <f t="shared" si="57"/>
        <v>13996.400000000001</v>
      </c>
      <c r="V531" s="4">
        <f t="shared" si="60"/>
        <v>15499.799999999996</v>
      </c>
      <c r="W531" s="4">
        <f t="shared" si="61"/>
        <v>0.52548463869922213</v>
      </c>
    </row>
    <row r="532" spans="1:23" x14ac:dyDescent="0.3">
      <c r="A532" t="s">
        <v>1161</v>
      </c>
      <c r="B532" s="7">
        <v>45316</v>
      </c>
      <c r="C532" s="2">
        <v>45330</v>
      </c>
      <c r="D532" s="4">
        <f t="shared" si="62"/>
        <v>14</v>
      </c>
      <c r="E532" s="4" t="str">
        <f>TEXT(Data!B532,"MMM-YYYY")</f>
        <v>Mar-2025</v>
      </c>
      <c r="F532" s="4" t="str">
        <f t="shared" si="58"/>
        <v>Q1-2024</v>
      </c>
      <c r="G532" t="s">
        <v>45</v>
      </c>
      <c r="H532" t="s">
        <v>46</v>
      </c>
      <c r="I532" t="s">
        <v>47</v>
      </c>
      <c r="J532" t="s">
        <v>48</v>
      </c>
      <c r="K532" t="s">
        <v>40</v>
      </c>
      <c r="L532" t="s">
        <v>34</v>
      </c>
      <c r="M532" t="s">
        <v>35</v>
      </c>
      <c r="N532" t="s">
        <v>1162</v>
      </c>
      <c r="O532" s="4">
        <v>937.16</v>
      </c>
      <c r="P532" s="8" t="str">
        <f t="shared" si="59"/>
        <v>High</v>
      </c>
      <c r="Q532" s="4">
        <v>1069.77</v>
      </c>
      <c r="R532" s="4">
        <v>3.7999999999999999E-2</v>
      </c>
      <c r="S532" s="4">
        <v>9</v>
      </c>
      <c r="T532" s="4">
        <f t="shared" si="56"/>
        <v>22342.575059999999</v>
      </c>
      <c r="U532">
        <f t="shared" si="57"/>
        <v>8434.44</v>
      </c>
      <c r="V532" s="4">
        <f t="shared" si="60"/>
        <v>13908.135059999999</v>
      </c>
      <c r="W532" s="4">
        <f t="shared" si="61"/>
        <v>0.62249472241450754</v>
      </c>
    </row>
    <row r="533" spans="1:23" x14ac:dyDescent="0.3">
      <c r="A533" t="s">
        <v>1163</v>
      </c>
      <c r="B533" s="7">
        <v>45727</v>
      </c>
      <c r="C533" s="2">
        <v>45742</v>
      </c>
      <c r="D533" s="4">
        <f t="shared" si="62"/>
        <v>15</v>
      </c>
      <c r="E533" s="4" t="str">
        <f>TEXT(Data!B533,"MMM-YYYY")</f>
        <v>Apr-2025</v>
      </c>
      <c r="F533" s="4" t="str">
        <f t="shared" si="58"/>
        <v>Q1-2025</v>
      </c>
      <c r="G533" t="s">
        <v>78</v>
      </c>
      <c r="H533" t="s">
        <v>79</v>
      </c>
      <c r="I533" t="s">
        <v>80</v>
      </c>
      <c r="J533" t="s">
        <v>62</v>
      </c>
      <c r="K533" t="s">
        <v>28</v>
      </c>
      <c r="L533" t="s">
        <v>34</v>
      </c>
      <c r="M533" t="s">
        <v>42</v>
      </c>
      <c r="N533" t="s">
        <v>1164</v>
      </c>
      <c r="O533" s="4">
        <v>116.97</v>
      </c>
      <c r="P533" s="8" t="str">
        <f t="shared" si="59"/>
        <v>Medium</v>
      </c>
      <c r="Q533" s="4">
        <v>140.82</v>
      </c>
      <c r="R533" s="4">
        <v>0.122</v>
      </c>
      <c r="S533" s="4">
        <v>5</v>
      </c>
      <c r="T533" s="4">
        <f t="shared" si="56"/>
        <v>8687.4149000000016</v>
      </c>
      <c r="U533">
        <f t="shared" si="57"/>
        <v>584.85</v>
      </c>
      <c r="V533" s="4">
        <f t="shared" si="60"/>
        <v>8102.5649000000012</v>
      </c>
      <c r="W533" s="4">
        <f t="shared" si="61"/>
        <v>0.93267847723032082</v>
      </c>
    </row>
    <row r="534" spans="1:23" x14ac:dyDescent="0.3">
      <c r="A534" t="s">
        <v>1165</v>
      </c>
      <c r="B534" s="7">
        <v>45769</v>
      </c>
      <c r="C534" s="2">
        <v>45789</v>
      </c>
      <c r="D534" s="4">
        <f t="shared" si="62"/>
        <v>20</v>
      </c>
      <c r="E534" s="4" t="str">
        <f>TEXT(Data!B534,"MMM-YYYY")</f>
        <v>Aug-2023</v>
      </c>
      <c r="F534" s="4" t="str">
        <f t="shared" si="58"/>
        <v>Q2-2025</v>
      </c>
      <c r="G534" t="s">
        <v>78</v>
      </c>
      <c r="H534" t="s">
        <v>90</v>
      </c>
      <c r="I534" t="s">
        <v>138</v>
      </c>
      <c r="J534" t="s">
        <v>105</v>
      </c>
      <c r="K534" t="s">
        <v>40</v>
      </c>
      <c r="L534" t="s">
        <v>95</v>
      </c>
      <c r="M534" t="s">
        <v>64</v>
      </c>
      <c r="N534" t="s">
        <v>1166</v>
      </c>
      <c r="O534" s="4">
        <v>59.51</v>
      </c>
      <c r="P534" s="8" t="str">
        <f t="shared" si="59"/>
        <v>Medium</v>
      </c>
      <c r="Q534" s="4">
        <v>67.040000000000006</v>
      </c>
      <c r="R534" s="4">
        <v>0.114</v>
      </c>
      <c r="S534" s="4">
        <v>9</v>
      </c>
      <c r="T534" s="4">
        <f t="shared" si="56"/>
        <v>11813.082300000002</v>
      </c>
      <c r="U534">
        <f t="shared" si="57"/>
        <v>535.59</v>
      </c>
      <c r="V534" s="4">
        <f t="shared" si="60"/>
        <v>11277.492300000002</v>
      </c>
      <c r="W534" s="4">
        <f t="shared" si="61"/>
        <v>0.95466128260191674</v>
      </c>
    </row>
    <row r="535" spans="1:23" x14ac:dyDescent="0.3">
      <c r="A535" t="s">
        <v>1167</v>
      </c>
      <c r="B535" s="7">
        <v>45155</v>
      </c>
      <c r="C535" s="2">
        <v>45172</v>
      </c>
      <c r="D535" s="4">
        <f t="shared" si="62"/>
        <v>17</v>
      </c>
      <c r="E535" s="4" t="str">
        <f>TEXT(Data!B535,"MMM-YYYY")</f>
        <v>Jun-2025</v>
      </c>
      <c r="F535" s="4" t="str">
        <f t="shared" si="58"/>
        <v>Q3-2023</v>
      </c>
      <c r="G535" t="s">
        <v>16</v>
      </c>
      <c r="H535" t="s">
        <v>148</v>
      </c>
      <c r="I535" t="s">
        <v>172</v>
      </c>
      <c r="J535" t="s">
        <v>105</v>
      </c>
      <c r="K535" t="s">
        <v>20</v>
      </c>
      <c r="L535" t="s">
        <v>75</v>
      </c>
      <c r="M535" t="s">
        <v>42</v>
      </c>
      <c r="N535" t="s">
        <v>1168</v>
      </c>
      <c r="O535" s="4">
        <v>676.37</v>
      </c>
      <c r="P535" s="8" t="str">
        <f t="shared" si="59"/>
        <v>High</v>
      </c>
      <c r="Q535" s="4">
        <v>1276.67</v>
      </c>
      <c r="R535" s="4">
        <v>6.6000000000000003E-2</v>
      </c>
      <c r="S535" s="4">
        <v>10</v>
      </c>
      <c r="T535" s="4">
        <f t="shared" si="56"/>
        <v>15494.3128</v>
      </c>
      <c r="U535">
        <f t="shared" si="57"/>
        <v>6763.7</v>
      </c>
      <c r="V535" s="4">
        <f t="shared" si="60"/>
        <v>8730.612799999999</v>
      </c>
      <c r="W535" s="4">
        <f t="shared" si="61"/>
        <v>0.56347208893317291</v>
      </c>
    </row>
    <row r="536" spans="1:23" x14ac:dyDescent="0.3">
      <c r="A536" t="s">
        <v>1169</v>
      </c>
      <c r="B536" s="7">
        <v>45832</v>
      </c>
      <c r="C536" s="2">
        <v>45852</v>
      </c>
      <c r="D536" s="4">
        <f t="shared" si="62"/>
        <v>20</v>
      </c>
      <c r="E536" s="4" t="str">
        <f>TEXT(Data!B536,"MMM-YYYY")</f>
        <v>Jan-2025</v>
      </c>
      <c r="F536" s="4" t="str">
        <f t="shared" si="58"/>
        <v>Q2-2025</v>
      </c>
      <c r="G536" t="s">
        <v>16</v>
      </c>
      <c r="H536" t="s">
        <v>148</v>
      </c>
      <c r="I536" t="s">
        <v>149</v>
      </c>
      <c r="J536" t="s">
        <v>105</v>
      </c>
      <c r="K536" t="s">
        <v>40</v>
      </c>
      <c r="L536" t="s">
        <v>29</v>
      </c>
      <c r="M536" t="s">
        <v>57</v>
      </c>
      <c r="N536" t="s">
        <v>1170</v>
      </c>
      <c r="O536" s="4">
        <v>1151.06</v>
      </c>
      <c r="P536" s="8" t="str">
        <f t="shared" si="59"/>
        <v>High</v>
      </c>
      <c r="Q536" s="4">
        <v>2821.36</v>
      </c>
      <c r="R536" s="4">
        <v>0.248</v>
      </c>
      <c r="S536" s="4">
        <v>20</v>
      </c>
      <c r="T536" s="4">
        <f t="shared" si="56"/>
        <v>9059.1936000000005</v>
      </c>
      <c r="U536">
        <f t="shared" si="57"/>
        <v>23021.199999999997</v>
      </c>
      <c r="V536" s="4">
        <f t="shared" si="60"/>
        <v>-13962.006399999997</v>
      </c>
      <c r="W536" s="4">
        <f t="shared" si="61"/>
        <v>-1.5411974858336173</v>
      </c>
    </row>
    <row r="537" spans="1:23" x14ac:dyDescent="0.3">
      <c r="A537" t="s">
        <v>1171</v>
      </c>
      <c r="B537" s="7">
        <v>45667</v>
      </c>
      <c r="C537" s="2">
        <v>45694</v>
      </c>
      <c r="D537" s="4">
        <f t="shared" si="62"/>
        <v>27</v>
      </c>
      <c r="E537" s="4" t="str">
        <f>TEXT(Data!B537,"MMM-YYYY")</f>
        <v>Jul-2023</v>
      </c>
      <c r="F537" s="4" t="str">
        <f t="shared" si="58"/>
        <v>Q1-2025</v>
      </c>
      <c r="G537" t="s">
        <v>52</v>
      </c>
      <c r="H537" t="s">
        <v>73</v>
      </c>
      <c r="I537" t="s">
        <v>87</v>
      </c>
      <c r="J537" t="s">
        <v>39</v>
      </c>
      <c r="K537" t="s">
        <v>20</v>
      </c>
      <c r="L537" t="s">
        <v>56</v>
      </c>
      <c r="M537" t="s">
        <v>57</v>
      </c>
      <c r="N537" t="s">
        <v>1172</v>
      </c>
      <c r="O537" s="4">
        <v>725.62</v>
      </c>
      <c r="P537" s="8" t="str">
        <f t="shared" si="59"/>
        <v>High</v>
      </c>
      <c r="Q537" s="4">
        <v>1559.19</v>
      </c>
      <c r="R537" s="4">
        <v>0.19</v>
      </c>
      <c r="S537" s="4">
        <v>12</v>
      </c>
      <c r="T537" s="4">
        <f t="shared" si="56"/>
        <v>5128.6608000000006</v>
      </c>
      <c r="U537">
        <f t="shared" si="57"/>
        <v>8707.44</v>
      </c>
      <c r="V537" s="4">
        <f t="shared" si="60"/>
        <v>-3578.7791999999999</v>
      </c>
      <c r="W537" s="4">
        <f t="shared" si="61"/>
        <v>-0.69779994028850567</v>
      </c>
    </row>
    <row r="538" spans="1:23" x14ac:dyDescent="0.3">
      <c r="A538" t="s">
        <v>1173</v>
      </c>
      <c r="B538" s="7">
        <v>45108</v>
      </c>
      <c r="C538" s="2">
        <v>45118</v>
      </c>
      <c r="D538" s="4">
        <f t="shared" si="62"/>
        <v>10</v>
      </c>
      <c r="E538" s="4" t="str">
        <f>TEXT(Data!B538,"MMM-YYYY")</f>
        <v>Aug-2024</v>
      </c>
      <c r="F538" s="4" t="str">
        <f t="shared" si="58"/>
        <v>Q3-2023</v>
      </c>
      <c r="G538" t="s">
        <v>78</v>
      </c>
      <c r="H538" t="s">
        <v>90</v>
      </c>
      <c r="I538" t="s">
        <v>217</v>
      </c>
      <c r="J538" t="s">
        <v>19</v>
      </c>
      <c r="K538" t="s">
        <v>98</v>
      </c>
      <c r="L538" t="s">
        <v>84</v>
      </c>
      <c r="M538" t="s">
        <v>35</v>
      </c>
      <c r="N538" t="s">
        <v>1174</v>
      </c>
      <c r="O538" s="4">
        <v>479.5</v>
      </c>
      <c r="P538" s="8" t="str">
        <f t="shared" si="59"/>
        <v>High</v>
      </c>
      <c r="Q538" s="4">
        <v>656.66</v>
      </c>
      <c r="R538" s="4">
        <v>0.14899999999999999</v>
      </c>
      <c r="S538" s="4">
        <v>14</v>
      </c>
      <c r="T538" s="4">
        <f t="shared" si="56"/>
        <v>21944.3966</v>
      </c>
      <c r="U538">
        <f t="shared" si="57"/>
        <v>6713</v>
      </c>
      <c r="V538" s="4">
        <f t="shared" si="60"/>
        <v>15231.3966</v>
      </c>
      <c r="W538" s="4">
        <f t="shared" si="61"/>
        <v>0.69409047228029042</v>
      </c>
    </row>
    <row r="539" spans="1:23" x14ac:dyDescent="0.3">
      <c r="A539" t="s">
        <v>1175</v>
      </c>
      <c r="B539" s="7">
        <v>45520</v>
      </c>
      <c r="C539" s="2">
        <v>45530</v>
      </c>
      <c r="D539" s="4">
        <f t="shared" si="62"/>
        <v>10</v>
      </c>
      <c r="E539" s="4" t="str">
        <f>TEXT(Data!B539,"MMM-YYYY")</f>
        <v>Jul-2023</v>
      </c>
      <c r="F539" s="4" t="str">
        <f t="shared" si="58"/>
        <v>Q3-2024</v>
      </c>
      <c r="G539" t="s">
        <v>52</v>
      </c>
      <c r="H539" t="s">
        <v>122</v>
      </c>
      <c r="I539" t="s">
        <v>123</v>
      </c>
      <c r="J539" t="s">
        <v>19</v>
      </c>
      <c r="K539" t="s">
        <v>55</v>
      </c>
      <c r="L539" t="s">
        <v>49</v>
      </c>
      <c r="M539" t="s">
        <v>57</v>
      </c>
      <c r="N539" t="s">
        <v>878</v>
      </c>
      <c r="O539" s="4">
        <v>1291.7</v>
      </c>
      <c r="P539" s="8" t="str">
        <f t="shared" si="59"/>
        <v>High</v>
      </c>
      <c r="Q539" s="4">
        <v>2657.84</v>
      </c>
      <c r="R539" s="4">
        <v>8.6999999999999994E-2</v>
      </c>
      <c r="S539" s="4">
        <v>21</v>
      </c>
      <c r="T539" s="4">
        <f t="shared" si="56"/>
        <v>31548.788040000003</v>
      </c>
      <c r="U539">
        <f t="shared" si="57"/>
        <v>27125.7</v>
      </c>
      <c r="V539" s="4">
        <f t="shared" si="60"/>
        <v>4423.0880400000024</v>
      </c>
      <c r="W539" s="4">
        <f t="shared" si="61"/>
        <v>0.14019835038962727</v>
      </c>
    </row>
    <row r="540" spans="1:23" x14ac:dyDescent="0.3">
      <c r="A540" t="s">
        <v>1176</v>
      </c>
      <c r="B540" s="7">
        <v>45114</v>
      </c>
      <c r="C540" s="2">
        <v>45120</v>
      </c>
      <c r="D540" s="4">
        <f t="shared" si="62"/>
        <v>6</v>
      </c>
      <c r="E540" s="4" t="str">
        <f>TEXT(Data!B540,"MMM-YYYY")</f>
        <v>Dec-2023</v>
      </c>
      <c r="F540" s="4" t="str">
        <f t="shared" si="58"/>
        <v>Q3-2023</v>
      </c>
      <c r="G540" t="s">
        <v>16</v>
      </c>
      <c r="H540" t="s">
        <v>148</v>
      </c>
      <c r="I540" t="s">
        <v>258</v>
      </c>
      <c r="J540" t="s">
        <v>62</v>
      </c>
      <c r="K540" t="s">
        <v>40</v>
      </c>
      <c r="L540" t="s">
        <v>56</v>
      </c>
      <c r="M540" t="s">
        <v>81</v>
      </c>
      <c r="N540" t="s">
        <v>1177</v>
      </c>
      <c r="O540" s="4">
        <v>612.59</v>
      </c>
      <c r="P540" s="8" t="str">
        <f t="shared" si="59"/>
        <v>High</v>
      </c>
      <c r="Q540" s="4">
        <v>1424.74</v>
      </c>
      <c r="R540" s="4">
        <v>4.3999999999999997E-2</v>
      </c>
      <c r="S540" s="4">
        <v>15</v>
      </c>
      <c r="T540" s="4">
        <f t="shared" si="56"/>
        <v>10428.334800000001</v>
      </c>
      <c r="U540">
        <f t="shared" si="57"/>
        <v>9188.85</v>
      </c>
      <c r="V540" s="4">
        <f t="shared" si="60"/>
        <v>1239.4848000000002</v>
      </c>
      <c r="W540" s="4">
        <f t="shared" si="61"/>
        <v>0.11885740377265219</v>
      </c>
    </row>
    <row r="541" spans="1:23" x14ac:dyDescent="0.3">
      <c r="A541" t="s">
        <v>1178</v>
      </c>
      <c r="B541" s="7">
        <v>45288</v>
      </c>
      <c r="C541" s="2">
        <v>45292</v>
      </c>
      <c r="D541" s="4">
        <f t="shared" si="62"/>
        <v>4</v>
      </c>
      <c r="E541" s="4" t="str">
        <f>TEXT(Data!B541,"MMM-YYYY")</f>
        <v>Jan-2023</v>
      </c>
      <c r="F541" s="4" t="str">
        <f t="shared" si="58"/>
        <v>Q4-2023</v>
      </c>
      <c r="G541" t="s">
        <v>16</v>
      </c>
      <c r="H541" t="s">
        <v>148</v>
      </c>
      <c r="I541" t="s">
        <v>258</v>
      </c>
      <c r="J541" t="s">
        <v>27</v>
      </c>
      <c r="K541" t="s">
        <v>55</v>
      </c>
      <c r="L541" t="s">
        <v>75</v>
      </c>
      <c r="M541" t="s">
        <v>30</v>
      </c>
      <c r="N541" t="s">
        <v>1179</v>
      </c>
      <c r="O541" s="4">
        <v>1141.8</v>
      </c>
      <c r="P541" s="8" t="str">
        <f t="shared" si="59"/>
        <v>High</v>
      </c>
      <c r="Q541" s="4">
        <v>2318.7399999999998</v>
      </c>
      <c r="R541" s="4">
        <v>0.107</v>
      </c>
      <c r="S541" s="4">
        <v>32</v>
      </c>
      <c r="T541" s="4">
        <f t="shared" si="56"/>
        <v>35256.783040000002</v>
      </c>
      <c r="U541">
        <f t="shared" si="57"/>
        <v>36537.599999999999</v>
      </c>
      <c r="V541" s="4">
        <f t="shared" si="60"/>
        <v>-1280.8169599999965</v>
      </c>
      <c r="W541" s="4">
        <f t="shared" si="61"/>
        <v>-3.6328242385213268E-2</v>
      </c>
    </row>
    <row r="542" spans="1:23" x14ac:dyDescent="0.3">
      <c r="A542" t="s">
        <v>1180</v>
      </c>
      <c r="B542" s="7">
        <v>44952</v>
      </c>
      <c r="C542" s="2">
        <v>44972</v>
      </c>
      <c r="D542" s="4">
        <f t="shared" si="62"/>
        <v>20</v>
      </c>
      <c r="E542" s="4" t="str">
        <f>TEXT(Data!B542,"MMM-YYYY")</f>
        <v>Jul-2023</v>
      </c>
      <c r="F542" s="4" t="str">
        <f t="shared" si="58"/>
        <v>Q1-2023</v>
      </c>
      <c r="G542" t="s">
        <v>78</v>
      </c>
      <c r="H542" t="s">
        <v>79</v>
      </c>
      <c r="I542" t="s">
        <v>80</v>
      </c>
      <c r="J542" t="s">
        <v>62</v>
      </c>
      <c r="K542" t="s">
        <v>28</v>
      </c>
      <c r="L542" t="s">
        <v>68</v>
      </c>
      <c r="M542" t="s">
        <v>35</v>
      </c>
      <c r="N542" t="s">
        <v>1181</v>
      </c>
      <c r="O542" s="4">
        <v>492.62</v>
      </c>
      <c r="P542" s="8" t="str">
        <f t="shared" si="59"/>
        <v>High</v>
      </c>
      <c r="Q542" s="4">
        <v>366.7</v>
      </c>
      <c r="R542" s="4">
        <v>8.8999999999999996E-2</v>
      </c>
      <c r="S542" s="4">
        <v>10</v>
      </c>
      <c r="T542" s="4">
        <f t="shared" si="56"/>
        <v>14063.653600000001</v>
      </c>
      <c r="U542">
        <f t="shared" si="57"/>
        <v>4926.2</v>
      </c>
      <c r="V542" s="4">
        <f t="shared" si="60"/>
        <v>9137.4536000000007</v>
      </c>
      <c r="W542" s="4">
        <f t="shared" si="61"/>
        <v>0.6497211791393952</v>
      </c>
    </row>
    <row r="543" spans="1:23" x14ac:dyDescent="0.3">
      <c r="A543" t="s">
        <v>1182</v>
      </c>
      <c r="B543" s="7">
        <v>45115</v>
      </c>
      <c r="C543" s="2">
        <v>45116</v>
      </c>
      <c r="D543" s="4">
        <f t="shared" si="62"/>
        <v>1</v>
      </c>
      <c r="E543" s="4" t="str">
        <f>TEXT(Data!B543,"MMM-YYYY")</f>
        <v>Jun-2024</v>
      </c>
      <c r="F543" s="4" t="str">
        <f t="shared" si="58"/>
        <v>Q3-2023</v>
      </c>
      <c r="G543" t="s">
        <v>16</v>
      </c>
      <c r="H543" t="s">
        <v>17</v>
      </c>
      <c r="I543" t="s">
        <v>33</v>
      </c>
      <c r="J543" t="s">
        <v>48</v>
      </c>
      <c r="K543" t="s">
        <v>28</v>
      </c>
      <c r="L543" t="s">
        <v>145</v>
      </c>
      <c r="M543" t="s">
        <v>57</v>
      </c>
      <c r="N543" t="s">
        <v>1183</v>
      </c>
      <c r="O543" s="4">
        <v>1258.72</v>
      </c>
      <c r="P543" s="8" t="str">
        <f t="shared" si="59"/>
        <v>High</v>
      </c>
      <c r="Q543" s="4">
        <v>2797.41</v>
      </c>
      <c r="R543" s="4">
        <v>0</v>
      </c>
      <c r="S543" s="4">
        <v>7</v>
      </c>
      <c r="T543" s="4">
        <f t="shared" si="56"/>
        <v>14806.33</v>
      </c>
      <c r="U543">
        <f t="shared" si="57"/>
        <v>8811.0400000000009</v>
      </c>
      <c r="V543" s="4">
        <f t="shared" si="60"/>
        <v>5995.2899999999991</v>
      </c>
      <c r="W543" s="4">
        <f t="shared" si="61"/>
        <v>0.40491397935882822</v>
      </c>
    </row>
    <row r="544" spans="1:23" x14ac:dyDescent="0.3">
      <c r="A544" t="s">
        <v>1184</v>
      </c>
      <c r="B544" s="7">
        <v>45450</v>
      </c>
      <c r="C544" s="2">
        <v>45452</v>
      </c>
      <c r="D544" s="4">
        <f t="shared" si="62"/>
        <v>2</v>
      </c>
      <c r="E544" s="4" t="str">
        <f>TEXT(Data!B544,"MMM-YYYY")</f>
        <v>Feb-2023</v>
      </c>
      <c r="F544" s="4" t="str">
        <f t="shared" si="58"/>
        <v>Q2-2024</v>
      </c>
      <c r="G544" t="s">
        <v>45</v>
      </c>
      <c r="H544" t="s">
        <v>116</v>
      </c>
      <c r="I544" t="s">
        <v>162</v>
      </c>
      <c r="J544" t="s">
        <v>19</v>
      </c>
      <c r="K544" t="s">
        <v>20</v>
      </c>
      <c r="L544" t="s">
        <v>68</v>
      </c>
      <c r="M544" t="s">
        <v>64</v>
      </c>
      <c r="N544" t="s">
        <v>1185</v>
      </c>
      <c r="O544" s="4">
        <v>1370.28</v>
      </c>
      <c r="P544" s="8" t="str">
        <f t="shared" si="59"/>
        <v>High</v>
      </c>
      <c r="Q544" s="4">
        <v>2209.66</v>
      </c>
      <c r="R544" s="4">
        <v>0.13300000000000001</v>
      </c>
      <c r="S544" s="4">
        <v>16</v>
      </c>
      <c r="T544" s="4">
        <f t="shared" si="56"/>
        <v>25485.499680000001</v>
      </c>
      <c r="U544">
        <f t="shared" si="57"/>
        <v>21924.48</v>
      </c>
      <c r="V544" s="4">
        <f t="shared" si="60"/>
        <v>3561.0196800000012</v>
      </c>
      <c r="W544" s="4">
        <f t="shared" si="61"/>
        <v>0.13972728511164123</v>
      </c>
    </row>
    <row r="545" spans="1:23" x14ac:dyDescent="0.3">
      <c r="A545" t="s">
        <v>1186</v>
      </c>
      <c r="B545" s="7">
        <v>44968</v>
      </c>
      <c r="C545" s="2">
        <v>44969</v>
      </c>
      <c r="D545" s="4">
        <f t="shared" si="62"/>
        <v>1</v>
      </c>
      <c r="E545" s="4" t="str">
        <f>TEXT(Data!B545,"MMM-YYYY")</f>
        <v>Jul-2023</v>
      </c>
      <c r="F545" s="4" t="str">
        <f t="shared" si="58"/>
        <v>Q1-2023</v>
      </c>
      <c r="G545" t="s">
        <v>16</v>
      </c>
      <c r="H545" t="s">
        <v>25</v>
      </c>
      <c r="I545" t="s">
        <v>26</v>
      </c>
      <c r="J545" t="s">
        <v>39</v>
      </c>
      <c r="K545" t="s">
        <v>98</v>
      </c>
      <c r="L545" t="s">
        <v>145</v>
      </c>
      <c r="M545" t="s">
        <v>81</v>
      </c>
      <c r="N545" t="s">
        <v>1187</v>
      </c>
      <c r="O545" s="4">
        <v>944.61</v>
      </c>
      <c r="P545" s="8" t="str">
        <f t="shared" si="59"/>
        <v>High</v>
      </c>
      <c r="Q545" s="4">
        <v>839.04</v>
      </c>
      <c r="R545" s="4">
        <v>5.8999999999999997E-2</v>
      </c>
      <c r="S545" s="4">
        <v>6</v>
      </c>
      <c r="T545" s="4">
        <f t="shared" si="56"/>
        <v>16141.518779999999</v>
      </c>
      <c r="U545">
        <f t="shared" si="57"/>
        <v>5667.66</v>
      </c>
      <c r="V545" s="4">
        <f t="shared" si="60"/>
        <v>10473.858779999999</v>
      </c>
      <c r="W545" s="4">
        <f t="shared" si="61"/>
        <v>0.64887690698458544</v>
      </c>
    </row>
    <row r="546" spans="1:23" x14ac:dyDescent="0.3">
      <c r="A546" t="s">
        <v>1188</v>
      </c>
      <c r="B546" s="7">
        <v>45108</v>
      </c>
      <c r="C546" s="2">
        <v>45115</v>
      </c>
      <c r="D546" s="4">
        <f t="shared" si="62"/>
        <v>7</v>
      </c>
      <c r="E546" s="4" t="str">
        <f>TEXT(Data!B546,"MMM-YYYY")</f>
        <v>Aug-2025</v>
      </c>
      <c r="F546" s="4" t="str">
        <f t="shared" si="58"/>
        <v>Q3-2023</v>
      </c>
      <c r="G546" t="s">
        <v>78</v>
      </c>
      <c r="H546" t="s">
        <v>79</v>
      </c>
      <c r="I546" t="s">
        <v>335</v>
      </c>
      <c r="J546" t="s">
        <v>62</v>
      </c>
      <c r="K546" t="s">
        <v>55</v>
      </c>
      <c r="L546" t="s">
        <v>126</v>
      </c>
      <c r="M546" t="s">
        <v>57</v>
      </c>
      <c r="N546" t="s">
        <v>1189</v>
      </c>
      <c r="O546" s="4">
        <v>460.21</v>
      </c>
      <c r="P546" s="8" t="str">
        <f t="shared" si="59"/>
        <v>High</v>
      </c>
      <c r="Q546" s="4">
        <v>1139.1500000000001</v>
      </c>
      <c r="R546" s="4">
        <v>0.115</v>
      </c>
      <c r="S546" s="4">
        <v>14</v>
      </c>
      <c r="T546" s="4">
        <f t="shared" si="56"/>
        <v>3592.1088</v>
      </c>
      <c r="U546">
        <f t="shared" si="57"/>
        <v>6442.94</v>
      </c>
      <c r="V546" s="4">
        <f t="shared" si="60"/>
        <v>-2850.8311999999996</v>
      </c>
      <c r="W546" s="4">
        <f t="shared" si="61"/>
        <v>-0.79363720831618456</v>
      </c>
    </row>
    <row r="547" spans="1:23" x14ac:dyDescent="0.3">
      <c r="A547" t="s">
        <v>1190</v>
      </c>
      <c r="B547" s="7">
        <v>45889</v>
      </c>
      <c r="C547" s="2">
        <v>45895</v>
      </c>
      <c r="D547" s="4">
        <f t="shared" si="62"/>
        <v>6</v>
      </c>
      <c r="E547" s="4" t="str">
        <f>TEXT(Data!B547,"MMM-YYYY")</f>
        <v>Mar-2024</v>
      </c>
      <c r="F547" s="4" t="str">
        <f t="shared" si="58"/>
        <v>Q3-2025</v>
      </c>
      <c r="G547" t="s">
        <v>52</v>
      </c>
      <c r="H547" t="s">
        <v>122</v>
      </c>
      <c r="I547" t="s">
        <v>387</v>
      </c>
      <c r="J547" t="s">
        <v>19</v>
      </c>
      <c r="K547" t="s">
        <v>20</v>
      </c>
      <c r="L547" t="s">
        <v>110</v>
      </c>
      <c r="M547" t="s">
        <v>35</v>
      </c>
      <c r="N547" t="s">
        <v>1191</v>
      </c>
      <c r="O547" s="4">
        <v>1304.95</v>
      </c>
      <c r="P547" s="8" t="str">
        <f t="shared" si="59"/>
        <v>High</v>
      </c>
      <c r="Q547" s="4">
        <v>1712.03</v>
      </c>
      <c r="R547" s="4">
        <v>0.21199999999999999</v>
      </c>
      <c r="S547" s="4">
        <v>8</v>
      </c>
      <c r="T547" s="4">
        <f t="shared" si="56"/>
        <v>6286.3488000000007</v>
      </c>
      <c r="U547">
        <f t="shared" si="57"/>
        <v>10439.6</v>
      </c>
      <c r="V547" s="4">
        <f t="shared" si="60"/>
        <v>-4153.2511999999997</v>
      </c>
      <c r="W547" s="4">
        <f t="shared" si="61"/>
        <v>-0.66067781666839731</v>
      </c>
    </row>
    <row r="548" spans="1:23" x14ac:dyDescent="0.3">
      <c r="A548" t="s">
        <v>1192</v>
      </c>
      <c r="B548" s="7">
        <v>45355</v>
      </c>
      <c r="C548" s="2">
        <v>45367</v>
      </c>
      <c r="D548" s="4">
        <f t="shared" si="62"/>
        <v>12</v>
      </c>
      <c r="E548" s="4" t="str">
        <f>TEXT(Data!B548,"MMM-YYYY")</f>
        <v>Sept-2023</v>
      </c>
      <c r="F548" s="4" t="str">
        <f t="shared" si="58"/>
        <v>Q1-2024</v>
      </c>
      <c r="G548" t="s">
        <v>16</v>
      </c>
      <c r="H548" t="s">
        <v>148</v>
      </c>
      <c r="I548" t="s">
        <v>149</v>
      </c>
      <c r="J548" t="s">
        <v>105</v>
      </c>
      <c r="K548" t="s">
        <v>55</v>
      </c>
      <c r="L548" t="s">
        <v>110</v>
      </c>
      <c r="M548" t="s">
        <v>64</v>
      </c>
      <c r="N548" t="s">
        <v>1193</v>
      </c>
      <c r="O548" s="4">
        <v>441.08</v>
      </c>
      <c r="P548" s="8" t="str">
        <f t="shared" si="59"/>
        <v>High</v>
      </c>
      <c r="Q548" s="4">
        <v>1054.29</v>
      </c>
      <c r="R548" s="4">
        <v>0.23699999999999999</v>
      </c>
      <c r="S548" s="4">
        <v>6</v>
      </c>
      <c r="T548" s="4">
        <f t="shared" si="56"/>
        <v>216.49362000000002</v>
      </c>
      <c r="U548">
        <f t="shared" si="57"/>
        <v>2646.48</v>
      </c>
      <c r="V548" s="4">
        <f t="shared" si="60"/>
        <v>-2429.9863799999998</v>
      </c>
      <c r="W548" s="4">
        <f t="shared" si="61"/>
        <v>-11.224286332317782</v>
      </c>
    </row>
    <row r="549" spans="1:23" x14ac:dyDescent="0.3">
      <c r="A549" t="s">
        <v>1194</v>
      </c>
      <c r="B549" s="7">
        <v>45177</v>
      </c>
      <c r="C549" s="2">
        <v>45201</v>
      </c>
      <c r="D549" s="4">
        <f t="shared" si="62"/>
        <v>24</v>
      </c>
      <c r="E549" s="4" t="str">
        <f>TEXT(Data!B549,"MMM-YYYY")</f>
        <v>Feb-2023</v>
      </c>
      <c r="F549" s="4" t="str">
        <f t="shared" si="58"/>
        <v>Q3-2023</v>
      </c>
      <c r="G549" t="s">
        <v>52</v>
      </c>
      <c r="H549" t="s">
        <v>53</v>
      </c>
      <c r="I549" t="s">
        <v>54</v>
      </c>
      <c r="J549" t="s">
        <v>27</v>
      </c>
      <c r="K549" t="s">
        <v>98</v>
      </c>
      <c r="L549" t="s">
        <v>75</v>
      </c>
      <c r="M549" t="s">
        <v>81</v>
      </c>
      <c r="N549" t="s">
        <v>1195</v>
      </c>
      <c r="O549" s="4">
        <v>1299.03</v>
      </c>
      <c r="P549" s="8" t="str">
        <f t="shared" si="59"/>
        <v>High</v>
      </c>
      <c r="Q549" s="4">
        <v>2451.2199999999998</v>
      </c>
      <c r="R549" s="4">
        <v>0.20799999999999999</v>
      </c>
      <c r="S549" s="4">
        <v>8</v>
      </c>
      <c r="T549" s="4">
        <f t="shared" si="56"/>
        <v>4778.8646400000007</v>
      </c>
      <c r="U549">
        <f t="shared" si="57"/>
        <v>10392.24</v>
      </c>
      <c r="V549" s="4">
        <f t="shared" si="60"/>
        <v>-5613.3753599999991</v>
      </c>
      <c r="W549" s="4">
        <f t="shared" si="61"/>
        <v>-1.1746253101657214</v>
      </c>
    </row>
    <row r="550" spans="1:23" x14ac:dyDescent="0.3">
      <c r="A550" t="s">
        <v>1196</v>
      </c>
      <c r="B550" s="7">
        <v>44985</v>
      </c>
      <c r="C550" s="2">
        <v>44991</v>
      </c>
      <c r="D550" s="4">
        <f t="shared" si="62"/>
        <v>6</v>
      </c>
      <c r="E550" s="4" t="str">
        <f>TEXT(Data!B550,"MMM-YYYY")</f>
        <v>Jul-2024</v>
      </c>
      <c r="F550" s="4" t="str">
        <f t="shared" si="58"/>
        <v>Q1-2023</v>
      </c>
      <c r="G550" t="s">
        <v>78</v>
      </c>
      <c r="H550" t="s">
        <v>79</v>
      </c>
      <c r="I550" t="s">
        <v>335</v>
      </c>
      <c r="J550" t="s">
        <v>62</v>
      </c>
      <c r="K550" t="s">
        <v>40</v>
      </c>
      <c r="L550" t="s">
        <v>145</v>
      </c>
      <c r="M550" t="s">
        <v>30</v>
      </c>
      <c r="N550" t="s">
        <v>1197</v>
      </c>
      <c r="O550" s="4">
        <v>880.02</v>
      </c>
      <c r="P550" s="8" t="str">
        <f t="shared" si="59"/>
        <v>High</v>
      </c>
      <c r="Q550" s="4">
        <v>1251.21</v>
      </c>
      <c r="R550" s="4">
        <v>0.123</v>
      </c>
      <c r="S550" s="4">
        <v>29</v>
      </c>
      <c r="T550" s="4">
        <f t="shared" si="56"/>
        <v>22927.340840000001</v>
      </c>
      <c r="U550">
        <f t="shared" si="57"/>
        <v>25520.579999999998</v>
      </c>
      <c r="V550" s="4">
        <f t="shared" si="60"/>
        <v>-2593.2391599999974</v>
      </c>
      <c r="W550" s="4">
        <f t="shared" si="61"/>
        <v>-0.1131068438375428</v>
      </c>
    </row>
    <row r="551" spans="1:23" x14ac:dyDescent="0.3">
      <c r="A551" t="s">
        <v>1198</v>
      </c>
      <c r="B551" s="7">
        <v>45486</v>
      </c>
      <c r="C551" s="2">
        <v>45507</v>
      </c>
      <c r="D551" s="4">
        <f t="shared" si="62"/>
        <v>21</v>
      </c>
      <c r="E551" s="4" t="str">
        <f>TEXT(Data!B551,"MMM-YYYY")</f>
        <v>Dec-2024</v>
      </c>
      <c r="F551" s="4" t="str">
        <f t="shared" si="58"/>
        <v>Q3-2024</v>
      </c>
      <c r="G551" t="s">
        <v>52</v>
      </c>
      <c r="H551" t="s">
        <v>73</v>
      </c>
      <c r="I551" t="s">
        <v>225</v>
      </c>
      <c r="J551" t="s">
        <v>19</v>
      </c>
      <c r="K551" t="s">
        <v>40</v>
      </c>
      <c r="L551" t="s">
        <v>110</v>
      </c>
      <c r="M551" t="s">
        <v>64</v>
      </c>
      <c r="N551" t="s">
        <v>1199</v>
      </c>
      <c r="O551" s="4">
        <v>702.98</v>
      </c>
      <c r="P551" s="8" t="str">
        <f t="shared" si="59"/>
        <v>High</v>
      </c>
      <c r="Q551" s="4">
        <v>1104.8</v>
      </c>
      <c r="R551" s="4">
        <v>0.17499999999999999</v>
      </c>
      <c r="S551" s="4">
        <v>12</v>
      </c>
      <c r="T551" s="4">
        <f t="shared" si="56"/>
        <v>1119.492</v>
      </c>
      <c r="U551">
        <f t="shared" si="57"/>
        <v>8435.76</v>
      </c>
      <c r="V551" s="4">
        <f t="shared" si="60"/>
        <v>-7316.268</v>
      </c>
      <c r="W551" s="4">
        <f t="shared" si="61"/>
        <v>-6.5353463892551265</v>
      </c>
    </row>
    <row r="552" spans="1:23" x14ac:dyDescent="0.3">
      <c r="A552" t="s">
        <v>1200</v>
      </c>
      <c r="B552" s="7">
        <v>45633</v>
      </c>
      <c r="C552" s="2">
        <v>45652</v>
      </c>
      <c r="D552" s="4">
        <f t="shared" si="62"/>
        <v>19</v>
      </c>
      <c r="E552" s="4" t="str">
        <f>TEXT(Data!B552,"MMM-YYYY")</f>
        <v>Aug-2025</v>
      </c>
      <c r="F552" s="4" t="str">
        <f t="shared" si="58"/>
        <v>Q4-2024</v>
      </c>
      <c r="G552" t="s">
        <v>78</v>
      </c>
      <c r="H552" t="s">
        <v>108</v>
      </c>
      <c r="I552" t="s">
        <v>152</v>
      </c>
      <c r="J552" t="s">
        <v>105</v>
      </c>
      <c r="K552" t="s">
        <v>28</v>
      </c>
      <c r="L552" t="s">
        <v>145</v>
      </c>
      <c r="M552" t="s">
        <v>35</v>
      </c>
      <c r="N552" t="s">
        <v>1201</v>
      </c>
      <c r="O552" s="4">
        <v>1035.24</v>
      </c>
      <c r="P552" s="8" t="str">
        <f t="shared" si="59"/>
        <v>High</v>
      </c>
      <c r="Q552" s="4">
        <v>2383.41</v>
      </c>
      <c r="R552" s="4">
        <v>0.17</v>
      </c>
      <c r="S552" s="4">
        <v>15</v>
      </c>
      <c r="T552" s="4">
        <f t="shared" si="56"/>
        <v>10814.319</v>
      </c>
      <c r="U552">
        <f t="shared" si="57"/>
        <v>15528.6</v>
      </c>
      <c r="V552" s="4">
        <f t="shared" si="60"/>
        <v>-4714.2810000000009</v>
      </c>
      <c r="W552" s="4">
        <f t="shared" si="61"/>
        <v>-0.43592953009801183</v>
      </c>
    </row>
    <row r="553" spans="1:23" x14ac:dyDescent="0.3">
      <c r="A553" t="s">
        <v>1202</v>
      </c>
      <c r="B553" s="7">
        <v>45875</v>
      </c>
      <c r="C553" s="2">
        <v>45892</v>
      </c>
      <c r="D553" s="4">
        <f t="shared" si="62"/>
        <v>17</v>
      </c>
      <c r="E553" s="4" t="str">
        <f>TEXT(Data!B553,"MMM-YYYY")</f>
        <v>Mar-2023</v>
      </c>
      <c r="F553" s="4" t="str">
        <f t="shared" si="58"/>
        <v>Q3-2025</v>
      </c>
      <c r="G553" t="s">
        <v>52</v>
      </c>
      <c r="H553" t="s">
        <v>73</v>
      </c>
      <c r="I553" t="s">
        <v>87</v>
      </c>
      <c r="J553" t="s">
        <v>48</v>
      </c>
      <c r="K553" t="s">
        <v>55</v>
      </c>
      <c r="L553" t="s">
        <v>75</v>
      </c>
      <c r="M553" t="s">
        <v>64</v>
      </c>
      <c r="N553" t="s">
        <v>1203</v>
      </c>
      <c r="O553" s="4">
        <v>86.64</v>
      </c>
      <c r="P553" s="8" t="str">
        <f t="shared" si="59"/>
        <v>High</v>
      </c>
      <c r="Q553" s="4">
        <v>213.06</v>
      </c>
      <c r="R553" s="4">
        <v>0.21199999999999999</v>
      </c>
      <c r="S553" s="4">
        <v>11</v>
      </c>
      <c r="T553" s="4">
        <f t="shared" si="56"/>
        <v>3015.5971999999997</v>
      </c>
      <c r="U553">
        <f t="shared" si="57"/>
        <v>953.04</v>
      </c>
      <c r="V553" s="4">
        <f t="shared" si="60"/>
        <v>2062.5571999999997</v>
      </c>
      <c r="W553" s="4">
        <f t="shared" si="61"/>
        <v>0.68396309692819712</v>
      </c>
    </row>
    <row r="554" spans="1:23" x14ac:dyDescent="0.3">
      <c r="A554" t="s">
        <v>1204</v>
      </c>
      <c r="B554" s="7">
        <v>44988</v>
      </c>
      <c r="C554" s="2">
        <v>45005</v>
      </c>
      <c r="D554" s="4">
        <f t="shared" si="62"/>
        <v>17</v>
      </c>
      <c r="E554" s="4" t="str">
        <f>TEXT(Data!B554,"MMM-YYYY")</f>
        <v>Feb-2025</v>
      </c>
      <c r="F554" s="4" t="str">
        <f t="shared" si="58"/>
        <v>Q1-2023</v>
      </c>
      <c r="G554" t="s">
        <v>45</v>
      </c>
      <c r="H554" t="s">
        <v>46</v>
      </c>
      <c r="I554" t="s">
        <v>231</v>
      </c>
      <c r="J554" t="s">
        <v>62</v>
      </c>
      <c r="K554" t="s">
        <v>28</v>
      </c>
      <c r="L554" t="s">
        <v>145</v>
      </c>
      <c r="M554" t="s">
        <v>35</v>
      </c>
      <c r="N554" t="s">
        <v>1205</v>
      </c>
      <c r="O554" s="4">
        <v>1171.17</v>
      </c>
      <c r="P554" s="8" t="str">
        <f t="shared" si="59"/>
        <v>High</v>
      </c>
      <c r="Q554" s="4">
        <v>2030.64</v>
      </c>
      <c r="R554" s="4">
        <v>0.157</v>
      </c>
      <c r="S554" s="4">
        <v>11</v>
      </c>
      <c r="T554" s="4">
        <f t="shared" si="56"/>
        <v>10310.463239999999</v>
      </c>
      <c r="U554">
        <f t="shared" si="57"/>
        <v>12882.87</v>
      </c>
      <c r="V554" s="4">
        <f t="shared" si="60"/>
        <v>-2572.4067600000017</v>
      </c>
      <c r="W554" s="4">
        <f t="shared" si="61"/>
        <v>-0.24949478021707217</v>
      </c>
    </row>
    <row r="555" spans="1:23" x14ac:dyDescent="0.3">
      <c r="A555" t="s">
        <v>1206</v>
      </c>
      <c r="B555" s="7">
        <v>45704</v>
      </c>
      <c r="C555" s="2">
        <v>45733</v>
      </c>
      <c r="D555" s="4">
        <f t="shared" si="62"/>
        <v>1</v>
      </c>
      <c r="E555" s="4" t="str">
        <f>TEXT(Data!B555,"MMM-YYYY")</f>
        <v>Feb-2025</v>
      </c>
      <c r="F555" s="4" t="str">
        <f t="shared" si="58"/>
        <v>Q1-2025</v>
      </c>
      <c r="G555" t="s">
        <v>78</v>
      </c>
      <c r="H555" t="s">
        <v>79</v>
      </c>
      <c r="I555" t="s">
        <v>159</v>
      </c>
      <c r="J555" t="s">
        <v>48</v>
      </c>
      <c r="K555" t="s">
        <v>20</v>
      </c>
      <c r="L555" t="s">
        <v>49</v>
      </c>
      <c r="M555" t="s">
        <v>81</v>
      </c>
      <c r="N555" t="s">
        <v>1207</v>
      </c>
      <c r="O555" s="4">
        <v>730.42</v>
      </c>
      <c r="P555" s="8" t="str">
        <f t="shared" si="59"/>
        <v>High</v>
      </c>
      <c r="Q555" s="4">
        <v>956.7</v>
      </c>
      <c r="R555" s="4">
        <v>4.2000000000000003E-2</v>
      </c>
      <c r="S555" s="4">
        <v>22</v>
      </c>
      <c r="T555" s="4">
        <f t="shared" si="56"/>
        <v>6907.0267199999998</v>
      </c>
      <c r="U555">
        <f t="shared" si="57"/>
        <v>16069.24</v>
      </c>
      <c r="V555" s="4">
        <f t="shared" si="60"/>
        <v>-9162.2132799999999</v>
      </c>
      <c r="W555" s="4">
        <f t="shared" si="61"/>
        <v>-1.3265061293986133</v>
      </c>
    </row>
    <row r="556" spans="1:23" x14ac:dyDescent="0.3">
      <c r="A556" t="s">
        <v>1208</v>
      </c>
      <c r="B556" s="7">
        <v>45703</v>
      </c>
      <c r="C556" s="2">
        <v>45717</v>
      </c>
      <c r="D556" s="4">
        <f t="shared" si="62"/>
        <v>14</v>
      </c>
      <c r="E556" s="4" t="str">
        <f>TEXT(Data!B556,"MMM-YYYY")</f>
        <v>Aug-2024</v>
      </c>
      <c r="F556" s="4" t="str">
        <f t="shared" si="58"/>
        <v>Q1-2025</v>
      </c>
      <c r="G556" t="s">
        <v>16</v>
      </c>
      <c r="H556" t="s">
        <v>17</v>
      </c>
      <c r="I556" t="s">
        <v>113</v>
      </c>
      <c r="J556" t="s">
        <v>27</v>
      </c>
      <c r="K556" t="s">
        <v>98</v>
      </c>
      <c r="L556" t="s">
        <v>49</v>
      </c>
      <c r="M556" t="s">
        <v>81</v>
      </c>
      <c r="N556" t="s">
        <v>1209</v>
      </c>
      <c r="O556" s="4">
        <v>1162.8599999999999</v>
      </c>
      <c r="P556" s="8" t="str">
        <f t="shared" si="59"/>
        <v>High</v>
      </c>
      <c r="Q556" s="4">
        <v>1447.68</v>
      </c>
      <c r="R556" s="4">
        <v>8.6999999999999994E-2</v>
      </c>
      <c r="S556" s="4">
        <v>12</v>
      </c>
      <c r="T556" s="4">
        <f t="shared" si="56"/>
        <v>5326.0402800000002</v>
      </c>
      <c r="U556">
        <f t="shared" si="57"/>
        <v>13954.32</v>
      </c>
      <c r="V556" s="4">
        <f t="shared" si="60"/>
        <v>-8628.2797199999986</v>
      </c>
      <c r="W556" s="4">
        <f t="shared" si="61"/>
        <v>-1.6200177367040112</v>
      </c>
    </row>
    <row r="557" spans="1:23" x14ac:dyDescent="0.3">
      <c r="A557" t="s">
        <v>1210</v>
      </c>
      <c r="B557" s="7">
        <v>45535</v>
      </c>
      <c r="C557" s="2">
        <v>45561</v>
      </c>
      <c r="D557" s="4">
        <f t="shared" si="62"/>
        <v>26</v>
      </c>
      <c r="E557" s="4" t="str">
        <f>TEXT(Data!B557,"MMM-YYYY")</f>
        <v>May-2023</v>
      </c>
      <c r="F557" s="4" t="str">
        <f t="shared" si="58"/>
        <v>Q3-2024</v>
      </c>
      <c r="G557" t="s">
        <v>45</v>
      </c>
      <c r="H557" t="s">
        <v>46</v>
      </c>
      <c r="I557" t="s">
        <v>214</v>
      </c>
      <c r="J557" t="s">
        <v>27</v>
      </c>
      <c r="K557" t="s">
        <v>28</v>
      </c>
      <c r="L557" t="s">
        <v>34</v>
      </c>
      <c r="M557" t="s">
        <v>42</v>
      </c>
      <c r="N557" t="s">
        <v>1211</v>
      </c>
      <c r="O557" s="4">
        <v>1189.03</v>
      </c>
      <c r="P557" s="8" t="str">
        <f t="shared" si="59"/>
        <v>High</v>
      </c>
      <c r="Q557" s="4">
        <v>2949.62</v>
      </c>
      <c r="R557" s="4">
        <v>0.125</v>
      </c>
      <c r="S557" s="4">
        <v>13</v>
      </c>
      <c r="T557" s="4">
        <f t="shared" si="56"/>
        <v>23507.575000000001</v>
      </c>
      <c r="U557">
        <f t="shared" si="57"/>
        <v>15457.39</v>
      </c>
      <c r="V557" s="4">
        <f t="shared" si="60"/>
        <v>8050.1850000000013</v>
      </c>
      <c r="W557" s="4">
        <f t="shared" si="61"/>
        <v>0.34245067813247437</v>
      </c>
    </row>
    <row r="558" spans="1:23" x14ac:dyDescent="0.3">
      <c r="A558" t="s">
        <v>1212</v>
      </c>
      <c r="B558" s="7">
        <v>45053</v>
      </c>
      <c r="C558" s="2">
        <v>45066</v>
      </c>
      <c r="D558" s="4">
        <f t="shared" si="62"/>
        <v>13</v>
      </c>
      <c r="E558" s="4" t="str">
        <f>TEXT(Data!B558,"MMM-YYYY")</f>
        <v>May-2025</v>
      </c>
      <c r="F558" s="4" t="str">
        <f t="shared" si="58"/>
        <v>Q2-2023</v>
      </c>
      <c r="G558" t="s">
        <v>45</v>
      </c>
      <c r="H558" t="s">
        <v>60</v>
      </c>
      <c r="I558" t="s">
        <v>220</v>
      </c>
      <c r="J558" t="s">
        <v>105</v>
      </c>
      <c r="K558" t="s">
        <v>20</v>
      </c>
      <c r="L558" t="s">
        <v>145</v>
      </c>
      <c r="M558" t="s">
        <v>81</v>
      </c>
      <c r="N558" t="s">
        <v>1213</v>
      </c>
      <c r="O558" s="4">
        <v>1443.28</v>
      </c>
      <c r="P558" s="8" t="str">
        <f t="shared" si="59"/>
        <v>High</v>
      </c>
      <c r="Q558" s="4">
        <v>2580.5700000000002</v>
      </c>
      <c r="R558" s="4">
        <v>0</v>
      </c>
      <c r="S558" s="4">
        <v>18</v>
      </c>
      <c r="T558" s="4">
        <f t="shared" si="56"/>
        <v>1551.6000000000001</v>
      </c>
      <c r="U558">
        <f t="shared" si="57"/>
        <v>25979.040000000001</v>
      </c>
      <c r="V558" s="4">
        <f t="shared" si="60"/>
        <v>-24427.440000000002</v>
      </c>
      <c r="W558" s="4">
        <f t="shared" si="61"/>
        <v>-15.74338747099768</v>
      </c>
    </row>
    <row r="559" spans="1:23" x14ac:dyDescent="0.3">
      <c r="A559" t="s">
        <v>1214</v>
      </c>
      <c r="B559" s="7">
        <v>45791</v>
      </c>
      <c r="C559" s="2">
        <v>45789</v>
      </c>
      <c r="D559" s="4">
        <f>DATEDIF(C559,B559, "MD")</f>
        <v>2</v>
      </c>
      <c r="E559" s="4" t="str">
        <f>TEXT(Data!B559,"MMM-YYYY")</f>
        <v>Mar-2024</v>
      </c>
      <c r="F559" s="4" t="str">
        <f t="shared" si="58"/>
        <v>Q2-2025</v>
      </c>
      <c r="G559" t="s">
        <v>52</v>
      </c>
      <c r="H559" t="s">
        <v>53</v>
      </c>
      <c r="I559" t="s">
        <v>179</v>
      </c>
      <c r="J559" t="s">
        <v>39</v>
      </c>
      <c r="K559" t="s">
        <v>55</v>
      </c>
      <c r="L559" t="s">
        <v>84</v>
      </c>
      <c r="M559" t="s">
        <v>30</v>
      </c>
      <c r="N559" t="s">
        <v>1215</v>
      </c>
      <c r="O559" s="4">
        <v>883.5</v>
      </c>
      <c r="P559" s="8" t="str">
        <f t="shared" si="59"/>
        <v>High</v>
      </c>
      <c r="Q559" s="4">
        <v>1978.91</v>
      </c>
      <c r="R559" s="4">
        <v>5.3999999999999999E-2</v>
      </c>
      <c r="S559" s="4">
        <v>27</v>
      </c>
      <c r="T559" s="4">
        <f t="shared" si="56"/>
        <v>58944.550499999998</v>
      </c>
      <c r="U559">
        <f t="shared" si="57"/>
        <v>23854.5</v>
      </c>
      <c r="V559" s="4">
        <f t="shared" si="60"/>
        <v>35090.050499999998</v>
      </c>
      <c r="W559" s="4">
        <f t="shared" si="61"/>
        <v>0.59530610043416987</v>
      </c>
    </row>
    <row r="560" spans="1:23" x14ac:dyDescent="0.3">
      <c r="A560" t="s">
        <v>1216</v>
      </c>
      <c r="B560" s="7">
        <v>45362</v>
      </c>
      <c r="C560" s="2">
        <v>45380</v>
      </c>
      <c r="D560" s="4">
        <f t="shared" si="62"/>
        <v>18</v>
      </c>
      <c r="E560" s="4" t="str">
        <f>TEXT(Data!B560,"MMM-YYYY")</f>
        <v>May-2024</v>
      </c>
      <c r="F560" s="4" t="str">
        <f t="shared" si="58"/>
        <v>Q1-2024</v>
      </c>
      <c r="G560" t="s">
        <v>52</v>
      </c>
      <c r="H560" t="s">
        <v>122</v>
      </c>
      <c r="I560" t="s">
        <v>387</v>
      </c>
      <c r="J560" t="s">
        <v>19</v>
      </c>
      <c r="K560" t="s">
        <v>20</v>
      </c>
      <c r="L560" t="s">
        <v>110</v>
      </c>
      <c r="M560" t="s">
        <v>64</v>
      </c>
      <c r="N560" t="s">
        <v>1217</v>
      </c>
      <c r="O560" s="4">
        <v>710.98</v>
      </c>
      <c r="P560" s="8" t="str">
        <f t="shared" si="59"/>
        <v>High</v>
      </c>
      <c r="Q560" s="4">
        <v>1481.45</v>
      </c>
      <c r="R560" s="4">
        <v>0.21099999999999999</v>
      </c>
      <c r="S560" s="4">
        <v>9</v>
      </c>
      <c r="T560" s="4">
        <f t="shared" si="56"/>
        <v>7902.0638099999996</v>
      </c>
      <c r="U560">
        <f t="shared" si="57"/>
        <v>6398.82</v>
      </c>
      <c r="V560" s="4">
        <f t="shared" si="60"/>
        <v>1503.2438099999999</v>
      </c>
      <c r="W560" s="4">
        <f t="shared" si="61"/>
        <v>0.19023432942893434</v>
      </c>
    </row>
    <row r="561" spans="1:23" x14ac:dyDescent="0.3">
      <c r="A561" t="s">
        <v>1218</v>
      </c>
      <c r="B561" s="7">
        <v>45430</v>
      </c>
      <c r="C561" s="2">
        <v>45434</v>
      </c>
      <c r="D561" s="4">
        <f t="shared" si="62"/>
        <v>4</v>
      </c>
      <c r="E561" s="4" t="str">
        <f>TEXT(Data!B561,"MMM-YYYY")</f>
        <v>Jan-2024</v>
      </c>
      <c r="F561" s="4" t="str">
        <f t="shared" si="58"/>
        <v>Q2-2024</v>
      </c>
      <c r="G561" t="s">
        <v>16</v>
      </c>
      <c r="H561" t="s">
        <v>17</v>
      </c>
      <c r="I561" t="s">
        <v>33</v>
      </c>
      <c r="J561" t="s">
        <v>19</v>
      </c>
      <c r="K561" t="s">
        <v>98</v>
      </c>
      <c r="L561" t="s">
        <v>92</v>
      </c>
      <c r="M561" t="s">
        <v>81</v>
      </c>
      <c r="N561" t="s">
        <v>1219</v>
      </c>
      <c r="O561" s="4">
        <v>857.42</v>
      </c>
      <c r="P561" s="8" t="str">
        <f t="shared" si="59"/>
        <v>High</v>
      </c>
      <c r="Q561" s="4">
        <v>1658.92</v>
      </c>
      <c r="R561" s="4">
        <v>0.122</v>
      </c>
      <c r="S561" s="4">
        <v>9</v>
      </c>
      <c r="T561" s="4">
        <f t="shared" si="56"/>
        <v>8897.572979999999</v>
      </c>
      <c r="U561">
        <f t="shared" si="57"/>
        <v>7716.78</v>
      </c>
      <c r="V561" s="4">
        <f t="shared" si="60"/>
        <v>1180.7929799999993</v>
      </c>
      <c r="W561" s="4">
        <f t="shared" si="61"/>
        <v>0.13270955828675871</v>
      </c>
    </row>
    <row r="562" spans="1:23" x14ac:dyDescent="0.3">
      <c r="A562" t="s">
        <v>1220</v>
      </c>
      <c r="B562" s="7">
        <v>45299</v>
      </c>
      <c r="C562" s="2">
        <v>45303</v>
      </c>
      <c r="D562" s="4">
        <f t="shared" si="62"/>
        <v>4</v>
      </c>
      <c r="E562" s="4" t="str">
        <f>TEXT(Data!B562,"MMM-YYYY")</f>
        <v>Oct-2024</v>
      </c>
      <c r="F562" s="4" t="str">
        <f t="shared" si="58"/>
        <v>Q1-2024</v>
      </c>
      <c r="G562" t="s">
        <v>45</v>
      </c>
      <c r="H562" t="s">
        <v>60</v>
      </c>
      <c r="I562" t="s">
        <v>61</v>
      </c>
      <c r="J562" t="s">
        <v>19</v>
      </c>
      <c r="K562" t="s">
        <v>98</v>
      </c>
      <c r="L562" t="s">
        <v>63</v>
      </c>
      <c r="M562" t="s">
        <v>30</v>
      </c>
      <c r="N562" t="s">
        <v>1221</v>
      </c>
      <c r="O562" s="4">
        <v>802.32</v>
      </c>
      <c r="P562" s="8" t="str">
        <f t="shared" si="59"/>
        <v>High</v>
      </c>
      <c r="Q562" s="4">
        <v>602.34</v>
      </c>
      <c r="R562" s="4">
        <v>0.12</v>
      </c>
      <c r="S562" s="4">
        <v>25</v>
      </c>
      <c r="T562" s="4">
        <f t="shared" si="56"/>
        <v>2719.64</v>
      </c>
      <c r="U562">
        <f t="shared" si="57"/>
        <v>20058</v>
      </c>
      <c r="V562" s="4">
        <f t="shared" si="60"/>
        <v>-17338.36</v>
      </c>
      <c r="W562" s="4">
        <f t="shared" si="61"/>
        <v>-6.3752408406995045</v>
      </c>
    </row>
    <row r="563" spans="1:23" x14ac:dyDescent="0.3">
      <c r="A563" t="s">
        <v>1222</v>
      </c>
      <c r="B563" s="7">
        <v>45590</v>
      </c>
      <c r="C563" s="2">
        <v>45601</v>
      </c>
      <c r="D563" s="4">
        <f t="shared" si="62"/>
        <v>11</v>
      </c>
      <c r="E563" s="4" t="str">
        <f>TEXT(Data!B563,"MMM-YYYY")</f>
        <v>Nov-2024</v>
      </c>
      <c r="F563" s="4" t="str">
        <f t="shared" si="58"/>
        <v>Q4-2024</v>
      </c>
      <c r="G563" t="s">
        <v>52</v>
      </c>
      <c r="H563" t="s">
        <v>122</v>
      </c>
      <c r="I563" t="s">
        <v>387</v>
      </c>
      <c r="J563" t="s">
        <v>19</v>
      </c>
      <c r="K563" t="s">
        <v>55</v>
      </c>
      <c r="L563" t="s">
        <v>126</v>
      </c>
      <c r="M563" t="s">
        <v>22</v>
      </c>
      <c r="N563" t="s">
        <v>1223</v>
      </c>
      <c r="O563" s="4">
        <v>446.66</v>
      </c>
      <c r="P563" s="8" t="str">
        <f t="shared" si="59"/>
        <v>High</v>
      </c>
      <c r="Q563" s="4">
        <v>527.64</v>
      </c>
      <c r="R563" s="4">
        <v>0.14499999999999999</v>
      </c>
      <c r="S563" s="4">
        <v>15</v>
      </c>
      <c r="T563" s="4">
        <f t="shared" si="56"/>
        <v>22209.693749999999</v>
      </c>
      <c r="U563">
        <f t="shared" si="57"/>
        <v>6699.9000000000005</v>
      </c>
      <c r="V563" s="4">
        <f t="shared" si="60"/>
        <v>15509.793749999997</v>
      </c>
      <c r="W563" s="4">
        <f t="shared" si="61"/>
        <v>0.6983344266059498</v>
      </c>
    </row>
    <row r="564" spans="1:23" x14ac:dyDescent="0.3">
      <c r="A564" t="s">
        <v>1224</v>
      </c>
      <c r="B564" s="7">
        <v>45626</v>
      </c>
      <c r="C564" s="2">
        <v>45645</v>
      </c>
      <c r="D564" s="4">
        <f t="shared" si="62"/>
        <v>19</v>
      </c>
      <c r="E564" s="4" t="str">
        <f>TEXT(Data!B564,"MMM-YYYY")</f>
        <v>Apr-2023</v>
      </c>
      <c r="F564" s="4" t="str">
        <f t="shared" si="58"/>
        <v>Q4-2024</v>
      </c>
      <c r="G564" t="s">
        <v>16</v>
      </c>
      <c r="H564" t="s">
        <v>17</v>
      </c>
      <c r="I564" t="s">
        <v>18</v>
      </c>
      <c r="J564" t="s">
        <v>19</v>
      </c>
      <c r="K564" t="s">
        <v>28</v>
      </c>
      <c r="L564" t="s">
        <v>49</v>
      </c>
      <c r="M564" t="s">
        <v>42</v>
      </c>
      <c r="N564" t="s">
        <v>1225</v>
      </c>
      <c r="O564" s="4">
        <v>1195.98</v>
      </c>
      <c r="P564" s="8" t="str">
        <f t="shared" si="59"/>
        <v>High</v>
      </c>
      <c r="Q564" s="4">
        <v>1841.9</v>
      </c>
      <c r="R564" s="4">
        <v>5.5E-2</v>
      </c>
      <c r="S564" s="4">
        <v>19</v>
      </c>
      <c r="T564" s="4">
        <f t="shared" si="56"/>
        <v>54978.38955</v>
      </c>
      <c r="U564">
        <f t="shared" si="57"/>
        <v>22723.62</v>
      </c>
      <c r="V564" s="4">
        <f t="shared" si="60"/>
        <v>32254.769550000001</v>
      </c>
      <c r="W564" s="4">
        <f t="shared" si="61"/>
        <v>0.58668087250293055</v>
      </c>
    </row>
    <row r="565" spans="1:23" x14ac:dyDescent="0.3">
      <c r="A565" t="s">
        <v>1226</v>
      </c>
      <c r="B565" s="7">
        <v>45029</v>
      </c>
      <c r="C565" s="2">
        <v>45048</v>
      </c>
      <c r="D565" s="4">
        <f t="shared" si="62"/>
        <v>19</v>
      </c>
      <c r="E565" s="4" t="str">
        <f>TEXT(Data!B565,"MMM-YYYY")</f>
        <v>Feb-2025</v>
      </c>
      <c r="F565" s="4" t="str">
        <f t="shared" si="58"/>
        <v>Q2-2023</v>
      </c>
      <c r="G565" t="s">
        <v>52</v>
      </c>
      <c r="H565" t="s">
        <v>53</v>
      </c>
      <c r="I565" t="s">
        <v>144</v>
      </c>
      <c r="J565" t="s">
        <v>48</v>
      </c>
      <c r="K565" t="s">
        <v>55</v>
      </c>
      <c r="L565" t="s">
        <v>63</v>
      </c>
      <c r="M565" t="s">
        <v>64</v>
      </c>
      <c r="N565" t="s">
        <v>1227</v>
      </c>
      <c r="O565" s="4">
        <v>671.05</v>
      </c>
      <c r="P565" s="8" t="str">
        <f t="shared" si="59"/>
        <v>High</v>
      </c>
      <c r="Q565" s="4">
        <v>1645.48</v>
      </c>
      <c r="R565" s="4">
        <v>0.13700000000000001</v>
      </c>
      <c r="S565" s="4">
        <v>6</v>
      </c>
      <c r="T565" s="4">
        <f t="shared" si="56"/>
        <v>11393.722979999999</v>
      </c>
      <c r="U565">
        <f t="shared" si="57"/>
        <v>4026.2999999999997</v>
      </c>
      <c r="V565" s="4">
        <f t="shared" si="60"/>
        <v>7367.4229799999994</v>
      </c>
      <c r="W565" s="4">
        <f t="shared" si="61"/>
        <v>0.64662121353419111</v>
      </c>
    </row>
    <row r="566" spans="1:23" x14ac:dyDescent="0.3">
      <c r="A566" t="s">
        <v>1228</v>
      </c>
      <c r="B566" s="7">
        <v>45692</v>
      </c>
      <c r="C566" s="2">
        <v>45696</v>
      </c>
      <c r="D566" s="4">
        <f t="shared" si="62"/>
        <v>4</v>
      </c>
      <c r="E566" s="4" t="str">
        <f>TEXT(Data!B566,"MMM-YYYY")</f>
        <v>Jan-2024</v>
      </c>
      <c r="F566" s="4" t="str">
        <f t="shared" si="58"/>
        <v>Q1-2025</v>
      </c>
      <c r="G566" t="s">
        <v>78</v>
      </c>
      <c r="H566" t="s">
        <v>108</v>
      </c>
      <c r="I566" t="s">
        <v>228</v>
      </c>
      <c r="J566" t="s">
        <v>105</v>
      </c>
      <c r="K566" t="s">
        <v>40</v>
      </c>
      <c r="L566" t="s">
        <v>49</v>
      </c>
      <c r="M566" t="s">
        <v>35</v>
      </c>
      <c r="N566" t="s">
        <v>1229</v>
      </c>
      <c r="O566" s="4">
        <v>586.21</v>
      </c>
      <c r="P566" s="8" t="str">
        <f t="shared" si="59"/>
        <v>High</v>
      </c>
      <c r="Q566" s="4">
        <v>727.22</v>
      </c>
      <c r="R566" s="4">
        <v>6.8000000000000005E-2</v>
      </c>
      <c r="S566" s="4">
        <v>15</v>
      </c>
      <c r="T566" s="4">
        <f t="shared" si="56"/>
        <v>8408.8302000000003</v>
      </c>
      <c r="U566">
        <f t="shared" si="57"/>
        <v>8793.1500000000015</v>
      </c>
      <c r="V566" s="4">
        <f t="shared" si="60"/>
        <v>-384.31980000000112</v>
      </c>
      <c r="W566" s="4">
        <f t="shared" si="61"/>
        <v>-4.5704312117041096E-2</v>
      </c>
    </row>
    <row r="567" spans="1:23" x14ac:dyDescent="0.3">
      <c r="A567" t="s">
        <v>1230</v>
      </c>
      <c r="B567" s="7">
        <v>45315</v>
      </c>
      <c r="C567" s="2">
        <v>45326</v>
      </c>
      <c r="D567" s="4">
        <f t="shared" si="62"/>
        <v>11</v>
      </c>
      <c r="E567" s="4" t="str">
        <f>TEXT(Data!B567,"MMM-YYYY")</f>
        <v>Feb-2024</v>
      </c>
      <c r="F567" s="4" t="str">
        <f t="shared" si="58"/>
        <v>Q1-2024</v>
      </c>
      <c r="G567" t="s">
        <v>78</v>
      </c>
      <c r="H567" t="s">
        <v>108</v>
      </c>
      <c r="I567" t="s">
        <v>228</v>
      </c>
      <c r="J567" t="s">
        <v>48</v>
      </c>
      <c r="K567" t="s">
        <v>20</v>
      </c>
      <c r="L567" t="s">
        <v>56</v>
      </c>
      <c r="M567" t="s">
        <v>57</v>
      </c>
      <c r="N567" t="s">
        <v>1231</v>
      </c>
      <c r="O567" s="4">
        <v>525.34</v>
      </c>
      <c r="P567" s="8" t="str">
        <f t="shared" si="59"/>
        <v>High</v>
      </c>
      <c r="Q567" s="4">
        <v>1233.79</v>
      </c>
      <c r="R567" s="4">
        <v>0.14299999999999999</v>
      </c>
      <c r="S567" s="4">
        <v>4</v>
      </c>
      <c r="T567" s="4">
        <f t="shared" si="56"/>
        <v>3248.9555599999999</v>
      </c>
      <c r="U567">
        <f t="shared" si="57"/>
        <v>2101.36</v>
      </c>
      <c r="V567" s="4">
        <f t="shared" si="60"/>
        <v>1147.5955599999998</v>
      </c>
      <c r="W567" s="4">
        <f t="shared" si="61"/>
        <v>0.35321983905498533</v>
      </c>
    </row>
    <row r="568" spans="1:23" x14ac:dyDescent="0.3">
      <c r="A568" t="s">
        <v>1232</v>
      </c>
      <c r="B568" s="7">
        <v>45330</v>
      </c>
      <c r="C568" s="2">
        <v>45331</v>
      </c>
      <c r="D568" s="4">
        <f t="shared" si="62"/>
        <v>1</v>
      </c>
      <c r="E568" s="4" t="str">
        <f>TEXT(Data!B568,"MMM-YYYY")</f>
        <v>Jun-2025</v>
      </c>
      <c r="F568" s="4" t="str">
        <f t="shared" si="58"/>
        <v>Q1-2024</v>
      </c>
      <c r="G568" t="s">
        <v>16</v>
      </c>
      <c r="H568" t="s">
        <v>17</v>
      </c>
      <c r="I568" t="s">
        <v>113</v>
      </c>
      <c r="J568" t="s">
        <v>19</v>
      </c>
      <c r="K568" t="s">
        <v>98</v>
      </c>
      <c r="L568" t="s">
        <v>84</v>
      </c>
      <c r="M568" t="s">
        <v>22</v>
      </c>
      <c r="N568" t="s">
        <v>1233</v>
      </c>
      <c r="O568" s="4">
        <v>1233.52</v>
      </c>
      <c r="P568" s="8" t="str">
        <f t="shared" si="59"/>
        <v>High</v>
      </c>
      <c r="Q568" s="4">
        <v>1543.76</v>
      </c>
      <c r="R568" s="4">
        <v>0.126</v>
      </c>
      <c r="S568" s="4">
        <v>13</v>
      </c>
      <c r="T568" s="4">
        <f t="shared" si="56"/>
        <v>26490.27576</v>
      </c>
      <c r="U568">
        <f t="shared" si="57"/>
        <v>16035.76</v>
      </c>
      <c r="V568" s="4">
        <f t="shared" si="60"/>
        <v>10454.51576</v>
      </c>
      <c r="W568" s="4">
        <f t="shared" si="61"/>
        <v>0.39465484824382968</v>
      </c>
    </row>
    <row r="569" spans="1:23" x14ac:dyDescent="0.3">
      <c r="A569" t="s">
        <v>1234</v>
      </c>
      <c r="B569" s="7">
        <v>45834</v>
      </c>
      <c r="C569" s="2">
        <v>45849</v>
      </c>
      <c r="D569" s="4">
        <f t="shared" si="62"/>
        <v>15</v>
      </c>
      <c r="E569" s="4" t="str">
        <f>TEXT(Data!B569,"MMM-YYYY")</f>
        <v>Nov-2024</v>
      </c>
      <c r="F569" s="4" t="str">
        <f t="shared" si="58"/>
        <v>Q2-2025</v>
      </c>
      <c r="G569" t="s">
        <v>16</v>
      </c>
      <c r="H569" t="s">
        <v>25</v>
      </c>
      <c r="I569" t="s">
        <v>26</v>
      </c>
      <c r="J569" t="s">
        <v>62</v>
      </c>
      <c r="K569" t="s">
        <v>28</v>
      </c>
      <c r="L569" t="s">
        <v>75</v>
      </c>
      <c r="M569" t="s">
        <v>57</v>
      </c>
      <c r="N569" t="s">
        <v>1235</v>
      </c>
      <c r="O569" s="4">
        <v>1170.1500000000001</v>
      </c>
      <c r="P569" s="8" t="str">
        <f t="shared" si="59"/>
        <v>High</v>
      </c>
      <c r="Q569" s="4">
        <v>2115.19</v>
      </c>
      <c r="R569" s="4">
        <v>9.1999999999999998E-2</v>
      </c>
      <c r="S569" s="4">
        <v>23</v>
      </c>
      <c r="T569" s="4">
        <f t="shared" si="56"/>
        <v>29597.640160000003</v>
      </c>
      <c r="U569">
        <f t="shared" si="57"/>
        <v>26913.45</v>
      </c>
      <c r="V569" s="4">
        <f t="shared" si="60"/>
        <v>2684.1901600000019</v>
      </c>
      <c r="W569" s="4">
        <f t="shared" si="61"/>
        <v>9.0689330145569333E-2</v>
      </c>
    </row>
    <row r="570" spans="1:23" x14ac:dyDescent="0.3">
      <c r="A570" t="s">
        <v>1236</v>
      </c>
      <c r="B570" s="7">
        <v>45600</v>
      </c>
      <c r="C570" s="2">
        <v>45603</v>
      </c>
      <c r="D570" s="4">
        <f t="shared" si="62"/>
        <v>3</v>
      </c>
      <c r="E570" s="4" t="str">
        <f>TEXT(Data!B570,"MMM-YYYY")</f>
        <v>Feb-2024</v>
      </c>
      <c r="F570" s="4" t="str">
        <f t="shared" si="58"/>
        <v>Q4-2024</v>
      </c>
      <c r="G570" t="s">
        <v>78</v>
      </c>
      <c r="H570" t="s">
        <v>90</v>
      </c>
      <c r="I570" t="s">
        <v>138</v>
      </c>
      <c r="J570" t="s">
        <v>19</v>
      </c>
      <c r="K570" t="s">
        <v>28</v>
      </c>
      <c r="L570" t="s">
        <v>68</v>
      </c>
      <c r="M570" t="s">
        <v>64</v>
      </c>
      <c r="N570" t="s">
        <v>1237</v>
      </c>
      <c r="O570" s="4">
        <v>740.68</v>
      </c>
      <c r="P570" s="8" t="str">
        <f t="shared" si="59"/>
        <v>High</v>
      </c>
      <c r="Q570" s="4">
        <v>1837.19</v>
      </c>
      <c r="R570" s="4">
        <v>0.19700000000000001</v>
      </c>
      <c r="S570" s="4">
        <v>17</v>
      </c>
      <c r="T570" s="4">
        <f t="shared" si="56"/>
        <v>9548.8744999999999</v>
      </c>
      <c r="U570">
        <f t="shared" si="57"/>
        <v>12591.56</v>
      </c>
      <c r="V570" s="4">
        <f t="shared" si="60"/>
        <v>-3042.6854999999996</v>
      </c>
      <c r="W570" s="4">
        <f t="shared" si="61"/>
        <v>-0.31864336472324561</v>
      </c>
    </row>
    <row r="571" spans="1:23" x14ac:dyDescent="0.3">
      <c r="A571" t="s">
        <v>1238</v>
      </c>
      <c r="B571" s="7">
        <v>45342</v>
      </c>
      <c r="C571" s="2">
        <v>45342</v>
      </c>
      <c r="D571" s="4">
        <f t="shared" si="62"/>
        <v>0</v>
      </c>
      <c r="E571" s="4" t="str">
        <f>TEXT(Data!B571,"MMM-YYYY")</f>
        <v>Apr-2025</v>
      </c>
      <c r="F571" s="4" t="str">
        <f t="shared" si="58"/>
        <v>Q1-2024</v>
      </c>
      <c r="G571" t="s">
        <v>52</v>
      </c>
      <c r="H571" t="s">
        <v>122</v>
      </c>
      <c r="I571" t="s">
        <v>387</v>
      </c>
      <c r="J571" t="s">
        <v>105</v>
      </c>
      <c r="K571" t="s">
        <v>28</v>
      </c>
      <c r="L571" t="s">
        <v>21</v>
      </c>
      <c r="M571" t="s">
        <v>35</v>
      </c>
      <c r="N571" t="s">
        <v>1239</v>
      </c>
      <c r="O571" s="4">
        <v>1407.05</v>
      </c>
      <c r="P571" s="8" t="str">
        <f t="shared" si="59"/>
        <v>High</v>
      </c>
      <c r="Q571" s="4">
        <v>2858.93</v>
      </c>
      <c r="R571" s="4">
        <v>0</v>
      </c>
      <c r="S571" s="4">
        <v>12</v>
      </c>
      <c r="T571" s="4">
        <f t="shared" si="56"/>
        <v>21446.400000000001</v>
      </c>
      <c r="U571">
        <f t="shared" si="57"/>
        <v>16884.599999999999</v>
      </c>
      <c r="V571" s="4">
        <f t="shared" si="60"/>
        <v>4561.8000000000029</v>
      </c>
      <c r="W571" s="4">
        <f t="shared" si="61"/>
        <v>0.2127070277529097</v>
      </c>
    </row>
    <row r="572" spans="1:23" x14ac:dyDescent="0.3">
      <c r="A572" t="s">
        <v>1240</v>
      </c>
      <c r="B572" s="7">
        <v>45760</v>
      </c>
      <c r="C572" s="2">
        <v>45761</v>
      </c>
      <c r="D572" s="4">
        <f t="shared" si="62"/>
        <v>1</v>
      </c>
      <c r="E572" s="4" t="str">
        <f>TEXT(Data!B572,"MMM-YYYY")</f>
        <v>Jun-2023</v>
      </c>
      <c r="F572" s="4" t="str">
        <f t="shared" si="58"/>
        <v>Q2-2025</v>
      </c>
      <c r="G572" t="s">
        <v>45</v>
      </c>
      <c r="H572" t="s">
        <v>46</v>
      </c>
      <c r="I572" t="s">
        <v>47</v>
      </c>
      <c r="J572" t="s">
        <v>105</v>
      </c>
      <c r="K572" t="s">
        <v>28</v>
      </c>
      <c r="L572" t="s">
        <v>41</v>
      </c>
      <c r="M572" t="s">
        <v>22</v>
      </c>
      <c r="N572" t="s">
        <v>1241</v>
      </c>
      <c r="O572" s="4">
        <v>138.9</v>
      </c>
      <c r="P572" s="8" t="str">
        <f t="shared" si="59"/>
        <v>High</v>
      </c>
      <c r="Q572" s="4">
        <v>289.92</v>
      </c>
      <c r="R572" s="4">
        <v>2.9000000000000001E-2</v>
      </c>
      <c r="S572" s="4">
        <v>12</v>
      </c>
      <c r="T572" s="4">
        <f t="shared" si="56"/>
        <v>19793.834999999999</v>
      </c>
      <c r="U572">
        <f t="shared" si="57"/>
        <v>1666.8000000000002</v>
      </c>
      <c r="V572" s="4">
        <f t="shared" si="60"/>
        <v>18127.035</v>
      </c>
      <c r="W572" s="4">
        <f t="shared" si="61"/>
        <v>0.91579196249741401</v>
      </c>
    </row>
    <row r="573" spans="1:23" x14ac:dyDescent="0.3">
      <c r="A573" t="s">
        <v>1242</v>
      </c>
      <c r="B573" s="7">
        <v>45078</v>
      </c>
      <c r="C573" s="2">
        <v>45078</v>
      </c>
      <c r="D573" s="4">
        <f t="shared" si="62"/>
        <v>0</v>
      </c>
      <c r="E573" s="4" t="str">
        <f>TEXT(Data!B573,"MMM-YYYY")</f>
        <v>Mar-2025</v>
      </c>
      <c r="F573" s="4" t="str">
        <f t="shared" si="58"/>
        <v>Q2-2023</v>
      </c>
      <c r="G573" t="s">
        <v>45</v>
      </c>
      <c r="H573" t="s">
        <v>60</v>
      </c>
      <c r="I573" t="s">
        <v>61</v>
      </c>
      <c r="J573" t="s">
        <v>19</v>
      </c>
      <c r="K573" t="s">
        <v>20</v>
      </c>
      <c r="L573" t="s">
        <v>63</v>
      </c>
      <c r="M573" t="s">
        <v>81</v>
      </c>
      <c r="N573" t="s">
        <v>1243</v>
      </c>
      <c r="O573" s="4">
        <v>669.37</v>
      </c>
      <c r="P573" s="8" t="str">
        <f t="shared" si="59"/>
        <v>High</v>
      </c>
      <c r="Q573" s="4">
        <v>997.2</v>
      </c>
      <c r="R573" s="4">
        <v>8.2000000000000003E-2</v>
      </c>
      <c r="S573" s="4">
        <v>5</v>
      </c>
      <c r="T573" s="4">
        <f t="shared" si="56"/>
        <v>3326.373</v>
      </c>
      <c r="U573">
        <f t="shared" si="57"/>
        <v>3346.85</v>
      </c>
      <c r="V573" s="4">
        <f t="shared" si="60"/>
        <v>-20.476999999999862</v>
      </c>
      <c r="W573" s="4">
        <f t="shared" si="61"/>
        <v>-6.1559542480653434E-3</v>
      </c>
    </row>
    <row r="574" spans="1:23" x14ac:dyDescent="0.3">
      <c r="A574" t="s">
        <v>1244</v>
      </c>
      <c r="B574" s="7">
        <v>45740</v>
      </c>
      <c r="C574" s="2">
        <v>45751</v>
      </c>
      <c r="D574" s="4">
        <f t="shared" si="62"/>
        <v>11</v>
      </c>
      <c r="E574" s="4" t="str">
        <f>TEXT(Data!B574,"MMM-YYYY")</f>
        <v>Jan-2024</v>
      </c>
      <c r="F574" s="4" t="str">
        <f t="shared" si="58"/>
        <v>Q1-2025</v>
      </c>
      <c r="G574" t="s">
        <v>45</v>
      </c>
      <c r="H574" t="s">
        <v>60</v>
      </c>
      <c r="I574" t="s">
        <v>220</v>
      </c>
      <c r="J574" t="s">
        <v>27</v>
      </c>
      <c r="K574" t="s">
        <v>40</v>
      </c>
      <c r="L574" t="s">
        <v>29</v>
      </c>
      <c r="M574" t="s">
        <v>42</v>
      </c>
      <c r="N574" t="s">
        <v>1245</v>
      </c>
      <c r="O574" s="4">
        <v>23.83</v>
      </c>
      <c r="P574" s="8" t="str">
        <f t="shared" si="59"/>
        <v>Low</v>
      </c>
      <c r="Q574" s="4">
        <v>47.29</v>
      </c>
      <c r="R574" s="4">
        <v>6.4000000000000001E-2</v>
      </c>
      <c r="S574" s="4">
        <v>19</v>
      </c>
      <c r="T574" s="4">
        <f t="shared" si="56"/>
        <v>24114.036959999998</v>
      </c>
      <c r="U574">
        <f t="shared" si="57"/>
        <v>452.77</v>
      </c>
      <c r="V574" s="4">
        <f t="shared" si="60"/>
        <v>23661.266959999997</v>
      </c>
      <c r="W574" s="4">
        <f t="shared" si="61"/>
        <v>0.98122379920247083</v>
      </c>
    </row>
    <row r="575" spans="1:23" x14ac:dyDescent="0.3">
      <c r="A575" t="s">
        <v>1246</v>
      </c>
      <c r="B575" s="7">
        <v>45293</v>
      </c>
      <c r="C575" s="2">
        <v>45293</v>
      </c>
      <c r="D575" s="4">
        <f t="shared" si="62"/>
        <v>0</v>
      </c>
      <c r="E575" s="4" t="str">
        <f>TEXT(Data!B575,"MMM-YYYY")</f>
        <v>Dec-2023</v>
      </c>
      <c r="F575" s="4" t="str">
        <f t="shared" si="58"/>
        <v>Q1-2024</v>
      </c>
      <c r="G575" t="s">
        <v>52</v>
      </c>
      <c r="H575" t="s">
        <v>53</v>
      </c>
      <c r="I575" t="s">
        <v>179</v>
      </c>
      <c r="J575" t="s">
        <v>27</v>
      </c>
      <c r="K575" t="s">
        <v>98</v>
      </c>
      <c r="L575" t="s">
        <v>75</v>
      </c>
      <c r="M575" t="s">
        <v>57</v>
      </c>
      <c r="N575" t="s">
        <v>1247</v>
      </c>
      <c r="O575" s="4">
        <v>444.41</v>
      </c>
      <c r="P575" s="8" t="str">
        <f t="shared" si="59"/>
        <v>High</v>
      </c>
      <c r="Q575" s="4">
        <v>754.24</v>
      </c>
      <c r="R575" s="4">
        <v>0.20699999999999999</v>
      </c>
      <c r="S575" s="4">
        <v>32</v>
      </c>
      <c r="T575" s="4">
        <f t="shared" si="56"/>
        <v>6980.1763200000005</v>
      </c>
      <c r="U575">
        <f t="shared" si="57"/>
        <v>14221.12</v>
      </c>
      <c r="V575" s="4">
        <f t="shared" si="60"/>
        <v>-7240.9436800000003</v>
      </c>
      <c r="W575" s="4">
        <f t="shared" si="61"/>
        <v>-1.0373582769324659</v>
      </c>
    </row>
    <row r="576" spans="1:23" x14ac:dyDescent="0.3">
      <c r="A576" t="s">
        <v>1248</v>
      </c>
      <c r="B576" s="7">
        <v>45279</v>
      </c>
      <c r="C576" s="2">
        <v>45292</v>
      </c>
      <c r="D576" s="4">
        <f t="shared" si="62"/>
        <v>13</v>
      </c>
      <c r="E576" s="4" t="str">
        <f>TEXT(Data!B576,"MMM-YYYY")</f>
        <v>Apr-2023</v>
      </c>
      <c r="F576" s="4" t="str">
        <f t="shared" si="58"/>
        <v>Q4-2023</v>
      </c>
      <c r="G576" t="s">
        <v>52</v>
      </c>
      <c r="H576" t="s">
        <v>53</v>
      </c>
      <c r="I576" t="s">
        <v>54</v>
      </c>
      <c r="J576" t="s">
        <v>105</v>
      </c>
      <c r="K576" t="s">
        <v>20</v>
      </c>
      <c r="L576" t="s">
        <v>95</v>
      </c>
      <c r="M576" t="s">
        <v>64</v>
      </c>
      <c r="N576" t="s">
        <v>1249</v>
      </c>
      <c r="O576" s="4">
        <v>856.1</v>
      </c>
      <c r="P576" s="8" t="str">
        <f t="shared" si="59"/>
        <v>High</v>
      </c>
      <c r="Q576" s="4">
        <v>901.48</v>
      </c>
      <c r="R576" s="4">
        <v>5.6000000000000001E-2</v>
      </c>
      <c r="S576" s="4">
        <v>17</v>
      </c>
      <c r="T576" s="4">
        <f t="shared" si="56"/>
        <v>28925.557119999998</v>
      </c>
      <c r="U576">
        <f t="shared" si="57"/>
        <v>14553.7</v>
      </c>
      <c r="V576" s="4">
        <f t="shared" si="60"/>
        <v>14371.857119999997</v>
      </c>
      <c r="W576" s="4">
        <f t="shared" si="61"/>
        <v>0.49685670911634278</v>
      </c>
    </row>
    <row r="577" spans="1:23" x14ac:dyDescent="0.3">
      <c r="A577" t="s">
        <v>1250</v>
      </c>
      <c r="B577" s="7">
        <v>45042</v>
      </c>
      <c r="C577" s="2">
        <v>45042</v>
      </c>
      <c r="D577" s="4">
        <f t="shared" si="62"/>
        <v>0</v>
      </c>
      <c r="E577" s="4" t="str">
        <f>TEXT(Data!B577,"MMM-YYYY")</f>
        <v>Aug-2025</v>
      </c>
      <c r="F577" s="4" t="str">
        <f t="shared" si="58"/>
        <v>Q2-2023</v>
      </c>
      <c r="G577" t="s">
        <v>78</v>
      </c>
      <c r="H577" t="s">
        <v>90</v>
      </c>
      <c r="I577" t="s">
        <v>91</v>
      </c>
      <c r="J577" t="s">
        <v>48</v>
      </c>
      <c r="K577" t="s">
        <v>98</v>
      </c>
      <c r="L577" t="s">
        <v>110</v>
      </c>
      <c r="M577" t="s">
        <v>22</v>
      </c>
      <c r="N577" t="s">
        <v>1251</v>
      </c>
      <c r="O577" s="4">
        <v>81.489999999999995</v>
      </c>
      <c r="P577" s="8" t="str">
        <f t="shared" si="59"/>
        <v>Medium</v>
      </c>
      <c r="Q577" s="4">
        <v>113.08</v>
      </c>
      <c r="R577" s="4">
        <v>0.121</v>
      </c>
      <c r="S577" s="4">
        <v>5</v>
      </c>
      <c r="T577" s="4">
        <f t="shared" si="56"/>
        <v>5580.6830999999993</v>
      </c>
      <c r="U577">
        <f t="shared" si="57"/>
        <v>407.45</v>
      </c>
      <c r="V577" s="4">
        <f t="shared" si="60"/>
        <v>5173.2330999999995</v>
      </c>
      <c r="W577" s="4">
        <f t="shared" si="61"/>
        <v>0.92698922467036338</v>
      </c>
    </row>
    <row r="578" spans="1:23" x14ac:dyDescent="0.3">
      <c r="A578" t="s">
        <v>1252</v>
      </c>
      <c r="B578" s="7">
        <v>45872</v>
      </c>
      <c r="C578" s="2">
        <v>45885</v>
      </c>
      <c r="D578" s="4">
        <f t="shared" si="62"/>
        <v>13</v>
      </c>
      <c r="E578" s="4" t="str">
        <f>TEXT(Data!B578,"MMM-YYYY")</f>
        <v>Aug-2023</v>
      </c>
      <c r="F578" s="4" t="str">
        <f t="shared" si="58"/>
        <v>Q3-2025</v>
      </c>
      <c r="G578" t="s">
        <v>52</v>
      </c>
      <c r="H578" t="s">
        <v>53</v>
      </c>
      <c r="I578" t="s">
        <v>144</v>
      </c>
      <c r="J578" t="s">
        <v>105</v>
      </c>
      <c r="K578" t="s">
        <v>55</v>
      </c>
      <c r="L578" t="s">
        <v>68</v>
      </c>
      <c r="M578" t="s">
        <v>35</v>
      </c>
      <c r="N578" t="s">
        <v>1253</v>
      </c>
      <c r="O578" s="4">
        <v>698.66</v>
      </c>
      <c r="P578" s="8" t="str">
        <f t="shared" si="59"/>
        <v>High</v>
      </c>
      <c r="Q578" s="4">
        <v>868.62</v>
      </c>
      <c r="R578" s="4">
        <v>7.1999999999999995E-2</v>
      </c>
      <c r="S578" s="4">
        <v>15</v>
      </c>
      <c r="T578" s="4">
        <f t="shared" ref="T578:T633" si="63">(Q604*S578)*(1-R578)</f>
        <v>7960.848</v>
      </c>
      <c r="U578">
        <f t="shared" ref="U578:U633" si="64">(O578*S578)</f>
        <v>10479.9</v>
      </c>
      <c r="V578" s="4">
        <f t="shared" si="60"/>
        <v>-2519.0519999999997</v>
      </c>
      <c r="W578" s="4">
        <f t="shared" si="61"/>
        <v>-0.31643010895321699</v>
      </c>
    </row>
    <row r="579" spans="1:23" x14ac:dyDescent="0.3">
      <c r="A579" t="s">
        <v>1254</v>
      </c>
      <c r="B579" s="7">
        <v>45140</v>
      </c>
      <c r="C579" s="2">
        <v>45157</v>
      </c>
      <c r="D579" s="4">
        <f t="shared" si="62"/>
        <v>17</v>
      </c>
      <c r="E579" s="4" t="str">
        <f>TEXT(Data!B579,"MMM-YYYY")</f>
        <v>Jun-2023</v>
      </c>
      <c r="F579" s="4" t="str">
        <f t="shared" ref="F579:F633" si="65">"Q"&amp;ROUNDUP(MONTH(B579)/3,0)&amp;"-"&amp;YEAR(B579)</f>
        <v>Q3-2023</v>
      </c>
      <c r="G579" t="s">
        <v>52</v>
      </c>
      <c r="H579" t="s">
        <v>53</v>
      </c>
      <c r="I579" t="s">
        <v>179</v>
      </c>
      <c r="J579" t="s">
        <v>19</v>
      </c>
      <c r="K579" t="s">
        <v>28</v>
      </c>
      <c r="L579" t="s">
        <v>84</v>
      </c>
      <c r="M579" t="s">
        <v>35</v>
      </c>
      <c r="N579" t="s">
        <v>1255</v>
      </c>
      <c r="O579" s="4">
        <v>175.38</v>
      </c>
      <c r="P579" s="8" t="str">
        <f t="shared" ref="P579:P633" si="66">IF(Q579&lt;50, "Low", IF(Q579&lt;200, "Medium", "High"))</f>
        <v>High</v>
      </c>
      <c r="Q579" s="4">
        <v>347.9</v>
      </c>
      <c r="R579" s="4">
        <v>7.1999999999999995E-2</v>
      </c>
      <c r="S579" s="4">
        <v>43</v>
      </c>
      <c r="T579" s="4">
        <f t="shared" si="63"/>
        <v>109937.11616000001</v>
      </c>
      <c r="U579">
        <f t="shared" si="64"/>
        <v>7541.34</v>
      </c>
      <c r="V579" s="4">
        <f t="shared" ref="V579:V633" si="67">(T579-U579)</f>
        <v>102395.77616000001</v>
      </c>
      <c r="W579" s="4">
        <f t="shared" ref="W579:W633" si="68">IF(T579=0, 0, V579/T579)</f>
        <v>0.93140314878712571</v>
      </c>
    </row>
    <row r="580" spans="1:23" x14ac:dyDescent="0.3">
      <c r="A580" t="s">
        <v>1256</v>
      </c>
      <c r="B580" s="7">
        <v>45092</v>
      </c>
      <c r="C580" s="2">
        <v>45119</v>
      </c>
      <c r="D580" s="4">
        <f t="shared" si="62"/>
        <v>27</v>
      </c>
      <c r="E580" s="4" t="str">
        <f>TEXT(Data!B580,"MMM-YYYY")</f>
        <v>Nov-2024</v>
      </c>
      <c r="F580" s="4" t="str">
        <f t="shared" si="65"/>
        <v>Q2-2023</v>
      </c>
      <c r="G580" t="s">
        <v>78</v>
      </c>
      <c r="H580" t="s">
        <v>108</v>
      </c>
      <c r="I580" t="s">
        <v>228</v>
      </c>
      <c r="J580" t="s">
        <v>48</v>
      </c>
      <c r="K580" t="s">
        <v>98</v>
      </c>
      <c r="L580" t="s">
        <v>34</v>
      </c>
      <c r="M580" t="s">
        <v>81</v>
      </c>
      <c r="N580" t="s">
        <v>1257</v>
      </c>
      <c r="O580" s="4">
        <v>751.28</v>
      </c>
      <c r="P580" s="8" t="str">
        <f t="shared" si="66"/>
        <v>High</v>
      </c>
      <c r="Q580" s="4">
        <v>1111.8800000000001</v>
      </c>
      <c r="R580" s="4">
        <v>0.13500000000000001</v>
      </c>
      <c r="S580" s="4">
        <v>7</v>
      </c>
      <c r="T580" s="4">
        <f t="shared" si="63"/>
        <v>5827.9980499999992</v>
      </c>
      <c r="U580">
        <f t="shared" si="64"/>
        <v>5258.96</v>
      </c>
      <c r="V580" s="4">
        <f t="shared" si="67"/>
        <v>569.0380499999992</v>
      </c>
      <c r="W580" s="4">
        <f t="shared" si="68"/>
        <v>9.7638682291597417E-2</v>
      </c>
    </row>
    <row r="581" spans="1:23" x14ac:dyDescent="0.3">
      <c r="A581" t="s">
        <v>1258</v>
      </c>
      <c r="B581" s="7">
        <v>45607</v>
      </c>
      <c r="C581" s="2">
        <v>45620</v>
      </c>
      <c r="D581" s="4">
        <f t="shared" ref="D581:D633" si="69">DATEDIF(B581,C581, "MD")</f>
        <v>13</v>
      </c>
      <c r="E581" s="4" t="str">
        <f>TEXT(Data!B581,"MMM-YYYY")</f>
        <v>Jul-2025</v>
      </c>
      <c r="F581" s="4" t="str">
        <f t="shared" si="65"/>
        <v>Q4-2024</v>
      </c>
      <c r="G581" t="s">
        <v>78</v>
      </c>
      <c r="H581" t="s">
        <v>108</v>
      </c>
      <c r="I581" t="s">
        <v>152</v>
      </c>
      <c r="J581" t="s">
        <v>19</v>
      </c>
      <c r="K581" t="s">
        <v>20</v>
      </c>
      <c r="L581" t="s">
        <v>63</v>
      </c>
      <c r="M581" t="s">
        <v>35</v>
      </c>
      <c r="N581" t="s">
        <v>1259</v>
      </c>
      <c r="O581" s="4">
        <v>164.53</v>
      </c>
      <c r="P581" s="8" t="str">
        <f t="shared" si="66"/>
        <v>High</v>
      </c>
      <c r="Q581" s="4">
        <v>327.72</v>
      </c>
      <c r="R581" s="4">
        <v>6.7000000000000004E-2</v>
      </c>
      <c r="S581" s="4">
        <v>14</v>
      </c>
      <c r="T581" s="4">
        <f t="shared" si="63"/>
        <v>8728.9427399999986</v>
      </c>
      <c r="U581">
        <f t="shared" si="64"/>
        <v>2303.42</v>
      </c>
      <c r="V581" s="4">
        <f t="shared" si="67"/>
        <v>6425.5227399999985</v>
      </c>
      <c r="W581" s="4">
        <f t="shared" si="68"/>
        <v>0.73611695383855846</v>
      </c>
    </row>
    <row r="582" spans="1:23" x14ac:dyDescent="0.3">
      <c r="A582" t="s">
        <v>1260</v>
      </c>
      <c r="B582" s="7">
        <v>45849</v>
      </c>
      <c r="C582" s="2">
        <v>45872</v>
      </c>
      <c r="D582" s="4">
        <f t="shared" si="69"/>
        <v>23</v>
      </c>
      <c r="E582" s="4" t="str">
        <f>TEXT(Data!B582,"MMM-YYYY")</f>
        <v>Jun-2023</v>
      </c>
      <c r="F582" s="4" t="str">
        <f t="shared" si="65"/>
        <v>Q3-2025</v>
      </c>
      <c r="G582" t="s">
        <v>16</v>
      </c>
      <c r="H582" t="s">
        <v>17</v>
      </c>
      <c r="I582" t="s">
        <v>135</v>
      </c>
      <c r="J582" t="s">
        <v>62</v>
      </c>
      <c r="K582" t="s">
        <v>20</v>
      </c>
      <c r="L582" t="s">
        <v>21</v>
      </c>
      <c r="M582" t="s">
        <v>42</v>
      </c>
      <c r="N582" t="s">
        <v>1261</v>
      </c>
      <c r="O582" s="4">
        <v>389.93</v>
      </c>
      <c r="P582" s="8" t="str">
        <f t="shared" si="66"/>
        <v>High</v>
      </c>
      <c r="Q582" s="4">
        <v>486.13</v>
      </c>
      <c r="R582" s="4">
        <v>0.13200000000000001</v>
      </c>
      <c r="S582" s="4">
        <v>17</v>
      </c>
      <c r="T582" s="4">
        <f t="shared" si="63"/>
        <v>20722.29348</v>
      </c>
      <c r="U582">
        <f t="shared" si="64"/>
        <v>6628.81</v>
      </c>
      <c r="V582" s="4">
        <f t="shared" si="67"/>
        <v>14093.483479999999</v>
      </c>
      <c r="W582" s="4">
        <f t="shared" si="68"/>
        <v>0.6801121455789747</v>
      </c>
    </row>
    <row r="583" spans="1:23" x14ac:dyDescent="0.3">
      <c r="A583" t="s">
        <v>1262</v>
      </c>
      <c r="B583" s="7">
        <v>45080</v>
      </c>
      <c r="C583" s="2">
        <v>45108</v>
      </c>
      <c r="D583" s="4">
        <f t="shared" si="69"/>
        <v>28</v>
      </c>
      <c r="E583" s="4" t="str">
        <f>TEXT(Data!B583,"MMM-YYYY")</f>
        <v>Jan-2023</v>
      </c>
      <c r="F583" s="4" t="str">
        <f t="shared" si="65"/>
        <v>Q2-2023</v>
      </c>
      <c r="G583" t="s">
        <v>52</v>
      </c>
      <c r="H583" t="s">
        <v>73</v>
      </c>
      <c r="I583" t="s">
        <v>87</v>
      </c>
      <c r="J583" t="s">
        <v>62</v>
      </c>
      <c r="K583" t="s">
        <v>40</v>
      </c>
      <c r="L583" t="s">
        <v>75</v>
      </c>
      <c r="M583" t="s">
        <v>22</v>
      </c>
      <c r="N583" t="s">
        <v>1263</v>
      </c>
      <c r="O583" s="4">
        <v>860.4</v>
      </c>
      <c r="P583" s="8" t="str">
        <f t="shared" si="66"/>
        <v>High</v>
      </c>
      <c r="Q583" s="4">
        <v>2066.6</v>
      </c>
      <c r="R583" s="4">
        <v>0.01</v>
      </c>
      <c r="S583" s="4">
        <v>3</v>
      </c>
      <c r="T583" s="4">
        <f t="shared" si="63"/>
        <v>10661.9733</v>
      </c>
      <c r="U583">
        <f t="shared" si="64"/>
        <v>2581.1999999999998</v>
      </c>
      <c r="V583" s="4">
        <f t="shared" si="67"/>
        <v>8080.7732999999998</v>
      </c>
      <c r="W583" s="4">
        <f t="shared" si="68"/>
        <v>0.7579059778737206</v>
      </c>
    </row>
    <row r="584" spans="1:23" x14ac:dyDescent="0.3">
      <c r="A584" t="s">
        <v>1264</v>
      </c>
      <c r="B584" s="7">
        <v>44955</v>
      </c>
      <c r="C584" s="2">
        <v>44963</v>
      </c>
      <c r="D584" s="4">
        <f t="shared" si="69"/>
        <v>8</v>
      </c>
      <c r="E584" s="4" t="str">
        <f>TEXT(Data!B584,"MMM-YYYY")</f>
        <v>Sept-2024</v>
      </c>
      <c r="F584" s="4" t="str">
        <f t="shared" si="65"/>
        <v>Q1-2023</v>
      </c>
      <c r="G584" t="s">
        <v>52</v>
      </c>
      <c r="H584" t="s">
        <v>73</v>
      </c>
      <c r="I584" t="s">
        <v>87</v>
      </c>
      <c r="J584" t="s">
        <v>19</v>
      </c>
      <c r="K584" t="s">
        <v>40</v>
      </c>
      <c r="L584" t="s">
        <v>145</v>
      </c>
      <c r="M584" t="s">
        <v>64</v>
      </c>
      <c r="N584" t="s">
        <v>1265</v>
      </c>
      <c r="O584" s="4">
        <v>41.84</v>
      </c>
      <c r="P584" s="8" t="str">
        <f t="shared" si="66"/>
        <v>Medium</v>
      </c>
      <c r="Q584" s="4">
        <v>86.2</v>
      </c>
      <c r="R584" s="4">
        <v>0.22600000000000001</v>
      </c>
      <c r="S584" s="4">
        <v>27</v>
      </c>
      <c r="T584" s="4">
        <f t="shared" si="63"/>
        <v>4879.8919799999994</v>
      </c>
      <c r="U584">
        <f t="shared" si="64"/>
        <v>1129.68</v>
      </c>
      <c r="V584" s="4">
        <f t="shared" si="67"/>
        <v>3750.2119799999991</v>
      </c>
      <c r="W584" s="4">
        <f t="shared" si="68"/>
        <v>0.76850307247989524</v>
      </c>
    </row>
    <row r="585" spans="1:23" x14ac:dyDescent="0.3">
      <c r="A585" t="s">
        <v>1266</v>
      </c>
      <c r="B585" s="7">
        <v>45541</v>
      </c>
      <c r="C585" s="2">
        <v>45539</v>
      </c>
      <c r="D585" s="4">
        <f>DATEDIF(C585,B585, "MD")</f>
        <v>2</v>
      </c>
      <c r="E585" s="4" t="str">
        <f>TEXT(Data!B585,"MMM-YYYY")</f>
        <v>Aug-2024</v>
      </c>
      <c r="F585" s="4" t="str">
        <f t="shared" si="65"/>
        <v>Q3-2024</v>
      </c>
      <c r="G585" t="s">
        <v>45</v>
      </c>
      <c r="H585" t="s">
        <v>46</v>
      </c>
      <c r="I585" t="s">
        <v>47</v>
      </c>
      <c r="J585" t="s">
        <v>19</v>
      </c>
      <c r="K585" t="s">
        <v>98</v>
      </c>
      <c r="L585" t="s">
        <v>75</v>
      </c>
      <c r="M585" t="s">
        <v>57</v>
      </c>
      <c r="N585" t="s">
        <v>1267</v>
      </c>
      <c r="O585" s="4">
        <v>1368.17</v>
      </c>
      <c r="P585" s="8" t="str">
        <f t="shared" si="66"/>
        <v>High</v>
      </c>
      <c r="Q585" s="4">
        <v>2307.75</v>
      </c>
      <c r="R585" s="4">
        <v>0.16300000000000001</v>
      </c>
      <c r="S585" s="4">
        <v>21</v>
      </c>
      <c r="T585" s="4">
        <f t="shared" si="63"/>
        <v>2183.9422500000001</v>
      </c>
      <c r="U585">
        <f t="shared" si="64"/>
        <v>28731.57</v>
      </c>
      <c r="V585" s="4">
        <f t="shared" si="67"/>
        <v>-26547.62775</v>
      </c>
      <c r="W585" s="4">
        <f t="shared" si="68"/>
        <v>-12.155828639699607</v>
      </c>
    </row>
    <row r="586" spans="1:23" x14ac:dyDescent="0.3">
      <c r="A586" t="s">
        <v>1268</v>
      </c>
      <c r="B586" s="7">
        <v>45507</v>
      </c>
      <c r="C586" s="2">
        <v>45513</v>
      </c>
      <c r="D586" s="4">
        <f t="shared" si="69"/>
        <v>6</v>
      </c>
      <c r="E586" s="4" t="str">
        <f>TEXT(Data!B586,"MMM-YYYY")</f>
        <v>Apr-2025</v>
      </c>
      <c r="F586" s="4" t="str">
        <f t="shared" si="65"/>
        <v>Q3-2024</v>
      </c>
      <c r="G586" t="s">
        <v>16</v>
      </c>
      <c r="H586" t="s">
        <v>17</v>
      </c>
      <c r="I586" t="s">
        <v>113</v>
      </c>
      <c r="J586" t="s">
        <v>48</v>
      </c>
      <c r="K586" t="s">
        <v>40</v>
      </c>
      <c r="L586" t="s">
        <v>92</v>
      </c>
      <c r="M586" t="s">
        <v>57</v>
      </c>
      <c r="N586" t="s">
        <v>1269</v>
      </c>
      <c r="O586" s="4">
        <v>643.21</v>
      </c>
      <c r="P586" s="8" t="str">
        <f t="shared" si="66"/>
        <v>High</v>
      </c>
      <c r="Q586" s="4">
        <v>1112.81</v>
      </c>
      <c r="R586" s="4">
        <v>0.14099999999999999</v>
      </c>
      <c r="S586" s="4">
        <v>4</v>
      </c>
      <c r="T586" s="4">
        <f t="shared" si="63"/>
        <v>4918.1873199999991</v>
      </c>
      <c r="U586">
        <f t="shared" si="64"/>
        <v>2572.84</v>
      </c>
      <c r="V586" s="4">
        <f t="shared" si="67"/>
        <v>2345.3473199999989</v>
      </c>
      <c r="W586" s="4">
        <f t="shared" si="68"/>
        <v>0.47687230424562183</v>
      </c>
    </row>
    <row r="587" spans="1:23" x14ac:dyDescent="0.3">
      <c r="A587" t="s">
        <v>1270</v>
      </c>
      <c r="B587" s="7">
        <v>45764</v>
      </c>
      <c r="C587" s="2">
        <v>45764</v>
      </c>
      <c r="D587" s="4">
        <f t="shared" si="69"/>
        <v>0</v>
      </c>
      <c r="E587" s="4" t="str">
        <f>TEXT(Data!B587,"MMM-YYYY")</f>
        <v>May-2023</v>
      </c>
      <c r="F587" s="4" t="str">
        <f t="shared" si="65"/>
        <v>Q2-2025</v>
      </c>
      <c r="G587" t="s">
        <v>52</v>
      </c>
      <c r="H587" t="s">
        <v>73</v>
      </c>
      <c r="I587" t="s">
        <v>74</v>
      </c>
      <c r="J587" t="s">
        <v>19</v>
      </c>
      <c r="K587" t="s">
        <v>55</v>
      </c>
      <c r="L587" t="s">
        <v>49</v>
      </c>
      <c r="M587" t="s">
        <v>42</v>
      </c>
      <c r="N587" t="s">
        <v>1271</v>
      </c>
      <c r="O587" s="4">
        <v>719.41</v>
      </c>
      <c r="P587" s="8" t="str">
        <f t="shared" si="66"/>
        <v>High</v>
      </c>
      <c r="Q587" s="4">
        <v>1125.99</v>
      </c>
      <c r="R587" s="4">
        <v>4.1000000000000002E-2</v>
      </c>
      <c r="S587" s="4">
        <v>21</v>
      </c>
      <c r="T587" s="4">
        <f t="shared" si="63"/>
        <v>32132.177279999996</v>
      </c>
      <c r="U587">
        <f t="shared" si="64"/>
        <v>15107.609999999999</v>
      </c>
      <c r="V587" s="4">
        <f t="shared" si="67"/>
        <v>17024.567279999996</v>
      </c>
      <c r="W587" s="4">
        <f t="shared" si="68"/>
        <v>0.52982924660373332</v>
      </c>
    </row>
    <row r="588" spans="1:23" x14ac:dyDescent="0.3">
      <c r="A588" t="s">
        <v>1272</v>
      </c>
      <c r="B588" s="7">
        <v>45049</v>
      </c>
      <c r="C588" s="2">
        <v>45062</v>
      </c>
      <c r="D588" s="4">
        <f t="shared" si="69"/>
        <v>13</v>
      </c>
      <c r="E588" s="4" t="str">
        <f>TEXT(Data!B588,"MMM-YYYY")</f>
        <v>Mar-2024</v>
      </c>
      <c r="F588" s="4" t="str">
        <f t="shared" si="65"/>
        <v>Q2-2023</v>
      </c>
      <c r="G588" t="s">
        <v>52</v>
      </c>
      <c r="H588" t="s">
        <v>122</v>
      </c>
      <c r="I588" t="s">
        <v>387</v>
      </c>
      <c r="J588" t="s">
        <v>19</v>
      </c>
      <c r="K588" t="s">
        <v>40</v>
      </c>
      <c r="L588" t="s">
        <v>49</v>
      </c>
      <c r="M588" t="s">
        <v>42</v>
      </c>
      <c r="N588" t="s">
        <v>1273</v>
      </c>
      <c r="O588" s="4">
        <v>64.5</v>
      </c>
      <c r="P588" s="8" t="str">
        <f t="shared" si="66"/>
        <v>Medium</v>
      </c>
      <c r="Q588" s="4">
        <v>123.62</v>
      </c>
      <c r="R588" s="4">
        <v>0</v>
      </c>
      <c r="S588" s="4">
        <v>3</v>
      </c>
      <c r="T588" s="4">
        <f t="shared" si="63"/>
        <v>3085.38</v>
      </c>
      <c r="U588">
        <f t="shared" si="64"/>
        <v>193.5</v>
      </c>
      <c r="V588" s="4">
        <f t="shared" si="67"/>
        <v>2891.88</v>
      </c>
      <c r="W588" s="4">
        <f t="shared" si="68"/>
        <v>0.93728487252785719</v>
      </c>
    </row>
    <row r="589" spans="1:23" x14ac:dyDescent="0.3">
      <c r="A589" t="s">
        <v>1274</v>
      </c>
      <c r="B589" s="7">
        <v>45364</v>
      </c>
      <c r="C589" s="2">
        <v>45388</v>
      </c>
      <c r="D589" s="4">
        <f t="shared" si="69"/>
        <v>24</v>
      </c>
      <c r="E589" s="4" t="str">
        <f>TEXT(Data!B589,"MMM-YYYY")</f>
        <v>Jun-2024</v>
      </c>
      <c r="F589" s="4" t="str">
        <f t="shared" si="65"/>
        <v>Q1-2024</v>
      </c>
      <c r="G589" t="s">
        <v>16</v>
      </c>
      <c r="H589" t="s">
        <v>25</v>
      </c>
      <c r="I589" t="s">
        <v>67</v>
      </c>
      <c r="J589" t="s">
        <v>48</v>
      </c>
      <c r="K589" t="s">
        <v>55</v>
      </c>
      <c r="L589" t="s">
        <v>49</v>
      </c>
      <c r="M589" t="s">
        <v>22</v>
      </c>
      <c r="N589" t="s">
        <v>1275</v>
      </c>
      <c r="O589" s="4">
        <v>1232.78</v>
      </c>
      <c r="P589" s="8" t="str">
        <f t="shared" si="66"/>
        <v>High</v>
      </c>
      <c r="Q589" s="4">
        <v>1731.75</v>
      </c>
      <c r="R589" s="4">
        <v>9.2999999999999999E-2</v>
      </c>
      <c r="S589" s="4">
        <v>16</v>
      </c>
      <c r="T589" s="4">
        <f t="shared" si="63"/>
        <v>46878.839200000002</v>
      </c>
      <c r="U589">
        <f t="shared" si="64"/>
        <v>19724.48</v>
      </c>
      <c r="V589" s="4">
        <f t="shared" si="67"/>
        <v>27154.359200000003</v>
      </c>
      <c r="W589" s="4">
        <f t="shared" si="68"/>
        <v>0.5792455543566446</v>
      </c>
    </row>
    <row r="590" spans="1:23" x14ac:dyDescent="0.3">
      <c r="A590" t="s">
        <v>1276</v>
      </c>
      <c r="B590" s="7">
        <v>45459</v>
      </c>
      <c r="C590" s="2">
        <v>45464</v>
      </c>
      <c r="D590" s="4">
        <f t="shared" si="69"/>
        <v>5</v>
      </c>
      <c r="E590" s="4" t="str">
        <f>TEXT(Data!B590,"MMM-YYYY")</f>
        <v>Feb-2025</v>
      </c>
      <c r="F590" s="4" t="str">
        <f t="shared" si="65"/>
        <v>Q2-2024</v>
      </c>
      <c r="G590" t="s">
        <v>45</v>
      </c>
      <c r="H590" t="s">
        <v>46</v>
      </c>
      <c r="I590" t="s">
        <v>214</v>
      </c>
      <c r="J590" t="s">
        <v>62</v>
      </c>
      <c r="K590" t="s">
        <v>55</v>
      </c>
      <c r="L590" t="s">
        <v>84</v>
      </c>
      <c r="M590" t="s">
        <v>42</v>
      </c>
      <c r="N590" t="s">
        <v>1277</v>
      </c>
      <c r="O590" s="4">
        <v>1367.13</v>
      </c>
      <c r="P590" s="8" t="str">
        <f t="shared" si="66"/>
        <v>High</v>
      </c>
      <c r="Q590" s="4">
        <v>3062.01</v>
      </c>
      <c r="R590" s="4">
        <v>0.10299999999999999</v>
      </c>
      <c r="S590" s="4">
        <v>25</v>
      </c>
      <c r="T590" s="4">
        <f t="shared" si="63"/>
        <v>62557.004249999998</v>
      </c>
      <c r="U590">
        <f t="shared" si="64"/>
        <v>34178.25</v>
      </c>
      <c r="V590" s="4">
        <f t="shared" si="67"/>
        <v>28378.754249999998</v>
      </c>
      <c r="W590" s="4">
        <f t="shared" si="68"/>
        <v>0.45364631171576603</v>
      </c>
    </row>
    <row r="591" spans="1:23" x14ac:dyDescent="0.3">
      <c r="A591" t="s">
        <v>1278</v>
      </c>
      <c r="B591" s="7">
        <v>45703</v>
      </c>
      <c r="C591" s="2">
        <v>45715</v>
      </c>
      <c r="D591" s="4">
        <f t="shared" si="69"/>
        <v>12</v>
      </c>
      <c r="E591" s="4" t="str">
        <f>TEXT(Data!B591,"MMM-YYYY")</f>
        <v>Apr-2023</v>
      </c>
      <c r="F591" s="4" t="str">
        <f t="shared" si="65"/>
        <v>Q1-2025</v>
      </c>
      <c r="G591" t="s">
        <v>78</v>
      </c>
      <c r="H591" t="s">
        <v>90</v>
      </c>
      <c r="I591" t="s">
        <v>138</v>
      </c>
      <c r="J591" t="s">
        <v>39</v>
      </c>
      <c r="K591" t="s">
        <v>98</v>
      </c>
      <c r="L591" t="s">
        <v>95</v>
      </c>
      <c r="M591" t="s">
        <v>81</v>
      </c>
      <c r="N591" t="s">
        <v>1279</v>
      </c>
      <c r="O591" s="4">
        <v>1027.26</v>
      </c>
      <c r="P591" s="8" t="str">
        <f t="shared" si="66"/>
        <v>High</v>
      </c>
      <c r="Q591" s="4">
        <v>2200.41</v>
      </c>
      <c r="R591" s="4">
        <v>8.7999999999999995E-2</v>
      </c>
      <c r="S591" s="4">
        <v>6</v>
      </c>
      <c r="T591" s="4">
        <f t="shared" si="63"/>
        <v>10384.433280000001</v>
      </c>
      <c r="U591">
        <f t="shared" si="64"/>
        <v>6163.5599999999995</v>
      </c>
      <c r="V591" s="4">
        <f t="shared" si="67"/>
        <v>4220.8732800000016</v>
      </c>
      <c r="W591" s="4">
        <f t="shared" si="68"/>
        <v>0.40646159171047236</v>
      </c>
    </row>
    <row r="592" spans="1:23" x14ac:dyDescent="0.3">
      <c r="A592" t="s">
        <v>1280</v>
      </c>
      <c r="B592" s="7">
        <v>45019</v>
      </c>
      <c r="C592" s="2">
        <v>45032</v>
      </c>
      <c r="D592" s="4">
        <f t="shared" si="69"/>
        <v>13</v>
      </c>
      <c r="E592" s="4" t="str">
        <f>TEXT(Data!B592,"MMM-YYYY")</f>
        <v>Aug-2025</v>
      </c>
      <c r="F592" s="4" t="str">
        <f t="shared" si="65"/>
        <v>Q2-2023</v>
      </c>
      <c r="G592" t="s">
        <v>78</v>
      </c>
      <c r="H592" t="s">
        <v>90</v>
      </c>
      <c r="I592" t="s">
        <v>91</v>
      </c>
      <c r="J592" t="s">
        <v>39</v>
      </c>
      <c r="K592" t="s">
        <v>40</v>
      </c>
      <c r="L592" t="s">
        <v>110</v>
      </c>
      <c r="M592" t="s">
        <v>81</v>
      </c>
      <c r="N592" t="s">
        <v>1281</v>
      </c>
      <c r="O592" s="4">
        <v>790.54</v>
      </c>
      <c r="P592" s="8" t="str">
        <f t="shared" si="66"/>
        <v>High</v>
      </c>
      <c r="Q592" s="4">
        <v>601.49</v>
      </c>
      <c r="R592" s="4">
        <v>0</v>
      </c>
      <c r="S592" s="4">
        <v>15</v>
      </c>
      <c r="T592" s="4">
        <f t="shared" si="63"/>
        <v>13537.050000000001</v>
      </c>
      <c r="U592">
        <f t="shared" si="64"/>
        <v>11858.099999999999</v>
      </c>
      <c r="V592" s="4">
        <f t="shared" si="67"/>
        <v>1678.9500000000025</v>
      </c>
      <c r="W592" s="4">
        <f t="shared" si="68"/>
        <v>0.12402628342216379</v>
      </c>
    </row>
    <row r="593" spans="1:23" x14ac:dyDescent="0.3">
      <c r="A593" t="s">
        <v>1282</v>
      </c>
      <c r="B593" s="7">
        <v>45899</v>
      </c>
      <c r="C593" s="2">
        <v>45922</v>
      </c>
      <c r="D593" s="4">
        <f t="shared" si="69"/>
        <v>23</v>
      </c>
      <c r="E593" s="4" t="str">
        <f>TEXT(Data!B593,"MMM-YYYY")</f>
        <v>Feb-2023</v>
      </c>
      <c r="F593" s="4" t="str">
        <f t="shared" si="65"/>
        <v>Q3-2025</v>
      </c>
      <c r="G593" t="s">
        <v>78</v>
      </c>
      <c r="H593" t="s">
        <v>90</v>
      </c>
      <c r="I593" t="s">
        <v>91</v>
      </c>
      <c r="J593" t="s">
        <v>19</v>
      </c>
      <c r="K593" t="s">
        <v>98</v>
      </c>
      <c r="L593" t="s">
        <v>63</v>
      </c>
      <c r="M593" t="s">
        <v>22</v>
      </c>
      <c r="N593" t="s">
        <v>1283</v>
      </c>
      <c r="O593" s="4">
        <v>663.9</v>
      </c>
      <c r="P593" s="8" t="str">
        <f t="shared" si="66"/>
        <v>High</v>
      </c>
      <c r="Q593" s="4">
        <v>947.77</v>
      </c>
      <c r="R593" s="4">
        <v>0.17399999999999999</v>
      </c>
      <c r="S593" s="4">
        <v>15</v>
      </c>
      <c r="T593" s="4">
        <f t="shared" si="63"/>
        <v>-417.04740000000004</v>
      </c>
      <c r="U593">
        <f t="shared" si="64"/>
        <v>9958.5</v>
      </c>
      <c r="V593" s="4">
        <f t="shared" si="67"/>
        <v>-10375.547399999999</v>
      </c>
      <c r="W593" s="4">
        <f t="shared" si="68"/>
        <v>24.878580708092169</v>
      </c>
    </row>
    <row r="594" spans="1:23" x14ac:dyDescent="0.3">
      <c r="A594" t="s">
        <v>1284</v>
      </c>
      <c r="B594" s="7">
        <v>44984</v>
      </c>
      <c r="C594" s="2">
        <v>44983</v>
      </c>
      <c r="D594" s="4">
        <f>DATEDIF(C594,B594, "MD")</f>
        <v>1</v>
      </c>
      <c r="E594" s="4" t="str">
        <f>TEXT(Data!B594,"MMM-YYYY")</f>
        <v>Jul-2024</v>
      </c>
      <c r="F594" s="4" t="str">
        <f t="shared" si="65"/>
        <v>Q1-2023</v>
      </c>
      <c r="G594" t="s">
        <v>52</v>
      </c>
      <c r="H594" t="s">
        <v>122</v>
      </c>
      <c r="I594" t="s">
        <v>167</v>
      </c>
      <c r="J594" t="s">
        <v>39</v>
      </c>
      <c r="K594" t="s">
        <v>28</v>
      </c>
      <c r="L594" t="s">
        <v>49</v>
      </c>
      <c r="M594" t="s">
        <v>35</v>
      </c>
      <c r="N594" t="s">
        <v>1285</v>
      </c>
      <c r="O594" s="4">
        <v>1015.91</v>
      </c>
      <c r="P594" s="8" t="str">
        <f t="shared" si="66"/>
        <v>High</v>
      </c>
      <c r="Q594" s="4">
        <v>2331.48</v>
      </c>
      <c r="R594" s="4">
        <v>0.14599999999999999</v>
      </c>
      <c r="S594" s="4">
        <v>26</v>
      </c>
      <c r="T594" s="4">
        <f t="shared" si="63"/>
        <v>24128.64272</v>
      </c>
      <c r="U594">
        <f t="shared" si="64"/>
        <v>26413.66</v>
      </c>
      <c r="V594" s="4">
        <f t="shared" si="67"/>
        <v>-2285.01728</v>
      </c>
      <c r="W594" s="4">
        <f t="shared" si="68"/>
        <v>-9.4701442866737429E-2</v>
      </c>
    </row>
    <row r="595" spans="1:23" x14ac:dyDescent="0.3">
      <c r="A595" t="s">
        <v>1286</v>
      </c>
      <c r="B595" s="7">
        <v>45504</v>
      </c>
      <c r="C595" s="2">
        <v>45519</v>
      </c>
      <c r="D595" s="4">
        <f t="shared" si="69"/>
        <v>15</v>
      </c>
      <c r="E595" s="4" t="str">
        <f>TEXT(Data!B595,"MMM-YYYY")</f>
        <v>Jun-2025</v>
      </c>
      <c r="F595" s="4" t="str">
        <f t="shared" si="65"/>
        <v>Q3-2024</v>
      </c>
      <c r="G595" t="s">
        <v>45</v>
      </c>
      <c r="H595" t="s">
        <v>46</v>
      </c>
      <c r="I595" t="s">
        <v>214</v>
      </c>
      <c r="J595" t="s">
        <v>19</v>
      </c>
      <c r="K595" t="s">
        <v>40</v>
      </c>
      <c r="L595" t="s">
        <v>84</v>
      </c>
      <c r="M595" t="s">
        <v>64</v>
      </c>
      <c r="N595" t="s">
        <v>1287</v>
      </c>
      <c r="O595" s="4">
        <v>1252.52</v>
      </c>
      <c r="P595" s="8" t="str">
        <f t="shared" si="66"/>
        <v>High</v>
      </c>
      <c r="Q595" s="4">
        <v>1417.24</v>
      </c>
      <c r="R595" s="4">
        <v>0.192</v>
      </c>
      <c r="S595" s="4">
        <v>5</v>
      </c>
      <c r="T595" s="4">
        <f t="shared" si="63"/>
        <v>4083.4300000000003</v>
      </c>
      <c r="U595">
        <f t="shared" si="64"/>
        <v>6262.6</v>
      </c>
      <c r="V595" s="4">
        <f t="shared" si="67"/>
        <v>-2179.17</v>
      </c>
      <c r="W595" s="4">
        <f t="shared" si="68"/>
        <v>-0.53366165209150151</v>
      </c>
    </row>
    <row r="596" spans="1:23" x14ac:dyDescent="0.3">
      <c r="A596" t="s">
        <v>1288</v>
      </c>
      <c r="B596" s="7">
        <v>45823</v>
      </c>
      <c r="C596" s="2">
        <v>45850</v>
      </c>
      <c r="D596" s="4">
        <f t="shared" si="69"/>
        <v>27</v>
      </c>
      <c r="E596" s="4" t="str">
        <f>TEXT(Data!B596,"MMM-YYYY")</f>
        <v>Jun-2024</v>
      </c>
      <c r="F596" s="4" t="str">
        <f t="shared" si="65"/>
        <v>Q2-2025</v>
      </c>
      <c r="G596" t="s">
        <v>78</v>
      </c>
      <c r="H596" t="s">
        <v>90</v>
      </c>
      <c r="I596" t="s">
        <v>91</v>
      </c>
      <c r="J596" t="s">
        <v>48</v>
      </c>
      <c r="K596" t="s">
        <v>98</v>
      </c>
      <c r="L596" t="s">
        <v>21</v>
      </c>
      <c r="M596" t="s">
        <v>81</v>
      </c>
      <c r="N596" t="s">
        <v>1289</v>
      </c>
      <c r="O596" s="4">
        <v>318.83</v>
      </c>
      <c r="P596" s="8" t="str">
        <f t="shared" si="66"/>
        <v>High</v>
      </c>
      <c r="Q596" s="4">
        <v>699.5</v>
      </c>
      <c r="R596" s="4">
        <v>0.08</v>
      </c>
      <c r="S596" s="4">
        <v>13</v>
      </c>
      <c r="T596" s="4">
        <f t="shared" si="63"/>
        <v>4921.3008</v>
      </c>
      <c r="U596">
        <f t="shared" si="64"/>
        <v>4144.79</v>
      </c>
      <c r="V596" s="4">
        <f t="shared" si="67"/>
        <v>776.51080000000002</v>
      </c>
      <c r="W596" s="4">
        <f t="shared" si="68"/>
        <v>0.15778568137919957</v>
      </c>
    </row>
    <row r="597" spans="1:23" x14ac:dyDescent="0.3">
      <c r="A597" t="s">
        <v>1290</v>
      </c>
      <c r="B597" s="7">
        <v>45473</v>
      </c>
      <c r="C597" s="2">
        <v>45494</v>
      </c>
      <c r="D597" s="4">
        <f t="shared" si="69"/>
        <v>21</v>
      </c>
      <c r="E597" s="4" t="str">
        <f>TEXT(Data!B597,"MMM-YYYY")</f>
        <v>Feb-2025</v>
      </c>
      <c r="F597" s="4" t="str">
        <f t="shared" si="65"/>
        <v>Q2-2024</v>
      </c>
      <c r="G597" t="s">
        <v>16</v>
      </c>
      <c r="H597" t="s">
        <v>17</v>
      </c>
      <c r="I597" t="s">
        <v>18</v>
      </c>
      <c r="J597" t="s">
        <v>62</v>
      </c>
      <c r="K597" t="s">
        <v>20</v>
      </c>
      <c r="L597" t="s">
        <v>95</v>
      </c>
      <c r="M597" t="s">
        <v>57</v>
      </c>
      <c r="N597" t="s">
        <v>1291</v>
      </c>
      <c r="O597" s="4">
        <v>753.43</v>
      </c>
      <c r="P597" s="8" t="str">
        <f t="shared" si="66"/>
        <v>High</v>
      </c>
      <c r="Q597" s="4">
        <v>1787.2</v>
      </c>
      <c r="R597" s="4">
        <v>7.2999999999999995E-2</v>
      </c>
      <c r="S597" s="4">
        <v>9</v>
      </c>
      <c r="T597" s="4">
        <f t="shared" si="63"/>
        <v>3448.4956200000001</v>
      </c>
      <c r="U597">
        <f t="shared" si="64"/>
        <v>6780.87</v>
      </c>
      <c r="V597" s="4">
        <f t="shared" si="67"/>
        <v>-3332.3743799999997</v>
      </c>
      <c r="W597" s="4">
        <f t="shared" si="68"/>
        <v>-0.9663269863744236</v>
      </c>
    </row>
    <row r="598" spans="1:23" x14ac:dyDescent="0.3">
      <c r="A598" t="s">
        <v>1292</v>
      </c>
      <c r="B598" s="7">
        <v>45705</v>
      </c>
      <c r="C598" s="2">
        <v>45703</v>
      </c>
      <c r="D598" s="4">
        <f>DATEDIF(C598,B598, "MD")</f>
        <v>2</v>
      </c>
      <c r="E598" s="4" t="str">
        <f>TEXT(Data!B598,"MMM-YYYY")</f>
        <v>Jan-2023</v>
      </c>
      <c r="F598" s="4" t="str">
        <f t="shared" si="65"/>
        <v>Q1-2025</v>
      </c>
      <c r="G598" t="s">
        <v>52</v>
      </c>
      <c r="H598" t="s">
        <v>53</v>
      </c>
      <c r="I598" t="s">
        <v>54</v>
      </c>
      <c r="J598" t="s">
        <v>62</v>
      </c>
      <c r="K598" t="s">
        <v>20</v>
      </c>
      <c r="L598" t="s">
        <v>145</v>
      </c>
      <c r="M598" t="s">
        <v>22</v>
      </c>
      <c r="N598" t="s">
        <v>1293</v>
      </c>
      <c r="O598" s="4">
        <v>1133.47</v>
      </c>
      <c r="P598" s="8" t="str">
        <f t="shared" si="66"/>
        <v>High</v>
      </c>
      <c r="Q598" s="4">
        <v>1698.75</v>
      </c>
      <c r="R598" s="4">
        <v>4.2999999999999997E-2</v>
      </c>
      <c r="S598" s="4">
        <v>5</v>
      </c>
      <c r="T598" s="4">
        <f t="shared" si="63"/>
        <v>7459.2886500000004</v>
      </c>
      <c r="U598">
        <f t="shared" si="64"/>
        <v>5667.35</v>
      </c>
      <c r="V598" s="4">
        <f t="shared" si="67"/>
        <v>1791.9386500000001</v>
      </c>
      <c r="W598" s="4">
        <f t="shared" si="68"/>
        <v>0.24022916045754578</v>
      </c>
    </row>
    <row r="599" spans="1:23" x14ac:dyDescent="0.3">
      <c r="A599" t="s">
        <v>1294</v>
      </c>
      <c r="B599" s="7">
        <v>44933</v>
      </c>
      <c r="C599" s="2">
        <v>44956</v>
      </c>
      <c r="D599" s="4">
        <f t="shared" si="69"/>
        <v>23</v>
      </c>
      <c r="E599" s="4" t="str">
        <f>TEXT(Data!B599,"MMM-YYYY")</f>
        <v>Mar-2025</v>
      </c>
      <c r="F599" s="4" t="str">
        <f t="shared" si="65"/>
        <v>Q1-2023</v>
      </c>
      <c r="G599" t="s">
        <v>16</v>
      </c>
      <c r="H599" t="s">
        <v>148</v>
      </c>
      <c r="I599" t="s">
        <v>258</v>
      </c>
      <c r="J599" t="s">
        <v>48</v>
      </c>
      <c r="K599" t="s">
        <v>28</v>
      </c>
      <c r="L599" t="s">
        <v>75</v>
      </c>
      <c r="M599" t="s">
        <v>30</v>
      </c>
      <c r="N599" t="s">
        <v>1295</v>
      </c>
      <c r="O599" s="4">
        <v>299.02</v>
      </c>
      <c r="P599" s="8" t="str">
        <f t="shared" si="66"/>
        <v>High</v>
      </c>
      <c r="Q599" s="4">
        <v>724.7</v>
      </c>
      <c r="R599" s="4">
        <v>0.14000000000000001</v>
      </c>
      <c r="S599" s="4">
        <v>5</v>
      </c>
      <c r="T599" s="4">
        <f t="shared" si="63"/>
        <v>3702.9880000000003</v>
      </c>
      <c r="U599">
        <f t="shared" si="64"/>
        <v>1495.1</v>
      </c>
      <c r="V599" s="4">
        <f t="shared" si="67"/>
        <v>2207.8880000000004</v>
      </c>
      <c r="W599" s="4">
        <f t="shared" si="68"/>
        <v>0.59624497837962209</v>
      </c>
    </row>
    <row r="600" spans="1:23" x14ac:dyDescent="0.3">
      <c r="A600" t="s">
        <v>1296</v>
      </c>
      <c r="B600" s="7">
        <v>45726</v>
      </c>
      <c r="C600" s="2">
        <v>45751</v>
      </c>
      <c r="D600" s="4">
        <f t="shared" si="69"/>
        <v>25</v>
      </c>
      <c r="E600" s="4" t="str">
        <f>TEXT(Data!B600,"MMM-YYYY")</f>
        <v>Aug-2024</v>
      </c>
      <c r="F600" s="4" t="str">
        <f t="shared" si="65"/>
        <v>Q1-2025</v>
      </c>
      <c r="G600" t="s">
        <v>45</v>
      </c>
      <c r="H600" t="s">
        <v>46</v>
      </c>
      <c r="I600" t="s">
        <v>47</v>
      </c>
      <c r="J600" t="s">
        <v>19</v>
      </c>
      <c r="K600" t="s">
        <v>98</v>
      </c>
      <c r="L600" t="s">
        <v>92</v>
      </c>
      <c r="M600" t="s">
        <v>30</v>
      </c>
      <c r="N600" t="s">
        <v>1297</v>
      </c>
      <c r="O600" s="4">
        <v>783.72</v>
      </c>
      <c r="P600" s="8" t="str">
        <f t="shared" si="66"/>
        <v>High</v>
      </c>
      <c r="Q600" s="4">
        <v>1355.94</v>
      </c>
      <c r="R600" s="4">
        <v>0.187</v>
      </c>
      <c r="S600" s="4">
        <v>4</v>
      </c>
      <c r="T600" s="4">
        <f t="shared" si="63"/>
        <v>7467.4049999999997</v>
      </c>
      <c r="U600">
        <f t="shared" si="64"/>
        <v>3134.88</v>
      </c>
      <c r="V600" s="4">
        <f t="shared" si="67"/>
        <v>4332.5249999999996</v>
      </c>
      <c r="W600" s="4">
        <f t="shared" si="68"/>
        <v>0.58019151231251009</v>
      </c>
    </row>
    <row r="601" spans="1:23" x14ac:dyDescent="0.3">
      <c r="A601" t="s">
        <v>1298</v>
      </c>
      <c r="B601" s="7">
        <v>45521</v>
      </c>
      <c r="C601" s="2">
        <v>45519</v>
      </c>
      <c r="D601" s="4">
        <f>DATEDIF(C601,B601, "MD")</f>
        <v>2</v>
      </c>
      <c r="E601" s="4" t="str">
        <f>TEXT(Data!B601,"MMM-YYYY")</f>
        <v>Mar-2024</v>
      </c>
      <c r="F601" s="4" t="str">
        <f t="shared" si="65"/>
        <v>Q3-2024</v>
      </c>
      <c r="G601" t="s">
        <v>52</v>
      </c>
      <c r="H601" t="s">
        <v>73</v>
      </c>
      <c r="I601" t="s">
        <v>225</v>
      </c>
      <c r="J601" t="s">
        <v>48</v>
      </c>
      <c r="K601" t="s">
        <v>98</v>
      </c>
      <c r="L601" t="s">
        <v>110</v>
      </c>
      <c r="M601" t="s">
        <v>64</v>
      </c>
      <c r="N601" t="s">
        <v>1299</v>
      </c>
      <c r="O601" s="4">
        <v>165.3</v>
      </c>
      <c r="P601" s="8" t="str">
        <f t="shared" si="66"/>
        <v>High</v>
      </c>
      <c r="Q601" s="4">
        <v>275.07</v>
      </c>
      <c r="R601" s="4">
        <v>0.13300000000000001</v>
      </c>
      <c r="S601" s="4">
        <v>25</v>
      </c>
      <c r="T601" s="4">
        <f t="shared" si="63"/>
        <v>57148.305</v>
      </c>
      <c r="U601">
        <f t="shared" si="64"/>
        <v>4132.5</v>
      </c>
      <c r="V601" s="4">
        <f t="shared" si="67"/>
        <v>53015.805</v>
      </c>
      <c r="W601" s="4">
        <f t="shared" si="68"/>
        <v>0.92768814403156841</v>
      </c>
    </row>
    <row r="602" spans="1:23" x14ac:dyDescent="0.3">
      <c r="A602" t="s">
        <v>1300</v>
      </c>
      <c r="B602" s="7">
        <v>45360</v>
      </c>
      <c r="C602" s="2">
        <v>45373</v>
      </c>
      <c r="D602" s="4">
        <f t="shared" si="69"/>
        <v>13</v>
      </c>
      <c r="E602" s="4" t="str">
        <f>TEXT(Data!B602,"MMM-YYYY")</f>
        <v>Aug-2024</v>
      </c>
      <c r="F602" s="4" t="str">
        <f t="shared" si="65"/>
        <v>Q1-2024</v>
      </c>
      <c r="G602" t="s">
        <v>78</v>
      </c>
      <c r="H602" t="s">
        <v>108</v>
      </c>
      <c r="I602" t="s">
        <v>228</v>
      </c>
      <c r="J602" t="s">
        <v>48</v>
      </c>
      <c r="K602" t="s">
        <v>28</v>
      </c>
      <c r="L602" t="s">
        <v>63</v>
      </c>
      <c r="M602" t="s">
        <v>57</v>
      </c>
      <c r="N602" t="s">
        <v>1301</v>
      </c>
      <c r="O602" s="4">
        <v>985.45</v>
      </c>
      <c r="P602" s="8" t="str">
        <f t="shared" si="66"/>
        <v>High</v>
      </c>
      <c r="Q602" s="4">
        <v>1802.44</v>
      </c>
      <c r="R602" s="4">
        <v>8.9999999999999993E-3</v>
      </c>
      <c r="S602" s="4">
        <v>19</v>
      </c>
      <c r="T602" s="4">
        <f t="shared" si="63"/>
        <v>18416.456609999997</v>
      </c>
      <c r="U602">
        <f t="shared" si="64"/>
        <v>18723.55</v>
      </c>
      <c r="V602" s="4">
        <f t="shared" si="67"/>
        <v>-307.09339000000182</v>
      </c>
      <c r="W602" s="4">
        <f t="shared" si="68"/>
        <v>-1.6674944399089911E-2</v>
      </c>
    </row>
    <row r="603" spans="1:23" x14ac:dyDescent="0.3">
      <c r="A603" t="s">
        <v>1302</v>
      </c>
      <c r="B603" s="7">
        <v>45523</v>
      </c>
      <c r="C603" s="2">
        <v>45537</v>
      </c>
      <c r="D603" s="4">
        <f t="shared" si="69"/>
        <v>14</v>
      </c>
      <c r="E603" s="4" t="str">
        <f>TEXT(Data!B603,"MMM-YYYY")</f>
        <v>Aug-2025</v>
      </c>
      <c r="F603" s="4" t="str">
        <f t="shared" si="65"/>
        <v>Q3-2024</v>
      </c>
      <c r="G603" t="s">
        <v>52</v>
      </c>
      <c r="H603" t="s">
        <v>53</v>
      </c>
      <c r="I603" t="s">
        <v>54</v>
      </c>
      <c r="J603" t="s">
        <v>48</v>
      </c>
      <c r="K603" t="s">
        <v>55</v>
      </c>
      <c r="L603" t="s">
        <v>21</v>
      </c>
      <c r="M603" t="s">
        <v>30</v>
      </c>
      <c r="N603" t="s">
        <v>1303</v>
      </c>
      <c r="O603" s="4">
        <v>1337.01</v>
      </c>
      <c r="P603" s="8" t="str">
        <f t="shared" si="66"/>
        <v>High</v>
      </c>
      <c r="Q603" s="4">
        <v>1269.78</v>
      </c>
      <c r="R603" s="4">
        <v>0.16</v>
      </c>
      <c r="S603" s="4">
        <v>7</v>
      </c>
      <c r="T603" s="4">
        <f t="shared" si="63"/>
        <v>3208.8335999999999</v>
      </c>
      <c r="U603">
        <f t="shared" si="64"/>
        <v>9359.07</v>
      </c>
      <c r="V603" s="4">
        <f t="shared" si="67"/>
        <v>-6150.2363999999998</v>
      </c>
      <c r="W603" s="4">
        <f t="shared" si="68"/>
        <v>-1.916657940754547</v>
      </c>
    </row>
    <row r="604" spans="1:23" x14ac:dyDescent="0.3">
      <c r="A604" t="s">
        <v>1304</v>
      </c>
      <c r="B604" s="7">
        <v>45880</v>
      </c>
      <c r="C604" s="2">
        <v>45897</v>
      </c>
      <c r="D604" s="4">
        <f t="shared" si="69"/>
        <v>17</v>
      </c>
      <c r="E604" s="4" t="str">
        <f>TEXT(Data!B604,"MMM-YYYY")</f>
        <v>May-2025</v>
      </c>
      <c r="F604" s="4" t="str">
        <f t="shared" si="65"/>
        <v>Q3-2025</v>
      </c>
      <c r="G604" t="s">
        <v>78</v>
      </c>
      <c r="H604" t="s">
        <v>90</v>
      </c>
      <c r="I604" t="s">
        <v>217</v>
      </c>
      <c r="J604" t="s">
        <v>27</v>
      </c>
      <c r="K604" t="s">
        <v>28</v>
      </c>
      <c r="L604" t="s">
        <v>84</v>
      </c>
      <c r="M604" t="s">
        <v>35</v>
      </c>
      <c r="N604" t="s">
        <v>1305</v>
      </c>
      <c r="O604" s="4">
        <v>416.16</v>
      </c>
      <c r="P604" s="8" t="str">
        <f t="shared" si="66"/>
        <v>High</v>
      </c>
      <c r="Q604" s="4">
        <v>571.9</v>
      </c>
      <c r="R604" s="4">
        <v>7.0999999999999994E-2</v>
      </c>
      <c r="S604" s="4">
        <v>2</v>
      </c>
      <c r="T604" s="4">
        <f t="shared" si="63"/>
        <v>2667.2333200000003</v>
      </c>
      <c r="U604">
        <f t="shared" si="64"/>
        <v>832.32</v>
      </c>
      <c r="V604" s="4">
        <f t="shared" si="67"/>
        <v>1834.9133200000001</v>
      </c>
      <c r="W604" s="4">
        <f t="shared" si="68"/>
        <v>0.6879463098488886</v>
      </c>
    </row>
    <row r="605" spans="1:23" x14ac:dyDescent="0.3">
      <c r="A605" t="s">
        <v>1306</v>
      </c>
      <c r="B605" s="7">
        <v>45793</v>
      </c>
      <c r="C605" s="2">
        <v>45795</v>
      </c>
      <c r="D605" s="4">
        <f t="shared" si="69"/>
        <v>2</v>
      </c>
      <c r="E605" s="4" t="str">
        <f>TEXT(Data!B605,"MMM-YYYY")</f>
        <v>Apr-2023</v>
      </c>
      <c r="F605" s="4" t="str">
        <f t="shared" si="65"/>
        <v>Q2-2025</v>
      </c>
      <c r="G605" t="s">
        <v>45</v>
      </c>
      <c r="H605" t="s">
        <v>46</v>
      </c>
      <c r="I605" t="s">
        <v>214</v>
      </c>
      <c r="J605" t="s">
        <v>105</v>
      </c>
      <c r="K605" t="s">
        <v>20</v>
      </c>
      <c r="L605" t="s">
        <v>29</v>
      </c>
      <c r="M605" t="s">
        <v>30</v>
      </c>
      <c r="N605" t="s">
        <v>1307</v>
      </c>
      <c r="O605" s="4">
        <v>1144.3800000000001</v>
      </c>
      <c r="P605" s="8" t="str">
        <f t="shared" si="66"/>
        <v>High</v>
      </c>
      <c r="Q605" s="4">
        <v>2755.04</v>
      </c>
      <c r="R605" s="4">
        <v>0.15</v>
      </c>
      <c r="S605" s="4">
        <v>17</v>
      </c>
      <c r="T605" s="4">
        <f t="shared" si="63"/>
        <v>34640.985000000001</v>
      </c>
      <c r="U605">
        <f t="shared" si="64"/>
        <v>19454.460000000003</v>
      </c>
      <c r="V605" s="4">
        <f t="shared" si="67"/>
        <v>15186.524999999998</v>
      </c>
      <c r="W605" s="4">
        <f t="shared" si="68"/>
        <v>0.4383976090749151</v>
      </c>
    </row>
    <row r="606" spans="1:23" x14ac:dyDescent="0.3">
      <c r="A606" t="s">
        <v>1308</v>
      </c>
      <c r="B606" s="7">
        <v>45026</v>
      </c>
      <c r="C606" s="2">
        <v>45041</v>
      </c>
      <c r="D606" s="4">
        <f t="shared" si="69"/>
        <v>15</v>
      </c>
      <c r="E606" s="4" t="str">
        <f>TEXT(Data!B606,"MMM-YYYY")</f>
        <v>Sept-2023</v>
      </c>
      <c r="F606" s="4" t="str">
        <f t="shared" si="65"/>
        <v>Q2-2023</v>
      </c>
      <c r="G606" t="s">
        <v>78</v>
      </c>
      <c r="H606" t="s">
        <v>108</v>
      </c>
      <c r="I606" t="s">
        <v>152</v>
      </c>
      <c r="J606" t="s">
        <v>62</v>
      </c>
      <c r="K606" t="s">
        <v>20</v>
      </c>
      <c r="L606" t="s">
        <v>145</v>
      </c>
      <c r="M606" t="s">
        <v>30</v>
      </c>
      <c r="N606" t="s">
        <v>1309</v>
      </c>
      <c r="O606" s="4">
        <v>405.66</v>
      </c>
      <c r="P606" s="8" t="str">
        <f t="shared" si="66"/>
        <v>High</v>
      </c>
      <c r="Q606" s="4">
        <v>962.51</v>
      </c>
      <c r="R606" s="4">
        <v>0.19</v>
      </c>
      <c r="S606" s="4">
        <v>7</v>
      </c>
      <c r="T606" s="4">
        <f t="shared" si="63"/>
        <v>10511.386199999999</v>
      </c>
      <c r="U606">
        <f t="shared" si="64"/>
        <v>2839.6200000000003</v>
      </c>
      <c r="V606" s="4">
        <f t="shared" si="67"/>
        <v>7671.7661999999982</v>
      </c>
      <c r="W606" s="4">
        <f t="shared" si="68"/>
        <v>0.72985294746377016</v>
      </c>
    </row>
    <row r="607" spans="1:23" x14ac:dyDescent="0.3">
      <c r="A607" t="s">
        <v>1310</v>
      </c>
      <c r="B607" s="7">
        <v>45186</v>
      </c>
      <c r="C607" s="2">
        <v>45201</v>
      </c>
      <c r="D607" s="4">
        <f t="shared" si="69"/>
        <v>15</v>
      </c>
      <c r="E607" s="4" t="str">
        <f>TEXT(Data!B607,"MMM-YYYY")</f>
        <v>Apr-2023</v>
      </c>
      <c r="F607" s="4" t="str">
        <f t="shared" si="65"/>
        <v>Q3-2023</v>
      </c>
      <c r="G607" t="s">
        <v>52</v>
      </c>
      <c r="H607" t="s">
        <v>73</v>
      </c>
      <c r="I607" t="s">
        <v>225</v>
      </c>
      <c r="J607" t="s">
        <v>62</v>
      </c>
      <c r="K607" t="s">
        <v>20</v>
      </c>
      <c r="L607" t="s">
        <v>56</v>
      </c>
      <c r="M607" t="s">
        <v>57</v>
      </c>
      <c r="N607" t="s">
        <v>1311</v>
      </c>
      <c r="O607" s="4">
        <v>689.33</v>
      </c>
      <c r="P607" s="8" t="str">
        <f t="shared" si="66"/>
        <v>High</v>
      </c>
      <c r="Q607" s="4">
        <v>668.27</v>
      </c>
      <c r="R607" s="4">
        <v>0.186</v>
      </c>
      <c r="S607" s="4">
        <v>13</v>
      </c>
      <c r="T607" s="4">
        <f t="shared" si="63"/>
        <v>486.56036000000006</v>
      </c>
      <c r="U607">
        <f t="shared" si="64"/>
        <v>8961.2900000000009</v>
      </c>
      <c r="V607" s="4">
        <f t="shared" si="67"/>
        <v>-8474.7296400000014</v>
      </c>
      <c r="W607" s="4">
        <f t="shared" si="68"/>
        <v>-17.417632706453933</v>
      </c>
    </row>
    <row r="608" spans="1:23" x14ac:dyDescent="0.3">
      <c r="A608" t="s">
        <v>1312</v>
      </c>
      <c r="B608" s="7">
        <v>45038</v>
      </c>
      <c r="C608" s="2">
        <v>45060</v>
      </c>
      <c r="D608" s="4">
        <f t="shared" si="69"/>
        <v>22</v>
      </c>
      <c r="E608" s="4" t="str">
        <f>TEXT(Data!B608,"MMM-YYYY")</f>
        <v>Jun-2025</v>
      </c>
      <c r="F608" s="4" t="str">
        <f t="shared" si="65"/>
        <v>Q2-2023</v>
      </c>
      <c r="G608" t="s">
        <v>45</v>
      </c>
      <c r="H608" t="s">
        <v>46</v>
      </c>
      <c r="I608" t="s">
        <v>231</v>
      </c>
      <c r="J608" t="s">
        <v>105</v>
      </c>
      <c r="K608" t="s">
        <v>20</v>
      </c>
      <c r="L608" t="s">
        <v>75</v>
      </c>
      <c r="M608" t="s">
        <v>81</v>
      </c>
      <c r="N608" t="s">
        <v>1313</v>
      </c>
      <c r="O608" s="4">
        <v>1209.22</v>
      </c>
      <c r="P608" s="8" t="str">
        <f t="shared" si="66"/>
        <v>High</v>
      </c>
      <c r="Q608" s="4">
        <v>1404.33</v>
      </c>
      <c r="R608" s="4">
        <v>0.10299999999999999</v>
      </c>
      <c r="S608" s="4">
        <v>11</v>
      </c>
      <c r="T608" s="4">
        <f t="shared" si="63"/>
        <v>0</v>
      </c>
      <c r="U608">
        <f t="shared" si="64"/>
        <v>13301.42</v>
      </c>
      <c r="V608" s="4">
        <f t="shared" si="67"/>
        <v>-13301.42</v>
      </c>
      <c r="W608" s="4">
        <f t="shared" si="68"/>
        <v>0</v>
      </c>
    </row>
    <row r="609" spans="1:23" x14ac:dyDescent="0.3">
      <c r="A609" t="s">
        <v>1314</v>
      </c>
      <c r="B609" s="7">
        <v>45827</v>
      </c>
      <c r="C609" s="2">
        <v>45829</v>
      </c>
      <c r="D609" s="4">
        <f t="shared" si="69"/>
        <v>2</v>
      </c>
      <c r="E609" s="4" t="str">
        <f>TEXT(Data!B609,"MMM-YYYY")</f>
        <v>Nov-2024</v>
      </c>
      <c r="F609" s="4" t="str">
        <f t="shared" si="65"/>
        <v>Q2-2025</v>
      </c>
      <c r="G609" t="s">
        <v>16</v>
      </c>
      <c r="H609" t="s">
        <v>148</v>
      </c>
      <c r="I609" t="s">
        <v>149</v>
      </c>
      <c r="J609" t="s">
        <v>62</v>
      </c>
      <c r="K609" t="s">
        <v>1364</v>
      </c>
      <c r="L609" t="s">
        <v>92</v>
      </c>
      <c r="M609" t="s">
        <v>42</v>
      </c>
      <c r="N609" t="s">
        <v>1315</v>
      </c>
      <c r="O609" s="4">
        <v>1466.27</v>
      </c>
      <c r="P609" s="8" t="str">
        <f t="shared" si="66"/>
        <v>High</v>
      </c>
      <c r="Q609" s="4">
        <v>3589.89</v>
      </c>
      <c r="R609" s="4">
        <v>9.7000000000000003E-2</v>
      </c>
      <c r="S609" s="4">
        <v>9</v>
      </c>
      <c r="T609" s="4">
        <f t="shared" si="63"/>
        <v>0</v>
      </c>
      <c r="U609">
        <f t="shared" si="64"/>
        <v>13196.43</v>
      </c>
      <c r="V609" s="4">
        <f t="shared" si="67"/>
        <v>-13196.43</v>
      </c>
      <c r="W609" s="4">
        <f t="shared" si="68"/>
        <v>0</v>
      </c>
    </row>
    <row r="610" spans="1:23" x14ac:dyDescent="0.3">
      <c r="A610" t="s">
        <v>1316</v>
      </c>
      <c r="B610" s="7">
        <v>45623</v>
      </c>
      <c r="C610" s="2">
        <v>45650</v>
      </c>
      <c r="D610" s="4">
        <f t="shared" si="69"/>
        <v>27</v>
      </c>
      <c r="E610" s="4" t="str">
        <f>TEXT(Data!B610,"MMM-YYYY")</f>
        <v>Jan-2024</v>
      </c>
      <c r="F610" s="4" t="str">
        <f t="shared" si="65"/>
        <v>Q4-2024</v>
      </c>
      <c r="G610" t="s">
        <v>16</v>
      </c>
      <c r="H610" t="s">
        <v>17</v>
      </c>
      <c r="I610" t="s">
        <v>113</v>
      </c>
      <c r="J610" t="s">
        <v>19</v>
      </c>
      <c r="K610" t="s">
        <v>55</v>
      </c>
      <c r="L610" t="s">
        <v>56</v>
      </c>
      <c r="M610" t="s">
        <v>30</v>
      </c>
      <c r="N610" t="s">
        <v>1317</v>
      </c>
      <c r="O610" s="4">
        <v>143.33000000000001</v>
      </c>
      <c r="P610" s="8" t="str">
        <f t="shared" si="66"/>
        <v>High</v>
      </c>
      <c r="Q610" s="4">
        <v>233.51</v>
      </c>
      <c r="R610" s="4">
        <v>0.16300000000000001</v>
      </c>
      <c r="S610" s="4">
        <v>14</v>
      </c>
      <c r="T610" s="4">
        <f t="shared" si="63"/>
        <v>0</v>
      </c>
      <c r="U610">
        <f t="shared" si="64"/>
        <v>2006.6200000000001</v>
      </c>
      <c r="V610" s="4">
        <f t="shared" si="67"/>
        <v>-2006.6200000000001</v>
      </c>
      <c r="W610" s="4">
        <f t="shared" si="68"/>
        <v>0</v>
      </c>
    </row>
    <row r="611" spans="1:23" x14ac:dyDescent="0.3">
      <c r="A611" t="s">
        <v>1318</v>
      </c>
      <c r="B611" s="7">
        <v>45319</v>
      </c>
      <c r="C611" s="2">
        <v>45318</v>
      </c>
      <c r="D611" s="4">
        <f>DATEDIF(C611,B611, "MD")</f>
        <v>1</v>
      </c>
      <c r="E611" s="4" t="str">
        <f>TEXT(Data!B611,"MMM-YYYY")</f>
        <v>Apr-2023</v>
      </c>
      <c r="F611" s="4" t="str">
        <f t="shared" si="65"/>
        <v>Q1-2024</v>
      </c>
      <c r="G611" t="s">
        <v>16</v>
      </c>
      <c r="H611" t="s">
        <v>148</v>
      </c>
      <c r="I611" t="s">
        <v>258</v>
      </c>
      <c r="J611" t="s">
        <v>105</v>
      </c>
      <c r="K611" t="s">
        <v>98</v>
      </c>
      <c r="L611" t="s">
        <v>68</v>
      </c>
      <c r="M611" t="s">
        <v>22</v>
      </c>
      <c r="N611" t="s">
        <v>1319</v>
      </c>
      <c r="O611" s="4">
        <v>109.75</v>
      </c>
      <c r="P611" s="8" t="str">
        <f t="shared" si="66"/>
        <v>Medium</v>
      </c>
      <c r="Q611" s="4">
        <v>124.25</v>
      </c>
      <c r="R611" s="4">
        <v>0.12</v>
      </c>
      <c r="S611" s="4">
        <v>19</v>
      </c>
      <c r="T611" s="4">
        <f t="shared" si="63"/>
        <v>0</v>
      </c>
      <c r="U611">
        <f t="shared" si="64"/>
        <v>2085.25</v>
      </c>
      <c r="V611" s="4">
        <f t="shared" si="67"/>
        <v>-2085.25</v>
      </c>
      <c r="W611" s="4">
        <f t="shared" si="68"/>
        <v>0</v>
      </c>
    </row>
    <row r="612" spans="1:23" x14ac:dyDescent="0.3">
      <c r="A612" t="s">
        <v>1320</v>
      </c>
      <c r="B612" s="7">
        <v>45032</v>
      </c>
      <c r="C612" s="2">
        <v>45039</v>
      </c>
      <c r="D612" s="4">
        <f t="shared" si="69"/>
        <v>7</v>
      </c>
      <c r="E612" s="4" t="str">
        <f>TEXT(Data!B612,"MMM-YYYY")</f>
        <v>Feb-2024</v>
      </c>
      <c r="F612" s="4" t="str">
        <f t="shared" si="65"/>
        <v>Q2-2023</v>
      </c>
      <c r="G612" t="s">
        <v>52</v>
      </c>
      <c r="H612" t="s">
        <v>122</v>
      </c>
      <c r="I612" t="s">
        <v>326</v>
      </c>
      <c r="J612" t="s">
        <v>19</v>
      </c>
      <c r="K612" t="s">
        <v>55</v>
      </c>
      <c r="L612" t="s">
        <v>68</v>
      </c>
      <c r="M612" t="s">
        <v>30</v>
      </c>
      <c r="N612" t="s">
        <v>1321</v>
      </c>
      <c r="O612" s="4">
        <v>1099.1500000000001</v>
      </c>
      <c r="P612" s="8" t="str">
        <f t="shared" si="66"/>
        <v>High</v>
      </c>
      <c r="Q612" s="4">
        <v>1431.37</v>
      </c>
      <c r="R612" s="4">
        <v>0.104</v>
      </c>
      <c r="S612" s="4">
        <v>8</v>
      </c>
      <c r="T612" s="4">
        <f t="shared" si="63"/>
        <v>0</v>
      </c>
      <c r="U612">
        <f t="shared" si="64"/>
        <v>8793.2000000000007</v>
      </c>
      <c r="V612" s="4">
        <f t="shared" si="67"/>
        <v>-8793.2000000000007</v>
      </c>
      <c r="W612" s="4">
        <f t="shared" si="68"/>
        <v>0</v>
      </c>
    </row>
    <row r="613" spans="1:23" x14ac:dyDescent="0.3">
      <c r="A613" t="s">
        <v>1322</v>
      </c>
      <c r="B613" s="7">
        <v>45323</v>
      </c>
      <c r="C613" s="2">
        <v>45323</v>
      </c>
      <c r="D613" s="4">
        <f t="shared" si="69"/>
        <v>0</v>
      </c>
      <c r="E613" s="4" t="str">
        <f>TEXT(Data!B613,"MMM-YYYY")</f>
        <v>Oct-2024</v>
      </c>
      <c r="F613" s="4" t="str">
        <f t="shared" si="65"/>
        <v>Q1-2024</v>
      </c>
      <c r="G613" t="s">
        <v>52</v>
      </c>
      <c r="H613" t="s">
        <v>122</v>
      </c>
      <c r="I613" t="s">
        <v>326</v>
      </c>
      <c r="J613" t="s">
        <v>48</v>
      </c>
      <c r="K613" t="s">
        <v>55</v>
      </c>
      <c r="L613" t="s">
        <v>92</v>
      </c>
      <c r="M613" t="s">
        <v>30</v>
      </c>
      <c r="N613" t="s">
        <v>1323</v>
      </c>
      <c r="O613" s="4">
        <v>714.43</v>
      </c>
      <c r="P613" s="8" t="str">
        <f t="shared" si="66"/>
        <v>High</v>
      </c>
      <c r="Q613" s="4">
        <v>1595.52</v>
      </c>
      <c r="R613" s="4">
        <v>0.19400000000000001</v>
      </c>
      <c r="S613" s="4">
        <v>14</v>
      </c>
      <c r="T613" s="4">
        <f t="shared" si="63"/>
        <v>0</v>
      </c>
      <c r="U613">
        <f t="shared" si="64"/>
        <v>10002.019999999999</v>
      </c>
      <c r="V613" s="4">
        <f t="shared" si="67"/>
        <v>-10002.019999999999</v>
      </c>
      <c r="W613" s="4">
        <f t="shared" si="68"/>
        <v>0</v>
      </c>
    </row>
    <row r="614" spans="1:23" x14ac:dyDescent="0.3">
      <c r="A614" t="s">
        <v>1324</v>
      </c>
      <c r="B614" s="7">
        <v>45584</v>
      </c>
      <c r="C614" s="2">
        <v>45602</v>
      </c>
      <c r="D614" s="4">
        <f t="shared" si="69"/>
        <v>18</v>
      </c>
      <c r="E614" s="4" t="str">
        <f>TEXT(Data!B614,"MMM-YYYY")</f>
        <v>Jun-2024</v>
      </c>
      <c r="F614" s="4" t="str">
        <f t="shared" si="65"/>
        <v>Q4-2024</v>
      </c>
      <c r="G614" t="s">
        <v>52</v>
      </c>
      <c r="H614" t="s">
        <v>122</v>
      </c>
      <c r="I614" t="s">
        <v>123</v>
      </c>
      <c r="J614" t="s">
        <v>27</v>
      </c>
      <c r="K614" t="s">
        <v>1364</v>
      </c>
      <c r="L614" t="s">
        <v>21</v>
      </c>
      <c r="M614" t="s">
        <v>64</v>
      </c>
      <c r="N614" t="s">
        <v>1325</v>
      </c>
      <c r="O614" s="4">
        <v>942.02</v>
      </c>
      <c r="P614" s="8" t="str">
        <f t="shared" si="66"/>
        <v>High</v>
      </c>
      <c r="Q614" s="4">
        <v>1028.46</v>
      </c>
      <c r="R614" s="4">
        <v>0</v>
      </c>
      <c r="S614" s="4">
        <v>9</v>
      </c>
      <c r="T614" s="4">
        <f t="shared" si="63"/>
        <v>0</v>
      </c>
      <c r="U614">
        <f t="shared" si="64"/>
        <v>8478.18</v>
      </c>
      <c r="V614" s="4">
        <f t="shared" si="67"/>
        <v>-8478.18</v>
      </c>
      <c r="W614" s="4">
        <f t="shared" si="68"/>
        <v>0</v>
      </c>
    </row>
    <row r="615" spans="1:23" x14ac:dyDescent="0.3">
      <c r="A615" t="s">
        <v>1326</v>
      </c>
      <c r="B615" s="7">
        <v>45468</v>
      </c>
      <c r="C615" s="2">
        <v>45473</v>
      </c>
      <c r="D615" s="4">
        <f t="shared" si="69"/>
        <v>5</v>
      </c>
      <c r="E615" s="4" t="str">
        <f>TEXT(Data!B615,"MMM-YYYY")</f>
        <v>Jul-2023</v>
      </c>
      <c r="F615" s="4" t="str">
        <f t="shared" si="65"/>
        <v>Q2-2024</v>
      </c>
      <c r="G615" t="s">
        <v>16</v>
      </c>
      <c r="H615" t="s">
        <v>17</v>
      </c>
      <c r="I615" t="s">
        <v>18</v>
      </c>
      <c r="J615" t="s">
        <v>27</v>
      </c>
      <c r="K615" t="s">
        <v>98</v>
      </c>
      <c r="L615" t="s">
        <v>110</v>
      </c>
      <c r="M615" t="s">
        <v>35</v>
      </c>
      <c r="N615" t="s">
        <v>1327</v>
      </c>
      <c r="O615" s="4">
        <v>1323.55</v>
      </c>
      <c r="P615" s="8" t="str">
        <f t="shared" si="66"/>
        <v>High</v>
      </c>
      <c r="Q615" s="4">
        <v>3230.35</v>
      </c>
      <c r="R615" s="4">
        <v>2.1999999999999999E-2</v>
      </c>
      <c r="S615" s="4">
        <v>26</v>
      </c>
      <c r="T615" s="4">
        <f t="shared" si="63"/>
        <v>0</v>
      </c>
      <c r="U615">
        <f t="shared" si="64"/>
        <v>34412.299999999996</v>
      </c>
      <c r="V615" s="4">
        <f t="shared" si="67"/>
        <v>-34412.299999999996</v>
      </c>
      <c r="W615" s="4">
        <f t="shared" si="68"/>
        <v>0</v>
      </c>
    </row>
    <row r="616" spans="1:23" x14ac:dyDescent="0.3">
      <c r="A616" t="s">
        <v>1328</v>
      </c>
      <c r="B616" s="7">
        <v>45137</v>
      </c>
      <c r="C616" s="2">
        <v>45157</v>
      </c>
      <c r="D616" s="4">
        <f t="shared" si="69"/>
        <v>20</v>
      </c>
      <c r="E616" s="4" t="str">
        <f>TEXT(Data!B616,"MMM-YYYY")</f>
        <v>Mar-2025</v>
      </c>
      <c r="F616" s="4" t="str">
        <f t="shared" si="65"/>
        <v>Q3-2023</v>
      </c>
      <c r="G616" t="s">
        <v>78</v>
      </c>
      <c r="H616" t="s">
        <v>90</v>
      </c>
      <c r="I616" t="s">
        <v>217</v>
      </c>
      <c r="J616" t="s">
        <v>105</v>
      </c>
      <c r="K616" t="s">
        <v>40</v>
      </c>
      <c r="L616" t="s">
        <v>41</v>
      </c>
      <c r="M616" t="s">
        <v>35</v>
      </c>
      <c r="N616" t="s">
        <v>1329</v>
      </c>
      <c r="O616" s="4">
        <v>1418.51</v>
      </c>
      <c r="P616" s="8" t="str">
        <f t="shared" si="66"/>
        <v>High</v>
      </c>
      <c r="Q616" s="4">
        <v>2789.61</v>
      </c>
      <c r="R616" s="4">
        <v>0.17100000000000001</v>
      </c>
      <c r="S616" s="4">
        <v>8</v>
      </c>
      <c r="T616" s="4">
        <f t="shared" si="63"/>
        <v>0</v>
      </c>
      <c r="U616">
        <f t="shared" si="64"/>
        <v>11348.08</v>
      </c>
      <c r="V616" s="4">
        <f t="shared" si="67"/>
        <v>-11348.08</v>
      </c>
      <c r="W616" s="4">
        <f t="shared" si="68"/>
        <v>0</v>
      </c>
    </row>
    <row r="617" spans="1:23" x14ac:dyDescent="0.3">
      <c r="A617" t="s">
        <v>1330</v>
      </c>
      <c r="B617" s="7">
        <v>45727</v>
      </c>
      <c r="C617" s="2">
        <v>45743</v>
      </c>
      <c r="D617" s="4">
        <f t="shared" si="69"/>
        <v>16</v>
      </c>
      <c r="E617" s="4" t="str">
        <f>TEXT(Data!B617,"MMM-YYYY")</f>
        <v>Oct-2023</v>
      </c>
      <c r="F617" s="4" t="str">
        <f t="shared" si="65"/>
        <v>Q1-2025</v>
      </c>
      <c r="G617" t="s">
        <v>45</v>
      </c>
      <c r="H617" t="s">
        <v>46</v>
      </c>
      <c r="I617" t="s">
        <v>214</v>
      </c>
      <c r="J617" t="s">
        <v>105</v>
      </c>
      <c r="K617" t="s">
        <v>55</v>
      </c>
      <c r="L617" t="s">
        <v>56</v>
      </c>
      <c r="M617" t="s">
        <v>30</v>
      </c>
      <c r="N617" t="s">
        <v>1331</v>
      </c>
      <c r="O617" s="4">
        <v>1317.58</v>
      </c>
      <c r="P617" s="8" t="str">
        <f t="shared" si="66"/>
        <v>High</v>
      </c>
      <c r="Q617" s="4">
        <v>1897.74</v>
      </c>
      <c r="R617" s="4">
        <v>8.1000000000000003E-2</v>
      </c>
      <c r="S617" s="4">
        <v>6</v>
      </c>
      <c r="T617" s="4">
        <f t="shared" si="63"/>
        <v>0</v>
      </c>
      <c r="U617">
        <f t="shared" si="64"/>
        <v>7905.48</v>
      </c>
      <c r="V617" s="4">
        <f t="shared" si="67"/>
        <v>-7905.48</v>
      </c>
      <c r="W617" s="4">
        <f t="shared" si="68"/>
        <v>0</v>
      </c>
    </row>
    <row r="618" spans="1:23" x14ac:dyDescent="0.3">
      <c r="A618" t="s">
        <v>1332</v>
      </c>
      <c r="B618" s="7">
        <v>45208</v>
      </c>
      <c r="C618" s="2">
        <v>45210</v>
      </c>
      <c r="D618" s="4">
        <f t="shared" si="69"/>
        <v>2</v>
      </c>
      <c r="E618" s="4" t="str">
        <f>TEXT(Data!B618,"MMM-YYYY")</f>
        <v>Dec-2024</v>
      </c>
      <c r="F618" s="4" t="str">
        <f t="shared" si="65"/>
        <v>Q4-2023</v>
      </c>
      <c r="G618" t="s">
        <v>16</v>
      </c>
      <c r="H618" t="s">
        <v>25</v>
      </c>
      <c r="I618" t="s">
        <v>26</v>
      </c>
      <c r="J618" t="s">
        <v>27</v>
      </c>
      <c r="K618" t="s">
        <v>40</v>
      </c>
      <c r="L618" t="s">
        <v>95</v>
      </c>
      <c r="M618" t="s">
        <v>35</v>
      </c>
      <c r="N618" t="s">
        <v>1333</v>
      </c>
      <c r="O618" s="4">
        <v>391.16</v>
      </c>
      <c r="P618" s="8" t="str">
        <f t="shared" si="66"/>
        <v>High</v>
      </c>
      <c r="Q618" s="4">
        <v>902.47</v>
      </c>
      <c r="R618" s="4">
        <v>4.0000000000000001E-3</v>
      </c>
      <c r="S618" s="4">
        <v>12</v>
      </c>
      <c r="T618" s="4">
        <f t="shared" si="63"/>
        <v>0</v>
      </c>
      <c r="U618">
        <f t="shared" si="64"/>
        <v>4693.92</v>
      </c>
      <c r="V618" s="4">
        <f t="shared" si="67"/>
        <v>-4693.92</v>
      </c>
      <c r="W618" s="4">
        <f t="shared" si="68"/>
        <v>0</v>
      </c>
    </row>
    <row r="619" spans="1:23" x14ac:dyDescent="0.3">
      <c r="A619" t="s">
        <v>1334</v>
      </c>
      <c r="B619" s="7">
        <v>45643</v>
      </c>
      <c r="C619" s="2">
        <v>45673</v>
      </c>
      <c r="D619" s="4">
        <f t="shared" si="69"/>
        <v>30</v>
      </c>
      <c r="E619" s="4" t="str">
        <f>TEXT(Data!B619,"MMM-YYYY")</f>
        <v>Jul-2025</v>
      </c>
      <c r="F619" s="4" t="str">
        <f t="shared" si="65"/>
        <v>Q4-2024</v>
      </c>
      <c r="G619" t="s">
        <v>78</v>
      </c>
      <c r="H619" t="s">
        <v>108</v>
      </c>
      <c r="I619" t="s">
        <v>228</v>
      </c>
      <c r="J619" t="s">
        <v>19</v>
      </c>
      <c r="K619" t="s">
        <v>20</v>
      </c>
      <c r="L619" t="s">
        <v>145</v>
      </c>
      <c r="M619" t="s">
        <v>64</v>
      </c>
      <c r="N619" t="s">
        <v>1335</v>
      </c>
      <c r="O619" s="4">
        <v>722.87</v>
      </c>
      <c r="P619" s="8" t="str">
        <f t="shared" si="66"/>
        <v>Low</v>
      </c>
      <c r="Q619" s="4">
        <v>-33.659999999999997</v>
      </c>
      <c r="R619" s="4">
        <v>0.10199999999999999</v>
      </c>
      <c r="S619" s="4">
        <v>28</v>
      </c>
      <c r="T619" s="4">
        <f t="shared" si="63"/>
        <v>0</v>
      </c>
      <c r="U619">
        <f t="shared" si="64"/>
        <v>20240.36</v>
      </c>
      <c r="V619" s="4">
        <f t="shared" si="67"/>
        <v>-20240.36</v>
      </c>
      <c r="W619" s="4">
        <f t="shared" si="68"/>
        <v>0</v>
      </c>
    </row>
    <row r="620" spans="1:23" x14ac:dyDescent="0.3">
      <c r="A620" t="s">
        <v>1336</v>
      </c>
      <c r="B620" s="7">
        <v>45849</v>
      </c>
      <c r="C620" s="2">
        <v>45854</v>
      </c>
      <c r="D620" s="4">
        <f t="shared" si="69"/>
        <v>5</v>
      </c>
      <c r="E620" s="4" t="str">
        <f>TEXT(Data!B620,"MMM-YYYY")</f>
        <v>Oct-2024</v>
      </c>
      <c r="F620" s="4" t="str">
        <f t="shared" si="65"/>
        <v>Q3-2025</v>
      </c>
      <c r="G620" t="s">
        <v>78</v>
      </c>
      <c r="H620" t="s">
        <v>108</v>
      </c>
      <c r="I620" t="s">
        <v>152</v>
      </c>
      <c r="J620" t="s">
        <v>105</v>
      </c>
      <c r="K620" t="s">
        <v>28</v>
      </c>
      <c r="L620" t="s">
        <v>95</v>
      </c>
      <c r="M620" t="s">
        <v>30</v>
      </c>
      <c r="N620" t="s">
        <v>1337</v>
      </c>
      <c r="O620" s="4">
        <v>930.03</v>
      </c>
      <c r="P620" s="8" t="str">
        <f t="shared" si="66"/>
        <v>High</v>
      </c>
      <c r="Q620" s="4">
        <v>1086.68</v>
      </c>
      <c r="R620" s="4">
        <v>0.109</v>
      </c>
      <c r="S620" s="4">
        <v>26</v>
      </c>
      <c r="T620" s="4">
        <f t="shared" si="63"/>
        <v>0</v>
      </c>
      <c r="U620">
        <f t="shared" si="64"/>
        <v>24180.78</v>
      </c>
      <c r="V620" s="4">
        <f t="shared" si="67"/>
        <v>-24180.78</v>
      </c>
      <c r="W620" s="4">
        <f t="shared" si="68"/>
        <v>0</v>
      </c>
    </row>
    <row r="621" spans="1:23" x14ac:dyDescent="0.3">
      <c r="A621" t="s">
        <v>1338</v>
      </c>
      <c r="B621" s="7">
        <v>45578</v>
      </c>
      <c r="C621" s="2">
        <v>45589</v>
      </c>
      <c r="D621" s="4">
        <f t="shared" si="69"/>
        <v>11</v>
      </c>
      <c r="E621" s="4" t="str">
        <f>TEXT(Data!B621,"MMM-YYYY")</f>
        <v>Sept-2023</v>
      </c>
      <c r="F621" s="4" t="str">
        <f t="shared" si="65"/>
        <v>Q4-2024</v>
      </c>
      <c r="G621" t="s">
        <v>78</v>
      </c>
      <c r="H621" t="s">
        <v>90</v>
      </c>
      <c r="I621" t="s">
        <v>217</v>
      </c>
      <c r="J621" t="s">
        <v>27</v>
      </c>
      <c r="K621" t="s">
        <v>55</v>
      </c>
      <c r="L621" t="s">
        <v>84</v>
      </c>
      <c r="M621" t="s">
        <v>22</v>
      </c>
      <c r="N621" t="s">
        <v>1339</v>
      </c>
      <c r="O621" s="4">
        <v>816.7</v>
      </c>
      <c r="P621" s="8" t="str">
        <f t="shared" si="66"/>
        <v>High</v>
      </c>
      <c r="Q621" s="4">
        <v>1010.75</v>
      </c>
      <c r="R621" s="4">
        <v>4.7E-2</v>
      </c>
      <c r="S621" s="4">
        <v>43</v>
      </c>
      <c r="T621" s="4">
        <f t="shared" si="63"/>
        <v>0</v>
      </c>
      <c r="U621">
        <f t="shared" si="64"/>
        <v>35118.1</v>
      </c>
      <c r="V621" s="4">
        <f t="shared" si="67"/>
        <v>-35118.1</v>
      </c>
      <c r="W621" s="4">
        <f t="shared" si="68"/>
        <v>0</v>
      </c>
    </row>
    <row r="622" spans="1:23" x14ac:dyDescent="0.3">
      <c r="A622" t="s">
        <v>1340</v>
      </c>
      <c r="B622" s="7">
        <v>45177</v>
      </c>
      <c r="C622" s="2">
        <v>45183</v>
      </c>
      <c r="D622" s="4">
        <f t="shared" si="69"/>
        <v>6</v>
      </c>
      <c r="E622" s="4" t="str">
        <f>TEXT(Data!B622,"MMM-YYYY")</f>
        <v>Apr-2025</v>
      </c>
      <c r="F622" s="4" t="str">
        <f t="shared" si="65"/>
        <v>Q3-2023</v>
      </c>
      <c r="G622" t="s">
        <v>16</v>
      </c>
      <c r="H622" t="s">
        <v>17</v>
      </c>
      <c r="I622" t="s">
        <v>135</v>
      </c>
      <c r="J622" t="s">
        <v>27</v>
      </c>
      <c r="K622" t="s">
        <v>98</v>
      </c>
      <c r="L622" t="s">
        <v>34</v>
      </c>
      <c r="M622" t="s">
        <v>81</v>
      </c>
      <c r="N622" t="s">
        <v>1341</v>
      </c>
      <c r="O622" s="4">
        <v>251.03</v>
      </c>
      <c r="P622" s="8" t="str">
        <f t="shared" si="66"/>
        <v>High</v>
      </c>
      <c r="Q622" s="4">
        <v>411.48</v>
      </c>
      <c r="R622" s="4">
        <v>0.16500000000000001</v>
      </c>
      <c r="S622" s="4">
        <v>3</v>
      </c>
      <c r="T622" s="4">
        <f t="shared" si="63"/>
        <v>0</v>
      </c>
      <c r="U622">
        <f t="shared" si="64"/>
        <v>753.09</v>
      </c>
      <c r="V622" s="4">
        <f t="shared" si="67"/>
        <v>-753.09</v>
      </c>
      <c r="W622" s="4">
        <f t="shared" si="68"/>
        <v>0</v>
      </c>
    </row>
    <row r="623" spans="1:23" x14ac:dyDescent="0.3">
      <c r="A623" t="s">
        <v>1342</v>
      </c>
      <c r="B623" s="7">
        <v>45764</v>
      </c>
      <c r="C623" s="2">
        <v>45780</v>
      </c>
      <c r="D623" s="4">
        <f t="shared" si="69"/>
        <v>16</v>
      </c>
      <c r="E623" s="4" t="str">
        <f>TEXT(Data!B623,"MMM-YYYY")</f>
        <v>Jul-2024</v>
      </c>
      <c r="F623" s="4" t="str">
        <f t="shared" si="65"/>
        <v>Q2-2025</v>
      </c>
      <c r="G623" t="s">
        <v>52</v>
      </c>
      <c r="H623" t="s">
        <v>73</v>
      </c>
      <c r="I623" t="s">
        <v>225</v>
      </c>
      <c r="J623" t="s">
        <v>48</v>
      </c>
      <c r="K623" t="s">
        <v>40</v>
      </c>
      <c r="L623" t="s">
        <v>29</v>
      </c>
      <c r="M623" t="s">
        <v>35</v>
      </c>
      <c r="N623" t="s">
        <v>1343</v>
      </c>
      <c r="O623" s="4">
        <v>168.68</v>
      </c>
      <c r="P623" s="8" t="str">
        <f t="shared" si="66"/>
        <v>High</v>
      </c>
      <c r="Q623" s="4">
        <v>413.34</v>
      </c>
      <c r="R623" s="4">
        <v>0.186</v>
      </c>
      <c r="S623" s="4">
        <v>7</v>
      </c>
      <c r="T623" s="4">
        <f t="shared" si="63"/>
        <v>0</v>
      </c>
      <c r="U623">
        <f t="shared" si="64"/>
        <v>1180.76</v>
      </c>
      <c r="V623" s="4">
        <f t="shared" si="67"/>
        <v>-1180.76</v>
      </c>
      <c r="W623" s="4">
        <f t="shared" si="68"/>
        <v>0</v>
      </c>
    </row>
    <row r="624" spans="1:23" x14ac:dyDescent="0.3">
      <c r="A624" t="s">
        <v>1344</v>
      </c>
      <c r="B624" s="7">
        <v>45501</v>
      </c>
      <c r="C624" s="2">
        <v>45527</v>
      </c>
      <c r="D624" s="4">
        <f t="shared" si="69"/>
        <v>26</v>
      </c>
      <c r="E624" s="4" t="str">
        <f>TEXT(Data!B624,"MMM-YYYY")</f>
        <v>Jul-2025</v>
      </c>
      <c r="F624" s="4" t="str">
        <f t="shared" si="65"/>
        <v>Q3-2024</v>
      </c>
      <c r="G624" t="s">
        <v>45</v>
      </c>
      <c r="H624" t="s">
        <v>60</v>
      </c>
      <c r="I624" t="s">
        <v>281</v>
      </c>
      <c r="J624" t="s">
        <v>19</v>
      </c>
      <c r="K624" t="s">
        <v>20</v>
      </c>
      <c r="L624" t="s">
        <v>29</v>
      </c>
      <c r="M624" t="s">
        <v>35</v>
      </c>
      <c r="N624" t="s">
        <v>1345</v>
      </c>
      <c r="O624" s="4">
        <v>1339.24</v>
      </c>
      <c r="P624" s="8" t="str">
        <f t="shared" si="66"/>
        <v>High</v>
      </c>
      <c r="Q624" s="4">
        <v>1558.89</v>
      </c>
      <c r="R624" s="4">
        <v>0.192</v>
      </c>
      <c r="S624" s="4">
        <v>24</v>
      </c>
      <c r="T624" s="4">
        <f t="shared" si="63"/>
        <v>0</v>
      </c>
      <c r="U624">
        <f t="shared" si="64"/>
        <v>32141.760000000002</v>
      </c>
      <c r="V624" s="4">
        <f t="shared" si="67"/>
        <v>-32141.760000000002</v>
      </c>
      <c r="W624" s="4">
        <f t="shared" si="68"/>
        <v>0</v>
      </c>
    </row>
    <row r="625" spans="1:23" x14ac:dyDescent="0.3">
      <c r="A625" t="s">
        <v>1346</v>
      </c>
      <c r="B625" s="7">
        <v>45857</v>
      </c>
      <c r="C625" s="2">
        <v>45869</v>
      </c>
      <c r="D625" s="4">
        <f t="shared" si="69"/>
        <v>12</v>
      </c>
      <c r="E625" s="4" t="str">
        <f>TEXT(Data!B625,"MMM-YYYY")</f>
        <v>Aug-2023</v>
      </c>
      <c r="F625" s="4" t="str">
        <f t="shared" si="65"/>
        <v>Q3-2025</v>
      </c>
      <c r="G625" t="s">
        <v>16</v>
      </c>
      <c r="H625" t="s">
        <v>17</v>
      </c>
      <c r="I625" t="s">
        <v>33</v>
      </c>
      <c r="J625" t="s">
        <v>62</v>
      </c>
      <c r="K625" t="s">
        <v>40</v>
      </c>
      <c r="L625" t="s">
        <v>68</v>
      </c>
      <c r="M625" t="s">
        <v>81</v>
      </c>
      <c r="N625" t="s">
        <v>1347</v>
      </c>
      <c r="O625" s="4">
        <v>619.64</v>
      </c>
      <c r="P625" s="8" t="str">
        <f t="shared" si="66"/>
        <v>High</v>
      </c>
      <c r="Q625" s="4">
        <v>861.16</v>
      </c>
      <c r="R625" s="4">
        <v>0.113</v>
      </c>
      <c r="S625" s="4">
        <v>14</v>
      </c>
      <c r="T625" s="4">
        <f t="shared" si="63"/>
        <v>0</v>
      </c>
      <c r="U625">
        <f t="shared" si="64"/>
        <v>8674.9599999999991</v>
      </c>
      <c r="V625" s="4">
        <f t="shared" si="67"/>
        <v>-8674.9599999999991</v>
      </c>
      <c r="W625" s="4">
        <f t="shared" si="68"/>
        <v>0</v>
      </c>
    </row>
    <row r="626" spans="1:23" x14ac:dyDescent="0.3">
      <c r="A626" t="s">
        <v>1348</v>
      </c>
      <c r="B626" s="7">
        <v>45141</v>
      </c>
      <c r="C626" s="2">
        <v>45140</v>
      </c>
      <c r="D626" s="4">
        <f>DATEDIF(C626,B626, "MD")</f>
        <v>1</v>
      </c>
      <c r="E626" s="4" t="str">
        <f>TEXT(Data!B626,"MMM-YYYY")</f>
        <v>Nov-2023</v>
      </c>
      <c r="F626" s="4" t="str">
        <f t="shared" si="65"/>
        <v>Q3-2023</v>
      </c>
      <c r="G626" t="s">
        <v>45</v>
      </c>
      <c r="H626" t="s">
        <v>116</v>
      </c>
      <c r="I626" t="s">
        <v>162</v>
      </c>
      <c r="J626" t="s">
        <v>39</v>
      </c>
      <c r="K626" t="s">
        <v>98</v>
      </c>
      <c r="L626" t="s">
        <v>29</v>
      </c>
      <c r="M626" t="s">
        <v>35</v>
      </c>
      <c r="N626" t="s">
        <v>1349</v>
      </c>
      <c r="O626" s="4">
        <v>1021.97</v>
      </c>
      <c r="P626" s="8" t="str">
        <f t="shared" si="66"/>
        <v>High</v>
      </c>
      <c r="Q626" s="4">
        <v>2296.25</v>
      </c>
      <c r="R626" s="4">
        <v>0.161</v>
      </c>
      <c r="S626" s="4">
        <v>26</v>
      </c>
      <c r="T626" s="4">
        <f t="shared" si="63"/>
        <v>0</v>
      </c>
      <c r="U626">
        <f t="shared" si="64"/>
        <v>26571.22</v>
      </c>
      <c r="V626" s="4">
        <f t="shared" si="67"/>
        <v>-26571.22</v>
      </c>
      <c r="W626" s="4">
        <f t="shared" si="68"/>
        <v>0</v>
      </c>
    </row>
    <row r="627" spans="1:23" x14ac:dyDescent="0.3">
      <c r="A627" t="s">
        <v>1350</v>
      </c>
      <c r="B627" s="7">
        <v>45249</v>
      </c>
      <c r="C627" s="2">
        <v>45272</v>
      </c>
      <c r="D627" s="4">
        <f t="shared" si="69"/>
        <v>23</v>
      </c>
      <c r="E627" s="4" t="str">
        <f>TEXT(Data!B627,"MMM-YYYY")</f>
        <v>Dec-2023</v>
      </c>
      <c r="F627" s="4" t="str">
        <f t="shared" si="65"/>
        <v>Q4-2023</v>
      </c>
      <c r="G627" t="s">
        <v>45</v>
      </c>
      <c r="H627" t="s">
        <v>60</v>
      </c>
      <c r="I627" t="s">
        <v>141</v>
      </c>
      <c r="J627" t="s">
        <v>62</v>
      </c>
      <c r="K627" t="s">
        <v>98</v>
      </c>
      <c r="L627" t="s">
        <v>21</v>
      </c>
      <c r="M627" t="s">
        <v>35</v>
      </c>
      <c r="N627" t="s">
        <v>1351</v>
      </c>
      <c r="O627" s="4">
        <v>1349.04</v>
      </c>
      <c r="P627" s="8" t="str">
        <f t="shared" si="66"/>
        <v>High</v>
      </c>
      <c r="Q627" s="4">
        <v>2636.6</v>
      </c>
      <c r="R627" s="4">
        <v>0.114</v>
      </c>
      <c r="S627" s="4">
        <v>14</v>
      </c>
      <c r="T627" s="4">
        <f t="shared" si="63"/>
        <v>0</v>
      </c>
      <c r="U627">
        <f t="shared" si="64"/>
        <v>18886.559999999998</v>
      </c>
      <c r="V627" s="4">
        <f t="shared" si="67"/>
        <v>-18886.559999999998</v>
      </c>
      <c r="W627" s="4">
        <f t="shared" si="68"/>
        <v>0</v>
      </c>
    </row>
    <row r="628" spans="1:23" x14ac:dyDescent="0.3">
      <c r="A628" t="s">
        <v>1352</v>
      </c>
      <c r="B628" s="7">
        <v>45282</v>
      </c>
      <c r="C628" s="2">
        <v>45307</v>
      </c>
      <c r="D628" s="4">
        <f t="shared" si="69"/>
        <v>25</v>
      </c>
      <c r="E628" s="4" t="str">
        <f>TEXT(Data!B628,"MMM-YYYY")</f>
        <v>Aug-2023</v>
      </c>
      <c r="F628" s="4" t="str">
        <f t="shared" si="65"/>
        <v>Q4-2023</v>
      </c>
      <c r="G628" t="s">
        <v>45</v>
      </c>
      <c r="H628" t="s">
        <v>60</v>
      </c>
      <c r="I628" t="s">
        <v>281</v>
      </c>
      <c r="J628" t="s">
        <v>62</v>
      </c>
      <c r="K628" t="s">
        <v>20</v>
      </c>
      <c r="L628" t="s">
        <v>75</v>
      </c>
      <c r="M628" t="s">
        <v>22</v>
      </c>
      <c r="N628" t="s">
        <v>1353</v>
      </c>
      <c r="O628" s="4">
        <v>1346.81</v>
      </c>
      <c r="P628" s="8" t="str">
        <f t="shared" si="66"/>
        <v>High</v>
      </c>
      <c r="Q628" s="4">
        <v>978.09</v>
      </c>
      <c r="R628" s="4">
        <v>0.159</v>
      </c>
      <c r="S628" s="4">
        <v>17</v>
      </c>
      <c r="T628" s="4">
        <f t="shared" si="63"/>
        <v>0</v>
      </c>
      <c r="U628">
        <f t="shared" si="64"/>
        <v>22895.77</v>
      </c>
      <c r="V628" s="4">
        <f t="shared" si="67"/>
        <v>-22895.77</v>
      </c>
      <c r="W628" s="4">
        <f t="shared" si="68"/>
        <v>0</v>
      </c>
    </row>
    <row r="629" spans="1:23" x14ac:dyDescent="0.3">
      <c r="A629" t="s">
        <v>1354</v>
      </c>
      <c r="B629" s="7">
        <v>45141</v>
      </c>
      <c r="C629" s="2">
        <v>45168</v>
      </c>
      <c r="D629" s="4">
        <f t="shared" si="69"/>
        <v>27</v>
      </c>
      <c r="E629" s="4" t="str">
        <f>TEXT(Data!B629,"MMM-YYYY")</f>
        <v>Jun-2023</v>
      </c>
      <c r="F629" s="4" t="str">
        <f t="shared" si="65"/>
        <v>Q3-2023</v>
      </c>
      <c r="G629" t="s">
        <v>45</v>
      </c>
      <c r="H629" t="s">
        <v>116</v>
      </c>
      <c r="I629" t="s">
        <v>162</v>
      </c>
      <c r="J629" t="s">
        <v>48</v>
      </c>
      <c r="K629" t="s">
        <v>55</v>
      </c>
      <c r="L629" t="s">
        <v>126</v>
      </c>
      <c r="M629" t="s">
        <v>64</v>
      </c>
      <c r="N629" t="s">
        <v>1355</v>
      </c>
      <c r="O629" s="4">
        <v>226.04</v>
      </c>
      <c r="P629" s="8" t="str">
        <f t="shared" si="66"/>
        <v>High</v>
      </c>
      <c r="Q629" s="4">
        <v>545.72</v>
      </c>
      <c r="R629" s="4">
        <v>0.151</v>
      </c>
      <c r="S629" s="4">
        <v>11</v>
      </c>
      <c r="T629" s="4">
        <f t="shared" si="63"/>
        <v>0</v>
      </c>
      <c r="U629">
        <f t="shared" si="64"/>
        <v>2486.44</v>
      </c>
      <c r="V629" s="4">
        <f t="shared" si="67"/>
        <v>-2486.44</v>
      </c>
      <c r="W629" s="4">
        <f t="shared" si="68"/>
        <v>0</v>
      </c>
    </row>
    <row r="630" spans="1:23" x14ac:dyDescent="0.3">
      <c r="A630" t="s">
        <v>1356</v>
      </c>
      <c r="B630" s="7">
        <v>45100</v>
      </c>
      <c r="C630" s="2">
        <v>45125</v>
      </c>
      <c r="D630" s="4">
        <f t="shared" si="69"/>
        <v>25</v>
      </c>
      <c r="E630" s="4" t="str">
        <f>TEXT(Data!B630,"MMM-YYYY")</f>
        <v>Dec-2023</v>
      </c>
      <c r="F630" s="4" t="str">
        <f t="shared" si="65"/>
        <v>Q2-2023</v>
      </c>
      <c r="G630" t="s">
        <v>52</v>
      </c>
      <c r="H630" t="s">
        <v>53</v>
      </c>
      <c r="I630" t="s">
        <v>179</v>
      </c>
      <c r="J630" t="s">
        <v>105</v>
      </c>
      <c r="K630" t="s">
        <v>28</v>
      </c>
      <c r="L630" t="s">
        <v>126</v>
      </c>
      <c r="M630" t="s">
        <v>42</v>
      </c>
      <c r="N630" t="s">
        <v>1357</v>
      </c>
      <c r="O630" s="4">
        <v>807.02</v>
      </c>
      <c r="P630" s="8" t="str">
        <f t="shared" si="66"/>
        <v>High</v>
      </c>
      <c r="Q630" s="4">
        <v>1435.54</v>
      </c>
      <c r="R630" s="4">
        <v>0</v>
      </c>
      <c r="S630" s="4">
        <v>23</v>
      </c>
      <c r="T630" s="4">
        <f t="shared" si="63"/>
        <v>0</v>
      </c>
      <c r="U630">
        <f t="shared" si="64"/>
        <v>18561.46</v>
      </c>
      <c r="V630" s="4">
        <f t="shared" si="67"/>
        <v>-18561.46</v>
      </c>
      <c r="W630" s="4">
        <f t="shared" si="68"/>
        <v>0</v>
      </c>
    </row>
    <row r="631" spans="1:23" x14ac:dyDescent="0.3">
      <c r="A631" t="s">
        <v>1358</v>
      </c>
      <c r="B631" s="7">
        <v>45267</v>
      </c>
      <c r="C631" s="2">
        <v>45293</v>
      </c>
      <c r="D631" s="4">
        <f t="shared" si="69"/>
        <v>26</v>
      </c>
      <c r="E631" s="4" t="str">
        <f>TEXT(Data!B631,"MMM-YYYY")</f>
        <v>Nov-2023</v>
      </c>
      <c r="F631" s="4" t="str">
        <f t="shared" si="65"/>
        <v>Q4-2023</v>
      </c>
      <c r="G631" t="s">
        <v>78</v>
      </c>
      <c r="H631" t="s">
        <v>79</v>
      </c>
      <c r="I631" t="s">
        <v>335</v>
      </c>
      <c r="J631" t="s">
        <v>105</v>
      </c>
      <c r="K631" t="s">
        <v>55</v>
      </c>
      <c r="L631" t="s">
        <v>63</v>
      </c>
      <c r="M631" t="s">
        <v>22</v>
      </c>
      <c r="N631" t="s">
        <v>1359</v>
      </c>
      <c r="O631" s="4">
        <v>1071.99</v>
      </c>
      <c r="P631" s="8" t="str">
        <f t="shared" si="66"/>
        <v>High</v>
      </c>
      <c r="Q631" s="4">
        <v>2397.3000000000002</v>
      </c>
      <c r="R631" s="4">
        <v>6.2E-2</v>
      </c>
      <c r="S631" s="4">
        <v>18</v>
      </c>
      <c r="T631" s="4">
        <f t="shared" si="63"/>
        <v>0</v>
      </c>
      <c r="U631">
        <f t="shared" si="64"/>
        <v>19295.82</v>
      </c>
      <c r="V631" s="4">
        <f t="shared" si="67"/>
        <v>-19295.82</v>
      </c>
      <c r="W631" s="4">
        <f t="shared" si="68"/>
        <v>0</v>
      </c>
    </row>
    <row r="632" spans="1:23" x14ac:dyDescent="0.3">
      <c r="A632" t="s">
        <v>1360</v>
      </c>
      <c r="B632" s="7">
        <v>45249</v>
      </c>
      <c r="C632" s="2">
        <v>45279</v>
      </c>
      <c r="D632" s="4">
        <f t="shared" si="69"/>
        <v>0</v>
      </c>
      <c r="E632" s="4" t="str">
        <f>TEXT(Data!B632,"MMM-YYYY")</f>
        <v>Feb-2025</v>
      </c>
      <c r="F632" s="4" t="str">
        <f t="shared" si="65"/>
        <v>Q4-2023</v>
      </c>
      <c r="G632" t="s">
        <v>45</v>
      </c>
      <c r="H632" t="s">
        <v>46</v>
      </c>
      <c r="I632" t="s">
        <v>231</v>
      </c>
      <c r="J632" t="s">
        <v>48</v>
      </c>
      <c r="K632" t="s">
        <v>20</v>
      </c>
      <c r="L632" t="s">
        <v>1364</v>
      </c>
      <c r="M632" t="s">
        <v>42</v>
      </c>
      <c r="N632" t="s">
        <v>1361</v>
      </c>
      <c r="O632" s="4">
        <v>807.11</v>
      </c>
      <c r="P632" s="8" t="str">
        <f t="shared" si="66"/>
        <v>High</v>
      </c>
      <c r="Q632" s="4">
        <v>1853.86</v>
      </c>
      <c r="R632" s="4">
        <v>0.13900000000000001</v>
      </c>
      <c r="S632" s="4">
        <v>8</v>
      </c>
      <c r="T632" s="4">
        <f t="shared" si="63"/>
        <v>0</v>
      </c>
      <c r="U632">
        <f t="shared" si="64"/>
        <v>6456.88</v>
      </c>
      <c r="V632" s="4">
        <f t="shared" si="67"/>
        <v>-6456.88</v>
      </c>
      <c r="W632" s="4">
        <f t="shared" si="68"/>
        <v>0</v>
      </c>
    </row>
    <row r="633" spans="1:23" x14ac:dyDescent="0.3">
      <c r="A633" t="s">
        <v>1362</v>
      </c>
      <c r="B633" s="7">
        <v>45716</v>
      </c>
      <c r="C633" s="2">
        <v>45726</v>
      </c>
      <c r="D633" s="4">
        <f t="shared" si="69"/>
        <v>10</v>
      </c>
      <c r="E633" s="4" t="str">
        <f>TEXT(Data!B633,"MMM-YYYY")</f>
        <v>Feb-2025</v>
      </c>
      <c r="F633" s="4" t="str">
        <f t="shared" si="65"/>
        <v>Q1-2025</v>
      </c>
      <c r="G633" t="s">
        <v>45</v>
      </c>
      <c r="H633" t="s">
        <v>46</v>
      </c>
      <c r="I633" t="s">
        <v>47</v>
      </c>
      <c r="J633" t="s">
        <v>27</v>
      </c>
      <c r="K633" t="s">
        <v>55</v>
      </c>
      <c r="L633" t="s">
        <v>126</v>
      </c>
      <c r="M633" t="s">
        <v>57</v>
      </c>
      <c r="N633" t="s">
        <v>1363</v>
      </c>
      <c r="O633" s="4">
        <v>51.86</v>
      </c>
      <c r="P633" s="8" t="str">
        <f t="shared" si="66"/>
        <v>Low</v>
      </c>
      <c r="Q633" s="4">
        <v>45.98</v>
      </c>
      <c r="R633" s="4">
        <v>0.17299999999999999</v>
      </c>
      <c r="S633" s="4">
        <v>7</v>
      </c>
      <c r="T633" s="4">
        <f t="shared" si="63"/>
        <v>0</v>
      </c>
      <c r="U633">
        <f t="shared" si="64"/>
        <v>363.02</v>
      </c>
      <c r="V633" s="4">
        <f t="shared" si="67"/>
        <v>-363.02</v>
      </c>
      <c r="W633" s="4">
        <f t="shared" si="68"/>
        <v>0</v>
      </c>
    </row>
  </sheetData>
  <conditionalFormatting sqref="Q1:Q1048576">
    <cfRule type="cellIs" dxfId="3" priority="1" operator="lessThan">
      <formula>0</formula>
    </cfRule>
  </conditionalFormatting>
  <dataValidations count="1">
    <dataValidation type="date" operator="greaterThanOrEqual" allowBlank="1" showInputMessage="1" showErrorMessage="1" error="Invalid Date ;Required date cannot be before the order date" sqref="C2:C633" xr:uid="{F6F73C27-4808-409F-93E0-D66714D5E35F}">
      <formula1>B2</formula1>
    </dataValidation>
  </dataValidation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BBEAD-8480-46A0-A467-40F37AD67571}">
  <dimension ref="A3:E28"/>
  <sheetViews>
    <sheetView workbookViewId="0">
      <selection activeCell="A3" sqref="A3:E28"/>
    </sheetView>
  </sheetViews>
  <sheetFormatPr defaultRowHeight="14.4" x14ac:dyDescent="0.3"/>
  <cols>
    <col min="1" max="1" width="15.33203125" bestFit="1" customWidth="1"/>
    <col min="2" max="2" width="15.44140625" bestFit="1" customWidth="1"/>
    <col min="3" max="3" width="19.77734375" bestFit="1" customWidth="1"/>
    <col min="4" max="4" width="15.88671875" style="18" customWidth="1"/>
    <col min="5" max="5" width="18.6640625" customWidth="1"/>
  </cols>
  <sheetData>
    <row r="3" spans="1:5" x14ac:dyDescent="0.3">
      <c r="A3" s="9" t="s">
        <v>1376</v>
      </c>
      <c r="B3" t="s">
        <v>1421</v>
      </c>
      <c r="C3" t="s">
        <v>1432</v>
      </c>
      <c r="D3" s="19" t="s">
        <v>1433</v>
      </c>
      <c r="E3" s="16" t="s">
        <v>1434</v>
      </c>
    </row>
    <row r="4" spans="1:5" x14ac:dyDescent="0.3">
      <c r="A4" s="10" t="s">
        <v>73</v>
      </c>
      <c r="B4" s="12">
        <v>62</v>
      </c>
      <c r="C4" s="12">
        <v>851</v>
      </c>
    </row>
    <row r="5" spans="1:5" x14ac:dyDescent="0.3">
      <c r="A5" s="11" t="s">
        <v>81</v>
      </c>
      <c r="B5" s="12">
        <v>10</v>
      </c>
      <c r="C5" s="12">
        <v>126</v>
      </c>
      <c r="D5" s="18">
        <f>GETPIVOTDATA("Sum of Leadtime days",$A$3,"Country","Brazil","ProductCategory","Accessories")/GETPIVOTDATA("Count of OrderID",$A$3,"Country","Brazil","ProductCategory","Accessories")/100</f>
        <v>0.126</v>
      </c>
      <c r="E5" t="str" cm="1">
        <f t="array" ref="E5:E26">IF(D5:D26&gt;0.9, "Excellent", IF(D5:D26&gt;=0.8, "Good", IF(D5:D26&gt;=0.7,"Fair", "Poor")))</f>
        <v>Poor</v>
      </c>
    </row>
    <row r="6" spans="1:5" x14ac:dyDescent="0.3">
      <c r="A6" s="11" t="s">
        <v>22</v>
      </c>
      <c r="B6" s="12">
        <v>7</v>
      </c>
      <c r="C6" s="12">
        <v>142</v>
      </c>
      <c r="D6" s="18">
        <v>0</v>
      </c>
      <c r="E6" t="str">
        <v>Poor</v>
      </c>
    </row>
    <row r="7" spans="1:5" x14ac:dyDescent="0.3">
      <c r="A7" s="11" t="s">
        <v>57</v>
      </c>
      <c r="B7" s="12">
        <v>5</v>
      </c>
      <c r="C7" s="12">
        <v>91</v>
      </c>
      <c r="D7" s="18">
        <f>GETPIVOTDATA("Sum of Leadtime days",$A$3,"Country","Brazil","ProductCategory","Laptops")/GETPIVOTDATA("Count of OrderID",$A$3,"Country","Brazil","ProductCategory","Laptops")/100</f>
        <v>0.182</v>
      </c>
      <c r="E7" t="str">
        <v>Poor</v>
      </c>
    </row>
    <row r="8" spans="1:5" x14ac:dyDescent="0.3">
      <c r="A8" s="11" t="s">
        <v>64</v>
      </c>
      <c r="B8" s="12">
        <v>12</v>
      </c>
      <c r="C8" s="12">
        <v>161</v>
      </c>
      <c r="D8" s="18">
        <v>0</v>
      </c>
      <c r="E8" t="str">
        <v>Poor</v>
      </c>
    </row>
    <row r="9" spans="1:5" x14ac:dyDescent="0.3">
      <c r="A9" s="11" t="s">
        <v>35</v>
      </c>
      <c r="B9" s="12">
        <v>12</v>
      </c>
      <c r="C9" s="12">
        <v>169</v>
      </c>
      <c r="D9" s="18">
        <f>GETPIVOTDATA("Sum of Leadtime days",$A$3,"Country","Brazil","ProductCategory","Networking")/GETPIVOTDATA("Count of OrderID",$A$3,"Country","Brazil","ProductCategory","Networking")/100</f>
        <v>0.14083333333333334</v>
      </c>
      <c r="E9" t="str">
        <v>Poor</v>
      </c>
    </row>
    <row r="10" spans="1:5" x14ac:dyDescent="0.3">
      <c r="A10" s="11" t="s">
        <v>42</v>
      </c>
      <c r="B10" s="12">
        <v>9</v>
      </c>
      <c r="C10" s="12">
        <v>65</v>
      </c>
      <c r="D10" s="18">
        <f>GETPIVOTDATA("Sum of Leadtime days",$A$3,"Country","Brazil","ProductCategory","Phones")/GETPIVOTDATA("Count of OrderID",$A$3,"Country","Brazil","ProductCategory","Phones")/100</f>
        <v>7.2222222222222229E-2</v>
      </c>
      <c r="E10" t="str">
        <v>Poor</v>
      </c>
    </row>
    <row r="11" spans="1:5" x14ac:dyDescent="0.3">
      <c r="A11" s="11" t="s">
        <v>30</v>
      </c>
      <c r="B11" s="12">
        <v>7</v>
      </c>
      <c r="C11" s="12">
        <v>97</v>
      </c>
      <c r="D11" s="18">
        <f>GETPIVOTDATA("Sum of Leadtime days",$A$3,"Country","Brazil","ProductCategory","Printers")/GETPIVOTDATA("Count of OrderID",$A$3,"Country","Brazil","ProductCategory","Printers")/100</f>
        <v>0.13857142857142857</v>
      </c>
      <c r="E11" t="str">
        <v>Poor</v>
      </c>
    </row>
    <row r="12" spans="1:5" x14ac:dyDescent="0.3">
      <c r="A12" s="10" t="s">
        <v>53</v>
      </c>
      <c r="B12" s="12">
        <v>44</v>
      </c>
      <c r="C12" s="12">
        <v>611</v>
      </c>
      <c r="E12" t="str">
        <v>Poor</v>
      </c>
    </row>
    <row r="13" spans="1:5" x14ac:dyDescent="0.3">
      <c r="A13" s="11" t="s">
        <v>81</v>
      </c>
      <c r="B13" s="12">
        <v>6</v>
      </c>
      <c r="C13" s="12">
        <v>75</v>
      </c>
      <c r="D13" s="18">
        <f>GETPIVOTDATA("Sum of Leadtime days",$A$3,"Country","Canada","ProductCategory","Accessories")/GETPIVOTDATA("Count of OrderID",$A$3,"Country","Canada","ProductCategory","Accessories")/100</f>
        <v>0.125</v>
      </c>
      <c r="E13" t="str">
        <v>Poor</v>
      </c>
    </row>
    <row r="14" spans="1:5" x14ac:dyDescent="0.3">
      <c r="A14" s="11" t="s">
        <v>22</v>
      </c>
      <c r="B14" s="12">
        <v>6</v>
      </c>
      <c r="C14" s="12">
        <v>55</v>
      </c>
      <c r="D14" s="18">
        <f>GETPIVOTDATA("Sum of Leadtime days",$A$3,"Country","Canada","ProductCategory","Components")/GETPIVOTDATA("Count of OrderID",$A$3,"Country","Canada","ProductCategory","Components")/100</f>
        <v>9.166666666666666E-2</v>
      </c>
      <c r="E14" t="str">
        <v>Poor</v>
      </c>
    </row>
    <row r="15" spans="1:5" x14ac:dyDescent="0.3">
      <c r="A15" s="11" t="s">
        <v>57</v>
      </c>
      <c r="B15" s="12">
        <v>6</v>
      </c>
      <c r="C15" s="12">
        <v>74</v>
      </c>
      <c r="D15" s="18">
        <f>GETPIVOTDATA("Sum of Leadtime days",$A$3,"Country","Canada","ProductCategory","Laptops")/GETPIVOTDATA("Count of OrderID",$A$3,"Country","Canada","ProductCategory","Laptops")/100</f>
        <v>0.12333333333333334</v>
      </c>
      <c r="E15" t="str">
        <v>Poor</v>
      </c>
    </row>
    <row r="16" spans="1:5" x14ac:dyDescent="0.3">
      <c r="A16" s="11" t="s">
        <v>64</v>
      </c>
      <c r="B16" s="12">
        <v>7</v>
      </c>
      <c r="C16" s="12">
        <v>130</v>
      </c>
      <c r="D16" s="18">
        <f>GETPIVOTDATA("Sum of Leadtime days",$A$3,"Country","Canada","ProductCategory","Monitors")/GETPIVOTDATA("Count of OrderID",$A$3,"Country","Canada","ProductCategory","Monitors")/100</f>
        <v>0.18571428571428572</v>
      </c>
      <c r="E16" t="str">
        <v>Poor</v>
      </c>
    </row>
    <row r="17" spans="1:5" x14ac:dyDescent="0.3">
      <c r="A17" s="11" t="s">
        <v>35</v>
      </c>
      <c r="B17" s="12">
        <v>3</v>
      </c>
      <c r="C17" s="12">
        <v>60</v>
      </c>
      <c r="D17" s="18">
        <f>GETPIVOTDATA("Sum of Leadtime days",$A$3,"Country","Canada","ProductCategory","Networking")/GETPIVOTDATA("Count of OrderID",$A$3,"Country","Canada","ProductCategory","Networking")/100</f>
        <v>0.2</v>
      </c>
      <c r="E17" t="str">
        <v>Poor</v>
      </c>
    </row>
    <row r="18" spans="1:5" x14ac:dyDescent="0.3">
      <c r="A18" s="11" t="s">
        <v>42</v>
      </c>
      <c r="B18" s="12">
        <v>3</v>
      </c>
      <c r="C18" s="12">
        <v>52</v>
      </c>
      <c r="D18" s="18">
        <f>GETPIVOTDATA("Sum of Leadtime days",$A$3,"Country","Canada","ProductCategory","Phones")/GETPIVOTDATA("Count of OrderID",$A$3,"Country","Canada","ProductCategory","Phones")/100</f>
        <v>0.17333333333333331</v>
      </c>
      <c r="E18" t="str">
        <v>Poor</v>
      </c>
    </row>
    <row r="19" spans="1:5" x14ac:dyDescent="0.3">
      <c r="A19" s="11" t="s">
        <v>30</v>
      </c>
      <c r="B19" s="12">
        <v>13</v>
      </c>
      <c r="C19" s="12">
        <v>165</v>
      </c>
      <c r="D19" s="18">
        <f>GETPIVOTDATA("Sum of Leadtime days",$A$3,"Country","Canada","ProductCategory","Printers")/GETPIVOTDATA("Count of OrderID",$A$3,"Country","Canada","ProductCategory","Printers")/100</f>
        <v>0.12692307692307692</v>
      </c>
      <c r="E19" t="str">
        <v>Poor</v>
      </c>
    </row>
    <row r="20" spans="1:5" x14ac:dyDescent="0.3">
      <c r="A20" s="10" t="s">
        <v>116</v>
      </c>
      <c r="B20" s="12">
        <v>51</v>
      </c>
      <c r="C20" s="12">
        <v>802</v>
      </c>
      <c r="E20" t="str">
        <v>Poor</v>
      </c>
    </row>
    <row r="21" spans="1:5" x14ac:dyDescent="0.3">
      <c r="A21" s="11" t="s">
        <v>81</v>
      </c>
      <c r="B21" s="12">
        <v>4</v>
      </c>
      <c r="C21" s="12">
        <v>18</v>
      </c>
      <c r="D21" s="18">
        <f>GETPIVOTDATA("Sum of Leadtime days",$A$3,"Country","China","ProductCategory","Accessories")/GETPIVOTDATA("Count of OrderID",$A$3,"Country","China","ProductCategory","Accessories")/100</f>
        <v>4.4999999999999998E-2</v>
      </c>
      <c r="E21" t="str">
        <v>Poor</v>
      </c>
    </row>
    <row r="22" spans="1:5" x14ac:dyDescent="0.3">
      <c r="A22" s="11" t="s">
        <v>22</v>
      </c>
      <c r="B22" s="12">
        <v>10</v>
      </c>
      <c r="C22" s="12">
        <v>216</v>
      </c>
      <c r="D22" s="18">
        <f>GETPIVOTDATA("Sum of Leadtime days",$A$3,"Country","China","ProductCategory","Components")/GETPIVOTDATA("Count of OrderID",$A$3,"Country","China","ProductCategory","Components")/100</f>
        <v>0.21600000000000003</v>
      </c>
      <c r="E22" t="str">
        <v>Poor</v>
      </c>
    </row>
    <row r="23" spans="1:5" x14ac:dyDescent="0.3">
      <c r="A23" s="11" t="s">
        <v>57</v>
      </c>
      <c r="B23" s="12">
        <v>5</v>
      </c>
      <c r="C23" s="12">
        <v>51</v>
      </c>
      <c r="D23" s="18">
        <f>GETPIVOTDATA("Sum of Leadtime days",$A$3,"Country","China","ProductCategory","Laptops")/GETPIVOTDATA("Count of OrderID",$A$3,"Country","China","ProductCategory","Laptops")/100</f>
        <v>0.10199999999999999</v>
      </c>
      <c r="E23" t="str">
        <v>Poor</v>
      </c>
    </row>
    <row r="24" spans="1:5" x14ac:dyDescent="0.3">
      <c r="A24" s="11" t="s">
        <v>64</v>
      </c>
      <c r="B24" s="12">
        <v>6</v>
      </c>
      <c r="C24" s="12">
        <v>102</v>
      </c>
      <c r="D24" s="18">
        <f>GETPIVOTDATA("Sum of Leadtime days",$A$3,"Country","China","ProductCategory","Monitors")/GETPIVOTDATA("Count of OrderID",$A$3,"Country","China","ProductCategory","Monitors")/100</f>
        <v>0.17</v>
      </c>
      <c r="E24" t="str">
        <v>Poor</v>
      </c>
    </row>
    <row r="25" spans="1:5" x14ac:dyDescent="0.3">
      <c r="A25" s="11" t="s">
        <v>35</v>
      </c>
      <c r="B25" s="12">
        <v>8</v>
      </c>
      <c r="C25" s="12">
        <v>80</v>
      </c>
      <c r="D25" s="18">
        <f>GETPIVOTDATA("Sum of Leadtime days",$A$3,"Country","China","ProductCategory","Networking")/GETPIVOTDATA("Count of OrderID",$A$3,"Country","China","ProductCategory","Networking")/100</f>
        <v>0.1</v>
      </c>
      <c r="E25" t="str">
        <v>Poor</v>
      </c>
    </row>
    <row r="26" spans="1:5" x14ac:dyDescent="0.3">
      <c r="A26" s="11" t="s">
        <v>42</v>
      </c>
      <c r="B26" s="12">
        <v>7</v>
      </c>
      <c r="C26" s="12">
        <v>100</v>
      </c>
      <c r="D26" s="18">
        <f>GETPIVOTDATA("Sum of Leadtime days",$A$3,"Country","China","ProductCategory","Phones")/GETPIVOTDATA("Count of OrderID",$A$3,"Country","China","ProductCategory","Phones")/100</f>
        <v>0.14285714285714288</v>
      </c>
      <c r="E26" t="str">
        <v>Poor</v>
      </c>
    </row>
    <row r="27" spans="1:5" x14ac:dyDescent="0.3">
      <c r="A27" s="11" t="s">
        <v>30</v>
      </c>
      <c r="B27" s="12">
        <v>11</v>
      </c>
      <c r="C27" s="12">
        <v>235</v>
      </c>
    </row>
    <row r="28" spans="1:5" x14ac:dyDescent="0.3">
      <c r="A28" s="10" t="s">
        <v>1377</v>
      </c>
      <c r="B28" s="12">
        <v>157</v>
      </c>
      <c r="C28" s="12">
        <v>2264</v>
      </c>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51259-FE57-4008-A3BF-51BCE05473BC}">
  <dimension ref="A1:X633"/>
  <sheetViews>
    <sheetView workbookViewId="0">
      <selection activeCell="E1" sqref="E1:E1048576"/>
    </sheetView>
  </sheetViews>
  <sheetFormatPr defaultRowHeight="14.4" x14ac:dyDescent="0.3"/>
  <cols>
    <col min="1" max="1" width="16.109375" bestFit="1" customWidth="1"/>
    <col min="2" max="2" width="10.33203125" style="7" bestFit="1" customWidth="1"/>
    <col min="3" max="3" width="12.44140625" bestFit="1" customWidth="1"/>
    <col min="4" max="7" width="14.44140625" style="4" customWidth="1"/>
    <col min="8" max="8" width="8.44140625" bestFit="1" customWidth="1"/>
    <col min="9" max="9" width="14" bestFit="1" customWidth="1"/>
    <col min="10" max="10" width="12.44140625" bestFit="1" customWidth="1"/>
    <col min="11" max="11" width="16.6640625" bestFit="1" customWidth="1"/>
    <col min="12" max="12" width="11.21875" bestFit="1" customWidth="1"/>
    <col min="13" max="13" width="11" bestFit="1" customWidth="1"/>
    <col min="14" max="14" width="15.33203125" bestFit="1" customWidth="1"/>
    <col min="15" max="15" width="10" bestFit="1" customWidth="1"/>
    <col min="16" max="16" width="8.21875" style="4" bestFit="1" customWidth="1"/>
    <col min="17" max="17" width="8.21875" style="4" customWidth="1"/>
    <col min="18" max="18" width="8.6640625" style="4" bestFit="1" customWidth="1"/>
    <col min="19" max="19" width="11" style="4" bestFit="1" customWidth="1"/>
    <col min="20" max="20" width="8.33203125" style="4" bestFit="1" customWidth="1"/>
    <col min="21" max="21" width="14.5546875" customWidth="1"/>
    <col min="22" max="22" width="13.77734375" customWidth="1"/>
    <col min="23" max="23" width="11.77734375" customWidth="1"/>
    <col min="24" max="24" width="16.33203125" customWidth="1"/>
  </cols>
  <sheetData>
    <row r="1" spans="1:24" x14ac:dyDescent="0.3">
      <c r="A1" s="1" t="s">
        <v>0</v>
      </c>
      <c r="B1" s="6" t="s">
        <v>1</v>
      </c>
      <c r="C1" s="1" t="s">
        <v>2</v>
      </c>
      <c r="D1" s="3" t="s">
        <v>1365</v>
      </c>
      <c r="E1" s="3" t="s">
        <v>1471</v>
      </c>
      <c r="F1" s="3" t="s">
        <v>1371</v>
      </c>
      <c r="G1" s="3" t="s">
        <v>1370</v>
      </c>
      <c r="H1" s="1" t="s">
        <v>3</v>
      </c>
      <c r="I1" s="1" t="s">
        <v>4</v>
      </c>
      <c r="J1" s="1" t="s">
        <v>5</v>
      </c>
      <c r="K1" s="1" t="s">
        <v>6</v>
      </c>
      <c r="L1" s="1" t="s">
        <v>7</v>
      </c>
      <c r="M1" s="1" t="s">
        <v>8</v>
      </c>
      <c r="N1" s="1" t="s">
        <v>9</v>
      </c>
      <c r="O1" s="1" t="s">
        <v>10</v>
      </c>
      <c r="P1" s="3" t="s">
        <v>11</v>
      </c>
      <c r="Q1" s="3" t="s">
        <v>1375</v>
      </c>
      <c r="R1" s="3" t="s">
        <v>12</v>
      </c>
      <c r="S1" s="3" t="s">
        <v>13</v>
      </c>
      <c r="T1" s="3" t="s">
        <v>14</v>
      </c>
      <c r="U1" s="5" t="s">
        <v>1366</v>
      </c>
      <c r="V1" s="5" t="s">
        <v>1367</v>
      </c>
      <c r="W1" s="5" t="s">
        <v>1368</v>
      </c>
      <c r="X1" s="5" t="s">
        <v>1369</v>
      </c>
    </row>
    <row r="2" spans="1:24" x14ac:dyDescent="0.3">
      <c r="A2" t="s">
        <v>15</v>
      </c>
      <c r="B2" s="7">
        <v>45362</v>
      </c>
      <c r="C2" s="2">
        <v>45388</v>
      </c>
      <c r="D2" s="4">
        <f>DATEDIF(B2,C2, "MD")</f>
        <v>26</v>
      </c>
      <c r="E2" s="51" t="b">
        <f>IF(D2&lt;=7, "Yes")</f>
        <v>0</v>
      </c>
      <c r="F2" s="4" t="str">
        <f>TEXT(Data!B2,"MMM-YYYY")</f>
        <v>Oct-2024</v>
      </c>
      <c r="G2" s="4" t="str">
        <f>"Q"&amp;ROUNDUP(MONTH(B2)/3,0)&amp;"-"&amp;YEAR(B2)</f>
        <v>Q1-2024</v>
      </c>
      <c r="H2" t="s">
        <v>16</v>
      </c>
      <c r="I2" t="s">
        <v>17</v>
      </c>
      <c r="J2" t="s">
        <v>18</v>
      </c>
      <c r="K2" t="s">
        <v>19</v>
      </c>
      <c r="L2" t="s">
        <v>20</v>
      </c>
      <c r="M2" t="s">
        <v>21</v>
      </c>
      <c r="N2" t="s">
        <v>22</v>
      </c>
      <c r="O2" t="s">
        <v>23</v>
      </c>
      <c r="P2" s="4">
        <v>279.24</v>
      </c>
      <c r="Q2" s="8" t="str">
        <f>IF(R2&lt;50, "Low", IF(R2&lt;200, "Medium", "High"))</f>
        <v>High</v>
      </c>
      <c r="R2" s="4">
        <v>608.9</v>
      </c>
      <c r="S2" s="4">
        <v>0.112</v>
      </c>
      <c r="T2" s="4">
        <v>9</v>
      </c>
      <c r="U2" s="4">
        <f t="shared" ref="U2:U65" si="0">(R28*T2)*(1-S2)</f>
        <v>1403.9546399999999</v>
      </c>
      <c r="V2">
        <f t="shared" ref="V2:V65" si="1">(P2*T2)</f>
        <v>2513.16</v>
      </c>
      <c r="W2" s="4">
        <f>(U2-V2)</f>
        <v>-1109.2053599999999</v>
      </c>
      <c r="X2" s="4">
        <f>IF(U2=0, 0, W2/U2)</f>
        <v>-0.79005783263766982</v>
      </c>
    </row>
    <row r="3" spans="1:24" x14ac:dyDescent="0.3">
      <c r="A3" t="s">
        <v>24</v>
      </c>
      <c r="B3" s="7">
        <v>45588</v>
      </c>
      <c r="C3" s="2">
        <v>45587</v>
      </c>
      <c r="D3" s="4">
        <f>DATEDIF(C3, B3, "MD")</f>
        <v>1</v>
      </c>
      <c r="E3" s="51" t="str">
        <f t="shared" ref="E3:E66" si="2">IF(D3&lt;=7, "Yes")</f>
        <v>Yes</v>
      </c>
      <c r="F3" s="4" t="str">
        <f>TEXT(Data!B3,"MMM-YYYY")</f>
        <v>Feb-2023</v>
      </c>
      <c r="G3" s="4" t="str">
        <f t="shared" ref="G3:G66" si="3">"Q"&amp;ROUNDUP(MONTH(B3)/3,0)&amp;"-"&amp;YEAR(B3)</f>
        <v>Q4-2024</v>
      </c>
      <c r="H3" t="s">
        <v>16</v>
      </c>
      <c r="I3" t="s">
        <v>25</v>
      </c>
      <c r="J3" t="s">
        <v>26</v>
      </c>
      <c r="K3" t="s">
        <v>27</v>
      </c>
      <c r="L3" t="s">
        <v>28</v>
      </c>
      <c r="M3" t="s">
        <v>29</v>
      </c>
      <c r="N3" t="s">
        <v>30</v>
      </c>
      <c r="O3" t="s">
        <v>31</v>
      </c>
      <c r="P3" s="4">
        <v>1084.3900000000001</v>
      </c>
      <c r="Q3" s="8" t="str">
        <f t="shared" ref="Q3:Q66" si="4">IF(R3&lt;50, "Low", IF(R3&lt;200, "Medium", "High"))</f>
        <v>High</v>
      </c>
      <c r="R3" s="4">
        <v>759.33</v>
      </c>
      <c r="S3" s="4">
        <v>0.23699999999999999</v>
      </c>
      <c r="T3" s="4">
        <v>31</v>
      </c>
      <c r="U3" s="4">
        <f t="shared" si="0"/>
        <v>17934.41419</v>
      </c>
      <c r="V3">
        <f t="shared" si="1"/>
        <v>33616.090000000004</v>
      </c>
      <c r="W3" s="4">
        <f t="shared" ref="W3:W66" si="5">(U3-V3)</f>
        <v>-15681.675810000004</v>
      </c>
      <c r="X3" s="4">
        <f t="shared" ref="X3:X66" si="6">IF(U3=0, 0, W3/U3)</f>
        <v>-0.87439018882166253</v>
      </c>
    </row>
    <row r="4" spans="1:24" x14ac:dyDescent="0.3">
      <c r="A4" t="s">
        <v>32</v>
      </c>
      <c r="B4" s="7">
        <v>44985</v>
      </c>
      <c r="C4" s="2">
        <v>45010</v>
      </c>
      <c r="D4" s="4">
        <f t="shared" ref="D4:D67" si="7">DATEDIF(B4,C4, "MD")</f>
        <v>25</v>
      </c>
      <c r="E4" s="51" t="b">
        <f t="shared" si="2"/>
        <v>0</v>
      </c>
      <c r="F4" s="4" t="str">
        <f>TEXT(Data!B4,"MMM-YYYY")</f>
        <v>Mar-2025</v>
      </c>
      <c r="G4" s="4" t="str">
        <f t="shared" si="3"/>
        <v>Q1-2023</v>
      </c>
      <c r="H4" t="s">
        <v>16</v>
      </c>
      <c r="I4" t="s">
        <v>17</v>
      </c>
      <c r="J4" t="s">
        <v>33</v>
      </c>
      <c r="K4" t="s">
        <v>19</v>
      </c>
      <c r="L4" t="s">
        <v>20</v>
      </c>
      <c r="M4" t="s">
        <v>34</v>
      </c>
      <c r="N4" t="s">
        <v>35</v>
      </c>
      <c r="O4" t="s">
        <v>36</v>
      </c>
      <c r="P4" s="4">
        <v>1460.76</v>
      </c>
      <c r="Q4" s="8" t="str">
        <f t="shared" si="4"/>
        <v>Low</v>
      </c>
      <c r="R4" s="4">
        <v>-30.66</v>
      </c>
      <c r="S4" s="4">
        <v>0.13100000000000001</v>
      </c>
      <c r="T4" s="4">
        <v>12</v>
      </c>
      <c r="U4" s="4">
        <f t="shared" si="0"/>
        <v>4534.0944</v>
      </c>
      <c r="V4">
        <f t="shared" si="1"/>
        <v>17529.12</v>
      </c>
      <c r="W4" s="4">
        <f t="shared" si="5"/>
        <v>-12995.025599999999</v>
      </c>
      <c r="X4" s="4">
        <f t="shared" si="6"/>
        <v>-2.8660686023652264</v>
      </c>
    </row>
    <row r="5" spans="1:24" x14ac:dyDescent="0.3">
      <c r="A5" t="s">
        <v>37</v>
      </c>
      <c r="B5" s="7">
        <v>45745</v>
      </c>
      <c r="C5" s="2">
        <v>45749</v>
      </c>
      <c r="D5" s="4">
        <f t="shared" si="7"/>
        <v>4</v>
      </c>
      <c r="E5" s="51" t="str">
        <f t="shared" si="2"/>
        <v>Yes</v>
      </c>
      <c r="F5" s="4" t="str">
        <f>TEXT(Data!B5,"MMM-YYYY")</f>
        <v>Dec-2023</v>
      </c>
      <c r="G5" s="4" t="str">
        <f t="shared" si="3"/>
        <v>Q1-2025</v>
      </c>
      <c r="H5" t="s">
        <v>16</v>
      </c>
      <c r="I5" t="s">
        <v>25</v>
      </c>
      <c r="J5" t="s">
        <v>38</v>
      </c>
      <c r="K5" t="s">
        <v>39</v>
      </c>
      <c r="L5" t="s">
        <v>40</v>
      </c>
      <c r="M5" t="s">
        <v>41</v>
      </c>
      <c r="N5" t="s">
        <v>42</v>
      </c>
      <c r="O5" t="s">
        <v>43</v>
      </c>
      <c r="P5" s="4">
        <v>259.93</v>
      </c>
      <c r="Q5" s="8" t="str">
        <f t="shared" si="4"/>
        <v>High</v>
      </c>
      <c r="R5" s="4">
        <v>255.94</v>
      </c>
      <c r="S5" s="4">
        <v>7.1999999999999995E-2</v>
      </c>
      <c r="T5" s="4">
        <v>22</v>
      </c>
      <c r="U5" s="4">
        <f t="shared" si="0"/>
        <v>34016.730880000003</v>
      </c>
      <c r="V5">
        <f t="shared" si="1"/>
        <v>5718.46</v>
      </c>
      <c r="W5" s="4">
        <f t="shared" si="5"/>
        <v>28298.270880000004</v>
      </c>
      <c r="X5" s="4">
        <f t="shared" si="6"/>
        <v>0.83189272301994943</v>
      </c>
    </row>
    <row r="6" spans="1:24" x14ac:dyDescent="0.3">
      <c r="A6" t="s">
        <v>44</v>
      </c>
      <c r="B6" s="7">
        <v>45266</v>
      </c>
      <c r="C6" s="2">
        <v>45291</v>
      </c>
      <c r="D6" s="4">
        <f t="shared" si="7"/>
        <v>25</v>
      </c>
      <c r="E6" s="51" t="b">
        <f t="shared" si="2"/>
        <v>0</v>
      </c>
      <c r="F6" s="4" t="str">
        <f>TEXT(Data!B6,"MMM-YYYY")</f>
        <v>Jan-2023</v>
      </c>
      <c r="G6" s="4" t="str">
        <f t="shared" si="3"/>
        <v>Q4-2023</v>
      </c>
      <c r="H6" t="s">
        <v>45</v>
      </c>
      <c r="I6" t="s">
        <v>46</v>
      </c>
      <c r="J6" t="s">
        <v>47</v>
      </c>
      <c r="K6" t="s">
        <v>48</v>
      </c>
      <c r="L6" t="s">
        <v>20</v>
      </c>
      <c r="M6" t="s">
        <v>49</v>
      </c>
      <c r="N6" t="s">
        <v>30</v>
      </c>
      <c r="O6" t="s">
        <v>50</v>
      </c>
      <c r="P6" s="4">
        <v>663.03</v>
      </c>
      <c r="Q6" s="8" t="str">
        <f t="shared" si="4"/>
        <v>High</v>
      </c>
      <c r="R6" s="4">
        <v>813.51</v>
      </c>
      <c r="S6" s="4">
        <v>0.10199999999999999</v>
      </c>
      <c r="T6" s="4">
        <v>15</v>
      </c>
      <c r="U6" s="4">
        <f t="shared" si="0"/>
        <v>8510.0765999999985</v>
      </c>
      <c r="V6">
        <f t="shared" si="1"/>
        <v>9945.4499999999989</v>
      </c>
      <c r="W6" s="4">
        <f t="shared" si="5"/>
        <v>-1435.3734000000004</v>
      </c>
      <c r="X6" s="4">
        <f t="shared" si="6"/>
        <v>-0.16866750647109341</v>
      </c>
    </row>
    <row r="7" spans="1:24" x14ac:dyDescent="0.3">
      <c r="A7" t="s">
        <v>51</v>
      </c>
      <c r="B7" s="7">
        <v>44928</v>
      </c>
      <c r="C7" s="2">
        <v>44931</v>
      </c>
      <c r="D7" s="4">
        <f t="shared" si="7"/>
        <v>3</v>
      </c>
      <c r="E7" s="51" t="str">
        <f t="shared" si="2"/>
        <v>Yes</v>
      </c>
      <c r="F7" s="4" t="str">
        <f>TEXT(Data!B7,"MMM-YYYY")</f>
        <v>Dec-2024</v>
      </c>
      <c r="G7" s="4" t="str">
        <f t="shared" si="3"/>
        <v>Q1-2023</v>
      </c>
      <c r="H7" t="s">
        <v>52</v>
      </c>
      <c r="I7" t="s">
        <v>53</v>
      </c>
      <c r="J7" t="s">
        <v>54</v>
      </c>
      <c r="K7" t="s">
        <v>19</v>
      </c>
      <c r="L7" t="s">
        <v>55</v>
      </c>
      <c r="M7" t="s">
        <v>56</v>
      </c>
      <c r="N7" t="s">
        <v>57</v>
      </c>
      <c r="O7" t="s">
        <v>58</v>
      </c>
      <c r="P7" s="4">
        <v>315.87</v>
      </c>
      <c r="Q7" s="8" t="str">
        <f t="shared" si="4"/>
        <v>High</v>
      </c>
      <c r="R7" s="4">
        <v>591.67999999999995</v>
      </c>
      <c r="S7" s="4">
        <v>0</v>
      </c>
      <c r="T7" s="4">
        <v>7</v>
      </c>
      <c r="U7" s="4">
        <f t="shared" si="0"/>
        <v>12558.49</v>
      </c>
      <c r="V7">
        <f t="shared" si="1"/>
        <v>2211.09</v>
      </c>
      <c r="W7" s="4">
        <f t="shared" si="5"/>
        <v>10347.4</v>
      </c>
      <c r="X7" s="4">
        <f t="shared" si="6"/>
        <v>0.82393663569425946</v>
      </c>
    </row>
    <row r="8" spans="1:24" x14ac:dyDescent="0.3">
      <c r="A8" t="s">
        <v>59</v>
      </c>
      <c r="B8" s="7">
        <v>45653</v>
      </c>
      <c r="C8" s="2">
        <v>45671</v>
      </c>
      <c r="D8" s="4">
        <f t="shared" si="7"/>
        <v>18</v>
      </c>
      <c r="E8" s="51" t="b">
        <f t="shared" si="2"/>
        <v>0</v>
      </c>
      <c r="F8" s="4" t="str">
        <f>TEXT(Data!B8,"MMM-YYYY")</f>
        <v>Jan-2023</v>
      </c>
      <c r="G8" s="4" t="str">
        <f t="shared" si="3"/>
        <v>Q4-2024</v>
      </c>
      <c r="H8" t="s">
        <v>45</v>
      </c>
      <c r="I8" t="s">
        <v>60</v>
      </c>
      <c r="J8" t="s">
        <v>61</v>
      </c>
      <c r="K8" t="s">
        <v>62</v>
      </c>
      <c r="L8" t="s">
        <v>40</v>
      </c>
      <c r="M8" t="s">
        <v>63</v>
      </c>
      <c r="N8" t="s">
        <v>64</v>
      </c>
      <c r="O8" t="s">
        <v>65</v>
      </c>
      <c r="P8" s="4">
        <v>586.07000000000005</v>
      </c>
      <c r="Q8" s="8" t="str">
        <f t="shared" si="4"/>
        <v>High</v>
      </c>
      <c r="R8" s="4">
        <v>845.97</v>
      </c>
      <c r="S8" s="4">
        <v>0.14699999999999999</v>
      </c>
      <c r="T8" s="4">
        <v>4</v>
      </c>
      <c r="U8" s="4">
        <f t="shared" si="0"/>
        <v>8983.864239999999</v>
      </c>
      <c r="V8">
        <f t="shared" si="1"/>
        <v>2344.2800000000002</v>
      </c>
      <c r="W8" s="4">
        <f t="shared" si="5"/>
        <v>6639.5842399999983</v>
      </c>
      <c r="X8" s="4">
        <f t="shared" si="6"/>
        <v>0.73905660889639613</v>
      </c>
    </row>
    <row r="9" spans="1:24" x14ac:dyDescent="0.3">
      <c r="A9" t="s">
        <v>66</v>
      </c>
      <c r="B9" s="7">
        <v>44941</v>
      </c>
      <c r="C9" s="2">
        <v>44939</v>
      </c>
      <c r="D9" s="4">
        <f>DATEDIF(C9,B9, "MD")</f>
        <v>2</v>
      </c>
      <c r="E9" s="51" t="str">
        <f t="shared" si="2"/>
        <v>Yes</v>
      </c>
      <c r="F9" s="4" t="str">
        <f>TEXT(Data!B9,"MMM-YYYY")</f>
        <v>May-2024</v>
      </c>
      <c r="G9" s="4" t="str">
        <f t="shared" si="3"/>
        <v>Q1-2023</v>
      </c>
      <c r="H9" t="s">
        <v>16</v>
      </c>
      <c r="I9" t="s">
        <v>25</v>
      </c>
      <c r="J9" t="s">
        <v>67</v>
      </c>
      <c r="K9" t="s">
        <v>27</v>
      </c>
      <c r="L9" t="s">
        <v>28</v>
      </c>
      <c r="M9" t="s">
        <v>68</v>
      </c>
      <c r="N9" t="s">
        <v>30</v>
      </c>
      <c r="O9" t="s">
        <v>69</v>
      </c>
      <c r="P9" s="4">
        <v>28.38</v>
      </c>
      <c r="Q9" s="8" t="str">
        <f t="shared" si="4"/>
        <v>Low</v>
      </c>
      <c r="R9" s="4">
        <v>47.22</v>
      </c>
      <c r="S9" s="4">
        <v>0.19400000000000001</v>
      </c>
      <c r="T9" s="4">
        <v>18</v>
      </c>
      <c r="U9" s="4">
        <f t="shared" si="0"/>
        <v>19177.399799999999</v>
      </c>
      <c r="V9">
        <f t="shared" si="1"/>
        <v>510.84</v>
      </c>
      <c r="W9" s="4">
        <f t="shared" si="5"/>
        <v>18666.559799999999</v>
      </c>
      <c r="X9" s="4">
        <f t="shared" si="6"/>
        <v>0.97336239504168864</v>
      </c>
    </row>
    <row r="10" spans="1:24" x14ac:dyDescent="0.3">
      <c r="A10" t="s">
        <v>70</v>
      </c>
      <c r="B10" s="7">
        <v>45416</v>
      </c>
      <c r="C10" s="2">
        <v>45441</v>
      </c>
      <c r="D10" s="4">
        <f t="shared" si="7"/>
        <v>25</v>
      </c>
      <c r="E10" s="51" t="b">
        <f t="shared" si="2"/>
        <v>0</v>
      </c>
      <c r="F10" s="4" t="str">
        <f>TEXT(Data!B10,"MMM-YYYY")</f>
        <v>May-2025</v>
      </c>
      <c r="G10" s="4" t="str">
        <f t="shared" si="3"/>
        <v>Q2-2024</v>
      </c>
      <c r="H10" t="s">
        <v>16</v>
      </c>
      <c r="I10" t="s">
        <v>25</v>
      </c>
      <c r="J10" t="s">
        <v>67</v>
      </c>
      <c r="K10" t="s">
        <v>39</v>
      </c>
      <c r="L10" t="s">
        <v>40</v>
      </c>
      <c r="M10" t="s">
        <v>68</v>
      </c>
      <c r="N10" t="s">
        <v>64</v>
      </c>
      <c r="O10" t="s">
        <v>71</v>
      </c>
      <c r="P10" s="4">
        <v>1295.3399999999999</v>
      </c>
      <c r="Q10" s="8" t="str">
        <f t="shared" si="4"/>
        <v>High</v>
      </c>
      <c r="R10" s="4">
        <v>2530.81</v>
      </c>
      <c r="S10" s="4">
        <v>3.1E-2</v>
      </c>
      <c r="T10" s="4">
        <v>6</v>
      </c>
      <c r="U10" s="4">
        <f t="shared" si="0"/>
        <v>17656.36218</v>
      </c>
      <c r="V10">
        <f t="shared" si="1"/>
        <v>7772.0399999999991</v>
      </c>
      <c r="W10" s="4">
        <f t="shared" si="5"/>
        <v>9884.322180000001</v>
      </c>
      <c r="X10" s="4">
        <f t="shared" si="6"/>
        <v>0.55981646044825306</v>
      </c>
    </row>
    <row r="11" spans="1:24" x14ac:dyDescent="0.3">
      <c r="A11" t="s">
        <v>72</v>
      </c>
      <c r="B11" s="7">
        <v>45798</v>
      </c>
      <c r="C11" s="2">
        <v>45817</v>
      </c>
      <c r="D11" s="4">
        <f t="shared" si="7"/>
        <v>19</v>
      </c>
      <c r="E11" s="51" t="b">
        <f t="shared" si="2"/>
        <v>0</v>
      </c>
      <c r="F11" s="4" t="str">
        <f>TEXT(Data!B11,"MMM-YYYY")</f>
        <v>Jan-2024</v>
      </c>
      <c r="G11" s="4" t="str">
        <f t="shared" si="3"/>
        <v>Q2-2025</v>
      </c>
      <c r="H11" t="s">
        <v>52</v>
      </c>
      <c r="I11" t="s">
        <v>73</v>
      </c>
      <c r="J11" t="s">
        <v>74</v>
      </c>
      <c r="K11" t="s">
        <v>39</v>
      </c>
      <c r="L11" t="s">
        <v>28</v>
      </c>
      <c r="M11" t="s">
        <v>75</v>
      </c>
      <c r="N11" t="s">
        <v>22</v>
      </c>
      <c r="O11" t="s">
        <v>76</v>
      </c>
      <c r="P11" s="4">
        <v>1331.38</v>
      </c>
      <c r="Q11" s="8" t="str">
        <f t="shared" si="4"/>
        <v>High</v>
      </c>
      <c r="R11" s="4">
        <v>2309.56</v>
      </c>
      <c r="S11" s="4">
        <v>0.14899999999999999</v>
      </c>
      <c r="T11" s="4">
        <v>31</v>
      </c>
      <c r="U11" s="4">
        <f t="shared" si="0"/>
        <v>5259.5799699999998</v>
      </c>
      <c r="V11">
        <f t="shared" si="1"/>
        <v>41272.780000000006</v>
      </c>
      <c r="W11" s="4">
        <f t="shared" si="5"/>
        <v>-36013.200030000007</v>
      </c>
      <c r="X11" s="4">
        <f t="shared" si="6"/>
        <v>-6.8471627459635354</v>
      </c>
    </row>
    <row r="12" spans="1:24" x14ac:dyDescent="0.3">
      <c r="A12" t="s">
        <v>77</v>
      </c>
      <c r="B12" s="7">
        <v>45319</v>
      </c>
      <c r="C12" s="2">
        <v>45331</v>
      </c>
      <c r="D12" s="4">
        <f t="shared" si="7"/>
        <v>12</v>
      </c>
      <c r="E12" s="51" t="b">
        <f t="shared" si="2"/>
        <v>0</v>
      </c>
      <c r="F12" s="4" t="str">
        <f>TEXT(Data!B12,"MMM-YYYY")</f>
        <v>Jan-2025</v>
      </c>
      <c r="G12" s="4" t="str">
        <f t="shared" si="3"/>
        <v>Q1-2024</v>
      </c>
      <c r="H12" t="s">
        <v>78</v>
      </c>
      <c r="I12" t="s">
        <v>79</v>
      </c>
      <c r="J12" t="s">
        <v>80</v>
      </c>
      <c r="K12" t="s">
        <v>19</v>
      </c>
      <c r="L12" t="s">
        <v>28</v>
      </c>
      <c r="M12" t="s">
        <v>41</v>
      </c>
      <c r="N12" t="s">
        <v>81</v>
      </c>
      <c r="O12" t="s">
        <v>82</v>
      </c>
      <c r="P12" s="4">
        <v>644.16999999999996</v>
      </c>
      <c r="Q12" s="8" t="str">
        <f t="shared" si="4"/>
        <v>High</v>
      </c>
      <c r="R12" s="4">
        <v>700.12</v>
      </c>
      <c r="S12" s="4">
        <v>6.0000000000000001E-3</v>
      </c>
      <c r="T12" s="4">
        <v>23</v>
      </c>
      <c r="U12" s="4">
        <f t="shared" si="0"/>
        <v>21204.733619999999</v>
      </c>
      <c r="V12">
        <f t="shared" si="1"/>
        <v>14815.91</v>
      </c>
      <c r="W12" s="4">
        <f t="shared" si="5"/>
        <v>6388.8236199999992</v>
      </c>
      <c r="X12" s="4">
        <f t="shared" si="6"/>
        <v>0.30129233097152197</v>
      </c>
    </row>
    <row r="13" spans="1:24" x14ac:dyDescent="0.3">
      <c r="A13" t="s">
        <v>83</v>
      </c>
      <c r="B13" s="7">
        <v>45660</v>
      </c>
      <c r="C13" s="2">
        <v>45680</v>
      </c>
      <c r="D13" s="4">
        <f t="shared" si="7"/>
        <v>20</v>
      </c>
      <c r="E13" s="51" t="b">
        <f t="shared" si="2"/>
        <v>0</v>
      </c>
      <c r="F13" s="4" t="str">
        <f>TEXT(Data!B13,"MMM-YYYY")</f>
        <v>Mar-2025</v>
      </c>
      <c r="G13" s="4" t="str">
        <f t="shared" si="3"/>
        <v>Q1-2025</v>
      </c>
      <c r="H13" t="s">
        <v>45</v>
      </c>
      <c r="I13" t="s">
        <v>46</v>
      </c>
      <c r="J13" t="s">
        <v>47</v>
      </c>
      <c r="K13" t="s">
        <v>19</v>
      </c>
      <c r="L13" t="s">
        <v>55</v>
      </c>
      <c r="M13" t="s">
        <v>84</v>
      </c>
      <c r="N13" t="s">
        <v>42</v>
      </c>
      <c r="O13" t="s">
        <v>85</v>
      </c>
      <c r="P13" s="4">
        <v>908.6</v>
      </c>
      <c r="Q13" s="8" t="str">
        <f t="shared" si="4"/>
        <v>High</v>
      </c>
      <c r="R13" s="4">
        <v>691.37</v>
      </c>
      <c r="S13" s="4">
        <v>0.25</v>
      </c>
      <c r="T13" s="4">
        <v>20</v>
      </c>
      <c r="U13" s="4">
        <f t="shared" si="0"/>
        <v>26031.15</v>
      </c>
      <c r="V13">
        <f t="shared" si="1"/>
        <v>18172</v>
      </c>
      <c r="W13" s="4">
        <f t="shared" si="5"/>
        <v>7859.1500000000015</v>
      </c>
      <c r="X13" s="4">
        <f t="shared" si="6"/>
        <v>0.30191328466087747</v>
      </c>
    </row>
    <row r="14" spans="1:24" x14ac:dyDescent="0.3">
      <c r="A14" t="s">
        <v>86</v>
      </c>
      <c r="B14" s="7">
        <v>45722</v>
      </c>
      <c r="C14" s="2">
        <v>45747</v>
      </c>
      <c r="D14" s="4">
        <f t="shared" si="7"/>
        <v>25</v>
      </c>
      <c r="E14" s="51" t="b">
        <f t="shared" si="2"/>
        <v>0</v>
      </c>
      <c r="F14" s="4" t="str">
        <f>TEXT(Data!B14,"MMM-YYYY")</f>
        <v>Jan-2024</v>
      </c>
      <c r="G14" s="4" t="str">
        <f t="shared" si="3"/>
        <v>Q1-2025</v>
      </c>
      <c r="H14" t="s">
        <v>52</v>
      </c>
      <c r="I14" t="s">
        <v>73</v>
      </c>
      <c r="J14" t="s">
        <v>87</v>
      </c>
      <c r="K14" t="s">
        <v>39</v>
      </c>
      <c r="L14" t="s">
        <v>28</v>
      </c>
      <c r="M14" t="s">
        <v>29</v>
      </c>
      <c r="N14" t="s">
        <v>22</v>
      </c>
      <c r="O14" t="s">
        <v>88</v>
      </c>
      <c r="P14" s="4">
        <v>331.57</v>
      </c>
      <c r="Q14" s="8" t="str">
        <f t="shared" si="4"/>
        <v>High</v>
      </c>
      <c r="R14" s="4">
        <v>548.4</v>
      </c>
      <c r="S14" s="4">
        <v>9.4E-2</v>
      </c>
      <c r="T14" s="4">
        <v>10</v>
      </c>
      <c r="U14" s="4">
        <f t="shared" si="0"/>
        <v>12644.498400000002</v>
      </c>
      <c r="V14">
        <f t="shared" si="1"/>
        <v>3315.7</v>
      </c>
      <c r="W14" s="4">
        <f t="shared" si="5"/>
        <v>9328.7984000000033</v>
      </c>
      <c r="X14" s="4">
        <f t="shared" si="6"/>
        <v>0.73777528415045723</v>
      </c>
    </row>
    <row r="15" spans="1:24" x14ac:dyDescent="0.3">
      <c r="A15" t="s">
        <v>89</v>
      </c>
      <c r="B15" s="7">
        <v>45311</v>
      </c>
      <c r="C15" s="2">
        <v>45335</v>
      </c>
      <c r="D15" s="4">
        <f t="shared" si="7"/>
        <v>24</v>
      </c>
      <c r="E15" s="51" t="b">
        <f t="shared" si="2"/>
        <v>0</v>
      </c>
      <c r="F15" s="4" t="str">
        <f>TEXT(Data!B15,"MMM-YYYY")</f>
        <v>Sept-2025</v>
      </c>
      <c r="G15" s="4" t="str">
        <f t="shared" si="3"/>
        <v>Q1-2024</v>
      </c>
      <c r="H15" t="s">
        <v>78</v>
      </c>
      <c r="I15" t="s">
        <v>90</v>
      </c>
      <c r="J15" t="s">
        <v>91</v>
      </c>
      <c r="K15" t="s">
        <v>19</v>
      </c>
      <c r="L15" t="s">
        <v>20</v>
      </c>
      <c r="M15" t="s">
        <v>92</v>
      </c>
      <c r="N15" t="s">
        <v>30</v>
      </c>
      <c r="O15" t="s">
        <v>93</v>
      </c>
      <c r="P15" s="4">
        <v>643.53</v>
      </c>
      <c r="Q15" s="8" t="str">
        <f t="shared" si="4"/>
        <v>High</v>
      </c>
      <c r="R15" s="4">
        <v>1439.01</v>
      </c>
      <c r="S15" s="4">
        <v>0</v>
      </c>
      <c r="T15" s="4">
        <v>15</v>
      </c>
      <c r="U15" s="4">
        <f t="shared" si="0"/>
        <v>6816.3</v>
      </c>
      <c r="V15">
        <f t="shared" si="1"/>
        <v>9652.9499999999989</v>
      </c>
      <c r="W15" s="4">
        <f t="shared" si="5"/>
        <v>-2836.6499999999987</v>
      </c>
      <c r="X15" s="4">
        <f t="shared" si="6"/>
        <v>-0.4161568592931647</v>
      </c>
    </row>
    <row r="16" spans="1:24" x14ac:dyDescent="0.3">
      <c r="A16" t="s">
        <v>94</v>
      </c>
      <c r="B16" s="7">
        <v>45901</v>
      </c>
      <c r="C16" s="2">
        <v>45930</v>
      </c>
      <c r="D16" s="4">
        <f t="shared" si="7"/>
        <v>29</v>
      </c>
      <c r="E16" s="51" t="b">
        <f t="shared" si="2"/>
        <v>0</v>
      </c>
      <c r="F16" s="4" t="str">
        <f>TEXT(Data!B16,"MMM-YYYY")</f>
        <v>Apr-2023</v>
      </c>
      <c r="G16" s="4" t="str">
        <f t="shared" si="3"/>
        <v>Q3-2025</v>
      </c>
      <c r="H16" t="s">
        <v>52</v>
      </c>
      <c r="I16" t="s">
        <v>73</v>
      </c>
      <c r="J16" t="s">
        <v>87</v>
      </c>
      <c r="K16" t="s">
        <v>27</v>
      </c>
      <c r="L16" t="s">
        <v>20</v>
      </c>
      <c r="M16" t="s">
        <v>95</v>
      </c>
      <c r="N16" t="s">
        <v>81</v>
      </c>
      <c r="O16" t="s">
        <v>96</v>
      </c>
      <c r="P16" s="4">
        <v>780.59</v>
      </c>
      <c r="Q16" s="8" t="str">
        <f t="shared" si="4"/>
        <v>High</v>
      </c>
      <c r="R16" s="4">
        <v>631.57000000000005</v>
      </c>
      <c r="S16" s="4">
        <v>0</v>
      </c>
      <c r="T16" s="4">
        <v>12</v>
      </c>
      <c r="U16" s="4">
        <f t="shared" si="0"/>
        <v>18971.64</v>
      </c>
      <c r="V16">
        <f t="shared" si="1"/>
        <v>9367.08</v>
      </c>
      <c r="W16" s="4">
        <f t="shared" si="5"/>
        <v>9604.56</v>
      </c>
      <c r="X16" s="4">
        <f t="shared" si="6"/>
        <v>0.50625881579030596</v>
      </c>
    </row>
    <row r="17" spans="1:24" x14ac:dyDescent="0.3">
      <c r="A17" t="s">
        <v>97</v>
      </c>
      <c r="B17" s="7">
        <v>45039</v>
      </c>
      <c r="C17" s="2">
        <v>45038</v>
      </c>
      <c r="D17" s="4">
        <f>DATEDIF(C17, B17, "MD")</f>
        <v>1</v>
      </c>
      <c r="E17" s="51" t="str">
        <f t="shared" si="2"/>
        <v>Yes</v>
      </c>
      <c r="F17" s="4" t="str">
        <f>TEXT(Data!B17,"MMM-YYYY")</f>
        <v>Dec-2024</v>
      </c>
      <c r="G17" s="4" t="str">
        <f t="shared" si="3"/>
        <v>Q2-2023</v>
      </c>
      <c r="H17" t="s">
        <v>16</v>
      </c>
      <c r="I17" t="s">
        <v>17</v>
      </c>
      <c r="J17" t="s">
        <v>33</v>
      </c>
      <c r="K17" t="s">
        <v>62</v>
      </c>
      <c r="L17" t="s">
        <v>98</v>
      </c>
      <c r="M17" t="s">
        <v>63</v>
      </c>
      <c r="N17" t="s">
        <v>57</v>
      </c>
      <c r="O17" t="s">
        <v>99</v>
      </c>
      <c r="P17" s="4">
        <v>756.51</v>
      </c>
      <c r="Q17" s="8" t="str">
        <f t="shared" si="4"/>
        <v>High</v>
      </c>
      <c r="R17" s="4">
        <v>850.8</v>
      </c>
      <c r="S17" s="4">
        <v>7.3999999999999996E-2</v>
      </c>
      <c r="T17" s="4">
        <v>9</v>
      </c>
      <c r="U17" s="4">
        <f t="shared" si="0"/>
        <v>14666.089860000002</v>
      </c>
      <c r="V17">
        <f t="shared" si="1"/>
        <v>6808.59</v>
      </c>
      <c r="W17" s="4">
        <f t="shared" si="5"/>
        <v>7857.4998600000017</v>
      </c>
      <c r="X17" s="4">
        <f t="shared" si="6"/>
        <v>0.53575969702943038</v>
      </c>
    </row>
    <row r="18" spans="1:24" x14ac:dyDescent="0.3">
      <c r="A18" t="s">
        <v>100</v>
      </c>
      <c r="B18" s="7">
        <v>45636</v>
      </c>
      <c r="C18" s="2">
        <v>45665</v>
      </c>
      <c r="D18" s="4">
        <f t="shared" si="7"/>
        <v>29</v>
      </c>
      <c r="E18" s="51" t="b">
        <f t="shared" si="2"/>
        <v>0</v>
      </c>
      <c r="F18" s="4" t="str">
        <f>TEXT(Data!B18,"MMM-YYYY")</f>
        <v>Sept-2025</v>
      </c>
      <c r="G18" s="4" t="str">
        <f t="shared" si="3"/>
        <v>Q4-2024</v>
      </c>
      <c r="H18" t="s">
        <v>78</v>
      </c>
      <c r="I18" t="s">
        <v>90</v>
      </c>
      <c r="J18" t="s">
        <v>91</v>
      </c>
      <c r="K18" t="s">
        <v>62</v>
      </c>
      <c r="L18" t="s">
        <v>20</v>
      </c>
      <c r="M18" t="s">
        <v>95</v>
      </c>
      <c r="N18" t="s">
        <v>30</v>
      </c>
      <c r="O18" t="s">
        <v>101</v>
      </c>
      <c r="P18" s="4">
        <v>891.08</v>
      </c>
      <c r="Q18" s="8" t="str">
        <f t="shared" si="4"/>
        <v>High</v>
      </c>
      <c r="R18" s="4">
        <v>1040.0999999999999</v>
      </c>
      <c r="S18" s="4">
        <v>0.109</v>
      </c>
      <c r="T18" s="4">
        <v>28</v>
      </c>
      <c r="U18" s="4">
        <f t="shared" si="0"/>
        <v>79945.865999999995</v>
      </c>
      <c r="V18">
        <f t="shared" si="1"/>
        <v>24950.240000000002</v>
      </c>
      <c r="W18" s="4">
        <f t="shared" si="5"/>
        <v>54995.625999999989</v>
      </c>
      <c r="X18" s="4">
        <f t="shared" si="6"/>
        <v>0.68791081705212864</v>
      </c>
    </row>
    <row r="19" spans="1:24" x14ac:dyDescent="0.3">
      <c r="A19" t="s">
        <v>102</v>
      </c>
      <c r="B19" s="7">
        <v>45908</v>
      </c>
      <c r="C19" s="2">
        <v>45916</v>
      </c>
      <c r="D19" s="4">
        <f t="shared" si="7"/>
        <v>8</v>
      </c>
      <c r="E19" s="51" t="b">
        <f t="shared" si="2"/>
        <v>0</v>
      </c>
      <c r="F19" s="4" t="str">
        <f>TEXT(Data!B19,"MMM-YYYY")</f>
        <v>Jul-2025</v>
      </c>
      <c r="G19" s="4" t="str">
        <f t="shared" si="3"/>
        <v>Q3-2025</v>
      </c>
      <c r="H19" t="s">
        <v>45</v>
      </c>
      <c r="I19" t="s">
        <v>46</v>
      </c>
      <c r="J19" t="s">
        <v>47</v>
      </c>
      <c r="K19" t="s">
        <v>19</v>
      </c>
      <c r="L19" t="s">
        <v>55</v>
      </c>
      <c r="M19" t="s">
        <v>21</v>
      </c>
      <c r="N19" t="s">
        <v>42</v>
      </c>
      <c r="O19" t="s">
        <v>103</v>
      </c>
      <c r="P19" s="4">
        <v>1225.57</v>
      </c>
      <c r="Q19" s="8" t="str">
        <f t="shared" si="4"/>
        <v>High</v>
      </c>
      <c r="R19" s="4">
        <v>2705.57</v>
      </c>
      <c r="S19" s="4">
        <v>0.183</v>
      </c>
      <c r="T19" s="4">
        <v>16</v>
      </c>
      <c r="U19" s="4">
        <f t="shared" si="0"/>
        <v>14842.34096</v>
      </c>
      <c r="V19">
        <f t="shared" si="1"/>
        <v>19609.12</v>
      </c>
      <c r="W19" s="4">
        <f t="shared" si="5"/>
        <v>-4766.7790399999994</v>
      </c>
      <c r="X19" s="4">
        <f t="shared" si="6"/>
        <v>-0.32116086356232038</v>
      </c>
    </row>
    <row r="20" spans="1:24" x14ac:dyDescent="0.3">
      <c r="A20" t="s">
        <v>104</v>
      </c>
      <c r="B20" s="7">
        <v>45858</v>
      </c>
      <c r="C20" s="2">
        <v>45874</v>
      </c>
      <c r="D20" s="4">
        <f t="shared" si="7"/>
        <v>16</v>
      </c>
      <c r="E20" s="51" t="b">
        <f t="shared" si="2"/>
        <v>0</v>
      </c>
      <c r="F20" s="4" t="str">
        <f>TEXT(Data!B20,"MMM-YYYY")</f>
        <v>May-2025</v>
      </c>
      <c r="G20" s="4" t="str">
        <f t="shared" si="3"/>
        <v>Q3-2025</v>
      </c>
      <c r="H20" t="s">
        <v>52</v>
      </c>
      <c r="I20" t="s">
        <v>73</v>
      </c>
      <c r="J20" t="s">
        <v>87</v>
      </c>
      <c r="K20" t="s">
        <v>105</v>
      </c>
      <c r="L20" t="s">
        <v>40</v>
      </c>
      <c r="M20" t="s">
        <v>41</v>
      </c>
      <c r="N20" t="s">
        <v>81</v>
      </c>
      <c r="O20" t="s">
        <v>106</v>
      </c>
      <c r="P20" s="4">
        <v>1068.17</v>
      </c>
      <c r="Q20" s="8" t="str">
        <f t="shared" si="4"/>
        <v>High</v>
      </c>
      <c r="R20" s="4">
        <v>2375.37</v>
      </c>
      <c r="S20" s="4">
        <v>0.109</v>
      </c>
      <c r="T20" s="4">
        <v>18</v>
      </c>
      <c r="U20" s="4">
        <f t="shared" si="0"/>
        <v>15979.62168</v>
      </c>
      <c r="V20">
        <f t="shared" si="1"/>
        <v>19227.060000000001</v>
      </c>
      <c r="W20" s="4">
        <f t="shared" si="5"/>
        <v>-3247.4383200000011</v>
      </c>
      <c r="X20" s="4">
        <f t="shared" si="6"/>
        <v>-0.20322372988745258</v>
      </c>
    </row>
    <row r="21" spans="1:24" x14ac:dyDescent="0.3">
      <c r="A21" t="s">
        <v>107</v>
      </c>
      <c r="B21" s="7">
        <v>45798</v>
      </c>
      <c r="C21" s="2">
        <v>45796</v>
      </c>
      <c r="D21" s="4">
        <f>DATEDIF(C21,B21, "MD")</f>
        <v>2</v>
      </c>
      <c r="E21" s="51" t="str">
        <f t="shared" si="2"/>
        <v>Yes</v>
      </c>
      <c r="F21" s="4" t="str">
        <f>TEXT(Data!B21,"MMM-YYYY")</f>
        <v>Jul-2024</v>
      </c>
      <c r="G21" s="4" t="str">
        <f t="shared" si="3"/>
        <v>Q2-2025</v>
      </c>
      <c r="H21" t="s">
        <v>78</v>
      </c>
      <c r="I21" t="s">
        <v>108</v>
      </c>
      <c r="J21" t="s">
        <v>109</v>
      </c>
      <c r="K21" t="s">
        <v>105</v>
      </c>
      <c r="L21" t="s">
        <v>28</v>
      </c>
      <c r="M21" t="s">
        <v>110</v>
      </c>
      <c r="N21" t="s">
        <v>57</v>
      </c>
      <c r="O21" t="s">
        <v>111</v>
      </c>
      <c r="P21" s="4">
        <v>1015.16</v>
      </c>
      <c r="Q21" s="8" t="str">
        <f t="shared" si="4"/>
        <v>High</v>
      </c>
      <c r="R21" s="4">
        <v>2148.14</v>
      </c>
      <c r="S21" s="4">
        <v>3.7999999999999999E-2</v>
      </c>
      <c r="T21" s="4">
        <v>19</v>
      </c>
      <c r="U21" s="4">
        <f t="shared" si="0"/>
        <v>25535.279900000001</v>
      </c>
      <c r="V21">
        <f t="shared" si="1"/>
        <v>19288.04</v>
      </c>
      <c r="W21" s="4">
        <f t="shared" si="5"/>
        <v>6247.2399000000005</v>
      </c>
      <c r="X21" s="4">
        <f t="shared" si="6"/>
        <v>0.24465131866441769</v>
      </c>
    </row>
    <row r="22" spans="1:24" x14ac:dyDescent="0.3">
      <c r="A22" t="s">
        <v>112</v>
      </c>
      <c r="B22" s="7">
        <v>45498</v>
      </c>
      <c r="C22" s="2">
        <v>45497</v>
      </c>
      <c r="D22" s="4">
        <f>DATEDIF(C22,B22, "MD")</f>
        <v>1</v>
      </c>
      <c r="E22" s="51" t="str">
        <f t="shared" si="2"/>
        <v>Yes</v>
      </c>
      <c r="F22" s="4" t="str">
        <f>TEXT(Data!B22,"MMM-YYYY")</f>
        <v>May-2023</v>
      </c>
      <c r="G22" s="4" t="str">
        <f t="shared" si="3"/>
        <v>Q3-2024</v>
      </c>
      <c r="H22" t="s">
        <v>16</v>
      </c>
      <c r="I22" t="s">
        <v>17</v>
      </c>
      <c r="J22" t="s">
        <v>113</v>
      </c>
      <c r="K22" t="s">
        <v>39</v>
      </c>
      <c r="L22" t="s">
        <v>98</v>
      </c>
      <c r="M22" t="s">
        <v>29</v>
      </c>
      <c r="N22" t="s">
        <v>57</v>
      </c>
      <c r="O22" t="s">
        <v>114</v>
      </c>
      <c r="P22" s="4">
        <v>1494.4</v>
      </c>
      <c r="Q22" s="8" t="str">
        <f t="shared" si="4"/>
        <v>High</v>
      </c>
      <c r="R22" s="4">
        <v>3661.07</v>
      </c>
      <c r="S22" s="4">
        <v>7.1999999999999995E-2</v>
      </c>
      <c r="T22" s="4">
        <v>7</v>
      </c>
      <c r="U22" s="4">
        <f t="shared" si="0"/>
        <v>3565.5894400000002</v>
      </c>
      <c r="V22">
        <f t="shared" si="1"/>
        <v>10460.800000000001</v>
      </c>
      <c r="W22" s="4">
        <f t="shared" si="5"/>
        <v>-6895.2105600000014</v>
      </c>
      <c r="X22" s="4">
        <f t="shared" si="6"/>
        <v>-1.9338206700544864</v>
      </c>
    </row>
    <row r="23" spans="1:24" x14ac:dyDescent="0.3">
      <c r="A23" t="s">
        <v>115</v>
      </c>
      <c r="B23" s="7">
        <v>45057</v>
      </c>
      <c r="C23" s="2">
        <v>45074</v>
      </c>
      <c r="D23" s="4">
        <f t="shared" si="7"/>
        <v>17</v>
      </c>
      <c r="E23" s="51" t="b">
        <f t="shared" si="2"/>
        <v>0</v>
      </c>
      <c r="F23" s="4" t="str">
        <f>TEXT(Data!B23,"MMM-YYYY")</f>
        <v>Jun-2025</v>
      </c>
      <c r="G23" s="4" t="str">
        <f t="shared" si="3"/>
        <v>Q2-2023</v>
      </c>
      <c r="H23" t="s">
        <v>45</v>
      </c>
      <c r="I23" t="s">
        <v>116</v>
      </c>
      <c r="J23" t="s">
        <v>117</v>
      </c>
      <c r="K23" t="s">
        <v>105</v>
      </c>
      <c r="L23" t="s">
        <v>40</v>
      </c>
      <c r="M23" t="s">
        <v>63</v>
      </c>
      <c r="N23" t="s">
        <v>35</v>
      </c>
      <c r="O23" t="s">
        <v>118</v>
      </c>
      <c r="P23" s="4">
        <v>1331.19</v>
      </c>
      <c r="Q23" s="8" t="str">
        <f t="shared" si="4"/>
        <v>High</v>
      </c>
      <c r="R23" s="4">
        <v>2903.09</v>
      </c>
      <c r="S23" s="4">
        <v>0.14299999999999999</v>
      </c>
      <c r="T23" s="4">
        <v>8</v>
      </c>
      <c r="U23" s="4">
        <f t="shared" si="0"/>
        <v>24160.543999999998</v>
      </c>
      <c r="V23">
        <f t="shared" si="1"/>
        <v>10649.52</v>
      </c>
      <c r="W23" s="4">
        <f t="shared" si="5"/>
        <v>13511.023999999998</v>
      </c>
      <c r="X23" s="4">
        <f t="shared" si="6"/>
        <v>0.55921853415221112</v>
      </c>
    </row>
    <row r="24" spans="1:24" x14ac:dyDescent="0.3">
      <c r="A24" t="s">
        <v>119</v>
      </c>
      <c r="B24" s="7">
        <v>45822</v>
      </c>
      <c r="C24" s="2">
        <v>45837</v>
      </c>
      <c r="D24" s="4">
        <f t="shared" si="7"/>
        <v>15</v>
      </c>
      <c r="E24" s="51" t="b">
        <f t="shared" si="2"/>
        <v>0</v>
      </c>
      <c r="F24" s="4" t="str">
        <f>TEXT(Data!B24,"MMM-YYYY")</f>
        <v>May-2024</v>
      </c>
      <c r="G24" s="4" t="str">
        <f t="shared" si="3"/>
        <v>Q2-2025</v>
      </c>
      <c r="H24" t="s">
        <v>16</v>
      </c>
      <c r="I24" t="s">
        <v>25</v>
      </c>
      <c r="J24" t="s">
        <v>26</v>
      </c>
      <c r="K24" t="s">
        <v>48</v>
      </c>
      <c r="L24" t="s">
        <v>40</v>
      </c>
      <c r="M24" t="s">
        <v>110</v>
      </c>
      <c r="N24" t="s">
        <v>81</v>
      </c>
      <c r="O24" t="s">
        <v>120</v>
      </c>
      <c r="P24" s="4">
        <v>730.99</v>
      </c>
      <c r="Q24" s="8" t="str">
        <f t="shared" si="4"/>
        <v>High</v>
      </c>
      <c r="R24" s="4">
        <v>1242.8399999999999</v>
      </c>
      <c r="S24" s="4">
        <v>0.12</v>
      </c>
      <c r="T24" s="4">
        <v>10</v>
      </c>
      <c r="U24" s="4">
        <f t="shared" si="0"/>
        <v>16065.367999999999</v>
      </c>
      <c r="V24">
        <f t="shared" si="1"/>
        <v>7309.9</v>
      </c>
      <c r="W24" s="4">
        <f t="shared" si="5"/>
        <v>8755.4679999999989</v>
      </c>
      <c r="X24" s="4">
        <f t="shared" si="6"/>
        <v>0.54499019256826231</v>
      </c>
    </row>
    <row r="25" spans="1:24" x14ac:dyDescent="0.3">
      <c r="A25" t="s">
        <v>121</v>
      </c>
      <c r="B25" s="7">
        <v>45430</v>
      </c>
      <c r="C25" s="2">
        <v>45435</v>
      </c>
      <c r="D25" s="4">
        <f t="shared" si="7"/>
        <v>5</v>
      </c>
      <c r="E25" s="51" t="str">
        <f t="shared" si="2"/>
        <v>Yes</v>
      </c>
      <c r="F25" s="4" t="str">
        <f>TEXT(Data!B25,"MMM-YYYY")</f>
        <v>Feb-2023</v>
      </c>
      <c r="G25" s="4" t="str">
        <f t="shared" si="3"/>
        <v>Q2-2024</v>
      </c>
      <c r="H25" t="s">
        <v>52</v>
      </c>
      <c r="I25" t="s">
        <v>122</v>
      </c>
      <c r="J25" t="s">
        <v>123</v>
      </c>
      <c r="K25" t="s">
        <v>105</v>
      </c>
      <c r="L25" t="s">
        <v>20</v>
      </c>
      <c r="M25" t="s">
        <v>92</v>
      </c>
      <c r="N25" t="s">
        <v>57</v>
      </c>
      <c r="O25" t="s">
        <v>124</v>
      </c>
      <c r="P25" s="4">
        <v>1274.5899999999999</v>
      </c>
      <c r="Q25" s="8" t="str">
        <f t="shared" si="4"/>
        <v>High</v>
      </c>
      <c r="R25" s="4">
        <v>2553.69</v>
      </c>
      <c r="S25" s="4">
        <v>0.01</v>
      </c>
      <c r="T25" s="4">
        <v>8</v>
      </c>
      <c r="U25" s="4">
        <f t="shared" si="0"/>
        <v>14187.650399999999</v>
      </c>
      <c r="V25">
        <f t="shared" si="1"/>
        <v>10196.719999999999</v>
      </c>
      <c r="W25" s="4">
        <f t="shared" si="5"/>
        <v>3990.9303999999993</v>
      </c>
      <c r="X25" s="4">
        <f t="shared" si="6"/>
        <v>0.28129607704458237</v>
      </c>
    </row>
    <row r="26" spans="1:24" x14ac:dyDescent="0.3">
      <c r="A26" t="s">
        <v>125</v>
      </c>
      <c r="B26" s="7">
        <v>44964</v>
      </c>
      <c r="C26" s="2">
        <v>44969</v>
      </c>
      <c r="D26" s="4">
        <f t="shared" si="7"/>
        <v>5</v>
      </c>
      <c r="E26" s="51" t="str">
        <f t="shared" si="2"/>
        <v>Yes</v>
      </c>
      <c r="F26" s="4" t="str">
        <f>TEXT(Data!B26,"MMM-YYYY")</f>
        <v>Jun-2024</v>
      </c>
      <c r="G26" s="4" t="str">
        <f t="shared" si="3"/>
        <v>Q1-2023</v>
      </c>
      <c r="H26" t="s">
        <v>52</v>
      </c>
      <c r="I26" t="s">
        <v>73</v>
      </c>
      <c r="J26" t="s">
        <v>74</v>
      </c>
      <c r="K26" t="s">
        <v>27</v>
      </c>
      <c r="L26" t="s">
        <v>28</v>
      </c>
      <c r="M26" t="s">
        <v>126</v>
      </c>
      <c r="N26" t="s">
        <v>22</v>
      </c>
      <c r="O26" t="s">
        <v>127</v>
      </c>
      <c r="P26" s="4">
        <v>948.55</v>
      </c>
      <c r="Q26" s="8" t="str">
        <f t="shared" si="4"/>
        <v>High</v>
      </c>
      <c r="R26" s="4">
        <v>2089.16</v>
      </c>
      <c r="S26" s="4">
        <v>7.0000000000000001E-3</v>
      </c>
      <c r="T26" s="4">
        <v>12</v>
      </c>
      <c r="U26" s="4">
        <f t="shared" si="0"/>
        <v>31336.100999999999</v>
      </c>
      <c r="V26">
        <f t="shared" si="1"/>
        <v>11382.599999999999</v>
      </c>
      <c r="W26" s="4">
        <f t="shared" si="5"/>
        <v>19953.501</v>
      </c>
      <c r="X26" s="4">
        <f t="shared" si="6"/>
        <v>0.63675761703729516</v>
      </c>
    </row>
    <row r="27" spans="1:24" x14ac:dyDescent="0.3">
      <c r="A27" t="s">
        <v>128</v>
      </c>
      <c r="B27" s="7">
        <v>45473</v>
      </c>
      <c r="C27" s="2">
        <v>45487</v>
      </c>
      <c r="D27" s="4">
        <f t="shared" si="7"/>
        <v>14</v>
      </c>
      <c r="E27" s="51" t="b">
        <f t="shared" si="2"/>
        <v>0</v>
      </c>
      <c r="F27" s="4" t="str">
        <f>TEXT(Data!B27,"MMM-YYYY")</f>
        <v>Nov-2024</v>
      </c>
      <c r="G27" s="4" t="str">
        <f t="shared" si="3"/>
        <v>Q2-2024</v>
      </c>
      <c r="H27" t="s">
        <v>52</v>
      </c>
      <c r="I27" t="s">
        <v>73</v>
      </c>
      <c r="J27" t="s">
        <v>87</v>
      </c>
      <c r="K27" t="s">
        <v>27</v>
      </c>
      <c r="L27" t="s">
        <v>20</v>
      </c>
      <c r="M27" t="s">
        <v>21</v>
      </c>
      <c r="N27" t="s">
        <v>81</v>
      </c>
      <c r="O27" t="s">
        <v>129</v>
      </c>
      <c r="P27" s="4">
        <v>1491.85</v>
      </c>
      <c r="Q27" s="8" t="str">
        <f t="shared" si="4"/>
        <v>High</v>
      </c>
      <c r="R27" s="4">
        <v>2583.02</v>
      </c>
      <c r="S27" s="4">
        <v>0.16800000000000001</v>
      </c>
      <c r="T27" s="4">
        <v>4</v>
      </c>
      <c r="U27" s="4">
        <f t="shared" si="0"/>
        <v>353.76639999999998</v>
      </c>
      <c r="V27">
        <f t="shared" si="1"/>
        <v>5967.4</v>
      </c>
      <c r="W27" s="4">
        <f t="shared" si="5"/>
        <v>-5613.6335999999992</v>
      </c>
      <c r="X27" s="4">
        <f t="shared" si="6"/>
        <v>-15.868193248426079</v>
      </c>
    </row>
    <row r="28" spans="1:24" x14ac:dyDescent="0.3">
      <c r="A28" t="s">
        <v>130</v>
      </c>
      <c r="B28" s="7">
        <v>45626</v>
      </c>
      <c r="C28" s="2">
        <v>45656</v>
      </c>
      <c r="D28" s="4">
        <f t="shared" si="7"/>
        <v>0</v>
      </c>
      <c r="E28" s="51" t="str">
        <f t="shared" si="2"/>
        <v>Yes</v>
      </c>
      <c r="F28" s="4" t="str">
        <f>TEXT(Data!B28,"MMM-YYYY")</f>
        <v>Jul-2024</v>
      </c>
      <c r="G28" s="4" t="str">
        <f t="shared" si="3"/>
        <v>Q4-2024</v>
      </c>
      <c r="H28" t="s">
        <v>78</v>
      </c>
      <c r="I28" t="s">
        <v>90</v>
      </c>
      <c r="J28" t="s">
        <v>91</v>
      </c>
      <c r="K28" t="s">
        <v>48</v>
      </c>
      <c r="L28" t="s">
        <v>40</v>
      </c>
      <c r="M28" t="s">
        <v>84</v>
      </c>
      <c r="N28" t="s">
        <v>30</v>
      </c>
      <c r="O28" t="s">
        <v>131</v>
      </c>
      <c r="P28" s="4">
        <v>117.64</v>
      </c>
      <c r="Q28" s="8" t="str">
        <f t="shared" si="4"/>
        <v>Medium</v>
      </c>
      <c r="R28" s="4">
        <v>175.67</v>
      </c>
      <c r="S28" s="4">
        <v>0</v>
      </c>
      <c r="T28" s="4">
        <v>10</v>
      </c>
      <c r="U28" s="4">
        <f t="shared" si="0"/>
        <v>3857.2000000000003</v>
      </c>
      <c r="V28">
        <f t="shared" si="1"/>
        <v>1176.4000000000001</v>
      </c>
      <c r="W28" s="4">
        <f t="shared" si="5"/>
        <v>2680.8</v>
      </c>
      <c r="X28" s="4">
        <f t="shared" si="6"/>
        <v>0.69501192574924819</v>
      </c>
    </row>
    <row r="29" spans="1:24" x14ac:dyDescent="0.3">
      <c r="A29" t="s">
        <v>132</v>
      </c>
      <c r="B29" s="7">
        <v>45492</v>
      </c>
      <c r="C29" s="2">
        <v>45492</v>
      </c>
      <c r="D29" s="4">
        <f t="shared" si="7"/>
        <v>0</v>
      </c>
      <c r="E29" s="51" t="str">
        <f t="shared" si="2"/>
        <v>Yes</v>
      </c>
      <c r="F29" s="4" t="str">
        <f>TEXT(Data!B29,"MMM-YYYY")</f>
        <v>Apr-2023</v>
      </c>
      <c r="G29" s="4" t="str">
        <f t="shared" si="3"/>
        <v>Q3-2024</v>
      </c>
      <c r="H29" t="s">
        <v>16</v>
      </c>
      <c r="I29" t="s">
        <v>17</v>
      </c>
      <c r="J29" t="s">
        <v>18</v>
      </c>
      <c r="K29" t="s">
        <v>62</v>
      </c>
      <c r="L29" t="s">
        <v>20</v>
      </c>
      <c r="M29" t="s">
        <v>75</v>
      </c>
      <c r="N29" t="s">
        <v>42</v>
      </c>
      <c r="O29" t="s">
        <v>133</v>
      </c>
      <c r="P29" s="4">
        <v>857.24</v>
      </c>
      <c r="Q29" s="8" t="str">
        <f t="shared" si="4"/>
        <v>High</v>
      </c>
      <c r="R29" s="4">
        <v>758.23</v>
      </c>
      <c r="S29" s="4">
        <v>0.125</v>
      </c>
      <c r="T29" s="4">
        <v>6</v>
      </c>
      <c r="U29" s="4">
        <f t="shared" si="0"/>
        <v>1243.5675000000001</v>
      </c>
      <c r="V29">
        <f t="shared" si="1"/>
        <v>5143.4400000000005</v>
      </c>
      <c r="W29" s="4">
        <f t="shared" si="5"/>
        <v>-3899.8725000000004</v>
      </c>
      <c r="X29" s="4">
        <f t="shared" si="6"/>
        <v>-3.1360360414694015</v>
      </c>
    </row>
    <row r="30" spans="1:24" x14ac:dyDescent="0.3">
      <c r="A30" t="s">
        <v>134</v>
      </c>
      <c r="B30" s="7">
        <v>45030</v>
      </c>
      <c r="C30" s="2">
        <v>45060</v>
      </c>
      <c r="D30" s="4">
        <f t="shared" si="7"/>
        <v>0</v>
      </c>
      <c r="E30" s="51" t="str">
        <f t="shared" si="2"/>
        <v>Yes</v>
      </c>
      <c r="F30" s="4" t="str">
        <f>TEXT(Data!B30,"MMM-YYYY")</f>
        <v>Apr-2025</v>
      </c>
      <c r="G30" s="4" t="str">
        <f t="shared" si="3"/>
        <v>Q2-2023</v>
      </c>
      <c r="H30" t="s">
        <v>16</v>
      </c>
      <c r="I30" t="s">
        <v>17</v>
      </c>
      <c r="J30" t="s">
        <v>135</v>
      </c>
      <c r="K30" t="s">
        <v>48</v>
      </c>
      <c r="L30" t="s">
        <v>40</v>
      </c>
      <c r="M30" t="s">
        <v>110</v>
      </c>
      <c r="N30" t="s">
        <v>42</v>
      </c>
      <c r="O30" t="s">
        <v>136</v>
      </c>
      <c r="P30" s="4">
        <v>209.25</v>
      </c>
      <c r="Q30" s="8" t="str">
        <f t="shared" si="4"/>
        <v>High</v>
      </c>
      <c r="R30" s="4">
        <v>434.8</v>
      </c>
      <c r="S30" s="4">
        <v>0</v>
      </c>
      <c r="T30" s="4">
        <v>9</v>
      </c>
      <c r="U30" s="4">
        <f t="shared" si="0"/>
        <v>377.09999999999997</v>
      </c>
      <c r="V30">
        <f t="shared" si="1"/>
        <v>1883.25</v>
      </c>
      <c r="W30" s="4">
        <f t="shared" si="5"/>
        <v>-1506.15</v>
      </c>
      <c r="X30" s="4">
        <f t="shared" si="6"/>
        <v>-3.9940334128878288</v>
      </c>
    </row>
    <row r="31" spans="1:24" x14ac:dyDescent="0.3">
      <c r="A31" t="s">
        <v>137</v>
      </c>
      <c r="B31" s="7">
        <v>45754</v>
      </c>
      <c r="C31" s="2">
        <v>45758</v>
      </c>
      <c r="D31" s="4">
        <f t="shared" si="7"/>
        <v>4</v>
      </c>
      <c r="E31" s="51" t="str">
        <f t="shared" si="2"/>
        <v>Yes</v>
      </c>
      <c r="F31" s="4" t="str">
        <f>TEXT(Data!B31,"MMM-YYYY")</f>
        <v>Dec-2024</v>
      </c>
      <c r="G31" s="4" t="str">
        <f t="shared" si="3"/>
        <v>Q2-2025</v>
      </c>
      <c r="H31" t="s">
        <v>78</v>
      </c>
      <c r="I31" t="s">
        <v>90</v>
      </c>
      <c r="J31" t="s">
        <v>138</v>
      </c>
      <c r="K31" t="s">
        <v>27</v>
      </c>
      <c r="L31" t="s">
        <v>20</v>
      </c>
      <c r="M31" t="s">
        <v>63</v>
      </c>
      <c r="N31" t="s">
        <v>35</v>
      </c>
      <c r="O31" t="s">
        <v>139</v>
      </c>
      <c r="P31" s="4">
        <v>754.77</v>
      </c>
      <c r="Q31" s="8" t="str">
        <f t="shared" si="4"/>
        <v>High</v>
      </c>
      <c r="R31" s="4">
        <v>1666.18</v>
      </c>
      <c r="S31" s="4">
        <v>0.13900000000000001</v>
      </c>
      <c r="T31" s="4">
        <v>14</v>
      </c>
      <c r="U31" s="4">
        <f t="shared" si="0"/>
        <v>11781.338519999999</v>
      </c>
      <c r="V31">
        <f t="shared" si="1"/>
        <v>10566.779999999999</v>
      </c>
      <c r="W31" s="4">
        <f t="shared" si="5"/>
        <v>1214.5585200000005</v>
      </c>
      <c r="X31" s="4">
        <f t="shared" si="6"/>
        <v>0.10309172577786183</v>
      </c>
    </row>
    <row r="32" spans="1:24" x14ac:dyDescent="0.3">
      <c r="A32" t="s">
        <v>140</v>
      </c>
      <c r="B32" s="7">
        <v>45653</v>
      </c>
      <c r="C32" s="2">
        <v>45672</v>
      </c>
      <c r="D32" s="4">
        <f t="shared" si="7"/>
        <v>19</v>
      </c>
      <c r="E32" s="51" t="b">
        <f t="shared" si="2"/>
        <v>0</v>
      </c>
      <c r="F32" s="4" t="str">
        <f>TEXT(Data!B32,"MMM-YYYY")</f>
        <v>Feb-2023</v>
      </c>
      <c r="G32" s="4" t="str">
        <f t="shared" si="3"/>
        <v>Q4-2024</v>
      </c>
      <c r="H32" t="s">
        <v>45</v>
      </c>
      <c r="I32" t="s">
        <v>60</v>
      </c>
      <c r="J32" t="s">
        <v>141</v>
      </c>
      <c r="K32" t="s">
        <v>39</v>
      </c>
      <c r="L32" t="s">
        <v>55</v>
      </c>
      <c r="M32" t="s">
        <v>41</v>
      </c>
      <c r="N32" t="s">
        <v>22</v>
      </c>
      <c r="O32" t="s">
        <v>142</v>
      </c>
      <c r="P32" s="4">
        <v>495.59</v>
      </c>
      <c r="Q32" s="8" t="str">
        <f t="shared" si="4"/>
        <v>High</v>
      </c>
      <c r="R32" s="4">
        <v>631.78</v>
      </c>
      <c r="S32" s="4">
        <v>8.6999999999999994E-2</v>
      </c>
      <c r="T32" s="4">
        <v>17</v>
      </c>
      <c r="U32" s="4">
        <f t="shared" si="0"/>
        <v>43367.691729999999</v>
      </c>
      <c r="V32">
        <f t="shared" si="1"/>
        <v>8425.0299999999988</v>
      </c>
      <c r="W32" s="4">
        <f t="shared" si="5"/>
        <v>34942.66173</v>
      </c>
      <c r="X32" s="4">
        <f t="shared" si="6"/>
        <v>0.8057302645376464</v>
      </c>
    </row>
    <row r="33" spans="1:24" x14ac:dyDescent="0.3">
      <c r="A33" t="s">
        <v>143</v>
      </c>
      <c r="B33" s="7">
        <v>44980</v>
      </c>
      <c r="C33" s="2">
        <v>45010</v>
      </c>
      <c r="D33" s="4">
        <f t="shared" si="7"/>
        <v>2</v>
      </c>
      <c r="E33" s="51" t="str">
        <f t="shared" si="2"/>
        <v>Yes</v>
      </c>
      <c r="F33" s="4" t="str">
        <f>TEXT(Data!B33,"MMM-YYYY")</f>
        <v>Jul-2025</v>
      </c>
      <c r="G33" s="4" t="str">
        <f t="shared" si="3"/>
        <v>Q1-2023</v>
      </c>
      <c r="H33" t="s">
        <v>52</v>
      </c>
      <c r="I33" t="s">
        <v>53</v>
      </c>
      <c r="J33" t="s">
        <v>144</v>
      </c>
      <c r="K33" t="s">
        <v>105</v>
      </c>
      <c r="L33" t="s">
        <v>28</v>
      </c>
      <c r="M33" t="s">
        <v>145</v>
      </c>
      <c r="N33" t="s">
        <v>42</v>
      </c>
      <c r="O33" t="s">
        <v>146</v>
      </c>
      <c r="P33" s="4">
        <v>1242.6600000000001</v>
      </c>
      <c r="Q33" s="8" t="str">
        <f t="shared" si="4"/>
        <v>High</v>
      </c>
      <c r="R33" s="4">
        <v>1794.07</v>
      </c>
      <c r="S33" s="4">
        <v>8.8999999999999996E-2</v>
      </c>
      <c r="T33" s="4">
        <v>16</v>
      </c>
      <c r="U33" s="4">
        <f t="shared" si="0"/>
        <v>10231.623200000002</v>
      </c>
      <c r="V33">
        <f t="shared" si="1"/>
        <v>19882.560000000001</v>
      </c>
      <c r="W33" s="4">
        <f t="shared" si="5"/>
        <v>-9650.9367999999995</v>
      </c>
      <c r="X33" s="4">
        <f t="shared" si="6"/>
        <v>-0.94324591624914389</v>
      </c>
    </row>
    <row r="34" spans="1:24" x14ac:dyDescent="0.3">
      <c r="A34" t="s">
        <v>147</v>
      </c>
      <c r="B34" s="7">
        <v>45862</v>
      </c>
      <c r="C34" s="2">
        <v>45875</v>
      </c>
      <c r="D34" s="4">
        <f t="shared" si="7"/>
        <v>13</v>
      </c>
      <c r="E34" s="51" t="b">
        <f t="shared" si="2"/>
        <v>0</v>
      </c>
      <c r="F34" s="4" t="str">
        <f>TEXT(Data!B34,"MMM-YYYY")</f>
        <v>Apr-2024</v>
      </c>
      <c r="G34" s="4" t="str">
        <f t="shared" si="3"/>
        <v>Q3-2025</v>
      </c>
      <c r="H34" t="s">
        <v>16</v>
      </c>
      <c r="I34" t="s">
        <v>148</v>
      </c>
      <c r="J34" t="s">
        <v>149</v>
      </c>
      <c r="K34" t="s">
        <v>27</v>
      </c>
      <c r="L34" t="s">
        <v>40</v>
      </c>
      <c r="M34" t="s">
        <v>145</v>
      </c>
      <c r="N34" t="s">
        <v>35</v>
      </c>
      <c r="O34" t="s">
        <v>150</v>
      </c>
      <c r="P34" s="4">
        <v>1463.9</v>
      </c>
      <c r="Q34" s="8" t="str">
        <f t="shared" si="4"/>
        <v>High</v>
      </c>
      <c r="R34" s="4">
        <v>2633.02</v>
      </c>
      <c r="S34" s="4">
        <v>8.4000000000000005E-2</v>
      </c>
      <c r="T34" s="4">
        <v>4</v>
      </c>
      <c r="U34" s="4">
        <f t="shared" si="0"/>
        <v>-19.309279999999998</v>
      </c>
      <c r="V34">
        <f t="shared" si="1"/>
        <v>5855.6</v>
      </c>
      <c r="W34" s="4">
        <f t="shared" si="5"/>
        <v>-5874.9092800000008</v>
      </c>
      <c r="X34" s="4">
        <f t="shared" si="6"/>
        <v>304.25315081660227</v>
      </c>
    </row>
    <row r="35" spans="1:24" x14ac:dyDescent="0.3">
      <c r="A35" t="s">
        <v>151</v>
      </c>
      <c r="B35" s="7">
        <v>45400</v>
      </c>
      <c r="C35" s="2">
        <v>45420</v>
      </c>
      <c r="D35" s="4">
        <f t="shared" si="7"/>
        <v>20</v>
      </c>
      <c r="E35" s="51" t="b">
        <f t="shared" si="2"/>
        <v>0</v>
      </c>
      <c r="F35" s="4" t="str">
        <f>TEXT(Data!B35,"MMM-YYYY")</f>
        <v>Aug-2024</v>
      </c>
      <c r="G35" s="4" t="str">
        <f t="shared" si="3"/>
        <v>Q2-2024</v>
      </c>
      <c r="H35" t="s">
        <v>78</v>
      </c>
      <c r="I35" t="s">
        <v>108</v>
      </c>
      <c r="J35" t="s">
        <v>152</v>
      </c>
      <c r="K35" t="s">
        <v>39</v>
      </c>
      <c r="L35" t="s">
        <v>1364</v>
      </c>
      <c r="M35" t="s">
        <v>145</v>
      </c>
      <c r="N35" t="s">
        <v>57</v>
      </c>
      <c r="O35" t="s">
        <v>153</v>
      </c>
      <c r="P35" s="4">
        <v>645.33000000000004</v>
      </c>
      <c r="Q35" s="8" t="str">
        <f t="shared" si="4"/>
        <v>High</v>
      </c>
      <c r="R35" s="4">
        <v>1321.85</v>
      </c>
      <c r="S35" s="4">
        <v>0</v>
      </c>
      <c r="T35" s="4">
        <v>10</v>
      </c>
      <c r="U35" s="4">
        <f t="shared" si="0"/>
        <v>14370.599999999999</v>
      </c>
      <c r="V35">
        <f t="shared" si="1"/>
        <v>6453.3</v>
      </c>
      <c r="W35" s="4">
        <f t="shared" si="5"/>
        <v>7917.2999999999984</v>
      </c>
      <c r="X35" s="4">
        <f t="shared" si="6"/>
        <v>0.55093733038286496</v>
      </c>
    </row>
    <row r="36" spans="1:24" x14ac:dyDescent="0.3">
      <c r="A36" t="s">
        <v>154</v>
      </c>
      <c r="B36" s="7">
        <v>45527</v>
      </c>
      <c r="C36" s="2">
        <v>45525</v>
      </c>
      <c r="D36" s="4">
        <f>DATEDIF(C36,B36, "MD")</f>
        <v>2</v>
      </c>
      <c r="E36" s="51" t="str">
        <f t="shared" si="2"/>
        <v>Yes</v>
      </c>
      <c r="F36" s="4" t="str">
        <f>TEXT(Data!B36,"MMM-YYYY")</f>
        <v>Mar-2023</v>
      </c>
      <c r="G36" s="4" t="str">
        <f t="shared" si="3"/>
        <v>Q3-2024</v>
      </c>
      <c r="H36" t="s">
        <v>16</v>
      </c>
      <c r="I36" t="s">
        <v>148</v>
      </c>
      <c r="J36" t="s">
        <v>149</v>
      </c>
      <c r="K36" t="s">
        <v>27</v>
      </c>
      <c r="L36" t="s">
        <v>20</v>
      </c>
      <c r="M36" t="s">
        <v>63</v>
      </c>
      <c r="N36" t="s">
        <v>22</v>
      </c>
      <c r="O36" t="s">
        <v>155</v>
      </c>
      <c r="P36" s="4">
        <v>1432.52</v>
      </c>
      <c r="Q36" s="8" t="str">
        <f t="shared" si="4"/>
        <v>High</v>
      </c>
      <c r="R36" s="4">
        <v>3036.87</v>
      </c>
      <c r="S36" s="4">
        <v>0</v>
      </c>
      <c r="T36" s="4">
        <v>9</v>
      </c>
      <c r="U36" s="4">
        <f t="shared" si="0"/>
        <v>17207.010000000002</v>
      </c>
      <c r="V36">
        <f t="shared" si="1"/>
        <v>12892.68</v>
      </c>
      <c r="W36" s="4">
        <f t="shared" si="5"/>
        <v>4314.3300000000017</v>
      </c>
      <c r="X36" s="4">
        <f t="shared" si="6"/>
        <v>0.25073095209452434</v>
      </c>
    </row>
    <row r="37" spans="1:24" x14ac:dyDescent="0.3">
      <c r="A37" t="s">
        <v>156</v>
      </c>
      <c r="B37" s="7">
        <v>45012</v>
      </c>
      <c r="C37" s="2">
        <v>45038</v>
      </c>
      <c r="D37" s="4">
        <f t="shared" si="7"/>
        <v>26</v>
      </c>
      <c r="E37" s="51" t="b">
        <f t="shared" si="2"/>
        <v>0</v>
      </c>
      <c r="F37" s="4" t="str">
        <f>TEXT(Data!B37,"MMM-YYYY")</f>
        <v>Mar-2024</v>
      </c>
      <c r="G37" s="4" t="str">
        <f t="shared" si="3"/>
        <v>Q1-2023</v>
      </c>
      <c r="H37" t="s">
        <v>45</v>
      </c>
      <c r="I37" t="s">
        <v>60</v>
      </c>
      <c r="J37" t="s">
        <v>141</v>
      </c>
      <c r="K37" t="s">
        <v>39</v>
      </c>
      <c r="L37" t="s">
        <v>40</v>
      </c>
      <c r="M37" t="s">
        <v>29</v>
      </c>
      <c r="N37" t="s">
        <v>30</v>
      </c>
      <c r="O37" t="s">
        <v>157</v>
      </c>
      <c r="P37" s="4">
        <v>178.53</v>
      </c>
      <c r="Q37" s="8" t="str">
        <f t="shared" si="4"/>
        <v>Medium</v>
      </c>
      <c r="R37" s="4">
        <v>199.37</v>
      </c>
      <c r="S37" s="4">
        <v>0.10100000000000001</v>
      </c>
      <c r="T37" s="4">
        <v>37</v>
      </c>
      <c r="U37" s="4">
        <f t="shared" si="0"/>
        <v>86276.904139999999</v>
      </c>
      <c r="V37">
        <f t="shared" si="1"/>
        <v>6605.61</v>
      </c>
      <c r="W37" s="4">
        <f t="shared" si="5"/>
        <v>79671.294139999998</v>
      </c>
      <c r="X37" s="4">
        <f t="shared" si="6"/>
        <v>0.92343709981432354</v>
      </c>
    </row>
    <row r="38" spans="1:24" x14ac:dyDescent="0.3">
      <c r="A38" t="s">
        <v>158</v>
      </c>
      <c r="B38" s="7">
        <v>45358</v>
      </c>
      <c r="C38" s="2">
        <v>45376</v>
      </c>
      <c r="D38" s="4">
        <f t="shared" si="7"/>
        <v>18</v>
      </c>
      <c r="E38" s="51" t="b">
        <f t="shared" si="2"/>
        <v>0</v>
      </c>
      <c r="F38" s="4" t="str">
        <f>TEXT(Data!B38,"MMM-YYYY")</f>
        <v>Jun-2025</v>
      </c>
      <c r="G38" s="4" t="str">
        <f t="shared" si="3"/>
        <v>Q1-2024</v>
      </c>
      <c r="H38" t="s">
        <v>78</v>
      </c>
      <c r="I38" t="s">
        <v>79</v>
      </c>
      <c r="J38" t="s">
        <v>159</v>
      </c>
      <c r="K38" t="s">
        <v>19</v>
      </c>
      <c r="L38" t="s">
        <v>28</v>
      </c>
      <c r="M38" t="s">
        <v>56</v>
      </c>
      <c r="N38" t="s">
        <v>22</v>
      </c>
      <c r="O38" t="s">
        <v>160</v>
      </c>
      <c r="P38" s="4">
        <v>712.84</v>
      </c>
      <c r="Q38" s="8" t="str">
        <f t="shared" si="4"/>
        <v>High</v>
      </c>
      <c r="R38" s="4">
        <v>927.51</v>
      </c>
      <c r="S38" s="4">
        <v>0.24299999999999999</v>
      </c>
      <c r="T38" s="4">
        <v>27</v>
      </c>
      <c r="U38" s="4">
        <f t="shared" si="0"/>
        <v>25427.751119999997</v>
      </c>
      <c r="V38">
        <f t="shared" si="1"/>
        <v>19246.68</v>
      </c>
      <c r="W38" s="4">
        <f t="shared" si="5"/>
        <v>6181.0711199999969</v>
      </c>
      <c r="X38" s="4">
        <f t="shared" si="6"/>
        <v>0.24308367227718869</v>
      </c>
    </row>
    <row r="39" spans="1:24" x14ac:dyDescent="0.3">
      <c r="A39" t="s">
        <v>161</v>
      </c>
      <c r="B39" s="7">
        <v>45832</v>
      </c>
      <c r="C39" s="2">
        <v>45848</v>
      </c>
      <c r="D39" s="4">
        <f t="shared" si="7"/>
        <v>16</v>
      </c>
      <c r="E39" s="51" t="b">
        <f t="shared" si="2"/>
        <v>0</v>
      </c>
      <c r="F39" s="4" t="str">
        <f>TEXT(Data!B39,"MMM-YYYY")</f>
        <v>Apr-2024</v>
      </c>
      <c r="G39" s="4" t="str">
        <f t="shared" si="3"/>
        <v>Q2-2025</v>
      </c>
      <c r="H39" t="s">
        <v>45</v>
      </c>
      <c r="I39" t="s">
        <v>116</v>
      </c>
      <c r="J39" t="s">
        <v>162</v>
      </c>
      <c r="K39" t="s">
        <v>105</v>
      </c>
      <c r="L39" t="s">
        <v>98</v>
      </c>
      <c r="M39" t="s">
        <v>126</v>
      </c>
      <c r="N39" t="s">
        <v>22</v>
      </c>
      <c r="O39" t="s">
        <v>163</v>
      </c>
      <c r="P39" s="4">
        <v>757.19</v>
      </c>
      <c r="Q39" s="8" t="str">
        <f t="shared" si="4"/>
        <v>High</v>
      </c>
      <c r="R39" s="4">
        <v>1735.41</v>
      </c>
      <c r="S39" s="4">
        <v>0.13600000000000001</v>
      </c>
      <c r="T39" s="4">
        <v>8</v>
      </c>
      <c r="U39" s="4">
        <f t="shared" si="0"/>
        <v>13219.269119999999</v>
      </c>
      <c r="V39">
        <f t="shared" si="1"/>
        <v>6057.52</v>
      </c>
      <c r="W39" s="4">
        <f t="shared" si="5"/>
        <v>7161.7491199999986</v>
      </c>
      <c r="X39" s="4">
        <f t="shared" si="6"/>
        <v>0.54176589151700383</v>
      </c>
    </row>
    <row r="40" spans="1:24" x14ac:dyDescent="0.3">
      <c r="A40" t="s">
        <v>164</v>
      </c>
      <c r="B40" s="7">
        <v>45401</v>
      </c>
      <c r="C40" s="2">
        <v>45418</v>
      </c>
      <c r="D40" s="4">
        <f t="shared" si="7"/>
        <v>17</v>
      </c>
      <c r="E40" s="51" t="b">
        <f t="shared" si="2"/>
        <v>0</v>
      </c>
      <c r="F40" s="4" t="str">
        <f>TEXT(Data!B40,"MMM-YYYY")</f>
        <v>Jun-2023</v>
      </c>
      <c r="G40" s="4" t="str">
        <f t="shared" si="3"/>
        <v>Q2-2024</v>
      </c>
      <c r="H40" t="s">
        <v>16</v>
      </c>
      <c r="I40" t="s">
        <v>25</v>
      </c>
      <c r="J40" t="s">
        <v>26</v>
      </c>
      <c r="K40" t="s">
        <v>39</v>
      </c>
      <c r="L40" t="s">
        <v>28</v>
      </c>
      <c r="M40" t="s">
        <v>75</v>
      </c>
      <c r="N40" t="s">
        <v>30</v>
      </c>
      <c r="O40" t="s">
        <v>165</v>
      </c>
      <c r="P40" s="4">
        <v>865.33</v>
      </c>
      <c r="Q40" s="8" t="str">
        <f t="shared" si="4"/>
        <v>High</v>
      </c>
      <c r="R40" s="4">
        <v>1395.64</v>
      </c>
      <c r="S40" s="4">
        <v>0.17499999999999999</v>
      </c>
      <c r="T40" s="4">
        <v>13</v>
      </c>
      <c r="U40" s="4">
        <f t="shared" si="0"/>
        <v>8106.7057499999992</v>
      </c>
      <c r="V40">
        <f t="shared" si="1"/>
        <v>11249.29</v>
      </c>
      <c r="W40" s="4">
        <f t="shared" si="5"/>
        <v>-3142.5842500000017</v>
      </c>
      <c r="X40" s="4">
        <f t="shared" si="6"/>
        <v>-0.38765243822991874</v>
      </c>
    </row>
    <row r="41" spans="1:24" x14ac:dyDescent="0.3">
      <c r="A41" t="s">
        <v>166</v>
      </c>
      <c r="B41" s="7">
        <v>45094</v>
      </c>
      <c r="C41" s="2">
        <v>45101</v>
      </c>
      <c r="D41" s="4">
        <f t="shared" si="7"/>
        <v>7</v>
      </c>
      <c r="E41" s="51" t="str">
        <f t="shared" si="2"/>
        <v>Yes</v>
      </c>
      <c r="F41" s="4" t="str">
        <f>TEXT(Data!B41,"MMM-YYYY")</f>
        <v>Aug-2024</v>
      </c>
      <c r="G41" s="4" t="str">
        <f t="shared" si="3"/>
        <v>Q2-2023</v>
      </c>
      <c r="H41" t="s">
        <v>52</v>
      </c>
      <c r="I41" t="s">
        <v>122</v>
      </c>
      <c r="J41" t="s">
        <v>167</v>
      </c>
      <c r="K41" t="s">
        <v>19</v>
      </c>
      <c r="L41" t="s">
        <v>20</v>
      </c>
      <c r="M41" t="s">
        <v>34</v>
      </c>
      <c r="N41" t="s">
        <v>30</v>
      </c>
      <c r="O41" t="s">
        <v>168</v>
      </c>
      <c r="P41" s="4">
        <v>313.99</v>
      </c>
      <c r="Q41" s="8" t="str">
        <f t="shared" si="4"/>
        <v>High</v>
      </c>
      <c r="R41" s="4">
        <v>454.42</v>
      </c>
      <c r="S41" s="4">
        <v>0.129</v>
      </c>
      <c r="T41" s="4">
        <v>9</v>
      </c>
      <c r="U41" s="4">
        <f t="shared" si="0"/>
        <v>8980.9071300000014</v>
      </c>
      <c r="V41">
        <f t="shared" si="1"/>
        <v>2825.91</v>
      </c>
      <c r="W41" s="4">
        <f t="shared" si="5"/>
        <v>6154.9971300000016</v>
      </c>
      <c r="X41" s="4">
        <f t="shared" si="6"/>
        <v>0.68534247608904963</v>
      </c>
    </row>
    <row r="42" spans="1:24" x14ac:dyDescent="0.3">
      <c r="A42" t="s">
        <v>169</v>
      </c>
      <c r="B42" s="7">
        <v>45531</v>
      </c>
      <c r="C42" s="2">
        <v>45554</v>
      </c>
      <c r="D42" s="4">
        <f t="shared" si="7"/>
        <v>23</v>
      </c>
      <c r="E42" s="51" t="b">
        <f t="shared" si="2"/>
        <v>0</v>
      </c>
      <c r="F42" s="4" t="str">
        <f>TEXT(Data!B42,"MMM-YYYY")</f>
        <v>Jan-2024</v>
      </c>
      <c r="G42" s="4" t="str">
        <f t="shared" si="3"/>
        <v>Q3-2024</v>
      </c>
      <c r="H42" t="s">
        <v>78</v>
      </c>
      <c r="I42" t="s">
        <v>79</v>
      </c>
      <c r="J42" t="s">
        <v>80</v>
      </c>
      <c r="K42" t="s">
        <v>62</v>
      </c>
      <c r="L42" t="s">
        <v>98</v>
      </c>
      <c r="M42" t="s">
        <v>145</v>
      </c>
      <c r="N42" t="s">
        <v>64</v>
      </c>
      <c r="O42" t="s">
        <v>170</v>
      </c>
      <c r="P42" s="4">
        <v>1024.01</v>
      </c>
      <c r="Q42" s="8" t="str">
        <f t="shared" si="4"/>
        <v>High</v>
      </c>
      <c r="R42" s="4">
        <v>1580.97</v>
      </c>
      <c r="S42" s="4">
        <v>3.6999999999999998E-2</v>
      </c>
      <c r="T42" s="4">
        <v>27</v>
      </c>
      <c r="U42" s="4">
        <f t="shared" si="0"/>
        <v>32087.834099999996</v>
      </c>
      <c r="V42">
        <f t="shared" si="1"/>
        <v>27648.27</v>
      </c>
      <c r="W42" s="4">
        <f t="shared" si="5"/>
        <v>4439.564099999996</v>
      </c>
      <c r="X42" s="4">
        <f t="shared" si="6"/>
        <v>0.13835661472707492</v>
      </c>
    </row>
    <row r="43" spans="1:24" x14ac:dyDescent="0.3">
      <c r="A43" t="s">
        <v>171</v>
      </c>
      <c r="B43" s="7">
        <v>45302</v>
      </c>
      <c r="C43" s="2">
        <v>45324</v>
      </c>
      <c r="D43" s="4">
        <f t="shared" si="7"/>
        <v>22</v>
      </c>
      <c r="E43" s="51" t="b">
        <f t="shared" si="2"/>
        <v>0</v>
      </c>
      <c r="F43" s="4" t="str">
        <f>TEXT(Data!B43,"MMM-YYYY")</f>
        <v>Oct-2024</v>
      </c>
      <c r="G43" s="4" t="str">
        <f t="shared" si="3"/>
        <v>Q1-2024</v>
      </c>
      <c r="H43" t="s">
        <v>16</v>
      </c>
      <c r="I43" t="s">
        <v>148</v>
      </c>
      <c r="J43" t="s">
        <v>172</v>
      </c>
      <c r="K43" t="s">
        <v>48</v>
      </c>
      <c r="L43" t="s">
        <v>28</v>
      </c>
      <c r="M43" t="s">
        <v>95</v>
      </c>
      <c r="N43" t="s">
        <v>35</v>
      </c>
      <c r="O43" t="s">
        <v>173</v>
      </c>
      <c r="P43" s="4">
        <v>1206.2</v>
      </c>
      <c r="Q43" s="8" t="str">
        <f t="shared" si="4"/>
        <v>High</v>
      </c>
      <c r="R43" s="4">
        <v>1759.79</v>
      </c>
      <c r="S43" s="4">
        <v>0</v>
      </c>
      <c r="T43" s="4">
        <v>6</v>
      </c>
      <c r="U43" s="4">
        <f t="shared" si="0"/>
        <v>7368.0599999999995</v>
      </c>
      <c r="V43">
        <f t="shared" si="1"/>
        <v>7237.2000000000007</v>
      </c>
      <c r="W43" s="4">
        <f t="shared" si="5"/>
        <v>130.85999999999876</v>
      </c>
      <c r="X43" s="4">
        <f t="shared" si="6"/>
        <v>1.7760441690214082E-2</v>
      </c>
    </row>
    <row r="44" spans="1:24" x14ac:dyDescent="0.3">
      <c r="A44" t="s">
        <v>174</v>
      </c>
      <c r="B44" s="7">
        <v>45590</v>
      </c>
      <c r="C44" s="2">
        <v>45610</v>
      </c>
      <c r="D44" s="4">
        <f t="shared" si="7"/>
        <v>20</v>
      </c>
      <c r="E44" s="51" t="b">
        <f t="shared" si="2"/>
        <v>0</v>
      </c>
      <c r="F44" s="4" t="str">
        <f>TEXT(Data!B44,"MMM-YYYY")</f>
        <v>May-2025</v>
      </c>
      <c r="G44" s="4" t="str">
        <f t="shared" si="3"/>
        <v>Q4-2024</v>
      </c>
      <c r="H44" t="s">
        <v>16</v>
      </c>
      <c r="I44" t="s">
        <v>17</v>
      </c>
      <c r="J44" t="s">
        <v>113</v>
      </c>
      <c r="K44" t="s">
        <v>19</v>
      </c>
      <c r="L44" t="s">
        <v>98</v>
      </c>
      <c r="M44" t="s">
        <v>92</v>
      </c>
      <c r="N44" t="s">
        <v>30</v>
      </c>
      <c r="O44" t="s">
        <v>175</v>
      </c>
      <c r="P44" s="4">
        <v>1396.48</v>
      </c>
      <c r="Q44" s="8" t="str">
        <f t="shared" si="4"/>
        <v>High</v>
      </c>
      <c r="R44" s="4">
        <v>3204.5</v>
      </c>
      <c r="S44" s="4">
        <v>0.318</v>
      </c>
      <c r="T44" s="4">
        <v>14</v>
      </c>
      <c r="U44" s="4">
        <f t="shared" si="0"/>
        <v>5778.7360400000007</v>
      </c>
      <c r="V44">
        <f t="shared" si="1"/>
        <v>19550.72</v>
      </c>
      <c r="W44" s="4">
        <f t="shared" si="5"/>
        <v>-13771.983960000001</v>
      </c>
      <c r="X44" s="4">
        <f t="shared" si="6"/>
        <v>-2.3832173445319715</v>
      </c>
    </row>
    <row r="45" spans="1:24" x14ac:dyDescent="0.3">
      <c r="A45" t="s">
        <v>176</v>
      </c>
      <c r="B45" s="7">
        <v>45806</v>
      </c>
      <c r="C45" s="2">
        <v>45828</v>
      </c>
      <c r="D45" s="4">
        <f t="shared" si="7"/>
        <v>22</v>
      </c>
      <c r="E45" s="51" t="b">
        <f t="shared" si="2"/>
        <v>0</v>
      </c>
      <c r="F45" s="4" t="str">
        <f>TEXT(Data!B45,"MMM-YYYY")</f>
        <v>May-2024</v>
      </c>
      <c r="G45" s="4" t="str">
        <f t="shared" si="3"/>
        <v>Q2-2025</v>
      </c>
      <c r="H45" t="s">
        <v>78</v>
      </c>
      <c r="I45" t="s">
        <v>79</v>
      </c>
      <c r="J45" t="s">
        <v>80</v>
      </c>
      <c r="K45" t="s">
        <v>19</v>
      </c>
      <c r="L45" t="s">
        <v>98</v>
      </c>
      <c r="M45" t="s">
        <v>75</v>
      </c>
      <c r="N45" t="s">
        <v>30</v>
      </c>
      <c r="O45" t="s">
        <v>177</v>
      </c>
      <c r="P45" s="4">
        <v>483.47</v>
      </c>
      <c r="Q45" s="8" t="str">
        <f t="shared" si="4"/>
        <v>High</v>
      </c>
      <c r="R45" s="4">
        <v>1135.43</v>
      </c>
      <c r="S45" s="4">
        <v>0.14599999999999999</v>
      </c>
      <c r="T45" s="4">
        <v>11</v>
      </c>
      <c r="U45" s="4">
        <f t="shared" si="0"/>
        <v>17662.129100000002</v>
      </c>
      <c r="V45">
        <f t="shared" si="1"/>
        <v>5318.17</v>
      </c>
      <c r="W45" s="4">
        <f t="shared" si="5"/>
        <v>12343.959100000002</v>
      </c>
      <c r="X45" s="4">
        <f t="shared" si="6"/>
        <v>0.6988941723905755</v>
      </c>
    </row>
    <row r="46" spans="1:24" x14ac:dyDescent="0.3">
      <c r="A46" t="s">
        <v>178</v>
      </c>
      <c r="B46" s="7">
        <v>45432</v>
      </c>
      <c r="C46" s="2">
        <v>45445</v>
      </c>
      <c r="D46" s="4">
        <f t="shared" si="7"/>
        <v>13</v>
      </c>
      <c r="E46" s="51" t="b">
        <f t="shared" si="2"/>
        <v>0</v>
      </c>
      <c r="F46" s="4" t="str">
        <f>TEXT(Data!B46,"MMM-YYYY")</f>
        <v>Apr-2023</v>
      </c>
      <c r="G46" s="4" t="str">
        <f t="shared" si="3"/>
        <v>Q2-2024</v>
      </c>
      <c r="H46" t="s">
        <v>52</v>
      </c>
      <c r="I46" t="s">
        <v>53</v>
      </c>
      <c r="J46" t="s">
        <v>179</v>
      </c>
      <c r="K46" t="s">
        <v>105</v>
      </c>
      <c r="L46" t="s">
        <v>40</v>
      </c>
      <c r="M46" t="s">
        <v>95</v>
      </c>
      <c r="N46" t="s">
        <v>22</v>
      </c>
      <c r="O46" t="s">
        <v>180</v>
      </c>
      <c r="P46" s="4">
        <v>675.43</v>
      </c>
      <c r="Q46" s="8" t="str">
        <f t="shared" si="4"/>
        <v>High</v>
      </c>
      <c r="R46" s="4">
        <v>996.36</v>
      </c>
      <c r="S46" s="4">
        <v>0.182</v>
      </c>
      <c r="T46" s="4">
        <v>22</v>
      </c>
      <c r="U46" s="4">
        <f t="shared" si="0"/>
        <v>22844.122400000004</v>
      </c>
      <c r="V46">
        <f t="shared" si="1"/>
        <v>14859.46</v>
      </c>
      <c r="W46" s="4">
        <f t="shared" si="5"/>
        <v>7984.6624000000047</v>
      </c>
      <c r="X46" s="4">
        <f t="shared" si="6"/>
        <v>0.34952808692707771</v>
      </c>
    </row>
    <row r="47" spans="1:24" x14ac:dyDescent="0.3">
      <c r="A47" t="s">
        <v>181</v>
      </c>
      <c r="B47" s="7">
        <v>45035</v>
      </c>
      <c r="C47" s="2">
        <v>45046</v>
      </c>
      <c r="D47" s="4">
        <f t="shared" si="7"/>
        <v>11</v>
      </c>
      <c r="E47" s="51" t="b">
        <f t="shared" si="2"/>
        <v>0</v>
      </c>
      <c r="F47" s="4" t="str">
        <f>TEXT(Data!B47,"MMM-YYYY")</f>
        <v>Jun-2023</v>
      </c>
      <c r="G47" s="4" t="str">
        <f t="shared" si="3"/>
        <v>Q2-2023</v>
      </c>
      <c r="H47" t="s">
        <v>45</v>
      </c>
      <c r="I47" t="s">
        <v>60</v>
      </c>
      <c r="J47" t="s">
        <v>141</v>
      </c>
      <c r="K47" t="s">
        <v>62</v>
      </c>
      <c r="L47" t="s">
        <v>20</v>
      </c>
      <c r="M47" t="s">
        <v>75</v>
      </c>
      <c r="N47" t="s">
        <v>35</v>
      </c>
      <c r="O47" t="s">
        <v>182</v>
      </c>
      <c r="P47" s="4">
        <v>826.55</v>
      </c>
      <c r="Q47" s="8" t="str">
        <f t="shared" si="4"/>
        <v>High</v>
      </c>
      <c r="R47" s="4">
        <v>1397.05</v>
      </c>
      <c r="S47" s="4">
        <v>0.16900000000000001</v>
      </c>
      <c r="T47" s="4">
        <v>28</v>
      </c>
      <c r="U47" s="4">
        <f t="shared" si="0"/>
        <v>14447.799239999997</v>
      </c>
      <c r="V47">
        <f t="shared" si="1"/>
        <v>23143.399999999998</v>
      </c>
      <c r="W47" s="4">
        <f t="shared" si="5"/>
        <v>-8695.6007600000012</v>
      </c>
      <c r="X47" s="4">
        <f t="shared" si="6"/>
        <v>-0.6018633437212686</v>
      </c>
    </row>
    <row r="48" spans="1:24" x14ac:dyDescent="0.3">
      <c r="A48" t="s">
        <v>183</v>
      </c>
      <c r="B48" s="7">
        <v>45100</v>
      </c>
      <c r="C48" s="2">
        <v>45110</v>
      </c>
      <c r="D48" s="4">
        <f t="shared" si="7"/>
        <v>10</v>
      </c>
      <c r="E48" s="51" t="b">
        <f t="shared" si="2"/>
        <v>0</v>
      </c>
      <c r="F48" s="4" t="str">
        <f>TEXT(Data!B48,"MMM-YYYY")</f>
        <v>May-2024</v>
      </c>
      <c r="G48" s="4" t="str">
        <f t="shared" si="3"/>
        <v>Q2-2023</v>
      </c>
      <c r="H48" t="s">
        <v>16</v>
      </c>
      <c r="I48" t="s">
        <v>25</v>
      </c>
      <c r="J48" t="s">
        <v>67</v>
      </c>
      <c r="K48" t="s">
        <v>48</v>
      </c>
      <c r="L48" t="s">
        <v>28</v>
      </c>
      <c r="M48" t="s">
        <v>29</v>
      </c>
      <c r="N48" t="s">
        <v>30</v>
      </c>
      <c r="O48" t="s">
        <v>184</v>
      </c>
      <c r="P48" s="4">
        <v>337.75</v>
      </c>
      <c r="Q48" s="8" t="str">
        <f t="shared" si="4"/>
        <v>High</v>
      </c>
      <c r="R48" s="4">
        <v>548.89</v>
      </c>
      <c r="S48" s="4">
        <v>0</v>
      </c>
      <c r="T48" s="4">
        <v>13</v>
      </c>
      <c r="U48" s="4">
        <f t="shared" si="0"/>
        <v>18926.830000000002</v>
      </c>
      <c r="V48">
        <f t="shared" si="1"/>
        <v>4390.75</v>
      </c>
      <c r="W48" s="4">
        <f t="shared" si="5"/>
        <v>14536.080000000002</v>
      </c>
      <c r="X48" s="4">
        <f t="shared" si="6"/>
        <v>0.76801450639119173</v>
      </c>
    </row>
    <row r="49" spans="1:24" x14ac:dyDescent="0.3">
      <c r="A49" t="s">
        <v>185</v>
      </c>
      <c r="B49" s="7">
        <v>45426</v>
      </c>
      <c r="C49" s="2">
        <v>45440</v>
      </c>
      <c r="D49" s="4">
        <f t="shared" si="7"/>
        <v>14</v>
      </c>
      <c r="E49" s="51" t="b">
        <f t="shared" si="2"/>
        <v>0</v>
      </c>
      <c r="F49" s="4" t="str">
        <f>TEXT(Data!B49,"MMM-YYYY")</f>
        <v>Oct-2024</v>
      </c>
      <c r="G49" s="4" t="str">
        <f t="shared" si="3"/>
        <v>Q2-2024</v>
      </c>
      <c r="H49" t="s">
        <v>78</v>
      </c>
      <c r="I49" t="s">
        <v>108</v>
      </c>
      <c r="J49" t="s">
        <v>109</v>
      </c>
      <c r="K49" t="s">
        <v>48</v>
      </c>
      <c r="L49" t="s">
        <v>20</v>
      </c>
      <c r="M49" t="s">
        <v>56</v>
      </c>
      <c r="N49" t="s">
        <v>35</v>
      </c>
      <c r="O49" t="s">
        <v>186</v>
      </c>
      <c r="P49" s="4">
        <v>1421.14</v>
      </c>
      <c r="Q49" s="8" t="str">
        <f t="shared" si="4"/>
        <v>High</v>
      </c>
      <c r="R49" s="4">
        <v>3524</v>
      </c>
      <c r="S49" s="4">
        <v>0</v>
      </c>
      <c r="T49" s="4">
        <v>31</v>
      </c>
      <c r="U49" s="4">
        <f t="shared" si="0"/>
        <v>16939.329999999998</v>
      </c>
      <c r="V49">
        <f t="shared" si="1"/>
        <v>44055.340000000004</v>
      </c>
      <c r="W49" s="4">
        <f t="shared" si="5"/>
        <v>-27116.010000000006</v>
      </c>
      <c r="X49" s="4">
        <f t="shared" si="6"/>
        <v>-1.6007722855626527</v>
      </c>
    </row>
    <row r="50" spans="1:24" x14ac:dyDescent="0.3">
      <c r="A50" t="s">
        <v>187</v>
      </c>
      <c r="B50" s="7">
        <v>45579</v>
      </c>
      <c r="C50" s="2">
        <v>45604</v>
      </c>
      <c r="D50" s="4">
        <f t="shared" si="7"/>
        <v>25</v>
      </c>
      <c r="E50" s="51" t="b">
        <f t="shared" si="2"/>
        <v>0</v>
      </c>
      <c r="F50" s="4" t="str">
        <f>TEXT(Data!B50,"MMM-YYYY")</f>
        <v>Jul-2023</v>
      </c>
      <c r="G50" s="4" t="str">
        <f t="shared" si="3"/>
        <v>Q4-2024</v>
      </c>
      <c r="H50" t="s">
        <v>16</v>
      </c>
      <c r="I50" t="s">
        <v>25</v>
      </c>
      <c r="J50" t="s">
        <v>38</v>
      </c>
      <c r="K50" t="s">
        <v>105</v>
      </c>
      <c r="L50" t="s">
        <v>28</v>
      </c>
      <c r="M50" t="s">
        <v>68</v>
      </c>
      <c r="N50" t="s">
        <v>35</v>
      </c>
      <c r="O50" t="s">
        <v>188</v>
      </c>
      <c r="P50" s="4">
        <v>859.35</v>
      </c>
      <c r="Q50" s="8" t="str">
        <f t="shared" si="4"/>
        <v>High</v>
      </c>
      <c r="R50" s="4">
        <v>1825.61</v>
      </c>
      <c r="S50" s="4">
        <v>0.187</v>
      </c>
      <c r="T50" s="4">
        <v>24</v>
      </c>
      <c r="U50" s="4">
        <f t="shared" si="0"/>
        <v>26300.615040000001</v>
      </c>
      <c r="V50">
        <f t="shared" si="1"/>
        <v>20624.400000000001</v>
      </c>
      <c r="W50" s="4">
        <f t="shared" si="5"/>
        <v>5676.2150399999991</v>
      </c>
      <c r="X50" s="4">
        <f t="shared" si="6"/>
        <v>0.21582061983596865</v>
      </c>
    </row>
    <row r="51" spans="1:24" x14ac:dyDescent="0.3">
      <c r="A51" t="s">
        <v>189</v>
      </c>
      <c r="B51" s="7">
        <v>45117</v>
      </c>
      <c r="C51" s="2">
        <v>45139</v>
      </c>
      <c r="D51" s="4">
        <f t="shared" si="7"/>
        <v>22</v>
      </c>
      <c r="E51" s="51" t="b">
        <f t="shared" si="2"/>
        <v>0</v>
      </c>
      <c r="F51" s="4" t="str">
        <f>TEXT(Data!B51,"MMM-YYYY")</f>
        <v>Nov-2024</v>
      </c>
      <c r="G51" s="4" t="str">
        <f t="shared" si="3"/>
        <v>Q3-2023</v>
      </c>
      <c r="H51" t="s">
        <v>78</v>
      </c>
      <c r="I51" t="s">
        <v>90</v>
      </c>
      <c r="J51" t="s">
        <v>91</v>
      </c>
      <c r="K51" t="s">
        <v>48</v>
      </c>
      <c r="L51" t="s">
        <v>40</v>
      </c>
      <c r="M51" t="s">
        <v>56</v>
      </c>
      <c r="N51" t="s">
        <v>30</v>
      </c>
      <c r="O51" t="s">
        <v>190</v>
      </c>
      <c r="P51" s="4">
        <v>1303.56</v>
      </c>
      <c r="Q51" s="8" t="str">
        <f t="shared" si="4"/>
        <v>High</v>
      </c>
      <c r="R51" s="4">
        <v>1791.37</v>
      </c>
      <c r="S51" s="4">
        <v>0.126</v>
      </c>
      <c r="T51" s="4">
        <v>22</v>
      </c>
      <c r="U51" s="4">
        <f t="shared" si="0"/>
        <v>21312.892040000002</v>
      </c>
      <c r="V51">
        <f t="shared" si="1"/>
        <v>28678.32</v>
      </c>
      <c r="W51" s="4">
        <f t="shared" si="5"/>
        <v>-7365.4279599999973</v>
      </c>
      <c r="X51" s="4">
        <f t="shared" si="6"/>
        <v>-0.34558557075110097</v>
      </c>
    </row>
    <row r="52" spans="1:24" x14ac:dyDescent="0.3">
      <c r="A52" t="s">
        <v>191</v>
      </c>
      <c r="B52" s="7">
        <v>45602</v>
      </c>
      <c r="C52" s="2">
        <v>45618</v>
      </c>
      <c r="D52" s="4">
        <f t="shared" si="7"/>
        <v>16</v>
      </c>
      <c r="E52" s="51" t="b">
        <f t="shared" si="2"/>
        <v>0</v>
      </c>
      <c r="F52" s="4" t="str">
        <f>TEXT(Data!B52,"MMM-YYYY")</f>
        <v>Oct-2024</v>
      </c>
      <c r="G52" s="4" t="str">
        <f t="shared" si="3"/>
        <v>Q4-2024</v>
      </c>
      <c r="H52" t="s">
        <v>52</v>
      </c>
      <c r="I52" t="s">
        <v>53</v>
      </c>
      <c r="J52" t="s">
        <v>54</v>
      </c>
      <c r="K52" t="s">
        <v>39</v>
      </c>
      <c r="L52" t="s">
        <v>55</v>
      </c>
      <c r="M52" t="s">
        <v>145</v>
      </c>
      <c r="N52" t="s">
        <v>81</v>
      </c>
      <c r="O52" t="s">
        <v>192</v>
      </c>
      <c r="P52" s="4">
        <v>1454.11</v>
      </c>
      <c r="Q52" s="8" t="str">
        <f t="shared" si="4"/>
        <v>High</v>
      </c>
      <c r="R52" s="4">
        <v>2629.75</v>
      </c>
      <c r="S52" s="4">
        <v>0.29199999999999998</v>
      </c>
      <c r="T52" s="4">
        <v>8</v>
      </c>
      <c r="U52" s="4">
        <f t="shared" si="0"/>
        <v>17808.182399999998</v>
      </c>
      <c r="V52">
        <f t="shared" si="1"/>
        <v>11632.88</v>
      </c>
      <c r="W52" s="4">
        <f t="shared" si="5"/>
        <v>6175.3023999999987</v>
      </c>
      <c r="X52" s="4">
        <f t="shared" si="6"/>
        <v>0.34676769707839467</v>
      </c>
    </row>
    <row r="53" spans="1:24" x14ac:dyDescent="0.3">
      <c r="A53" t="s">
        <v>193</v>
      </c>
      <c r="B53" s="7">
        <v>45582</v>
      </c>
      <c r="C53" s="2">
        <v>45602</v>
      </c>
      <c r="D53" s="4">
        <f t="shared" si="7"/>
        <v>20</v>
      </c>
      <c r="E53" s="51" t="b">
        <f t="shared" si="2"/>
        <v>0</v>
      </c>
      <c r="F53" s="4" t="str">
        <f>TEXT(Data!B53,"MMM-YYYY")</f>
        <v>Mar-2023</v>
      </c>
      <c r="G53" s="4" t="str">
        <f t="shared" si="3"/>
        <v>Q4-2024</v>
      </c>
      <c r="H53" t="s">
        <v>45</v>
      </c>
      <c r="I53" t="s">
        <v>60</v>
      </c>
      <c r="J53" t="s">
        <v>61</v>
      </c>
      <c r="K53" t="s">
        <v>105</v>
      </c>
      <c r="L53" t="s">
        <v>55</v>
      </c>
      <c r="M53" t="s">
        <v>68</v>
      </c>
      <c r="N53" t="s">
        <v>64</v>
      </c>
      <c r="O53" t="s">
        <v>194</v>
      </c>
      <c r="P53" s="4">
        <v>72.94</v>
      </c>
      <c r="Q53" s="8" t="str">
        <f t="shared" si="4"/>
        <v>Medium</v>
      </c>
      <c r="R53" s="4">
        <v>106.3</v>
      </c>
      <c r="S53" s="4">
        <v>0.29499999999999998</v>
      </c>
      <c r="T53" s="4">
        <v>8</v>
      </c>
      <c r="U53" s="4">
        <f t="shared" si="0"/>
        <v>11819.917200000002</v>
      </c>
      <c r="V53">
        <f t="shared" si="1"/>
        <v>583.52</v>
      </c>
      <c r="W53" s="4">
        <f t="shared" si="5"/>
        <v>11236.397200000001</v>
      </c>
      <c r="X53" s="4">
        <f t="shared" si="6"/>
        <v>0.95063247989588284</v>
      </c>
    </row>
    <row r="54" spans="1:24" x14ac:dyDescent="0.3">
      <c r="A54" t="s">
        <v>195</v>
      </c>
      <c r="B54" s="7">
        <v>45016</v>
      </c>
      <c r="C54" s="2">
        <v>45021</v>
      </c>
      <c r="D54" s="4">
        <f t="shared" si="7"/>
        <v>5</v>
      </c>
      <c r="E54" s="51" t="str">
        <f t="shared" si="2"/>
        <v>Yes</v>
      </c>
      <c r="F54" s="4" t="str">
        <f>TEXT(Data!B54,"MMM-YYYY")</f>
        <v>Jan-2025</v>
      </c>
      <c r="G54" s="4" t="str">
        <f t="shared" si="3"/>
        <v>Q1-2023</v>
      </c>
      <c r="H54" t="s">
        <v>16</v>
      </c>
      <c r="I54" t="s">
        <v>17</v>
      </c>
      <c r="J54" t="s">
        <v>135</v>
      </c>
      <c r="K54" t="s">
        <v>27</v>
      </c>
      <c r="L54" t="s">
        <v>40</v>
      </c>
      <c r="M54" t="s">
        <v>56</v>
      </c>
      <c r="N54" t="s">
        <v>57</v>
      </c>
      <c r="O54" t="s">
        <v>196</v>
      </c>
      <c r="P54" s="4">
        <v>533.26</v>
      </c>
      <c r="Q54" s="8" t="str">
        <f t="shared" si="4"/>
        <v>High</v>
      </c>
      <c r="R54" s="4">
        <v>385.72</v>
      </c>
      <c r="S54" s="4">
        <v>0</v>
      </c>
      <c r="T54" s="4">
        <v>15</v>
      </c>
      <c r="U54" s="4">
        <f t="shared" si="0"/>
        <v>10554.3</v>
      </c>
      <c r="V54">
        <f t="shared" si="1"/>
        <v>7998.9</v>
      </c>
      <c r="W54" s="4">
        <f t="shared" si="5"/>
        <v>2555.3999999999996</v>
      </c>
      <c r="X54" s="4">
        <f t="shared" si="6"/>
        <v>0.24211932577243397</v>
      </c>
    </row>
    <row r="55" spans="1:24" x14ac:dyDescent="0.3">
      <c r="A55" t="s">
        <v>197</v>
      </c>
      <c r="B55" s="7">
        <v>45678</v>
      </c>
      <c r="C55" s="2">
        <v>45704</v>
      </c>
      <c r="D55" s="4">
        <f t="shared" si="7"/>
        <v>26</v>
      </c>
      <c r="E55" s="51" t="b">
        <f t="shared" si="2"/>
        <v>0</v>
      </c>
      <c r="F55" s="4" t="str">
        <f>TEXT(Data!B55,"MMM-YYYY")</f>
        <v>Aug-2023</v>
      </c>
      <c r="G55" s="4" t="str">
        <f t="shared" si="3"/>
        <v>Q1-2025</v>
      </c>
      <c r="H55" t="s">
        <v>78</v>
      </c>
      <c r="I55" t="s">
        <v>90</v>
      </c>
      <c r="J55" t="s">
        <v>138</v>
      </c>
      <c r="K55" t="s">
        <v>19</v>
      </c>
      <c r="L55" t="s">
        <v>55</v>
      </c>
      <c r="M55" t="s">
        <v>68</v>
      </c>
      <c r="N55" t="s">
        <v>57</v>
      </c>
      <c r="O55" t="s">
        <v>198</v>
      </c>
      <c r="P55" s="4">
        <v>204.11</v>
      </c>
      <c r="Q55" s="8" t="str">
        <f t="shared" si="4"/>
        <v>High</v>
      </c>
      <c r="R55" s="4">
        <v>236.87</v>
      </c>
      <c r="S55" s="4">
        <v>0.182</v>
      </c>
      <c r="T55" s="4">
        <v>13</v>
      </c>
      <c r="U55" s="4">
        <f t="shared" si="0"/>
        <v>21238.118460000002</v>
      </c>
      <c r="V55">
        <f t="shared" si="1"/>
        <v>2653.4300000000003</v>
      </c>
      <c r="W55" s="4">
        <f t="shared" si="5"/>
        <v>18584.688460000001</v>
      </c>
      <c r="X55" s="4">
        <f t="shared" si="6"/>
        <v>0.87506284961177294</v>
      </c>
    </row>
    <row r="56" spans="1:24" x14ac:dyDescent="0.3">
      <c r="A56" t="s">
        <v>199</v>
      </c>
      <c r="B56" s="7">
        <v>45168</v>
      </c>
      <c r="C56" s="2">
        <v>45170</v>
      </c>
      <c r="D56" s="4">
        <f t="shared" si="7"/>
        <v>2</v>
      </c>
      <c r="E56" s="51" t="str">
        <f t="shared" si="2"/>
        <v>Yes</v>
      </c>
      <c r="F56" s="4" t="str">
        <f>TEXT(Data!B56,"MMM-YYYY")</f>
        <v>Apr-2025</v>
      </c>
      <c r="G56" s="4" t="str">
        <f t="shared" si="3"/>
        <v>Q3-2023</v>
      </c>
      <c r="H56" t="s">
        <v>78</v>
      </c>
      <c r="I56" t="s">
        <v>79</v>
      </c>
      <c r="J56" t="s">
        <v>159</v>
      </c>
      <c r="K56" t="s">
        <v>19</v>
      </c>
      <c r="L56" t="s">
        <v>98</v>
      </c>
      <c r="M56" t="s">
        <v>126</v>
      </c>
      <c r="N56" t="s">
        <v>35</v>
      </c>
      <c r="O56" t="s">
        <v>200</v>
      </c>
      <c r="P56" s="4">
        <v>44.42</v>
      </c>
      <c r="Q56" s="8" t="str">
        <f t="shared" si="4"/>
        <v>Low</v>
      </c>
      <c r="R56" s="4">
        <v>41.9</v>
      </c>
      <c r="S56" s="4">
        <v>0.14399999999999999</v>
      </c>
      <c r="T56" s="4">
        <v>6</v>
      </c>
      <c r="U56" s="4">
        <f t="shared" si="0"/>
        <v>14195.647199999998</v>
      </c>
      <c r="V56">
        <f t="shared" si="1"/>
        <v>266.52</v>
      </c>
      <c r="W56" s="4">
        <f t="shared" si="5"/>
        <v>13929.127199999997</v>
      </c>
      <c r="X56" s="4">
        <f t="shared" si="6"/>
        <v>0.9812252307876459</v>
      </c>
    </row>
    <row r="57" spans="1:24" x14ac:dyDescent="0.3">
      <c r="A57" t="s">
        <v>201</v>
      </c>
      <c r="B57" s="7">
        <v>45753</v>
      </c>
      <c r="C57" s="2">
        <v>45777</v>
      </c>
      <c r="D57" s="4">
        <f t="shared" si="7"/>
        <v>24</v>
      </c>
      <c r="E57" s="51" t="b">
        <f t="shared" si="2"/>
        <v>0</v>
      </c>
      <c r="F57" s="4" t="str">
        <f>TEXT(Data!B57,"MMM-YYYY")</f>
        <v>Feb-2025</v>
      </c>
      <c r="G57" s="4" t="str">
        <f t="shared" si="3"/>
        <v>Q2-2025</v>
      </c>
      <c r="H57" t="s">
        <v>52</v>
      </c>
      <c r="I57" t="s">
        <v>73</v>
      </c>
      <c r="J57" t="s">
        <v>87</v>
      </c>
      <c r="K57" t="s">
        <v>27</v>
      </c>
      <c r="L57" t="s">
        <v>28</v>
      </c>
      <c r="M57" t="s">
        <v>95</v>
      </c>
      <c r="N57" t="s">
        <v>64</v>
      </c>
      <c r="O57" t="s">
        <v>202</v>
      </c>
      <c r="P57" s="4">
        <v>855.78</v>
      </c>
      <c r="Q57" s="8" t="str">
        <f t="shared" si="4"/>
        <v>High</v>
      </c>
      <c r="R57" s="4">
        <v>977.38</v>
      </c>
      <c r="S57" s="4">
        <v>0.14699999999999999</v>
      </c>
      <c r="T57" s="4">
        <v>38</v>
      </c>
      <c r="U57" s="4">
        <f t="shared" si="0"/>
        <v>48735.421419999999</v>
      </c>
      <c r="V57">
        <f t="shared" si="1"/>
        <v>32519.64</v>
      </c>
      <c r="W57" s="4">
        <f t="shared" si="5"/>
        <v>16215.781419999999</v>
      </c>
      <c r="X57" s="4">
        <f t="shared" si="6"/>
        <v>0.33273091619036216</v>
      </c>
    </row>
    <row r="58" spans="1:24" x14ac:dyDescent="0.3">
      <c r="A58" t="s">
        <v>203</v>
      </c>
      <c r="B58" s="7">
        <v>45697</v>
      </c>
      <c r="C58" s="2">
        <v>45717</v>
      </c>
      <c r="D58" s="4">
        <f t="shared" si="7"/>
        <v>20</v>
      </c>
      <c r="E58" s="51" t="b">
        <f t="shared" si="2"/>
        <v>0</v>
      </c>
      <c r="F58" s="4" t="str">
        <f>TEXT(Data!B58,"MMM-YYYY")</f>
        <v>Dec-2024</v>
      </c>
      <c r="G58" s="4" t="str">
        <f t="shared" si="3"/>
        <v>Q1-2025</v>
      </c>
      <c r="H58" t="s">
        <v>52</v>
      </c>
      <c r="I58" t="s">
        <v>73</v>
      </c>
      <c r="J58" t="s">
        <v>74</v>
      </c>
      <c r="K58" t="s">
        <v>19</v>
      </c>
      <c r="L58" t="s">
        <v>55</v>
      </c>
      <c r="M58" t="s">
        <v>56</v>
      </c>
      <c r="N58" t="s">
        <v>57</v>
      </c>
      <c r="O58" t="s">
        <v>204</v>
      </c>
      <c r="P58" s="4">
        <v>1154.6400000000001</v>
      </c>
      <c r="Q58" s="8" t="str">
        <f t="shared" si="4"/>
        <v>High</v>
      </c>
      <c r="R58" s="4">
        <v>2794.13</v>
      </c>
      <c r="S58" s="4">
        <v>3.5000000000000003E-2</v>
      </c>
      <c r="T58" s="4">
        <v>11</v>
      </c>
      <c r="U58" s="4">
        <f t="shared" si="0"/>
        <v>4119.0446000000002</v>
      </c>
      <c r="V58">
        <f t="shared" si="1"/>
        <v>12701.04</v>
      </c>
      <c r="W58" s="4">
        <f t="shared" si="5"/>
        <v>-8581.9953999999998</v>
      </c>
      <c r="X58" s="4">
        <f t="shared" si="6"/>
        <v>-2.0834917398078185</v>
      </c>
    </row>
    <row r="59" spans="1:24" x14ac:dyDescent="0.3">
      <c r="A59" t="s">
        <v>205</v>
      </c>
      <c r="B59" s="7">
        <v>45643</v>
      </c>
      <c r="C59" s="2">
        <v>45644</v>
      </c>
      <c r="D59" s="4">
        <f t="shared" si="7"/>
        <v>1</v>
      </c>
      <c r="E59" s="51" t="str">
        <f t="shared" si="2"/>
        <v>Yes</v>
      </c>
      <c r="F59" s="4" t="str">
        <f>TEXT(Data!B59,"MMM-YYYY")</f>
        <v>Jun-2025</v>
      </c>
      <c r="G59" s="4" t="str">
        <f t="shared" si="3"/>
        <v>Q4-2024</v>
      </c>
      <c r="H59" t="s">
        <v>78</v>
      </c>
      <c r="I59" t="s">
        <v>79</v>
      </c>
      <c r="J59" t="s">
        <v>159</v>
      </c>
      <c r="K59" t="s">
        <v>27</v>
      </c>
      <c r="L59" t="s">
        <v>20</v>
      </c>
      <c r="M59" t="s">
        <v>49</v>
      </c>
      <c r="N59" t="s">
        <v>81</v>
      </c>
      <c r="O59" t="s">
        <v>206</v>
      </c>
      <c r="P59" s="4">
        <v>346.82</v>
      </c>
      <c r="Q59" s="8" t="str">
        <f t="shared" si="4"/>
        <v>High</v>
      </c>
      <c r="R59" s="4">
        <v>701.95</v>
      </c>
      <c r="S59" s="4">
        <v>0.14699999999999999</v>
      </c>
      <c r="T59" s="4">
        <v>8</v>
      </c>
      <c r="U59" s="4">
        <f t="shared" si="0"/>
        <v>304.14567999999997</v>
      </c>
      <c r="V59">
        <f t="shared" si="1"/>
        <v>2774.56</v>
      </c>
      <c r="W59" s="4">
        <f t="shared" si="5"/>
        <v>-2470.4143199999999</v>
      </c>
      <c r="X59" s="4">
        <f t="shared" si="6"/>
        <v>-8.122470521363315</v>
      </c>
    </row>
    <row r="60" spans="1:24" x14ac:dyDescent="0.3">
      <c r="A60" t="s">
        <v>207</v>
      </c>
      <c r="B60" s="7">
        <v>45817</v>
      </c>
      <c r="C60" s="2">
        <v>45826</v>
      </c>
      <c r="D60" s="4">
        <f t="shared" si="7"/>
        <v>9</v>
      </c>
      <c r="E60" s="51" t="b">
        <f t="shared" si="2"/>
        <v>0</v>
      </c>
      <c r="F60" s="4" t="str">
        <f>TEXT(Data!B60,"MMM-YYYY")</f>
        <v>May-2025</v>
      </c>
      <c r="G60" s="4" t="str">
        <f t="shared" si="3"/>
        <v>Q2-2025</v>
      </c>
      <c r="H60" t="s">
        <v>78</v>
      </c>
      <c r="I60" t="s">
        <v>90</v>
      </c>
      <c r="J60" t="s">
        <v>91</v>
      </c>
      <c r="K60" t="s">
        <v>62</v>
      </c>
      <c r="L60" t="s">
        <v>40</v>
      </c>
      <c r="M60" t="s">
        <v>92</v>
      </c>
      <c r="N60" t="s">
        <v>81</v>
      </c>
      <c r="O60" t="s">
        <v>208</v>
      </c>
      <c r="P60" s="4">
        <v>1225.5</v>
      </c>
      <c r="Q60" s="8" t="str">
        <f t="shared" si="4"/>
        <v>Low</v>
      </c>
      <c r="R60" s="4">
        <v>-5.27</v>
      </c>
      <c r="S60" s="4">
        <v>7.4999999999999997E-2</v>
      </c>
      <c r="T60" s="4">
        <v>56</v>
      </c>
      <c r="U60" s="4">
        <f t="shared" si="0"/>
        <v>93667.868000000002</v>
      </c>
      <c r="V60">
        <f t="shared" si="1"/>
        <v>68628</v>
      </c>
      <c r="W60" s="4">
        <f t="shared" si="5"/>
        <v>25039.868000000002</v>
      </c>
      <c r="X60" s="4">
        <f t="shared" si="6"/>
        <v>0.2673261229774121</v>
      </c>
    </row>
    <row r="61" spans="1:24" x14ac:dyDescent="0.3">
      <c r="A61" t="s">
        <v>209</v>
      </c>
      <c r="B61" s="7">
        <v>45779</v>
      </c>
      <c r="C61" s="2">
        <v>45790</v>
      </c>
      <c r="D61" s="4">
        <f t="shared" si="7"/>
        <v>11</v>
      </c>
      <c r="E61" s="51" t="b">
        <f t="shared" si="2"/>
        <v>0</v>
      </c>
      <c r="F61" s="4" t="str">
        <f>TEXT(Data!B61,"MMM-YYYY")</f>
        <v>Mar-2024</v>
      </c>
      <c r="G61" s="4" t="str">
        <f t="shared" si="3"/>
        <v>Q2-2025</v>
      </c>
      <c r="H61" t="s">
        <v>16</v>
      </c>
      <c r="I61" t="s">
        <v>17</v>
      </c>
      <c r="J61" t="s">
        <v>135</v>
      </c>
      <c r="K61" t="s">
        <v>62</v>
      </c>
      <c r="L61" t="s">
        <v>28</v>
      </c>
      <c r="M61" t="s">
        <v>75</v>
      </c>
      <c r="N61" t="s">
        <v>81</v>
      </c>
      <c r="O61" t="s">
        <v>210</v>
      </c>
      <c r="P61" s="4">
        <v>1057.5999999999999</v>
      </c>
      <c r="Q61" s="8" t="str">
        <f t="shared" si="4"/>
        <v>High</v>
      </c>
      <c r="R61" s="4">
        <v>1437.06</v>
      </c>
      <c r="S61" s="4">
        <v>0.20499999999999999</v>
      </c>
      <c r="T61" s="4">
        <v>4</v>
      </c>
      <c r="U61" s="4">
        <f t="shared" si="0"/>
        <v>4086.5861999999997</v>
      </c>
      <c r="V61">
        <f t="shared" si="1"/>
        <v>4230.3999999999996</v>
      </c>
      <c r="W61" s="4">
        <f t="shared" si="5"/>
        <v>-143.8137999999999</v>
      </c>
      <c r="X61" s="4">
        <f t="shared" si="6"/>
        <v>-3.5191671718560573E-2</v>
      </c>
    </row>
    <row r="62" spans="1:24" x14ac:dyDescent="0.3">
      <c r="A62" t="s">
        <v>211</v>
      </c>
      <c r="B62" s="7">
        <v>45361</v>
      </c>
      <c r="C62" s="2">
        <v>45391</v>
      </c>
      <c r="D62" s="4">
        <f t="shared" si="7"/>
        <v>30</v>
      </c>
      <c r="E62" s="51" t="b">
        <f t="shared" si="2"/>
        <v>0</v>
      </c>
      <c r="F62" s="4" t="str">
        <f>TEXT(Data!B62,"MMM-YYYY")</f>
        <v>Sept-2025</v>
      </c>
      <c r="G62" s="4" t="str">
        <f t="shared" si="3"/>
        <v>Q1-2024</v>
      </c>
      <c r="H62" t="s">
        <v>78</v>
      </c>
      <c r="I62" t="s">
        <v>90</v>
      </c>
      <c r="J62" t="s">
        <v>138</v>
      </c>
      <c r="K62" t="s">
        <v>19</v>
      </c>
      <c r="L62" t="s">
        <v>98</v>
      </c>
      <c r="M62" t="s">
        <v>34</v>
      </c>
      <c r="N62" t="s">
        <v>22</v>
      </c>
      <c r="O62" t="s">
        <v>212</v>
      </c>
      <c r="P62" s="4">
        <v>1176.56</v>
      </c>
      <c r="Q62" s="8" t="str">
        <f t="shared" si="4"/>
        <v>High</v>
      </c>
      <c r="R62" s="4">
        <v>1911.89</v>
      </c>
      <c r="S62" s="4">
        <v>0.11899999999999999</v>
      </c>
      <c r="T62" s="4">
        <v>20</v>
      </c>
      <c r="U62" s="4">
        <f t="shared" si="0"/>
        <v>29568.826800000003</v>
      </c>
      <c r="V62">
        <f t="shared" si="1"/>
        <v>23531.199999999997</v>
      </c>
      <c r="W62" s="4">
        <f t="shared" si="5"/>
        <v>6037.6268000000055</v>
      </c>
      <c r="X62" s="4">
        <f t="shared" si="6"/>
        <v>0.20418891966319086</v>
      </c>
    </row>
    <row r="63" spans="1:24" x14ac:dyDescent="0.3">
      <c r="A63" t="s">
        <v>213</v>
      </c>
      <c r="B63" s="7">
        <v>45910</v>
      </c>
      <c r="C63" s="2">
        <v>45912</v>
      </c>
      <c r="D63" s="4">
        <f t="shared" si="7"/>
        <v>2</v>
      </c>
      <c r="E63" s="51" t="str">
        <f t="shared" si="2"/>
        <v>Yes</v>
      </c>
      <c r="F63" s="4" t="str">
        <f>TEXT(Data!B63,"MMM-YYYY")</f>
        <v>Apr-2025</v>
      </c>
      <c r="G63" s="4" t="str">
        <f t="shared" si="3"/>
        <v>Q3-2025</v>
      </c>
      <c r="H63" t="s">
        <v>45</v>
      </c>
      <c r="I63" t="s">
        <v>46</v>
      </c>
      <c r="J63" t="s">
        <v>214</v>
      </c>
      <c r="K63" t="s">
        <v>48</v>
      </c>
      <c r="L63" t="s">
        <v>28</v>
      </c>
      <c r="M63" t="s">
        <v>68</v>
      </c>
      <c r="N63" t="s">
        <v>22</v>
      </c>
      <c r="O63" t="s">
        <v>215</v>
      </c>
      <c r="P63" s="4">
        <v>1470.15</v>
      </c>
      <c r="Q63" s="8" t="str">
        <f t="shared" si="4"/>
        <v>High</v>
      </c>
      <c r="R63" s="4">
        <v>2593.7800000000002</v>
      </c>
      <c r="S63" s="4">
        <v>0.11</v>
      </c>
      <c r="T63" s="4">
        <v>12</v>
      </c>
      <c r="U63" s="4">
        <f t="shared" si="0"/>
        <v>7255.4580000000005</v>
      </c>
      <c r="V63">
        <f t="shared" si="1"/>
        <v>17641.800000000003</v>
      </c>
      <c r="W63" s="4">
        <f t="shared" si="5"/>
        <v>-10386.342000000002</v>
      </c>
      <c r="X63" s="4">
        <f t="shared" si="6"/>
        <v>-1.4315212078961799</v>
      </c>
    </row>
    <row r="64" spans="1:24" x14ac:dyDescent="0.3">
      <c r="A64" t="s">
        <v>216</v>
      </c>
      <c r="B64" s="7">
        <v>45774</v>
      </c>
      <c r="C64" s="2">
        <v>45802</v>
      </c>
      <c r="D64" s="4">
        <f t="shared" si="7"/>
        <v>28</v>
      </c>
      <c r="E64" s="51" t="b">
        <f t="shared" si="2"/>
        <v>0</v>
      </c>
      <c r="F64" s="4" t="str">
        <f>TEXT(Data!B64,"MMM-YYYY")</f>
        <v>Nov-2024</v>
      </c>
      <c r="G64" s="4" t="str">
        <f t="shared" si="3"/>
        <v>Q2-2025</v>
      </c>
      <c r="H64" t="s">
        <v>78</v>
      </c>
      <c r="I64" t="s">
        <v>90</v>
      </c>
      <c r="J64" t="s">
        <v>217</v>
      </c>
      <c r="K64" t="s">
        <v>62</v>
      </c>
      <c r="L64" t="s">
        <v>40</v>
      </c>
      <c r="M64" t="s">
        <v>34</v>
      </c>
      <c r="N64" t="s">
        <v>42</v>
      </c>
      <c r="O64" t="s">
        <v>218</v>
      </c>
      <c r="P64" s="4">
        <v>603.45000000000005</v>
      </c>
      <c r="Q64" s="8" t="str">
        <f t="shared" si="4"/>
        <v>High</v>
      </c>
      <c r="R64" s="4">
        <v>1244.08</v>
      </c>
      <c r="S64" s="4">
        <v>0.2</v>
      </c>
      <c r="T64" s="4">
        <v>11</v>
      </c>
      <c r="U64" s="4">
        <f t="shared" si="0"/>
        <v>9767.2960000000003</v>
      </c>
      <c r="V64">
        <f t="shared" si="1"/>
        <v>6637.9500000000007</v>
      </c>
      <c r="W64" s="4">
        <f t="shared" si="5"/>
        <v>3129.3459999999995</v>
      </c>
      <c r="X64" s="4">
        <f t="shared" si="6"/>
        <v>0.32039020830330106</v>
      </c>
    </row>
    <row r="65" spans="1:24" x14ac:dyDescent="0.3">
      <c r="A65" t="s">
        <v>219</v>
      </c>
      <c r="B65" s="7">
        <v>45598</v>
      </c>
      <c r="C65" s="2">
        <v>45614</v>
      </c>
      <c r="D65" s="4">
        <f t="shared" si="7"/>
        <v>16</v>
      </c>
      <c r="E65" s="51" t="b">
        <f t="shared" si="2"/>
        <v>0</v>
      </c>
      <c r="F65" s="4" t="str">
        <f>TEXT(Data!B65,"MMM-YYYY")</f>
        <v>Feb-2023</v>
      </c>
      <c r="G65" s="4" t="str">
        <f t="shared" si="3"/>
        <v>Q4-2024</v>
      </c>
      <c r="H65" t="s">
        <v>45</v>
      </c>
      <c r="I65" t="s">
        <v>60</v>
      </c>
      <c r="J65" t="s">
        <v>220</v>
      </c>
      <c r="K65" t="s">
        <v>62</v>
      </c>
      <c r="L65" t="s">
        <v>55</v>
      </c>
      <c r="M65" t="s">
        <v>68</v>
      </c>
      <c r="N65" t="s">
        <v>64</v>
      </c>
      <c r="O65" t="s">
        <v>221</v>
      </c>
      <c r="P65" s="4">
        <v>1233.58</v>
      </c>
      <c r="Q65" s="8" t="str">
        <f t="shared" si="4"/>
        <v>High</v>
      </c>
      <c r="R65" s="4">
        <v>1912.51</v>
      </c>
      <c r="S65" s="4">
        <v>0.255</v>
      </c>
      <c r="T65" s="4">
        <v>51</v>
      </c>
      <c r="U65" s="4">
        <f t="shared" si="0"/>
        <v>3175.2421499999996</v>
      </c>
      <c r="V65">
        <f t="shared" si="1"/>
        <v>62912.579999999994</v>
      </c>
      <c r="W65" s="4">
        <f t="shared" si="5"/>
        <v>-59737.337849999996</v>
      </c>
      <c r="X65" s="4">
        <f t="shared" si="6"/>
        <v>-18.813474698299782</v>
      </c>
    </row>
    <row r="66" spans="1:24" x14ac:dyDescent="0.3">
      <c r="A66" t="s">
        <v>222</v>
      </c>
      <c r="B66" s="7">
        <v>44972</v>
      </c>
      <c r="C66" s="2">
        <v>44983</v>
      </c>
      <c r="D66" s="4">
        <f t="shared" si="7"/>
        <v>11</v>
      </c>
      <c r="E66" s="51" t="b">
        <f t="shared" si="2"/>
        <v>0</v>
      </c>
      <c r="F66" s="4" t="str">
        <f>TEXT(Data!B66,"MMM-YYYY")</f>
        <v>Dec-2023</v>
      </c>
      <c r="G66" s="4" t="str">
        <f t="shared" si="3"/>
        <v>Q1-2023</v>
      </c>
      <c r="H66" t="s">
        <v>16</v>
      </c>
      <c r="I66" t="s">
        <v>148</v>
      </c>
      <c r="J66" t="s">
        <v>149</v>
      </c>
      <c r="K66" t="s">
        <v>39</v>
      </c>
      <c r="L66" t="s">
        <v>20</v>
      </c>
      <c r="M66" t="s">
        <v>95</v>
      </c>
      <c r="N66" t="s">
        <v>57</v>
      </c>
      <c r="O66" t="s">
        <v>223</v>
      </c>
      <c r="P66" s="4">
        <v>498.5</v>
      </c>
      <c r="Q66" s="8" t="str">
        <f t="shared" si="4"/>
        <v>High</v>
      </c>
      <c r="R66" s="4">
        <v>755.87</v>
      </c>
      <c r="S66" s="4">
        <v>0.13</v>
      </c>
      <c r="T66" s="4">
        <v>40</v>
      </c>
      <c r="U66" s="4">
        <f t="shared" ref="U66:U129" si="8">(R92*T66)*(1-S66)</f>
        <v>44693.64</v>
      </c>
      <c r="V66">
        <f t="shared" ref="V66:V129" si="9">(P66*T66)</f>
        <v>19940</v>
      </c>
      <c r="W66" s="4">
        <f t="shared" si="5"/>
        <v>24753.64</v>
      </c>
      <c r="X66" s="4">
        <f t="shared" si="6"/>
        <v>0.55385150996875621</v>
      </c>
    </row>
    <row r="67" spans="1:24" x14ac:dyDescent="0.3">
      <c r="A67" t="s">
        <v>224</v>
      </c>
      <c r="B67" s="7">
        <v>45263</v>
      </c>
      <c r="C67" s="2">
        <v>45286</v>
      </c>
      <c r="D67" s="4">
        <f t="shared" si="7"/>
        <v>23</v>
      </c>
      <c r="E67" s="51" t="b">
        <f t="shared" ref="E67:E130" si="10">IF(D67&lt;=7, "Yes")</f>
        <v>0</v>
      </c>
      <c r="F67" s="4" t="str">
        <f>TEXT(Data!B67,"MMM-YYYY")</f>
        <v>Mar-2023</v>
      </c>
      <c r="G67" s="4" t="str">
        <f t="shared" ref="G67:G130" si="11">"Q"&amp;ROUNDUP(MONTH(B67)/3,0)&amp;"-"&amp;YEAR(B67)</f>
        <v>Q4-2023</v>
      </c>
      <c r="H67" t="s">
        <v>52</v>
      </c>
      <c r="I67" t="s">
        <v>73</v>
      </c>
      <c r="J67" t="s">
        <v>225</v>
      </c>
      <c r="K67" t="s">
        <v>27</v>
      </c>
      <c r="L67" t="s">
        <v>20</v>
      </c>
      <c r="M67" t="s">
        <v>68</v>
      </c>
      <c r="N67" t="s">
        <v>42</v>
      </c>
      <c r="O67" t="s">
        <v>226</v>
      </c>
      <c r="P67" s="4">
        <v>1303.1099999999999</v>
      </c>
      <c r="Q67" s="8" t="str">
        <f t="shared" ref="Q67:Q130" si="12">IF(R67&lt;50, "Low", IF(R67&lt;200, "Medium", "High"))</f>
        <v>High</v>
      </c>
      <c r="R67" s="4">
        <v>1145.67</v>
      </c>
      <c r="S67" s="4">
        <v>0.184</v>
      </c>
      <c r="T67" s="4">
        <v>13</v>
      </c>
      <c r="U67" s="4">
        <f t="shared" si="8"/>
        <v>9671.5257600000004</v>
      </c>
      <c r="V67">
        <f t="shared" si="9"/>
        <v>16940.43</v>
      </c>
      <c r="W67" s="4">
        <f t="shared" ref="W67:W130" si="13">(U67-V67)</f>
        <v>-7268.9042399999998</v>
      </c>
      <c r="X67" s="4">
        <f t="shared" ref="X67:X130" si="14">IF(U67=0, 0, W67/U67)</f>
        <v>-0.75157781929952694</v>
      </c>
    </row>
    <row r="68" spans="1:24" x14ac:dyDescent="0.3">
      <c r="A68" t="s">
        <v>227</v>
      </c>
      <c r="B68" s="7">
        <v>45004</v>
      </c>
      <c r="C68" s="2">
        <v>45025</v>
      </c>
      <c r="D68" s="4">
        <f t="shared" ref="D68:D131" si="15">DATEDIF(B68,C68, "MD")</f>
        <v>21</v>
      </c>
      <c r="E68" s="51" t="b">
        <f t="shared" si="10"/>
        <v>0</v>
      </c>
      <c r="F68" s="4" t="str">
        <f>TEXT(Data!B68,"MMM-YYYY")</f>
        <v>May-2024</v>
      </c>
      <c r="G68" s="4" t="str">
        <f t="shared" si="11"/>
        <v>Q1-2023</v>
      </c>
      <c r="H68" t="s">
        <v>78</v>
      </c>
      <c r="I68" t="s">
        <v>108</v>
      </c>
      <c r="J68" t="s">
        <v>228</v>
      </c>
      <c r="K68" t="s">
        <v>48</v>
      </c>
      <c r="L68" t="s">
        <v>20</v>
      </c>
      <c r="M68" t="s">
        <v>49</v>
      </c>
      <c r="N68" t="s">
        <v>81</v>
      </c>
      <c r="O68" t="s">
        <v>229</v>
      </c>
      <c r="P68" s="4">
        <v>1082.17</v>
      </c>
      <c r="Q68" s="8" t="str">
        <f t="shared" si="12"/>
        <v>High</v>
      </c>
      <c r="R68" s="4">
        <v>1234.0999999999999</v>
      </c>
      <c r="S68" s="4">
        <v>0.189</v>
      </c>
      <c r="T68" s="4">
        <v>16</v>
      </c>
      <c r="U68" s="4">
        <f t="shared" si="8"/>
        <v>18232.188319999997</v>
      </c>
      <c r="V68">
        <f t="shared" si="9"/>
        <v>17314.72</v>
      </c>
      <c r="W68" s="4">
        <f t="shared" si="13"/>
        <v>917.46831999999631</v>
      </c>
      <c r="X68" s="4">
        <f t="shared" si="14"/>
        <v>5.0321349467061474E-2</v>
      </c>
    </row>
    <row r="69" spans="1:24" x14ac:dyDescent="0.3">
      <c r="A69" t="s">
        <v>230</v>
      </c>
      <c r="B69" s="7">
        <v>45434</v>
      </c>
      <c r="C69" s="2">
        <v>45449</v>
      </c>
      <c r="D69" s="4">
        <f t="shared" si="15"/>
        <v>15</v>
      </c>
      <c r="E69" s="51" t="b">
        <f t="shared" si="10"/>
        <v>0</v>
      </c>
      <c r="F69" s="4" t="str">
        <f>TEXT(Data!B69,"MMM-YYYY")</f>
        <v>Aug-2023</v>
      </c>
      <c r="G69" s="4" t="str">
        <f t="shared" si="11"/>
        <v>Q2-2024</v>
      </c>
      <c r="H69" t="s">
        <v>45</v>
      </c>
      <c r="I69" t="s">
        <v>46</v>
      </c>
      <c r="J69" t="s">
        <v>231</v>
      </c>
      <c r="K69" t="s">
        <v>19</v>
      </c>
      <c r="L69" t="s">
        <v>55</v>
      </c>
      <c r="M69" t="s">
        <v>21</v>
      </c>
      <c r="N69" t="s">
        <v>64</v>
      </c>
      <c r="O69" t="s">
        <v>232</v>
      </c>
      <c r="P69" s="4">
        <v>673.88</v>
      </c>
      <c r="Q69" s="8" t="str">
        <f t="shared" si="12"/>
        <v>High</v>
      </c>
      <c r="R69" s="4">
        <v>1228.01</v>
      </c>
      <c r="S69" s="4">
        <v>0.105</v>
      </c>
      <c r="T69" s="4">
        <v>13</v>
      </c>
      <c r="U69" s="4">
        <f t="shared" si="8"/>
        <v>11273.616900000001</v>
      </c>
      <c r="V69">
        <f t="shared" si="9"/>
        <v>8760.44</v>
      </c>
      <c r="W69" s="4">
        <f t="shared" si="13"/>
        <v>2513.1769000000004</v>
      </c>
      <c r="X69" s="4">
        <f t="shared" si="14"/>
        <v>0.22292551913840536</v>
      </c>
    </row>
    <row r="70" spans="1:24" x14ac:dyDescent="0.3">
      <c r="A70" t="s">
        <v>233</v>
      </c>
      <c r="B70" s="7">
        <v>45157</v>
      </c>
      <c r="C70" s="2">
        <v>45176</v>
      </c>
      <c r="D70" s="4">
        <f t="shared" si="15"/>
        <v>19</v>
      </c>
      <c r="E70" s="51" t="b">
        <f t="shared" si="10"/>
        <v>0</v>
      </c>
      <c r="F70" s="4" t="str">
        <f>TEXT(Data!B70,"MMM-YYYY")</f>
        <v>Apr-2023</v>
      </c>
      <c r="G70" s="4" t="str">
        <f t="shared" si="11"/>
        <v>Q3-2023</v>
      </c>
      <c r="H70" t="s">
        <v>16</v>
      </c>
      <c r="I70" t="s">
        <v>148</v>
      </c>
      <c r="J70" t="s">
        <v>149</v>
      </c>
      <c r="K70" t="s">
        <v>105</v>
      </c>
      <c r="L70" t="s">
        <v>20</v>
      </c>
      <c r="M70" t="s">
        <v>145</v>
      </c>
      <c r="N70" t="s">
        <v>64</v>
      </c>
      <c r="O70" t="s">
        <v>234</v>
      </c>
      <c r="P70" s="4">
        <v>494.61</v>
      </c>
      <c r="Q70" s="8" t="str">
        <f t="shared" si="12"/>
        <v>High</v>
      </c>
      <c r="R70" s="4">
        <v>605.23</v>
      </c>
      <c r="S70" s="4">
        <v>0.20399999999999999</v>
      </c>
      <c r="T70" s="4">
        <v>18</v>
      </c>
      <c r="U70" s="4">
        <f t="shared" si="8"/>
        <v>15600.46968</v>
      </c>
      <c r="V70">
        <f t="shared" si="9"/>
        <v>8902.98</v>
      </c>
      <c r="W70" s="4">
        <f t="shared" si="13"/>
        <v>6697.4896800000006</v>
      </c>
      <c r="X70" s="4">
        <f t="shared" si="14"/>
        <v>0.42931333590464055</v>
      </c>
    </row>
    <row r="71" spans="1:24" x14ac:dyDescent="0.3">
      <c r="A71" t="s">
        <v>235</v>
      </c>
      <c r="B71" s="7">
        <v>45037</v>
      </c>
      <c r="C71" s="2">
        <v>45056</v>
      </c>
      <c r="D71" s="4">
        <f t="shared" si="15"/>
        <v>19</v>
      </c>
      <c r="E71" s="51" t="b">
        <f t="shared" si="10"/>
        <v>0</v>
      </c>
      <c r="F71" s="4" t="str">
        <f>TEXT(Data!B71,"MMM-YYYY")</f>
        <v>Mar-2024</v>
      </c>
      <c r="G71" s="4" t="str">
        <f t="shared" si="11"/>
        <v>Q2-2023</v>
      </c>
      <c r="H71" t="s">
        <v>45</v>
      </c>
      <c r="I71" t="s">
        <v>116</v>
      </c>
      <c r="J71" t="s">
        <v>162</v>
      </c>
      <c r="K71" t="s">
        <v>19</v>
      </c>
      <c r="L71" t="s">
        <v>20</v>
      </c>
      <c r="M71" t="s">
        <v>75</v>
      </c>
      <c r="N71" t="s">
        <v>22</v>
      </c>
      <c r="O71" t="s">
        <v>236</v>
      </c>
      <c r="P71" s="4">
        <v>882.33</v>
      </c>
      <c r="Q71" s="8" t="str">
        <f t="shared" si="12"/>
        <v>High</v>
      </c>
      <c r="R71" s="4">
        <v>1880.15</v>
      </c>
      <c r="S71" s="4">
        <v>0.05</v>
      </c>
      <c r="T71" s="4">
        <v>5</v>
      </c>
      <c r="U71" s="4">
        <f t="shared" si="8"/>
        <v>11803.702499999998</v>
      </c>
      <c r="V71">
        <f t="shared" si="9"/>
        <v>4411.6500000000005</v>
      </c>
      <c r="W71" s="4">
        <f t="shared" si="13"/>
        <v>7392.0524999999971</v>
      </c>
      <c r="X71" s="4">
        <f t="shared" si="14"/>
        <v>0.6262486283435218</v>
      </c>
    </row>
    <row r="72" spans="1:24" x14ac:dyDescent="0.3">
      <c r="A72" t="s">
        <v>237</v>
      </c>
      <c r="B72" s="7">
        <v>45369</v>
      </c>
      <c r="C72" s="2">
        <v>45372</v>
      </c>
      <c r="D72" s="4">
        <f t="shared" si="15"/>
        <v>3</v>
      </c>
      <c r="E72" s="51" t="str">
        <f t="shared" si="10"/>
        <v>Yes</v>
      </c>
      <c r="F72" s="4" t="str">
        <f>TEXT(Data!B72,"MMM-YYYY")</f>
        <v>Apr-2025</v>
      </c>
      <c r="G72" s="4" t="str">
        <f t="shared" si="11"/>
        <v>Q1-2024</v>
      </c>
      <c r="H72" t="s">
        <v>78</v>
      </c>
      <c r="I72" t="s">
        <v>79</v>
      </c>
      <c r="J72" t="s">
        <v>159</v>
      </c>
      <c r="K72" t="s">
        <v>62</v>
      </c>
      <c r="L72" t="s">
        <v>28</v>
      </c>
      <c r="M72" t="s">
        <v>110</v>
      </c>
      <c r="N72" t="s">
        <v>81</v>
      </c>
      <c r="O72" t="s">
        <v>238</v>
      </c>
      <c r="P72" s="4">
        <v>910.63</v>
      </c>
      <c r="Q72" s="8" t="str">
        <f t="shared" si="12"/>
        <v>High</v>
      </c>
      <c r="R72" s="4">
        <v>1269.4000000000001</v>
      </c>
      <c r="S72" s="4">
        <v>6.8000000000000005E-2</v>
      </c>
      <c r="T72" s="4">
        <v>9</v>
      </c>
      <c r="U72" s="4">
        <f t="shared" si="8"/>
        <v>240.65172000000001</v>
      </c>
      <c r="V72">
        <f t="shared" si="9"/>
        <v>8195.67</v>
      </c>
      <c r="W72" s="4">
        <f t="shared" si="13"/>
        <v>-7955.0182800000002</v>
      </c>
      <c r="X72" s="4">
        <f t="shared" si="14"/>
        <v>-33.05614553679483</v>
      </c>
    </row>
    <row r="73" spans="1:24" x14ac:dyDescent="0.3">
      <c r="A73" t="s">
        <v>239</v>
      </c>
      <c r="B73" s="7">
        <v>45756</v>
      </c>
      <c r="C73" s="2">
        <v>45783</v>
      </c>
      <c r="D73" s="4">
        <f t="shared" si="15"/>
        <v>27</v>
      </c>
      <c r="E73" s="51" t="b">
        <f t="shared" si="10"/>
        <v>0</v>
      </c>
      <c r="F73" s="4" t="str">
        <f>TEXT(Data!B73,"MMM-YYYY")</f>
        <v>Apr-2024</v>
      </c>
      <c r="G73" s="4" t="str">
        <f t="shared" si="11"/>
        <v>Q2-2025</v>
      </c>
      <c r="H73" t="s">
        <v>52</v>
      </c>
      <c r="I73" t="s">
        <v>73</v>
      </c>
      <c r="J73" t="s">
        <v>87</v>
      </c>
      <c r="K73" t="s">
        <v>105</v>
      </c>
      <c r="L73" t="s">
        <v>40</v>
      </c>
      <c r="M73" t="s">
        <v>84</v>
      </c>
      <c r="N73" t="s">
        <v>57</v>
      </c>
      <c r="O73" t="s">
        <v>240</v>
      </c>
      <c r="P73" s="4">
        <v>264.19</v>
      </c>
      <c r="Q73" s="8" t="str">
        <f t="shared" si="12"/>
        <v>High</v>
      </c>
      <c r="R73" s="4">
        <v>620.92999999999995</v>
      </c>
      <c r="S73" s="4">
        <v>0.14199999999999999</v>
      </c>
      <c r="T73" s="4">
        <v>12</v>
      </c>
      <c r="U73" s="4">
        <f t="shared" si="8"/>
        <v>19527.59952</v>
      </c>
      <c r="V73">
        <f t="shared" si="9"/>
        <v>3170.2799999999997</v>
      </c>
      <c r="W73" s="4">
        <f t="shared" si="13"/>
        <v>16357.319520000001</v>
      </c>
      <c r="X73" s="4">
        <f t="shared" si="14"/>
        <v>0.83765132028885447</v>
      </c>
    </row>
    <row r="74" spans="1:24" x14ac:dyDescent="0.3">
      <c r="A74" t="s">
        <v>241</v>
      </c>
      <c r="B74" s="7">
        <v>45394</v>
      </c>
      <c r="C74" s="2">
        <v>45419</v>
      </c>
      <c r="D74" s="4">
        <f t="shared" si="15"/>
        <v>25</v>
      </c>
      <c r="E74" s="51" t="b">
        <f t="shared" si="10"/>
        <v>0</v>
      </c>
      <c r="F74" s="4" t="str">
        <f>TEXT(Data!B74,"MMM-YYYY")</f>
        <v>Dec-2024</v>
      </c>
      <c r="G74" s="4" t="str">
        <f t="shared" si="11"/>
        <v>Q2-2024</v>
      </c>
      <c r="H74" t="s">
        <v>16</v>
      </c>
      <c r="I74" t="s">
        <v>148</v>
      </c>
      <c r="J74" t="s">
        <v>149</v>
      </c>
      <c r="K74" t="s">
        <v>27</v>
      </c>
      <c r="L74" t="s">
        <v>55</v>
      </c>
      <c r="M74" t="s">
        <v>75</v>
      </c>
      <c r="N74" t="s">
        <v>57</v>
      </c>
      <c r="O74" t="s">
        <v>242</v>
      </c>
      <c r="P74" s="4">
        <v>1376.51</v>
      </c>
      <c r="Q74" s="8" t="str">
        <f t="shared" si="12"/>
        <v>High</v>
      </c>
      <c r="R74" s="4">
        <v>1455.91</v>
      </c>
      <c r="S74" s="4">
        <v>0.185</v>
      </c>
      <c r="T74" s="4">
        <v>17</v>
      </c>
      <c r="U74" s="4">
        <f t="shared" si="8"/>
        <v>5807.6003499999997</v>
      </c>
      <c r="V74">
        <f t="shared" si="9"/>
        <v>23400.67</v>
      </c>
      <c r="W74" s="4">
        <f t="shared" si="13"/>
        <v>-17593.069649999998</v>
      </c>
      <c r="X74" s="4">
        <f t="shared" si="14"/>
        <v>-3.0293182364037841</v>
      </c>
    </row>
    <row r="75" spans="1:24" x14ac:dyDescent="0.3">
      <c r="A75" t="s">
        <v>243</v>
      </c>
      <c r="B75" s="7">
        <v>45641</v>
      </c>
      <c r="C75" s="2">
        <v>45646</v>
      </c>
      <c r="D75" s="4">
        <f t="shared" si="15"/>
        <v>5</v>
      </c>
      <c r="E75" s="51" t="str">
        <f t="shared" si="10"/>
        <v>Yes</v>
      </c>
      <c r="F75" s="4" t="str">
        <f>TEXT(Data!B75,"MMM-YYYY")</f>
        <v>May-2023</v>
      </c>
      <c r="G75" s="4" t="str">
        <f t="shared" si="11"/>
        <v>Q4-2024</v>
      </c>
      <c r="H75" t="s">
        <v>45</v>
      </c>
      <c r="I75" t="s">
        <v>116</v>
      </c>
      <c r="J75" t="s">
        <v>117</v>
      </c>
      <c r="K75" t="s">
        <v>62</v>
      </c>
      <c r="L75" t="s">
        <v>98</v>
      </c>
      <c r="M75" t="s">
        <v>29</v>
      </c>
      <c r="N75" t="s">
        <v>35</v>
      </c>
      <c r="O75" t="s">
        <v>244</v>
      </c>
      <c r="P75" s="4">
        <v>717.55</v>
      </c>
      <c r="Q75" s="8" t="str">
        <f t="shared" si="12"/>
        <v>High</v>
      </c>
      <c r="R75" s="4">
        <v>546.42999999999995</v>
      </c>
      <c r="S75" s="4">
        <v>4.7E-2</v>
      </c>
      <c r="T75" s="4">
        <v>18</v>
      </c>
      <c r="U75" s="4">
        <f t="shared" si="8"/>
        <v>34328.070179999995</v>
      </c>
      <c r="V75">
        <f t="shared" si="9"/>
        <v>12915.9</v>
      </c>
      <c r="W75" s="4">
        <f t="shared" si="13"/>
        <v>21412.170179999994</v>
      </c>
      <c r="X75" s="4">
        <f t="shared" si="14"/>
        <v>0.62375106050893059</v>
      </c>
    </row>
    <row r="76" spans="1:24" x14ac:dyDescent="0.3">
      <c r="A76" t="s">
        <v>245</v>
      </c>
      <c r="B76" s="7">
        <v>45066</v>
      </c>
      <c r="C76" s="2">
        <v>45064</v>
      </c>
      <c r="D76" s="4">
        <f>DATEDIF(C76,B76, "MD")</f>
        <v>2</v>
      </c>
      <c r="E76" s="51" t="str">
        <f t="shared" si="10"/>
        <v>Yes</v>
      </c>
      <c r="F76" s="4" t="str">
        <f>TEXT(Data!B76,"MMM-YYYY")</f>
        <v>Sept-2023</v>
      </c>
      <c r="G76" s="4" t="str">
        <f t="shared" si="11"/>
        <v>Q2-2023</v>
      </c>
      <c r="H76" t="s">
        <v>16</v>
      </c>
      <c r="I76" t="s">
        <v>148</v>
      </c>
      <c r="J76" t="s">
        <v>172</v>
      </c>
      <c r="K76" t="s">
        <v>19</v>
      </c>
      <c r="L76" t="s">
        <v>55</v>
      </c>
      <c r="M76" t="s">
        <v>75</v>
      </c>
      <c r="N76" t="s">
        <v>22</v>
      </c>
      <c r="O76" t="s">
        <v>246</v>
      </c>
      <c r="P76" s="4">
        <v>917.88</v>
      </c>
      <c r="Q76" s="8" t="str">
        <f t="shared" si="12"/>
        <v>High</v>
      </c>
      <c r="R76" s="4">
        <v>1347.92</v>
      </c>
      <c r="S76" s="4">
        <v>0.34300000000000003</v>
      </c>
      <c r="T76" s="4">
        <v>5</v>
      </c>
      <c r="U76" s="4">
        <f t="shared" si="8"/>
        <v>10198.97235</v>
      </c>
      <c r="V76">
        <f t="shared" si="9"/>
        <v>4589.3999999999996</v>
      </c>
      <c r="W76" s="4">
        <f t="shared" si="13"/>
        <v>5609.5723500000004</v>
      </c>
      <c r="X76" s="4">
        <f t="shared" si="14"/>
        <v>0.55001348738826616</v>
      </c>
    </row>
    <row r="77" spans="1:24" x14ac:dyDescent="0.3">
      <c r="A77" t="s">
        <v>247</v>
      </c>
      <c r="B77" s="7">
        <v>45187</v>
      </c>
      <c r="C77" s="2">
        <v>45207</v>
      </c>
      <c r="D77" s="4">
        <f t="shared" si="15"/>
        <v>20</v>
      </c>
      <c r="E77" s="51" t="b">
        <f t="shared" si="10"/>
        <v>0</v>
      </c>
      <c r="F77" s="4" t="str">
        <f>TEXT(Data!B77,"MMM-YYYY")</f>
        <v>Aug-2024</v>
      </c>
      <c r="G77" s="4" t="str">
        <f t="shared" si="11"/>
        <v>Q3-2023</v>
      </c>
      <c r="H77" t="s">
        <v>45</v>
      </c>
      <c r="I77" t="s">
        <v>60</v>
      </c>
      <c r="J77" t="s">
        <v>141</v>
      </c>
      <c r="K77" t="s">
        <v>62</v>
      </c>
      <c r="L77" t="s">
        <v>98</v>
      </c>
      <c r="M77" t="s">
        <v>56</v>
      </c>
      <c r="N77" t="s">
        <v>22</v>
      </c>
      <c r="O77" t="s">
        <v>248</v>
      </c>
      <c r="P77" s="4">
        <v>825.64</v>
      </c>
      <c r="Q77" s="8" t="str">
        <f t="shared" si="12"/>
        <v>High</v>
      </c>
      <c r="R77" s="4">
        <v>1108.43</v>
      </c>
      <c r="S77" s="4">
        <v>0.114</v>
      </c>
      <c r="T77" s="4">
        <v>7</v>
      </c>
      <c r="U77" s="4">
        <f t="shared" si="8"/>
        <v>2073.2045600000001</v>
      </c>
      <c r="V77">
        <f t="shared" si="9"/>
        <v>5779.48</v>
      </c>
      <c r="W77" s="4">
        <f t="shared" si="13"/>
        <v>-3706.2754399999994</v>
      </c>
      <c r="X77" s="4">
        <f t="shared" si="14"/>
        <v>-1.7877036890175464</v>
      </c>
    </row>
    <row r="78" spans="1:24" x14ac:dyDescent="0.3">
      <c r="A78" t="s">
        <v>249</v>
      </c>
      <c r="B78" s="7">
        <v>45532</v>
      </c>
      <c r="C78" s="2">
        <v>45560</v>
      </c>
      <c r="D78" s="4">
        <f t="shared" si="15"/>
        <v>28</v>
      </c>
      <c r="E78" s="51" t="b">
        <f t="shared" si="10"/>
        <v>0</v>
      </c>
      <c r="F78" s="4" t="str">
        <f>TEXT(Data!B78,"MMM-YYYY")</f>
        <v>Jun-2024</v>
      </c>
      <c r="G78" s="4" t="str">
        <f t="shared" si="11"/>
        <v>Q3-2024</v>
      </c>
      <c r="H78" t="s">
        <v>52</v>
      </c>
      <c r="I78" t="s">
        <v>73</v>
      </c>
      <c r="J78" t="s">
        <v>225</v>
      </c>
      <c r="K78" t="s">
        <v>39</v>
      </c>
      <c r="L78" t="s">
        <v>28</v>
      </c>
      <c r="M78" t="s">
        <v>1364</v>
      </c>
      <c r="N78" t="s">
        <v>81</v>
      </c>
      <c r="O78" t="s">
        <v>250</v>
      </c>
      <c r="P78" s="4">
        <v>1394.65</v>
      </c>
      <c r="Q78" s="8" t="str">
        <f t="shared" si="12"/>
        <v>High</v>
      </c>
      <c r="R78" s="4">
        <v>3144.1</v>
      </c>
      <c r="S78" s="4">
        <v>0.13400000000000001</v>
      </c>
      <c r="T78" s="4">
        <v>13</v>
      </c>
      <c r="U78" s="4">
        <f t="shared" si="8"/>
        <v>21984.960139999999</v>
      </c>
      <c r="V78">
        <f t="shared" si="9"/>
        <v>18130.45</v>
      </c>
      <c r="W78" s="4">
        <f t="shared" si="13"/>
        <v>3854.5101399999985</v>
      </c>
      <c r="X78" s="4">
        <f t="shared" si="14"/>
        <v>0.17532486370020767</v>
      </c>
    </row>
    <row r="79" spans="1:24" x14ac:dyDescent="0.3">
      <c r="A79" t="s">
        <v>251</v>
      </c>
      <c r="B79" s="7">
        <v>45473</v>
      </c>
      <c r="C79" s="2">
        <v>45471</v>
      </c>
      <c r="D79" s="4">
        <f>DATEDIF(C79,B79, "MD")</f>
        <v>2</v>
      </c>
      <c r="E79" s="51" t="str">
        <f t="shared" si="10"/>
        <v>Yes</v>
      </c>
      <c r="F79" s="4" t="str">
        <f>TEXT(Data!B79,"MMM-YYYY")</f>
        <v>Jun-2023</v>
      </c>
      <c r="G79" s="4" t="str">
        <f t="shared" si="11"/>
        <v>Q2-2024</v>
      </c>
      <c r="H79" t="s">
        <v>52</v>
      </c>
      <c r="I79" t="s">
        <v>73</v>
      </c>
      <c r="J79" t="s">
        <v>225</v>
      </c>
      <c r="K79" t="s">
        <v>62</v>
      </c>
      <c r="L79" t="s">
        <v>98</v>
      </c>
      <c r="M79" t="s">
        <v>49</v>
      </c>
      <c r="N79" t="s">
        <v>81</v>
      </c>
      <c r="O79" t="s">
        <v>252</v>
      </c>
      <c r="P79" s="4">
        <v>1112.98</v>
      </c>
      <c r="Q79" s="8" t="str">
        <f t="shared" si="12"/>
        <v>High</v>
      </c>
      <c r="R79" s="4">
        <v>2095.73</v>
      </c>
      <c r="S79" s="4">
        <v>7.1999999999999995E-2</v>
      </c>
      <c r="T79" s="4">
        <v>17</v>
      </c>
      <c r="U79" s="4">
        <f t="shared" si="8"/>
        <v>3822.3670400000005</v>
      </c>
      <c r="V79">
        <f t="shared" si="9"/>
        <v>18920.66</v>
      </c>
      <c r="W79" s="4">
        <f t="shared" si="13"/>
        <v>-15098.292959999999</v>
      </c>
      <c r="X79" s="4">
        <f t="shared" si="14"/>
        <v>-3.9499851275402365</v>
      </c>
    </row>
    <row r="80" spans="1:24" x14ac:dyDescent="0.3">
      <c r="A80" t="s">
        <v>253</v>
      </c>
      <c r="B80" s="7">
        <v>45091</v>
      </c>
      <c r="C80" s="2">
        <v>45093</v>
      </c>
      <c r="D80" s="4">
        <f t="shared" si="15"/>
        <v>2</v>
      </c>
      <c r="E80" s="51" t="str">
        <f t="shared" si="10"/>
        <v>Yes</v>
      </c>
      <c r="F80" s="4" t="str">
        <f>TEXT(Data!B80,"MMM-YYYY")</f>
        <v>Nov-2024</v>
      </c>
      <c r="G80" s="4" t="str">
        <f t="shared" si="11"/>
        <v>Q2-2023</v>
      </c>
      <c r="H80" t="s">
        <v>78</v>
      </c>
      <c r="I80" t="s">
        <v>108</v>
      </c>
      <c r="J80" t="s">
        <v>228</v>
      </c>
      <c r="K80" t="s">
        <v>39</v>
      </c>
      <c r="L80" t="s">
        <v>98</v>
      </c>
      <c r="M80" t="s">
        <v>95</v>
      </c>
      <c r="N80" t="s">
        <v>22</v>
      </c>
      <c r="O80" t="s">
        <v>254</v>
      </c>
      <c r="P80" s="4">
        <v>357.36</v>
      </c>
      <c r="Q80" s="8" t="str">
        <f t="shared" si="12"/>
        <v>High</v>
      </c>
      <c r="R80" s="4">
        <v>703.62</v>
      </c>
      <c r="S80" s="4">
        <v>0.25700000000000001</v>
      </c>
      <c r="T80" s="4">
        <v>20</v>
      </c>
      <c r="U80" s="4">
        <f t="shared" si="8"/>
        <v>44117.408199999998</v>
      </c>
      <c r="V80">
        <f t="shared" si="9"/>
        <v>7147.2000000000007</v>
      </c>
      <c r="W80" s="4">
        <f t="shared" si="13"/>
        <v>36970.208199999994</v>
      </c>
      <c r="X80" s="4">
        <f t="shared" si="14"/>
        <v>0.83799592288832592</v>
      </c>
    </row>
    <row r="81" spans="1:24" x14ac:dyDescent="0.3">
      <c r="A81" t="s">
        <v>255</v>
      </c>
      <c r="B81" s="7">
        <v>45617</v>
      </c>
      <c r="C81" s="2">
        <v>45647</v>
      </c>
      <c r="D81" s="4">
        <f t="shared" si="15"/>
        <v>0</v>
      </c>
      <c r="E81" s="51" t="str">
        <f t="shared" si="10"/>
        <v>Yes</v>
      </c>
      <c r="F81" s="4" t="str">
        <f>TEXT(Data!B81,"MMM-YYYY")</f>
        <v>Feb-2023</v>
      </c>
      <c r="G81" s="4" t="str">
        <f t="shared" si="11"/>
        <v>Q4-2024</v>
      </c>
      <c r="H81" t="s">
        <v>78</v>
      </c>
      <c r="I81" t="s">
        <v>90</v>
      </c>
      <c r="J81" t="s">
        <v>91</v>
      </c>
      <c r="K81" t="s">
        <v>62</v>
      </c>
      <c r="L81" t="s">
        <v>98</v>
      </c>
      <c r="M81" t="s">
        <v>34</v>
      </c>
      <c r="N81" t="s">
        <v>64</v>
      </c>
      <c r="O81" t="s">
        <v>256</v>
      </c>
      <c r="P81" s="4">
        <v>1122.68</v>
      </c>
      <c r="Q81" s="8" t="str">
        <f t="shared" si="12"/>
        <v>High</v>
      </c>
      <c r="R81" s="4">
        <v>1997.19</v>
      </c>
      <c r="S81" s="4">
        <v>0.186</v>
      </c>
      <c r="T81" s="4">
        <v>3</v>
      </c>
      <c r="U81" s="4">
        <f t="shared" si="8"/>
        <v>3404.8806</v>
      </c>
      <c r="V81">
        <f t="shared" si="9"/>
        <v>3368.04</v>
      </c>
      <c r="W81" s="4">
        <f t="shared" si="13"/>
        <v>36.840599999999995</v>
      </c>
      <c r="X81" s="4">
        <f t="shared" si="14"/>
        <v>1.081993888420052E-2</v>
      </c>
    </row>
    <row r="82" spans="1:24" x14ac:dyDescent="0.3">
      <c r="A82" t="s">
        <v>257</v>
      </c>
      <c r="B82" s="7">
        <v>44965</v>
      </c>
      <c r="C82" s="2">
        <v>44968</v>
      </c>
      <c r="D82" s="4">
        <f t="shared" si="15"/>
        <v>3</v>
      </c>
      <c r="E82" s="51" t="str">
        <f t="shared" si="10"/>
        <v>Yes</v>
      </c>
      <c r="F82" s="4" t="str">
        <f>TEXT(Data!B82,"MMM-YYYY")</f>
        <v>Aug-2023</v>
      </c>
      <c r="G82" s="4" t="str">
        <f t="shared" si="11"/>
        <v>Q1-2023</v>
      </c>
      <c r="H82" t="s">
        <v>16</v>
      </c>
      <c r="I82" t="s">
        <v>148</v>
      </c>
      <c r="J82" t="s">
        <v>258</v>
      </c>
      <c r="K82" t="s">
        <v>19</v>
      </c>
      <c r="L82" t="s">
        <v>98</v>
      </c>
      <c r="M82" t="s">
        <v>110</v>
      </c>
      <c r="N82" t="s">
        <v>35</v>
      </c>
      <c r="O82" t="s">
        <v>259</v>
      </c>
      <c r="P82" s="4">
        <v>1410.05</v>
      </c>
      <c r="Q82" s="8" t="str">
        <f t="shared" si="12"/>
        <v>High</v>
      </c>
      <c r="R82" s="4">
        <v>2763.95</v>
      </c>
      <c r="S82" s="4">
        <v>0.161</v>
      </c>
      <c r="T82" s="4">
        <v>26</v>
      </c>
      <c r="U82" s="4">
        <f t="shared" si="8"/>
        <v>336.15374000000003</v>
      </c>
      <c r="V82">
        <f t="shared" si="9"/>
        <v>36661.299999999996</v>
      </c>
      <c r="W82" s="4">
        <f t="shared" si="13"/>
        <v>-36325.146259999994</v>
      </c>
      <c r="X82" s="4">
        <f t="shared" si="14"/>
        <v>-108.06110995522462</v>
      </c>
    </row>
    <row r="83" spans="1:24" x14ac:dyDescent="0.3">
      <c r="A83" t="s">
        <v>260</v>
      </c>
      <c r="B83" s="7">
        <v>45157</v>
      </c>
      <c r="C83" s="2">
        <v>45181</v>
      </c>
      <c r="D83" s="4">
        <f t="shared" si="15"/>
        <v>24</v>
      </c>
      <c r="E83" s="51" t="b">
        <f t="shared" si="10"/>
        <v>0</v>
      </c>
      <c r="F83" s="4" t="str">
        <f>TEXT(Data!B83,"MMM-YYYY")</f>
        <v>May-2025</v>
      </c>
      <c r="G83" s="4" t="str">
        <f t="shared" si="11"/>
        <v>Q3-2023</v>
      </c>
      <c r="H83" t="s">
        <v>52</v>
      </c>
      <c r="I83" t="s">
        <v>53</v>
      </c>
      <c r="J83" t="s">
        <v>179</v>
      </c>
      <c r="K83" t="s">
        <v>105</v>
      </c>
      <c r="L83" t="s">
        <v>20</v>
      </c>
      <c r="M83" t="s">
        <v>34</v>
      </c>
      <c r="N83" t="s">
        <v>30</v>
      </c>
      <c r="O83" t="s">
        <v>261</v>
      </c>
      <c r="P83" s="4">
        <v>1183.95</v>
      </c>
      <c r="Q83" s="8" t="str">
        <f t="shared" si="12"/>
        <v>High</v>
      </c>
      <c r="R83" s="4">
        <v>1503.53</v>
      </c>
      <c r="S83" s="4">
        <v>0.24099999999999999</v>
      </c>
      <c r="T83" s="4">
        <v>16</v>
      </c>
      <c r="U83" s="4">
        <f t="shared" si="8"/>
        <v>27333.836640000001</v>
      </c>
      <c r="V83">
        <f t="shared" si="9"/>
        <v>18943.2</v>
      </c>
      <c r="W83" s="4">
        <f t="shared" si="13"/>
        <v>8390.6366400000006</v>
      </c>
      <c r="X83" s="4">
        <f t="shared" si="14"/>
        <v>0.30696885879976488</v>
      </c>
    </row>
    <row r="84" spans="1:24" x14ac:dyDescent="0.3">
      <c r="A84" t="s">
        <v>262</v>
      </c>
      <c r="B84" s="7">
        <v>45791</v>
      </c>
      <c r="C84" s="2">
        <v>45801</v>
      </c>
      <c r="D84" s="4">
        <f t="shared" si="15"/>
        <v>10</v>
      </c>
      <c r="E84" s="51" t="b">
        <f t="shared" si="10"/>
        <v>0</v>
      </c>
      <c r="F84" s="4" t="str">
        <f>TEXT(Data!B84,"MMM-YYYY")</f>
        <v>Apr-2025</v>
      </c>
      <c r="G84" s="4" t="str">
        <f t="shared" si="11"/>
        <v>Q2-2025</v>
      </c>
      <c r="H84" t="s">
        <v>78</v>
      </c>
      <c r="I84" t="s">
        <v>90</v>
      </c>
      <c r="J84" t="s">
        <v>217</v>
      </c>
      <c r="K84" t="s">
        <v>62</v>
      </c>
      <c r="L84" t="s">
        <v>40</v>
      </c>
      <c r="M84" t="s">
        <v>95</v>
      </c>
      <c r="N84" t="s">
        <v>22</v>
      </c>
      <c r="O84" t="s">
        <v>263</v>
      </c>
      <c r="P84" s="4">
        <v>170.39</v>
      </c>
      <c r="Q84" s="8" t="str">
        <f t="shared" si="12"/>
        <v>High</v>
      </c>
      <c r="R84" s="4">
        <v>388.04</v>
      </c>
      <c r="S84" s="4">
        <v>8.4000000000000005E-2</v>
      </c>
      <c r="T84" s="4">
        <v>15</v>
      </c>
      <c r="U84" s="4">
        <f t="shared" si="8"/>
        <v>2281.3896</v>
      </c>
      <c r="V84">
        <f t="shared" si="9"/>
        <v>2555.85</v>
      </c>
      <c r="W84" s="4">
        <f t="shared" si="13"/>
        <v>-274.46039999999994</v>
      </c>
      <c r="X84" s="4">
        <f t="shared" si="14"/>
        <v>-0.12030404627074653</v>
      </c>
    </row>
    <row r="85" spans="1:24" x14ac:dyDescent="0.3">
      <c r="A85" t="s">
        <v>264</v>
      </c>
      <c r="B85" s="7">
        <v>45770</v>
      </c>
      <c r="C85" s="2">
        <v>45769</v>
      </c>
      <c r="D85" s="4">
        <f>DATEDIF(C85,B85, "MD")</f>
        <v>1</v>
      </c>
      <c r="E85" s="51" t="str">
        <f t="shared" si="10"/>
        <v>Yes</v>
      </c>
      <c r="F85" s="4" t="str">
        <f>TEXT(Data!B85,"MMM-YYYY")</f>
        <v>Mar-2025</v>
      </c>
      <c r="G85" s="4" t="str">
        <f t="shared" si="11"/>
        <v>Q2-2025</v>
      </c>
      <c r="H85" t="s">
        <v>52</v>
      </c>
      <c r="I85" t="s">
        <v>122</v>
      </c>
      <c r="J85" t="s">
        <v>167</v>
      </c>
      <c r="K85" t="s">
        <v>39</v>
      </c>
      <c r="L85" t="s">
        <v>55</v>
      </c>
      <c r="M85" t="s">
        <v>145</v>
      </c>
      <c r="N85" t="s">
        <v>64</v>
      </c>
      <c r="O85" t="s">
        <v>265</v>
      </c>
      <c r="P85" s="4">
        <v>23.24</v>
      </c>
      <c r="Q85" s="8" t="str">
        <f t="shared" si="12"/>
        <v>Low</v>
      </c>
      <c r="R85" s="4">
        <v>44.57</v>
      </c>
      <c r="S85" s="4">
        <v>0.215</v>
      </c>
      <c r="T85" s="4">
        <v>15</v>
      </c>
      <c r="U85" s="4">
        <f t="shared" si="8"/>
        <v>4198.3762500000003</v>
      </c>
      <c r="V85">
        <f t="shared" si="9"/>
        <v>348.59999999999997</v>
      </c>
      <c r="W85" s="4">
        <f t="shared" si="13"/>
        <v>3849.7762500000003</v>
      </c>
      <c r="X85" s="4">
        <f t="shared" si="14"/>
        <v>0.91696789919674304</v>
      </c>
    </row>
    <row r="86" spans="1:24" x14ac:dyDescent="0.3">
      <c r="A86" t="s">
        <v>266</v>
      </c>
      <c r="B86" s="7">
        <v>45741</v>
      </c>
      <c r="C86" s="2">
        <v>45764</v>
      </c>
      <c r="D86" s="4">
        <f t="shared" si="15"/>
        <v>23</v>
      </c>
      <c r="E86" s="51" t="b">
        <f t="shared" si="10"/>
        <v>0</v>
      </c>
      <c r="F86" s="4" t="str">
        <f>TEXT(Data!B86,"MMM-YYYY")</f>
        <v>Dec-2023</v>
      </c>
      <c r="G86" s="4" t="str">
        <f t="shared" si="11"/>
        <v>Q1-2025</v>
      </c>
      <c r="H86" t="s">
        <v>78</v>
      </c>
      <c r="I86" t="s">
        <v>108</v>
      </c>
      <c r="J86" t="s">
        <v>152</v>
      </c>
      <c r="K86" t="s">
        <v>48</v>
      </c>
      <c r="L86" t="s">
        <v>20</v>
      </c>
      <c r="M86" t="s">
        <v>92</v>
      </c>
      <c r="N86" t="s">
        <v>35</v>
      </c>
      <c r="O86" t="s">
        <v>267</v>
      </c>
      <c r="P86" s="4">
        <v>1421.19</v>
      </c>
      <c r="Q86" s="8" t="str">
        <f t="shared" si="12"/>
        <v>High</v>
      </c>
      <c r="R86" s="4">
        <v>1808.26</v>
      </c>
      <c r="S86" s="4">
        <v>0.104</v>
      </c>
      <c r="T86" s="4">
        <v>13</v>
      </c>
      <c r="U86" s="4">
        <f t="shared" si="8"/>
        <v>11939.7824</v>
      </c>
      <c r="V86">
        <f t="shared" si="9"/>
        <v>18475.47</v>
      </c>
      <c r="W86" s="4">
        <f t="shared" si="13"/>
        <v>-6535.6876000000011</v>
      </c>
      <c r="X86" s="4">
        <f t="shared" si="14"/>
        <v>-0.54738749677716081</v>
      </c>
    </row>
    <row r="87" spans="1:24" x14ac:dyDescent="0.3">
      <c r="A87" t="s">
        <v>268</v>
      </c>
      <c r="B87" s="7">
        <v>45282</v>
      </c>
      <c r="C87" s="2">
        <v>45283</v>
      </c>
      <c r="D87" s="4">
        <f t="shared" si="15"/>
        <v>1</v>
      </c>
      <c r="E87" s="51" t="str">
        <f t="shared" si="10"/>
        <v>Yes</v>
      </c>
      <c r="F87" s="4" t="str">
        <f>TEXT(Data!B87,"MMM-YYYY")</f>
        <v>Apr-2024</v>
      </c>
      <c r="G87" s="4" t="str">
        <f t="shared" si="11"/>
        <v>Q4-2023</v>
      </c>
      <c r="H87" t="s">
        <v>16</v>
      </c>
      <c r="I87" t="s">
        <v>148</v>
      </c>
      <c r="J87" t="s">
        <v>258</v>
      </c>
      <c r="K87" t="s">
        <v>39</v>
      </c>
      <c r="L87" t="s">
        <v>40</v>
      </c>
      <c r="M87" t="s">
        <v>145</v>
      </c>
      <c r="N87" t="s">
        <v>22</v>
      </c>
      <c r="O87" t="s">
        <v>269</v>
      </c>
      <c r="P87" s="4">
        <v>1186.18</v>
      </c>
      <c r="Q87" s="8" t="str">
        <f t="shared" si="12"/>
        <v>High</v>
      </c>
      <c r="R87" s="4">
        <v>1285.0899999999999</v>
      </c>
      <c r="S87" s="4">
        <v>7.0000000000000007E-2</v>
      </c>
      <c r="T87" s="4">
        <v>11</v>
      </c>
      <c r="U87" s="4">
        <f t="shared" si="8"/>
        <v>18364.589100000001</v>
      </c>
      <c r="V87">
        <f t="shared" si="9"/>
        <v>13047.980000000001</v>
      </c>
      <c r="W87" s="4">
        <f t="shared" si="13"/>
        <v>5316.6090999999997</v>
      </c>
      <c r="X87" s="4">
        <f t="shared" si="14"/>
        <v>0.28950329740838032</v>
      </c>
    </row>
    <row r="88" spans="1:24" x14ac:dyDescent="0.3">
      <c r="A88" t="s">
        <v>270</v>
      </c>
      <c r="B88" s="7">
        <v>45388</v>
      </c>
      <c r="C88" s="2">
        <v>45407</v>
      </c>
      <c r="D88" s="4">
        <f t="shared" si="15"/>
        <v>19</v>
      </c>
      <c r="E88" s="51" t="b">
        <f t="shared" si="10"/>
        <v>0</v>
      </c>
      <c r="F88" s="4" t="str">
        <f>TEXT(Data!B88,"MMM-YYYY")</f>
        <v>Aug-2025</v>
      </c>
      <c r="G88" s="4" t="str">
        <f t="shared" si="11"/>
        <v>Q2-2024</v>
      </c>
      <c r="H88" t="s">
        <v>45</v>
      </c>
      <c r="I88" t="s">
        <v>116</v>
      </c>
      <c r="J88" t="s">
        <v>162</v>
      </c>
      <c r="K88" t="s">
        <v>19</v>
      </c>
      <c r="L88" t="s">
        <v>20</v>
      </c>
      <c r="M88" t="s">
        <v>95</v>
      </c>
      <c r="N88" t="s">
        <v>22</v>
      </c>
      <c r="O88" t="s">
        <v>271</v>
      </c>
      <c r="P88" s="4">
        <v>1366.48</v>
      </c>
      <c r="Q88" s="8" t="str">
        <f t="shared" si="12"/>
        <v>High</v>
      </c>
      <c r="R88" s="4">
        <v>1678.14</v>
      </c>
      <c r="S88" s="4">
        <v>0.154</v>
      </c>
      <c r="T88" s="4">
        <v>10</v>
      </c>
      <c r="U88" s="4">
        <f t="shared" si="8"/>
        <v>36.970199999999998</v>
      </c>
      <c r="V88">
        <f t="shared" si="9"/>
        <v>13664.8</v>
      </c>
      <c r="W88" s="4">
        <f t="shared" si="13"/>
        <v>-13627.8298</v>
      </c>
      <c r="X88" s="4">
        <f t="shared" si="14"/>
        <v>-368.61661013464897</v>
      </c>
    </row>
    <row r="89" spans="1:24" x14ac:dyDescent="0.3">
      <c r="A89" t="s">
        <v>272</v>
      </c>
      <c r="B89" s="7">
        <v>45876</v>
      </c>
      <c r="C89" s="2">
        <v>45888</v>
      </c>
      <c r="D89" s="4">
        <f t="shared" si="15"/>
        <v>12</v>
      </c>
      <c r="E89" s="51" t="b">
        <f t="shared" si="10"/>
        <v>0</v>
      </c>
      <c r="F89" s="4" t="str">
        <f>TEXT(Data!B89,"MMM-YYYY")</f>
        <v>Jan-2024</v>
      </c>
      <c r="G89" s="4" t="str">
        <f t="shared" si="11"/>
        <v>Q3-2025</v>
      </c>
      <c r="H89" t="s">
        <v>16</v>
      </c>
      <c r="I89" t="s">
        <v>17</v>
      </c>
      <c r="J89" t="s">
        <v>135</v>
      </c>
      <c r="K89" t="s">
        <v>19</v>
      </c>
      <c r="L89" t="s">
        <v>1364</v>
      </c>
      <c r="M89" t="s">
        <v>110</v>
      </c>
      <c r="N89" t="s">
        <v>22</v>
      </c>
      <c r="O89" t="s">
        <v>273</v>
      </c>
      <c r="P89" s="4">
        <v>601.51</v>
      </c>
      <c r="Q89" s="8" t="str">
        <f t="shared" si="12"/>
        <v>High</v>
      </c>
      <c r="R89" s="4">
        <v>679.35</v>
      </c>
      <c r="S89" s="4">
        <v>0.188</v>
      </c>
      <c r="T89" s="4">
        <v>3</v>
      </c>
      <c r="U89" s="4">
        <f t="shared" si="8"/>
        <v>532.26600000000008</v>
      </c>
      <c r="V89">
        <f t="shared" si="9"/>
        <v>1804.53</v>
      </c>
      <c r="W89" s="4">
        <f t="shared" si="13"/>
        <v>-1272.2639999999999</v>
      </c>
      <c r="X89" s="4">
        <f t="shared" si="14"/>
        <v>-2.3902785449380568</v>
      </c>
    </row>
    <row r="90" spans="1:24" x14ac:dyDescent="0.3">
      <c r="A90" t="s">
        <v>274</v>
      </c>
      <c r="B90" s="7">
        <v>45312</v>
      </c>
      <c r="C90" s="2">
        <v>45316</v>
      </c>
      <c r="D90" s="4">
        <f t="shared" si="15"/>
        <v>4</v>
      </c>
      <c r="E90" s="51" t="str">
        <f t="shared" si="10"/>
        <v>Yes</v>
      </c>
      <c r="F90" s="4" t="str">
        <f>TEXT(Data!B90,"MMM-YYYY")</f>
        <v>Jun-2023</v>
      </c>
      <c r="G90" s="4" t="str">
        <f t="shared" si="11"/>
        <v>Q1-2024</v>
      </c>
      <c r="H90" t="s">
        <v>45</v>
      </c>
      <c r="I90" t="s">
        <v>60</v>
      </c>
      <c r="J90" t="s">
        <v>141</v>
      </c>
      <c r="K90" t="s">
        <v>48</v>
      </c>
      <c r="L90" t="s">
        <v>98</v>
      </c>
      <c r="M90" t="s">
        <v>21</v>
      </c>
      <c r="N90" t="s">
        <v>64</v>
      </c>
      <c r="O90" t="s">
        <v>275</v>
      </c>
      <c r="P90" s="4">
        <v>523.70000000000005</v>
      </c>
      <c r="Q90" s="8" t="str">
        <f t="shared" si="12"/>
        <v>High</v>
      </c>
      <c r="R90" s="4">
        <v>1109.92</v>
      </c>
      <c r="S90" s="4">
        <v>0.03</v>
      </c>
      <c r="T90" s="4">
        <v>11</v>
      </c>
      <c r="U90" s="4">
        <f t="shared" si="8"/>
        <v>2666.1129000000001</v>
      </c>
      <c r="V90">
        <f t="shared" si="9"/>
        <v>5760.7000000000007</v>
      </c>
      <c r="W90" s="4">
        <f t="shared" si="13"/>
        <v>-3094.5871000000006</v>
      </c>
      <c r="X90" s="4">
        <f t="shared" si="14"/>
        <v>-1.160711198689298</v>
      </c>
    </row>
    <row r="91" spans="1:24" x14ac:dyDescent="0.3">
      <c r="A91" t="s">
        <v>276</v>
      </c>
      <c r="B91" s="7">
        <v>45106</v>
      </c>
      <c r="C91" s="2">
        <v>45109</v>
      </c>
      <c r="D91" s="4">
        <f t="shared" si="15"/>
        <v>3</v>
      </c>
      <c r="E91" s="51" t="str">
        <f t="shared" si="10"/>
        <v>Yes</v>
      </c>
      <c r="F91" s="4" t="str">
        <f>TEXT(Data!B91,"MMM-YYYY")</f>
        <v>Apr-2025</v>
      </c>
      <c r="G91" s="4" t="str">
        <f t="shared" si="11"/>
        <v>Q2-2023</v>
      </c>
      <c r="H91" t="s">
        <v>45</v>
      </c>
      <c r="I91" t="s">
        <v>46</v>
      </c>
      <c r="J91" t="s">
        <v>231</v>
      </c>
      <c r="K91" t="s">
        <v>27</v>
      </c>
      <c r="L91" t="s">
        <v>40</v>
      </c>
      <c r="M91" t="s">
        <v>84</v>
      </c>
      <c r="N91" t="s">
        <v>64</v>
      </c>
      <c r="O91" t="s">
        <v>277</v>
      </c>
      <c r="P91" s="4">
        <v>55.65</v>
      </c>
      <c r="Q91" s="8" t="str">
        <f t="shared" si="12"/>
        <v>Medium</v>
      </c>
      <c r="R91" s="4">
        <v>83.57</v>
      </c>
      <c r="S91" s="4">
        <v>6.6000000000000003E-2</v>
      </c>
      <c r="T91" s="4">
        <v>8</v>
      </c>
      <c r="U91" s="4">
        <f t="shared" si="8"/>
        <v>25677.677439999999</v>
      </c>
      <c r="V91">
        <f t="shared" si="9"/>
        <v>445.2</v>
      </c>
      <c r="W91" s="4">
        <f t="shared" si="13"/>
        <v>25232.477439999999</v>
      </c>
      <c r="X91" s="4">
        <f t="shared" si="14"/>
        <v>0.98266198331059018</v>
      </c>
    </row>
    <row r="92" spans="1:24" x14ac:dyDescent="0.3">
      <c r="A92" t="s">
        <v>278</v>
      </c>
      <c r="B92" s="7">
        <v>45775</v>
      </c>
      <c r="C92" s="2">
        <v>45792</v>
      </c>
      <c r="D92" s="4">
        <f t="shared" si="15"/>
        <v>17</v>
      </c>
      <c r="E92" s="51" t="b">
        <f t="shared" si="10"/>
        <v>0</v>
      </c>
      <c r="F92" s="4" t="str">
        <f>TEXT(Data!B92,"MMM-YYYY")</f>
        <v>Jun-2025</v>
      </c>
      <c r="G92" s="4" t="str">
        <f t="shared" si="11"/>
        <v>Q2-2025</v>
      </c>
      <c r="H92" t="s">
        <v>45</v>
      </c>
      <c r="I92" t="s">
        <v>46</v>
      </c>
      <c r="J92" t="s">
        <v>231</v>
      </c>
      <c r="K92" t="s">
        <v>27</v>
      </c>
      <c r="L92" t="s">
        <v>98</v>
      </c>
      <c r="M92" t="s">
        <v>126</v>
      </c>
      <c r="N92" t="s">
        <v>35</v>
      </c>
      <c r="O92" t="s">
        <v>279</v>
      </c>
      <c r="P92" s="4">
        <v>691.19</v>
      </c>
      <c r="Q92" s="8" t="str">
        <f t="shared" si="12"/>
        <v>High</v>
      </c>
      <c r="R92" s="4">
        <v>1284.3</v>
      </c>
      <c r="S92" s="4">
        <v>7.3999999999999996E-2</v>
      </c>
      <c r="T92" s="4">
        <v>7</v>
      </c>
      <c r="U92" s="4">
        <f t="shared" si="8"/>
        <v>346.46290000000005</v>
      </c>
      <c r="V92">
        <f t="shared" si="9"/>
        <v>4838.33</v>
      </c>
      <c r="W92" s="4">
        <f t="shared" si="13"/>
        <v>-4491.8670999999995</v>
      </c>
      <c r="X92" s="4">
        <f t="shared" si="14"/>
        <v>-12.964929578318483</v>
      </c>
    </row>
    <row r="93" spans="1:24" x14ac:dyDescent="0.3">
      <c r="A93" t="s">
        <v>280</v>
      </c>
      <c r="B93" s="7">
        <v>45817</v>
      </c>
      <c r="C93" s="2">
        <v>45833</v>
      </c>
      <c r="D93" s="4">
        <f t="shared" si="15"/>
        <v>16</v>
      </c>
      <c r="E93" s="51" t="b">
        <f t="shared" si="10"/>
        <v>0</v>
      </c>
      <c r="F93" s="4" t="str">
        <f>TEXT(Data!B93,"MMM-YYYY")</f>
        <v>Jun-2023</v>
      </c>
      <c r="G93" s="4" t="str">
        <f t="shared" si="11"/>
        <v>Q2-2025</v>
      </c>
      <c r="H93" t="s">
        <v>45</v>
      </c>
      <c r="I93" t="s">
        <v>60</v>
      </c>
      <c r="J93" t="s">
        <v>281</v>
      </c>
      <c r="K93" t="s">
        <v>105</v>
      </c>
      <c r="L93" t="s">
        <v>55</v>
      </c>
      <c r="M93" t="s">
        <v>110</v>
      </c>
      <c r="N93" t="s">
        <v>42</v>
      </c>
      <c r="O93" t="s">
        <v>282</v>
      </c>
      <c r="P93" s="4">
        <v>527.33000000000004</v>
      </c>
      <c r="Q93" s="8" t="str">
        <f t="shared" si="12"/>
        <v>High</v>
      </c>
      <c r="R93" s="4">
        <v>911.72</v>
      </c>
      <c r="S93" s="4">
        <v>0.14399999999999999</v>
      </c>
      <c r="T93" s="4">
        <v>25</v>
      </c>
      <c r="U93" s="4">
        <f t="shared" si="8"/>
        <v>74251.58</v>
      </c>
      <c r="V93">
        <f t="shared" si="9"/>
        <v>13183.250000000002</v>
      </c>
      <c r="W93" s="4">
        <f t="shared" si="13"/>
        <v>61068.33</v>
      </c>
      <c r="X93" s="4">
        <f t="shared" si="14"/>
        <v>0.82245158958233622</v>
      </c>
    </row>
    <row r="94" spans="1:24" x14ac:dyDescent="0.3">
      <c r="A94" t="s">
        <v>283</v>
      </c>
      <c r="B94" s="7">
        <v>45101</v>
      </c>
      <c r="C94" s="2">
        <v>45100</v>
      </c>
      <c r="D94" s="4">
        <f>DATEDIF(C94,B94, "MD")</f>
        <v>1</v>
      </c>
      <c r="E94" s="51" t="str">
        <f t="shared" si="10"/>
        <v>Yes</v>
      </c>
      <c r="F94" s="4" t="str">
        <f>TEXT(Data!B94,"MMM-YYYY")</f>
        <v>Oct-2024</v>
      </c>
      <c r="G94" s="4" t="str">
        <f t="shared" si="11"/>
        <v>Q2-2023</v>
      </c>
      <c r="H94" t="s">
        <v>52</v>
      </c>
      <c r="I94" t="s">
        <v>73</v>
      </c>
      <c r="J94" t="s">
        <v>225</v>
      </c>
      <c r="K94" t="s">
        <v>39</v>
      </c>
      <c r="L94" t="s">
        <v>20</v>
      </c>
      <c r="M94" t="s">
        <v>63</v>
      </c>
      <c r="N94" t="s">
        <v>30</v>
      </c>
      <c r="O94" t="s">
        <v>284</v>
      </c>
      <c r="P94" s="4">
        <v>804.01</v>
      </c>
      <c r="Q94" s="8" t="str">
        <f t="shared" si="12"/>
        <v>High</v>
      </c>
      <c r="R94" s="4">
        <v>1405.07</v>
      </c>
      <c r="S94" s="4">
        <v>9.6000000000000002E-2</v>
      </c>
      <c r="T94" s="4">
        <v>8</v>
      </c>
      <c r="U94" s="4">
        <f t="shared" si="8"/>
        <v>4491.2166399999996</v>
      </c>
      <c r="V94">
        <f t="shared" si="9"/>
        <v>6432.08</v>
      </c>
      <c r="W94" s="4">
        <f t="shared" si="13"/>
        <v>-1940.8633600000003</v>
      </c>
      <c r="X94" s="4">
        <f t="shared" si="14"/>
        <v>-0.43214645731273393</v>
      </c>
    </row>
    <row r="95" spans="1:24" x14ac:dyDescent="0.3">
      <c r="A95" t="s">
        <v>285</v>
      </c>
      <c r="B95" s="7">
        <v>45569</v>
      </c>
      <c r="C95" s="2">
        <v>45598</v>
      </c>
      <c r="D95" s="4">
        <f t="shared" si="15"/>
        <v>29</v>
      </c>
      <c r="E95" s="51" t="b">
        <f t="shared" si="10"/>
        <v>0</v>
      </c>
      <c r="F95" s="4" t="str">
        <f>TEXT(Data!B95,"MMM-YYYY")</f>
        <v>Sept-2025</v>
      </c>
      <c r="G95" s="4" t="str">
        <f t="shared" si="11"/>
        <v>Q4-2024</v>
      </c>
      <c r="H95" t="s">
        <v>16</v>
      </c>
      <c r="I95" t="s">
        <v>25</v>
      </c>
      <c r="J95" t="s">
        <v>67</v>
      </c>
      <c r="K95" t="s">
        <v>19</v>
      </c>
      <c r="L95" t="s">
        <v>55</v>
      </c>
      <c r="M95" t="s">
        <v>84</v>
      </c>
      <c r="N95" t="s">
        <v>81</v>
      </c>
      <c r="O95" t="s">
        <v>286</v>
      </c>
      <c r="P95" s="4">
        <v>412.09</v>
      </c>
      <c r="Q95" s="8" t="str">
        <f t="shared" si="12"/>
        <v>High</v>
      </c>
      <c r="R95" s="4">
        <v>968.94</v>
      </c>
      <c r="S95" s="4">
        <v>9.9000000000000005E-2</v>
      </c>
      <c r="T95" s="4">
        <v>23</v>
      </c>
      <c r="U95" s="4">
        <f t="shared" si="8"/>
        <v>1834.19273</v>
      </c>
      <c r="V95">
        <f t="shared" si="9"/>
        <v>9478.07</v>
      </c>
      <c r="W95" s="4">
        <f t="shared" si="13"/>
        <v>-7643.87727</v>
      </c>
      <c r="X95" s="4">
        <f t="shared" si="14"/>
        <v>-4.1674340678473847</v>
      </c>
    </row>
    <row r="96" spans="1:24" x14ac:dyDescent="0.3">
      <c r="A96" t="s">
        <v>287</v>
      </c>
      <c r="B96" s="7">
        <v>45910</v>
      </c>
      <c r="C96" s="2">
        <v>45930</v>
      </c>
      <c r="D96" s="4">
        <f t="shared" si="15"/>
        <v>20</v>
      </c>
      <c r="E96" s="51" t="b">
        <f t="shared" si="10"/>
        <v>0</v>
      </c>
      <c r="F96" s="4" t="str">
        <f>TEXT(Data!B96,"MMM-YYYY")</f>
        <v>Apr-2023</v>
      </c>
      <c r="G96" s="4" t="str">
        <f t="shared" si="11"/>
        <v>Q3-2025</v>
      </c>
      <c r="H96" t="s">
        <v>16</v>
      </c>
      <c r="I96" t="s">
        <v>17</v>
      </c>
      <c r="J96" t="s">
        <v>113</v>
      </c>
      <c r="K96" t="s">
        <v>19</v>
      </c>
      <c r="L96" t="s">
        <v>98</v>
      </c>
      <c r="M96" t="s">
        <v>49</v>
      </c>
      <c r="N96" t="s">
        <v>42</v>
      </c>
      <c r="O96" t="s">
        <v>288</v>
      </c>
      <c r="P96" s="4">
        <v>1009.48</v>
      </c>
      <c r="Q96" s="8" t="str">
        <f t="shared" si="12"/>
        <v>High</v>
      </c>
      <c r="R96" s="4">
        <v>1088.81</v>
      </c>
      <c r="S96" s="4">
        <v>0.16</v>
      </c>
      <c r="T96" s="4">
        <v>6</v>
      </c>
      <c r="U96" s="4">
        <f t="shared" si="8"/>
        <v>9873.8135999999995</v>
      </c>
      <c r="V96">
        <f t="shared" si="9"/>
        <v>6056.88</v>
      </c>
      <c r="W96" s="4">
        <f t="shared" si="13"/>
        <v>3816.9335999999994</v>
      </c>
      <c r="X96" s="4">
        <f t="shared" si="14"/>
        <v>0.38657136488782812</v>
      </c>
    </row>
    <row r="97" spans="1:24" x14ac:dyDescent="0.3">
      <c r="A97" t="s">
        <v>289</v>
      </c>
      <c r="B97" s="7">
        <v>45022</v>
      </c>
      <c r="C97" s="2">
        <v>45043</v>
      </c>
      <c r="D97" s="4">
        <f t="shared" si="15"/>
        <v>21</v>
      </c>
      <c r="E97" s="51" t="b">
        <f t="shared" si="10"/>
        <v>0</v>
      </c>
      <c r="F97" s="4" t="str">
        <f>TEXT(Data!B97,"MMM-YYYY")</f>
        <v>Aug-2025</v>
      </c>
      <c r="G97" s="4" t="str">
        <f t="shared" si="11"/>
        <v>Q2-2023</v>
      </c>
      <c r="H97" t="s">
        <v>78</v>
      </c>
      <c r="I97" t="s">
        <v>108</v>
      </c>
      <c r="J97" t="s">
        <v>228</v>
      </c>
      <c r="K97" t="s">
        <v>105</v>
      </c>
      <c r="L97" t="s">
        <v>55</v>
      </c>
      <c r="M97" t="s">
        <v>34</v>
      </c>
      <c r="N97" t="s">
        <v>30</v>
      </c>
      <c r="O97" t="s">
        <v>290</v>
      </c>
      <c r="P97" s="4">
        <v>1084.79</v>
      </c>
      <c r="Q97" s="8" t="str">
        <f t="shared" si="12"/>
        <v>High</v>
      </c>
      <c r="R97" s="4">
        <v>2484.9899999999998</v>
      </c>
      <c r="S97" s="4">
        <v>3.4000000000000002E-2</v>
      </c>
      <c r="T97" s="4">
        <v>18</v>
      </c>
      <c r="U97" s="4">
        <f t="shared" si="8"/>
        <v>47694.762360000001</v>
      </c>
      <c r="V97">
        <f t="shared" si="9"/>
        <v>19526.22</v>
      </c>
      <c r="W97" s="4">
        <f t="shared" si="13"/>
        <v>28168.542359999999</v>
      </c>
      <c r="X97" s="4">
        <f t="shared" si="14"/>
        <v>0.59060032939013052</v>
      </c>
    </row>
    <row r="98" spans="1:24" x14ac:dyDescent="0.3">
      <c r="A98" t="s">
        <v>291</v>
      </c>
      <c r="B98" s="7">
        <v>45870</v>
      </c>
      <c r="C98" s="2">
        <v>45885</v>
      </c>
      <c r="D98" s="4">
        <f t="shared" si="15"/>
        <v>15</v>
      </c>
      <c r="E98" s="51" t="b">
        <f t="shared" si="10"/>
        <v>0</v>
      </c>
      <c r="F98" s="4" t="str">
        <f>TEXT(Data!B98,"MMM-YYYY")</f>
        <v>May-2024</v>
      </c>
      <c r="G98" s="4" t="str">
        <f t="shared" si="11"/>
        <v>Q3-2025</v>
      </c>
      <c r="H98" t="s">
        <v>45</v>
      </c>
      <c r="I98" t="s">
        <v>60</v>
      </c>
      <c r="J98" t="s">
        <v>1364</v>
      </c>
      <c r="K98" t="s">
        <v>105</v>
      </c>
      <c r="L98" t="s">
        <v>98</v>
      </c>
      <c r="M98" t="s">
        <v>68</v>
      </c>
      <c r="N98" t="s">
        <v>64</v>
      </c>
      <c r="O98" t="s">
        <v>292</v>
      </c>
      <c r="P98" s="4">
        <v>24.44</v>
      </c>
      <c r="Q98" s="8" t="str">
        <f t="shared" si="12"/>
        <v>Low</v>
      </c>
      <c r="R98" s="4">
        <v>28.69</v>
      </c>
      <c r="S98" s="4">
        <v>0.14599999999999999</v>
      </c>
      <c r="T98" s="4">
        <v>6</v>
      </c>
      <c r="U98" s="4">
        <f t="shared" si="8"/>
        <v>8605.3480799999998</v>
      </c>
      <c r="V98">
        <f t="shared" si="9"/>
        <v>146.64000000000001</v>
      </c>
      <c r="W98" s="4">
        <f t="shared" si="13"/>
        <v>8458.7080800000003</v>
      </c>
      <c r="X98" s="4">
        <f t="shared" si="14"/>
        <v>0.98295943422197984</v>
      </c>
    </row>
    <row r="99" spans="1:24" x14ac:dyDescent="0.3">
      <c r="A99" t="s">
        <v>293</v>
      </c>
      <c r="B99" s="7">
        <v>45440</v>
      </c>
      <c r="C99" s="2">
        <v>45438</v>
      </c>
      <c r="D99" s="4">
        <f>DATEDIF(C99,B99, "MD")</f>
        <v>2</v>
      </c>
      <c r="E99" s="51" t="str">
        <f t="shared" si="10"/>
        <v>Yes</v>
      </c>
      <c r="F99" s="4" t="str">
        <f>TEXT(Data!B99,"MMM-YYYY")</f>
        <v>Jul-2025</v>
      </c>
      <c r="G99" s="4" t="str">
        <f t="shared" si="11"/>
        <v>Q2-2024</v>
      </c>
      <c r="H99" t="s">
        <v>16</v>
      </c>
      <c r="I99" t="s">
        <v>25</v>
      </c>
      <c r="J99" t="s">
        <v>67</v>
      </c>
      <c r="K99" t="s">
        <v>105</v>
      </c>
      <c r="L99" t="s">
        <v>28</v>
      </c>
      <c r="M99" t="s">
        <v>84</v>
      </c>
      <c r="N99" t="s">
        <v>81</v>
      </c>
      <c r="O99" t="s">
        <v>294</v>
      </c>
      <c r="P99" s="4">
        <v>1227.08</v>
      </c>
      <c r="Q99" s="8" t="str">
        <f t="shared" si="12"/>
        <v>High</v>
      </c>
      <c r="R99" s="4">
        <v>1896.62</v>
      </c>
      <c r="S99" s="4">
        <v>0</v>
      </c>
      <c r="T99" s="4">
        <v>18</v>
      </c>
      <c r="U99" s="4">
        <f t="shared" si="8"/>
        <v>25810.2</v>
      </c>
      <c r="V99">
        <f t="shared" si="9"/>
        <v>22087.439999999999</v>
      </c>
      <c r="W99" s="4">
        <f t="shared" si="13"/>
        <v>3722.760000000002</v>
      </c>
      <c r="X99" s="4">
        <f t="shared" si="14"/>
        <v>0.14423599972104059</v>
      </c>
    </row>
    <row r="100" spans="1:24" x14ac:dyDescent="0.3">
      <c r="A100" t="s">
        <v>295</v>
      </c>
      <c r="B100" s="7">
        <v>45860</v>
      </c>
      <c r="C100" s="2">
        <v>45887</v>
      </c>
      <c r="D100" s="4">
        <f t="shared" si="15"/>
        <v>27</v>
      </c>
      <c r="E100" s="51" t="b">
        <f t="shared" si="10"/>
        <v>0</v>
      </c>
      <c r="F100" s="4" t="str">
        <f>TEXT(Data!B100,"MMM-YYYY")</f>
        <v>Feb-2023</v>
      </c>
      <c r="G100" s="4" t="str">
        <f t="shared" si="11"/>
        <v>Q3-2025</v>
      </c>
      <c r="H100" t="s">
        <v>45</v>
      </c>
      <c r="I100" t="s">
        <v>116</v>
      </c>
      <c r="J100" t="s">
        <v>117</v>
      </c>
      <c r="K100" t="s">
        <v>39</v>
      </c>
      <c r="L100" t="s">
        <v>40</v>
      </c>
      <c r="M100" t="s">
        <v>110</v>
      </c>
      <c r="N100" t="s">
        <v>35</v>
      </c>
      <c r="O100" t="s">
        <v>296</v>
      </c>
      <c r="P100" s="4">
        <v>547.32000000000005</v>
      </c>
      <c r="Q100" s="8" t="str">
        <f t="shared" si="12"/>
        <v>High</v>
      </c>
      <c r="R100" s="4">
        <v>419.17</v>
      </c>
      <c r="S100" s="4">
        <v>9.1999999999999998E-2</v>
      </c>
      <c r="T100" s="4">
        <v>14</v>
      </c>
      <c r="U100" s="4">
        <f t="shared" si="8"/>
        <v>3615.67416</v>
      </c>
      <c r="V100">
        <f t="shared" si="9"/>
        <v>7662.4800000000005</v>
      </c>
      <c r="W100" s="4">
        <f t="shared" si="13"/>
        <v>-4046.8058400000004</v>
      </c>
      <c r="X100" s="4">
        <f t="shared" si="14"/>
        <v>-1.1192396385630061</v>
      </c>
    </row>
    <row r="101" spans="1:24" x14ac:dyDescent="0.3">
      <c r="A101" t="s">
        <v>297</v>
      </c>
      <c r="B101" s="7">
        <v>44985</v>
      </c>
      <c r="C101" s="2">
        <v>45005</v>
      </c>
      <c r="D101" s="4">
        <f t="shared" si="15"/>
        <v>20</v>
      </c>
      <c r="E101" s="51" t="b">
        <f t="shared" si="10"/>
        <v>0</v>
      </c>
      <c r="F101" s="4" t="str">
        <f>TEXT(Data!B101,"MMM-YYYY")</f>
        <v>Jan-2025</v>
      </c>
      <c r="G101" s="4" t="str">
        <f t="shared" si="11"/>
        <v>Q1-2023</v>
      </c>
      <c r="H101" t="s">
        <v>78</v>
      </c>
      <c r="I101" t="s">
        <v>79</v>
      </c>
      <c r="J101" t="s">
        <v>80</v>
      </c>
      <c r="K101" t="s">
        <v>62</v>
      </c>
      <c r="L101" t="s">
        <v>98</v>
      </c>
      <c r="M101" t="s">
        <v>92</v>
      </c>
      <c r="N101" t="s">
        <v>57</v>
      </c>
      <c r="O101" t="s">
        <v>298</v>
      </c>
      <c r="P101" s="4">
        <v>1200.78</v>
      </c>
      <c r="Q101" s="8" t="str">
        <f t="shared" si="12"/>
        <v>High</v>
      </c>
      <c r="R101" s="4">
        <v>2001.17</v>
      </c>
      <c r="S101" s="4">
        <v>0.29199999999999998</v>
      </c>
      <c r="T101" s="4">
        <v>18</v>
      </c>
      <c r="U101" s="4">
        <f t="shared" si="8"/>
        <v>8854.276319999999</v>
      </c>
      <c r="V101">
        <f t="shared" si="9"/>
        <v>21614.04</v>
      </c>
      <c r="W101" s="4">
        <f t="shared" si="13"/>
        <v>-12759.763680000002</v>
      </c>
      <c r="X101" s="4">
        <f t="shared" si="14"/>
        <v>-1.4410848745682701</v>
      </c>
    </row>
    <row r="102" spans="1:24" x14ac:dyDescent="0.3">
      <c r="A102" t="s">
        <v>299</v>
      </c>
      <c r="B102" s="7">
        <v>45684</v>
      </c>
      <c r="C102" s="2">
        <v>45703</v>
      </c>
      <c r="D102" s="4">
        <f t="shared" si="15"/>
        <v>19</v>
      </c>
      <c r="E102" s="51" t="b">
        <f t="shared" si="10"/>
        <v>0</v>
      </c>
      <c r="F102" s="4" t="str">
        <f>TEXT(Data!B102,"MMM-YYYY")</f>
        <v>Jan-2024</v>
      </c>
      <c r="G102" s="4" t="str">
        <f t="shared" si="11"/>
        <v>Q1-2025</v>
      </c>
      <c r="H102" t="s">
        <v>45</v>
      </c>
      <c r="I102" t="s">
        <v>116</v>
      </c>
      <c r="J102" t="s">
        <v>117</v>
      </c>
      <c r="K102" t="s">
        <v>39</v>
      </c>
      <c r="L102" t="s">
        <v>98</v>
      </c>
      <c r="M102" t="s">
        <v>49</v>
      </c>
      <c r="N102" t="s">
        <v>42</v>
      </c>
      <c r="O102" t="s">
        <v>300</v>
      </c>
      <c r="P102" s="4">
        <v>1253.22</v>
      </c>
      <c r="Q102" s="8" t="str">
        <f t="shared" si="12"/>
        <v>High</v>
      </c>
      <c r="R102" s="4">
        <v>3104.71</v>
      </c>
      <c r="S102" s="4">
        <v>0</v>
      </c>
      <c r="T102" s="4">
        <v>17</v>
      </c>
      <c r="U102" s="4">
        <f t="shared" si="8"/>
        <v>31422.63</v>
      </c>
      <c r="V102">
        <f t="shared" si="9"/>
        <v>21304.74</v>
      </c>
      <c r="W102" s="4">
        <f t="shared" si="13"/>
        <v>10117.89</v>
      </c>
      <c r="X102" s="4">
        <f t="shared" si="14"/>
        <v>0.3219937350883742</v>
      </c>
    </row>
    <row r="103" spans="1:24" x14ac:dyDescent="0.3">
      <c r="A103" t="s">
        <v>301</v>
      </c>
      <c r="B103" s="7">
        <v>45304</v>
      </c>
      <c r="C103" s="2">
        <v>45313</v>
      </c>
      <c r="D103" s="4">
        <f t="shared" si="15"/>
        <v>9</v>
      </c>
      <c r="E103" s="51" t="b">
        <f t="shared" si="10"/>
        <v>0</v>
      </c>
      <c r="F103" s="4" t="str">
        <f>TEXT(Data!B103,"MMM-YYYY")</f>
        <v>Mar-2025</v>
      </c>
      <c r="G103" s="4" t="str">
        <f t="shared" si="11"/>
        <v>Q1-2024</v>
      </c>
      <c r="H103" t="s">
        <v>45</v>
      </c>
      <c r="I103" t="s">
        <v>60</v>
      </c>
      <c r="J103" t="s">
        <v>220</v>
      </c>
      <c r="K103" t="s">
        <v>105</v>
      </c>
      <c r="L103" t="s">
        <v>40</v>
      </c>
      <c r="M103" t="s">
        <v>29</v>
      </c>
      <c r="N103" t="s">
        <v>22</v>
      </c>
      <c r="O103" t="s">
        <v>302</v>
      </c>
      <c r="P103" s="4">
        <v>313.60000000000002</v>
      </c>
      <c r="Q103" s="8" t="str">
        <f t="shared" si="12"/>
        <v>High</v>
      </c>
      <c r="R103" s="4">
        <v>334.28</v>
      </c>
      <c r="S103" s="4">
        <v>0.14000000000000001</v>
      </c>
      <c r="T103" s="4">
        <v>22</v>
      </c>
      <c r="U103" s="4">
        <f t="shared" si="8"/>
        <v>854.99479999999994</v>
      </c>
      <c r="V103">
        <f t="shared" si="9"/>
        <v>6899.2000000000007</v>
      </c>
      <c r="W103" s="4">
        <f t="shared" si="13"/>
        <v>-6044.2052000000003</v>
      </c>
      <c r="X103" s="4">
        <f t="shared" si="14"/>
        <v>-7.0692888424584579</v>
      </c>
    </row>
    <row r="104" spans="1:24" x14ac:dyDescent="0.3">
      <c r="A104" t="s">
        <v>303</v>
      </c>
      <c r="B104" s="7">
        <v>45747</v>
      </c>
      <c r="C104" s="2">
        <v>45751</v>
      </c>
      <c r="D104" s="4">
        <f t="shared" si="15"/>
        <v>4</v>
      </c>
      <c r="E104" s="51" t="str">
        <f t="shared" si="10"/>
        <v>Yes</v>
      </c>
      <c r="F104" s="4" t="str">
        <f>TEXT(Data!B104,"MMM-YYYY")</f>
        <v>Dec-2024</v>
      </c>
      <c r="G104" s="4" t="str">
        <f t="shared" si="11"/>
        <v>Q1-2025</v>
      </c>
      <c r="H104" t="s">
        <v>16</v>
      </c>
      <c r="I104" t="s">
        <v>17</v>
      </c>
      <c r="J104" t="s">
        <v>135</v>
      </c>
      <c r="K104" t="s">
        <v>19</v>
      </c>
      <c r="L104" t="s">
        <v>98</v>
      </c>
      <c r="M104" t="s">
        <v>21</v>
      </c>
      <c r="N104" t="s">
        <v>57</v>
      </c>
      <c r="O104" t="s">
        <v>304</v>
      </c>
      <c r="P104" s="4">
        <v>862.08</v>
      </c>
      <c r="Q104" s="8" t="str">
        <f t="shared" si="12"/>
        <v>High</v>
      </c>
      <c r="R104" s="4">
        <v>1952.83</v>
      </c>
      <c r="S104" s="4">
        <v>0</v>
      </c>
      <c r="T104" s="4">
        <v>7</v>
      </c>
      <c r="U104" s="4">
        <f t="shared" si="8"/>
        <v>2527.7000000000003</v>
      </c>
      <c r="V104">
        <f t="shared" si="9"/>
        <v>6034.56</v>
      </c>
      <c r="W104" s="4">
        <f t="shared" si="13"/>
        <v>-3506.86</v>
      </c>
      <c r="X104" s="4">
        <f t="shared" si="14"/>
        <v>-1.3873719191359732</v>
      </c>
    </row>
    <row r="105" spans="1:24" x14ac:dyDescent="0.3">
      <c r="A105" t="s">
        <v>305</v>
      </c>
      <c r="B105" s="7">
        <v>45631</v>
      </c>
      <c r="C105" s="2">
        <v>45654</v>
      </c>
      <c r="D105" s="4">
        <f t="shared" si="15"/>
        <v>23</v>
      </c>
      <c r="E105" s="51" t="b">
        <f t="shared" si="10"/>
        <v>0</v>
      </c>
      <c r="F105" s="4" t="str">
        <f>TEXT(Data!B105,"MMM-YYYY")</f>
        <v>Sept-2024</v>
      </c>
      <c r="G105" s="4" t="str">
        <f t="shared" si="11"/>
        <v>Q4-2024</v>
      </c>
      <c r="H105" t="s">
        <v>52</v>
      </c>
      <c r="I105" t="s">
        <v>53</v>
      </c>
      <c r="J105" t="s">
        <v>179</v>
      </c>
      <c r="K105" t="s">
        <v>19</v>
      </c>
      <c r="L105" t="s">
        <v>98</v>
      </c>
      <c r="M105" t="s">
        <v>84</v>
      </c>
      <c r="N105" t="s">
        <v>81</v>
      </c>
      <c r="O105" t="s">
        <v>306</v>
      </c>
      <c r="P105" s="4">
        <v>107.03</v>
      </c>
      <c r="Q105" s="8" t="str">
        <f t="shared" si="12"/>
        <v>High</v>
      </c>
      <c r="R105" s="4">
        <v>242.29</v>
      </c>
      <c r="S105" s="4">
        <v>0.18</v>
      </c>
      <c r="T105" s="4">
        <v>30</v>
      </c>
      <c r="U105" s="4">
        <f t="shared" si="8"/>
        <v>24706.764000000003</v>
      </c>
      <c r="V105">
        <f t="shared" si="9"/>
        <v>3210.9</v>
      </c>
      <c r="W105" s="4">
        <f t="shared" si="13"/>
        <v>21495.864000000001</v>
      </c>
      <c r="X105" s="4">
        <f t="shared" si="14"/>
        <v>0.87003963772835646</v>
      </c>
    </row>
    <row r="106" spans="1:24" x14ac:dyDescent="0.3">
      <c r="A106" t="s">
        <v>307</v>
      </c>
      <c r="B106" s="7">
        <v>45549</v>
      </c>
      <c r="C106" s="2">
        <v>45570</v>
      </c>
      <c r="D106" s="4">
        <f t="shared" si="15"/>
        <v>21</v>
      </c>
      <c r="E106" s="51" t="b">
        <f t="shared" si="10"/>
        <v>0</v>
      </c>
      <c r="F106" s="4" t="str">
        <f>TEXT(Data!B106,"MMM-YYYY")</f>
        <v>May-2024</v>
      </c>
      <c r="G106" s="4" t="str">
        <f t="shared" si="11"/>
        <v>Q3-2024</v>
      </c>
      <c r="H106" t="s">
        <v>45</v>
      </c>
      <c r="I106" t="s">
        <v>116</v>
      </c>
      <c r="J106" t="s">
        <v>162</v>
      </c>
      <c r="K106" t="s">
        <v>62</v>
      </c>
      <c r="L106" t="s">
        <v>28</v>
      </c>
      <c r="M106" t="s">
        <v>92</v>
      </c>
      <c r="N106" t="s">
        <v>57</v>
      </c>
      <c r="O106" t="s">
        <v>308</v>
      </c>
      <c r="P106" s="4">
        <v>1405.56</v>
      </c>
      <c r="Q106" s="8" t="str">
        <f t="shared" si="12"/>
        <v>High</v>
      </c>
      <c r="R106" s="4">
        <v>2968.87</v>
      </c>
      <c r="S106" s="4">
        <v>0.16900000000000001</v>
      </c>
      <c r="T106" s="4">
        <v>5</v>
      </c>
      <c r="U106" s="4">
        <f t="shared" si="8"/>
        <v>4270.2181499999997</v>
      </c>
      <c r="V106">
        <f t="shared" si="9"/>
        <v>7027.7999999999993</v>
      </c>
      <c r="W106" s="4">
        <f t="shared" si="13"/>
        <v>-2757.5818499999996</v>
      </c>
      <c r="X106" s="4">
        <f t="shared" si="14"/>
        <v>-0.64577072016800818</v>
      </c>
    </row>
    <row r="107" spans="1:24" x14ac:dyDescent="0.3">
      <c r="A107" t="s">
        <v>309</v>
      </c>
      <c r="B107" s="7">
        <v>45433</v>
      </c>
      <c r="C107" s="2">
        <v>45439</v>
      </c>
      <c r="D107" s="4">
        <f t="shared" si="15"/>
        <v>6</v>
      </c>
      <c r="E107" s="51" t="str">
        <f t="shared" si="10"/>
        <v>Yes</v>
      </c>
      <c r="F107" s="4" t="str">
        <f>TEXT(Data!B107,"MMM-YYYY")</f>
        <v>May-2023</v>
      </c>
      <c r="G107" s="4" t="str">
        <f t="shared" si="11"/>
        <v>Q2-2024</v>
      </c>
      <c r="H107" t="s">
        <v>16</v>
      </c>
      <c r="I107" t="s">
        <v>148</v>
      </c>
      <c r="J107" t="s">
        <v>149</v>
      </c>
      <c r="K107" t="s">
        <v>39</v>
      </c>
      <c r="L107" t="s">
        <v>28</v>
      </c>
      <c r="M107" t="s">
        <v>110</v>
      </c>
      <c r="N107" t="s">
        <v>22</v>
      </c>
      <c r="O107" t="s">
        <v>310</v>
      </c>
      <c r="P107" s="4">
        <v>1157.51</v>
      </c>
      <c r="Q107" s="8" t="str">
        <f t="shared" si="12"/>
        <v>High</v>
      </c>
      <c r="R107" s="4">
        <v>1394.3</v>
      </c>
      <c r="S107" s="4">
        <v>0.27800000000000002</v>
      </c>
      <c r="T107" s="4">
        <v>12</v>
      </c>
      <c r="U107" s="4">
        <f t="shared" si="8"/>
        <v>4055.5317599999998</v>
      </c>
      <c r="V107">
        <f t="shared" si="9"/>
        <v>13890.119999999999</v>
      </c>
      <c r="W107" s="4">
        <f t="shared" si="13"/>
        <v>-9834.5882399999991</v>
      </c>
      <c r="X107" s="4">
        <f t="shared" si="14"/>
        <v>-2.4249811916156712</v>
      </c>
    </row>
    <row r="108" spans="1:24" x14ac:dyDescent="0.3">
      <c r="A108" t="s">
        <v>311</v>
      </c>
      <c r="B108" s="7">
        <v>45057</v>
      </c>
      <c r="C108" s="2">
        <v>45084</v>
      </c>
      <c r="D108" s="4">
        <f t="shared" si="15"/>
        <v>27</v>
      </c>
      <c r="E108" s="51" t="b">
        <f t="shared" si="10"/>
        <v>0</v>
      </c>
      <c r="F108" s="4" t="str">
        <f>TEXT(Data!B108,"MMM-YYYY")</f>
        <v>Aug-2024</v>
      </c>
      <c r="G108" s="4" t="str">
        <f t="shared" si="11"/>
        <v>Q2-2023</v>
      </c>
      <c r="H108" t="s">
        <v>16</v>
      </c>
      <c r="I108" t="s">
        <v>17</v>
      </c>
      <c r="J108" t="s">
        <v>113</v>
      </c>
      <c r="K108" t="s">
        <v>19</v>
      </c>
      <c r="L108" t="s">
        <v>28</v>
      </c>
      <c r="M108" t="s">
        <v>29</v>
      </c>
      <c r="N108" t="s">
        <v>42</v>
      </c>
      <c r="O108" t="s">
        <v>312</v>
      </c>
      <c r="P108" s="4">
        <v>12.85</v>
      </c>
      <c r="Q108" s="8" t="str">
        <f t="shared" si="12"/>
        <v>Low</v>
      </c>
      <c r="R108" s="4">
        <v>15.41</v>
      </c>
      <c r="S108" s="4">
        <v>0.13700000000000001</v>
      </c>
      <c r="T108" s="4">
        <v>39</v>
      </c>
      <c r="U108" s="4">
        <f t="shared" si="8"/>
        <v>22483.549139999999</v>
      </c>
      <c r="V108">
        <f t="shared" si="9"/>
        <v>501.15</v>
      </c>
      <c r="W108" s="4">
        <f t="shared" si="13"/>
        <v>21982.399139999998</v>
      </c>
      <c r="X108" s="4">
        <f t="shared" si="14"/>
        <v>0.97771036961827273</v>
      </c>
    </row>
    <row r="109" spans="1:24" x14ac:dyDescent="0.3">
      <c r="A109" t="s">
        <v>313</v>
      </c>
      <c r="B109" s="7">
        <v>45518</v>
      </c>
      <c r="C109" s="2">
        <v>45539</v>
      </c>
      <c r="D109" s="4">
        <f t="shared" si="15"/>
        <v>21</v>
      </c>
      <c r="E109" s="51" t="b">
        <f t="shared" si="10"/>
        <v>0</v>
      </c>
      <c r="F109" s="4" t="str">
        <f>TEXT(Data!B109,"MMM-YYYY")</f>
        <v>Oct-2024</v>
      </c>
      <c r="G109" s="4" t="str">
        <f t="shared" si="11"/>
        <v>Q3-2024</v>
      </c>
      <c r="H109" t="s">
        <v>78</v>
      </c>
      <c r="I109" t="s">
        <v>108</v>
      </c>
      <c r="J109" t="s">
        <v>228</v>
      </c>
      <c r="K109" t="s">
        <v>39</v>
      </c>
      <c r="L109" t="s">
        <v>28</v>
      </c>
      <c r="M109" t="s">
        <v>29</v>
      </c>
      <c r="N109" t="s">
        <v>42</v>
      </c>
      <c r="O109" t="s">
        <v>314</v>
      </c>
      <c r="P109" s="4">
        <v>1138.8</v>
      </c>
      <c r="Q109" s="8" t="str">
        <f t="shared" si="12"/>
        <v>High</v>
      </c>
      <c r="R109" s="4">
        <v>2250.81</v>
      </c>
      <c r="S109" s="4">
        <v>0.123</v>
      </c>
      <c r="T109" s="4">
        <v>12</v>
      </c>
      <c r="U109" s="4">
        <f t="shared" si="8"/>
        <v>5654.22948</v>
      </c>
      <c r="V109">
        <f t="shared" si="9"/>
        <v>13665.599999999999</v>
      </c>
      <c r="W109" s="4">
        <f t="shared" si="13"/>
        <v>-8011.3705199999986</v>
      </c>
      <c r="X109" s="4">
        <f t="shared" si="14"/>
        <v>-1.4168810353979475</v>
      </c>
    </row>
    <row r="110" spans="1:24" x14ac:dyDescent="0.3">
      <c r="A110" t="s">
        <v>315</v>
      </c>
      <c r="B110" s="7">
        <v>45581</v>
      </c>
      <c r="C110" s="2">
        <v>45604</v>
      </c>
      <c r="D110" s="4">
        <f t="shared" si="15"/>
        <v>23</v>
      </c>
      <c r="E110" s="51" t="b">
        <f t="shared" si="10"/>
        <v>0</v>
      </c>
      <c r="F110" s="4" t="str">
        <f>TEXT(Data!B110,"MMM-YYYY")</f>
        <v>Jun-2024</v>
      </c>
      <c r="G110" s="4" t="str">
        <f t="shared" si="11"/>
        <v>Q4-2024</v>
      </c>
      <c r="H110" t="s">
        <v>45</v>
      </c>
      <c r="I110" t="s">
        <v>46</v>
      </c>
      <c r="J110" t="s">
        <v>47</v>
      </c>
      <c r="K110" t="s">
        <v>62</v>
      </c>
      <c r="L110" t="s">
        <v>20</v>
      </c>
      <c r="M110" t="s">
        <v>29</v>
      </c>
      <c r="N110" t="s">
        <v>35</v>
      </c>
      <c r="O110" t="s">
        <v>316</v>
      </c>
      <c r="P110" s="4">
        <v>82.14</v>
      </c>
      <c r="Q110" s="8" t="str">
        <f t="shared" si="12"/>
        <v>Medium</v>
      </c>
      <c r="R110" s="4">
        <v>166.04</v>
      </c>
      <c r="S110" s="4">
        <v>0</v>
      </c>
      <c r="T110" s="4">
        <v>10</v>
      </c>
      <c r="U110" s="4">
        <f t="shared" si="8"/>
        <v>5727.1</v>
      </c>
      <c r="V110">
        <f t="shared" si="9"/>
        <v>821.4</v>
      </c>
      <c r="W110" s="4">
        <f t="shared" si="13"/>
        <v>4905.7000000000007</v>
      </c>
      <c r="X110" s="4">
        <f t="shared" si="14"/>
        <v>0.85657662691414516</v>
      </c>
    </row>
    <row r="111" spans="1:24" x14ac:dyDescent="0.3">
      <c r="A111" t="s">
        <v>317</v>
      </c>
      <c r="B111" s="7">
        <v>45445</v>
      </c>
      <c r="C111" s="2">
        <v>45451</v>
      </c>
      <c r="D111" s="4">
        <f t="shared" si="15"/>
        <v>6</v>
      </c>
      <c r="E111" s="51" t="str">
        <f t="shared" si="10"/>
        <v>Yes</v>
      </c>
      <c r="F111" s="4" t="str">
        <f>TEXT(Data!B111,"MMM-YYYY")</f>
        <v>Jun-2024</v>
      </c>
      <c r="G111" s="4" t="str">
        <f t="shared" si="11"/>
        <v>Q2-2024</v>
      </c>
      <c r="H111" t="s">
        <v>16</v>
      </c>
      <c r="I111" t="s">
        <v>17</v>
      </c>
      <c r="J111" t="s">
        <v>18</v>
      </c>
      <c r="K111" t="s">
        <v>48</v>
      </c>
      <c r="L111" t="s">
        <v>40</v>
      </c>
      <c r="M111" t="s">
        <v>75</v>
      </c>
      <c r="N111" t="s">
        <v>81</v>
      </c>
      <c r="O111" t="s">
        <v>318</v>
      </c>
      <c r="P111" s="4">
        <v>292.94</v>
      </c>
      <c r="Q111" s="8" t="str">
        <f t="shared" si="12"/>
        <v>High</v>
      </c>
      <c r="R111" s="4">
        <v>356.55</v>
      </c>
      <c r="S111" s="4">
        <v>0.22900000000000001</v>
      </c>
      <c r="T111" s="4">
        <v>2</v>
      </c>
      <c r="U111" s="4">
        <f t="shared" si="8"/>
        <v>3583.4075399999997</v>
      </c>
      <c r="V111">
        <f t="shared" si="9"/>
        <v>585.88</v>
      </c>
      <c r="W111" s="4">
        <f t="shared" si="13"/>
        <v>2997.5275399999996</v>
      </c>
      <c r="X111" s="4">
        <f t="shared" si="14"/>
        <v>0.83650199050482543</v>
      </c>
    </row>
    <row r="112" spans="1:24" x14ac:dyDescent="0.3">
      <c r="A112" t="s">
        <v>319</v>
      </c>
      <c r="B112" s="7">
        <v>45452</v>
      </c>
      <c r="C112" s="2">
        <v>45480</v>
      </c>
      <c r="D112" s="4">
        <f t="shared" si="15"/>
        <v>28</v>
      </c>
      <c r="E112" s="51" t="b">
        <f t="shared" si="10"/>
        <v>0</v>
      </c>
      <c r="F112" s="4" t="str">
        <f>TEXT(Data!B112,"MMM-YYYY")</f>
        <v>Jun-2024</v>
      </c>
      <c r="G112" s="4" t="str">
        <f t="shared" si="11"/>
        <v>Q2-2024</v>
      </c>
      <c r="H112" t="s">
        <v>45</v>
      </c>
      <c r="I112" t="s">
        <v>116</v>
      </c>
      <c r="J112" t="s">
        <v>117</v>
      </c>
      <c r="K112" t="s">
        <v>19</v>
      </c>
      <c r="L112" t="s">
        <v>28</v>
      </c>
      <c r="M112" t="s">
        <v>29</v>
      </c>
      <c r="N112" t="s">
        <v>22</v>
      </c>
      <c r="O112" t="s">
        <v>320</v>
      </c>
      <c r="P112" s="4">
        <v>550.22</v>
      </c>
      <c r="Q112" s="8" t="str">
        <f t="shared" si="12"/>
        <v>High</v>
      </c>
      <c r="R112" s="4">
        <v>1025.05</v>
      </c>
      <c r="S112" s="4">
        <v>0</v>
      </c>
      <c r="T112" s="4">
        <v>27</v>
      </c>
      <c r="U112" s="4">
        <f t="shared" si="8"/>
        <v>44038.080000000002</v>
      </c>
      <c r="V112">
        <f t="shared" si="9"/>
        <v>14855.94</v>
      </c>
      <c r="W112" s="4">
        <f t="shared" si="13"/>
        <v>29182.14</v>
      </c>
      <c r="X112" s="4">
        <f t="shared" si="14"/>
        <v>0.66265695507161071</v>
      </c>
    </row>
    <row r="113" spans="1:24" x14ac:dyDescent="0.3">
      <c r="A113" t="s">
        <v>321</v>
      </c>
      <c r="B113" s="7">
        <v>45453</v>
      </c>
      <c r="C113" s="2">
        <v>45454</v>
      </c>
      <c r="D113" s="4">
        <f t="shared" si="15"/>
        <v>1</v>
      </c>
      <c r="E113" s="51" t="str">
        <f t="shared" si="10"/>
        <v>Yes</v>
      </c>
      <c r="F113" s="4" t="str">
        <f>TEXT(Data!B113,"MMM-YYYY")</f>
        <v>Jun-2024</v>
      </c>
      <c r="G113" s="4" t="str">
        <f t="shared" si="11"/>
        <v>Q2-2024</v>
      </c>
      <c r="H113" t="s">
        <v>78</v>
      </c>
      <c r="I113" t="s">
        <v>108</v>
      </c>
      <c r="J113" t="s">
        <v>109</v>
      </c>
      <c r="K113" t="s">
        <v>62</v>
      </c>
      <c r="L113" t="s">
        <v>40</v>
      </c>
      <c r="M113" t="s">
        <v>110</v>
      </c>
      <c r="N113" t="s">
        <v>57</v>
      </c>
      <c r="O113" t="s">
        <v>322</v>
      </c>
      <c r="P113" s="4">
        <v>1187.1300000000001</v>
      </c>
      <c r="Q113" s="8" t="str">
        <f t="shared" si="12"/>
        <v>High</v>
      </c>
      <c r="R113" s="4">
        <v>1795.17</v>
      </c>
      <c r="S113" s="4">
        <v>1.2E-2</v>
      </c>
      <c r="T113" s="4">
        <v>17</v>
      </c>
      <c r="U113" s="4">
        <f t="shared" si="8"/>
        <v>6606.0347600000005</v>
      </c>
      <c r="V113">
        <f t="shared" si="9"/>
        <v>20181.210000000003</v>
      </c>
      <c r="W113" s="4">
        <f t="shared" si="13"/>
        <v>-13575.175240000002</v>
      </c>
      <c r="X113" s="4">
        <f t="shared" si="14"/>
        <v>-2.0549657598229172</v>
      </c>
    </row>
    <row r="114" spans="1:24" x14ac:dyDescent="0.3">
      <c r="A114" t="s">
        <v>323</v>
      </c>
      <c r="B114" s="7">
        <v>45472</v>
      </c>
      <c r="C114" s="2">
        <v>45499</v>
      </c>
      <c r="D114" s="4">
        <f t="shared" si="15"/>
        <v>27</v>
      </c>
      <c r="E114" s="51" t="b">
        <f t="shared" si="10"/>
        <v>0</v>
      </c>
      <c r="F114" s="4" t="str">
        <f>TEXT(Data!B114,"MMM-YYYY")</f>
        <v>Jan-2025</v>
      </c>
      <c r="G114" s="4" t="str">
        <f t="shared" si="11"/>
        <v>Q2-2024</v>
      </c>
      <c r="H114" t="s">
        <v>16</v>
      </c>
      <c r="I114" t="s">
        <v>148</v>
      </c>
      <c r="J114" t="s">
        <v>172</v>
      </c>
      <c r="K114" t="s">
        <v>105</v>
      </c>
      <c r="L114" t="s">
        <v>55</v>
      </c>
      <c r="M114" t="s">
        <v>56</v>
      </c>
      <c r="N114" t="s">
        <v>35</v>
      </c>
      <c r="O114" t="s">
        <v>324</v>
      </c>
      <c r="P114" s="4">
        <v>5.36</v>
      </c>
      <c r="Q114" s="8" t="str">
        <f t="shared" si="12"/>
        <v>Low</v>
      </c>
      <c r="R114" s="4">
        <v>4.37</v>
      </c>
      <c r="S114" s="4">
        <v>0.11799999999999999</v>
      </c>
      <c r="T114" s="4">
        <v>9</v>
      </c>
      <c r="U114" s="4">
        <f t="shared" si="8"/>
        <v>14734.198080000002</v>
      </c>
      <c r="V114">
        <f t="shared" si="9"/>
        <v>48.24</v>
      </c>
      <c r="W114" s="4">
        <f t="shared" si="13"/>
        <v>14685.958080000002</v>
      </c>
      <c r="X114" s="4">
        <f t="shared" si="14"/>
        <v>0.99672598401771995</v>
      </c>
    </row>
    <row r="115" spans="1:24" x14ac:dyDescent="0.3">
      <c r="A115" t="s">
        <v>325</v>
      </c>
      <c r="B115" s="7">
        <v>45674</v>
      </c>
      <c r="C115" s="2">
        <v>45681</v>
      </c>
      <c r="D115" s="4">
        <f t="shared" si="15"/>
        <v>7</v>
      </c>
      <c r="E115" s="51" t="str">
        <f t="shared" si="10"/>
        <v>Yes</v>
      </c>
      <c r="F115" s="4" t="str">
        <f>TEXT(Data!B115,"MMM-YYYY")</f>
        <v>Nov-2023</v>
      </c>
      <c r="G115" s="4" t="str">
        <f t="shared" si="11"/>
        <v>Q1-2025</v>
      </c>
      <c r="H115" t="s">
        <v>52</v>
      </c>
      <c r="I115" t="s">
        <v>122</v>
      </c>
      <c r="J115" t="s">
        <v>326</v>
      </c>
      <c r="K115" t="s">
        <v>105</v>
      </c>
      <c r="L115" t="s">
        <v>28</v>
      </c>
      <c r="M115" t="s">
        <v>41</v>
      </c>
      <c r="N115" t="s">
        <v>81</v>
      </c>
      <c r="O115" t="s">
        <v>327</v>
      </c>
      <c r="P115" s="4">
        <v>142.09</v>
      </c>
      <c r="Q115" s="8" t="str">
        <f t="shared" si="12"/>
        <v>High</v>
      </c>
      <c r="R115" s="4">
        <v>218.5</v>
      </c>
      <c r="S115" s="4">
        <v>0.11899999999999999</v>
      </c>
      <c r="T115" s="4">
        <v>11</v>
      </c>
      <c r="U115" s="4">
        <f t="shared" si="8"/>
        <v>822.7659000000001</v>
      </c>
      <c r="V115">
        <f t="shared" si="9"/>
        <v>1562.99</v>
      </c>
      <c r="W115" s="4">
        <f t="shared" si="13"/>
        <v>-740.22409999999991</v>
      </c>
      <c r="X115" s="4">
        <f t="shared" si="14"/>
        <v>-0.89967766043779862</v>
      </c>
    </row>
    <row r="116" spans="1:24" x14ac:dyDescent="0.3">
      <c r="A116" t="s">
        <v>328</v>
      </c>
      <c r="B116" s="7">
        <v>45250</v>
      </c>
      <c r="C116" s="2">
        <v>45265</v>
      </c>
      <c r="D116" s="4">
        <f t="shared" si="15"/>
        <v>15</v>
      </c>
      <c r="E116" s="51" t="b">
        <f t="shared" si="10"/>
        <v>0</v>
      </c>
      <c r="F116" s="4" t="str">
        <f>TEXT(Data!B116,"MMM-YYYY")</f>
        <v>Mar-2023</v>
      </c>
      <c r="G116" s="4" t="str">
        <f t="shared" si="11"/>
        <v>Q4-2023</v>
      </c>
      <c r="H116" t="s">
        <v>45</v>
      </c>
      <c r="I116" t="s">
        <v>46</v>
      </c>
      <c r="J116" t="s">
        <v>214</v>
      </c>
      <c r="K116" t="s">
        <v>105</v>
      </c>
      <c r="L116" t="s">
        <v>20</v>
      </c>
      <c r="M116" t="s">
        <v>49</v>
      </c>
      <c r="N116" t="s">
        <v>35</v>
      </c>
      <c r="O116" t="s">
        <v>329</v>
      </c>
      <c r="P116" s="4">
        <v>354.24</v>
      </c>
      <c r="Q116" s="8" t="str">
        <f t="shared" si="12"/>
        <v>High</v>
      </c>
      <c r="R116" s="4">
        <v>249.87</v>
      </c>
      <c r="S116" s="4">
        <v>0</v>
      </c>
      <c r="T116" s="4">
        <v>6</v>
      </c>
      <c r="U116" s="4">
        <f t="shared" si="8"/>
        <v>13513.439999999999</v>
      </c>
      <c r="V116">
        <f t="shared" si="9"/>
        <v>2125.44</v>
      </c>
      <c r="W116" s="4">
        <f t="shared" si="13"/>
        <v>11387.999999999998</v>
      </c>
      <c r="X116" s="4">
        <f t="shared" si="14"/>
        <v>0.84271658437821895</v>
      </c>
    </row>
    <row r="117" spans="1:24" x14ac:dyDescent="0.3">
      <c r="A117" t="s">
        <v>330</v>
      </c>
      <c r="B117" s="7">
        <v>44987</v>
      </c>
      <c r="C117" s="2">
        <v>44990</v>
      </c>
      <c r="D117" s="4">
        <f t="shared" si="15"/>
        <v>3</v>
      </c>
      <c r="E117" s="51" t="str">
        <f t="shared" si="10"/>
        <v>Yes</v>
      </c>
      <c r="F117" s="4" t="str">
        <f>TEXT(Data!B117,"MMM-YYYY")</f>
        <v>Jun-2025</v>
      </c>
      <c r="G117" s="4" t="str">
        <f t="shared" si="11"/>
        <v>Q1-2023</v>
      </c>
      <c r="H117" t="s">
        <v>52</v>
      </c>
      <c r="I117" t="s">
        <v>73</v>
      </c>
      <c r="J117" t="s">
        <v>87</v>
      </c>
      <c r="K117" t="s">
        <v>105</v>
      </c>
      <c r="L117" t="s">
        <v>98</v>
      </c>
      <c r="M117" t="s">
        <v>41</v>
      </c>
      <c r="N117" t="s">
        <v>64</v>
      </c>
      <c r="O117" t="s">
        <v>331</v>
      </c>
      <c r="P117" s="4">
        <v>1473.58</v>
      </c>
      <c r="Q117" s="8" t="str">
        <f t="shared" si="12"/>
        <v>High</v>
      </c>
      <c r="R117" s="4">
        <v>3436.52</v>
      </c>
      <c r="S117" s="4">
        <v>0.108</v>
      </c>
      <c r="T117" s="4">
        <v>8</v>
      </c>
      <c r="U117" s="4">
        <f t="shared" si="8"/>
        <v>6576.6803200000004</v>
      </c>
      <c r="V117">
        <f t="shared" si="9"/>
        <v>11788.64</v>
      </c>
      <c r="W117" s="4">
        <f t="shared" si="13"/>
        <v>-5211.959679999999</v>
      </c>
      <c r="X117" s="4">
        <f t="shared" si="14"/>
        <v>-0.79249095689662452</v>
      </c>
    </row>
    <row r="118" spans="1:24" x14ac:dyDescent="0.3">
      <c r="A118" t="s">
        <v>332</v>
      </c>
      <c r="B118" s="7">
        <v>45811</v>
      </c>
      <c r="C118" s="2">
        <v>45818</v>
      </c>
      <c r="D118" s="4">
        <f t="shared" si="15"/>
        <v>7</v>
      </c>
      <c r="E118" s="51" t="str">
        <f t="shared" si="10"/>
        <v>Yes</v>
      </c>
      <c r="F118" s="4" t="str">
        <f>TEXT(Data!B118,"MMM-YYYY")</f>
        <v>Dec-2024</v>
      </c>
      <c r="G118" s="4" t="str">
        <f t="shared" si="11"/>
        <v>Q2-2025</v>
      </c>
      <c r="H118" t="s">
        <v>52</v>
      </c>
      <c r="I118" t="s">
        <v>53</v>
      </c>
      <c r="J118" t="s">
        <v>54</v>
      </c>
      <c r="K118" t="s">
        <v>48</v>
      </c>
      <c r="L118" t="s">
        <v>55</v>
      </c>
      <c r="M118" t="s">
        <v>68</v>
      </c>
      <c r="N118" t="s">
        <v>30</v>
      </c>
      <c r="O118" t="s">
        <v>333</v>
      </c>
      <c r="P118" s="4">
        <v>75.180000000000007</v>
      </c>
      <c r="Q118" s="8" t="str">
        <f t="shared" si="12"/>
        <v>Medium</v>
      </c>
      <c r="R118" s="4">
        <v>53.45</v>
      </c>
      <c r="S118" s="4">
        <v>0.157</v>
      </c>
      <c r="T118" s="4">
        <v>17</v>
      </c>
      <c r="U118" s="4">
        <f t="shared" si="8"/>
        <v>23548.41258</v>
      </c>
      <c r="V118">
        <f t="shared" si="9"/>
        <v>1278.0600000000002</v>
      </c>
      <c r="W118" s="4">
        <f t="shared" si="13"/>
        <v>22270.352579999999</v>
      </c>
      <c r="X118" s="4">
        <f t="shared" si="14"/>
        <v>0.94572627791117114</v>
      </c>
    </row>
    <row r="119" spans="1:24" x14ac:dyDescent="0.3">
      <c r="A119" t="s">
        <v>334</v>
      </c>
      <c r="B119" s="7">
        <v>45653</v>
      </c>
      <c r="C119" s="2">
        <v>45659</v>
      </c>
      <c r="D119" s="4">
        <f t="shared" si="15"/>
        <v>6</v>
      </c>
      <c r="E119" s="51" t="str">
        <f t="shared" si="10"/>
        <v>Yes</v>
      </c>
      <c r="F119" s="4" t="str">
        <f>TEXT(Data!B119,"MMM-YYYY")</f>
        <v>Jun-2023</v>
      </c>
      <c r="G119" s="4" t="str">
        <f t="shared" si="11"/>
        <v>Q4-2024</v>
      </c>
      <c r="H119" t="s">
        <v>78</v>
      </c>
      <c r="I119" t="s">
        <v>79</v>
      </c>
      <c r="J119" t="s">
        <v>335</v>
      </c>
      <c r="K119" t="s">
        <v>27</v>
      </c>
      <c r="L119" t="s">
        <v>98</v>
      </c>
      <c r="M119" t="s">
        <v>84</v>
      </c>
      <c r="N119" t="s">
        <v>57</v>
      </c>
      <c r="O119" t="s">
        <v>336</v>
      </c>
      <c r="P119" s="4">
        <v>1391.99</v>
      </c>
      <c r="Q119" s="8" t="str">
        <f t="shared" si="12"/>
        <v>High</v>
      </c>
      <c r="R119" s="4">
        <v>3469.7</v>
      </c>
      <c r="S119" s="4">
        <v>0.184</v>
      </c>
      <c r="T119" s="4">
        <v>23</v>
      </c>
      <c r="U119" s="4">
        <f t="shared" si="8"/>
        <v>27535.846560000005</v>
      </c>
      <c r="V119">
        <f t="shared" si="9"/>
        <v>32015.77</v>
      </c>
      <c r="W119" s="4">
        <f t="shared" si="13"/>
        <v>-4479.923439999995</v>
      </c>
      <c r="X119" s="4">
        <f t="shared" si="14"/>
        <v>-0.16269423314218215</v>
      </c>
    </row>
    <row r="120" spans="1:24" x14ac:dyDescent="0.3">
      <c r="A120" t="s">
        <v>337</v>
      </c>
      <c r="B120" s="7">
        <v>45086</v>
      </c>
      <c r="C120" s="2">
        <v>45096</v>
      </c>
      <c r="D120" s="4">
        <f t="shared" si="15"/>
        <v>10</v>
      </c>
      <c r="E120" s="51" t="b">
        <f t="shared" si="10"/>
        <v>0</v>
      </c>
      <c r="F120" s="4" t="str">
        <f>TEXT(Data!B120,"MMM-YYYY")</f>
        <v>Jul-2025</v>
      </c>
      <c r="G120" s="4" t="str">
        <f t="shared" si="11"/>
        <v>Q2-2023</v>
      </c>
      <c r="H120" t="s">
        <v>45</v>
      </c>
      <c r="I120" t="s">
        <v>116</v>
      </c>
      <c r="J120" t="s">
        <v>338</v>
      </c>
      <c r="K120" t="s">
        <v>105</v>
      </c>
      <c r="L120" t="s">
        <v>20</v>
      </c>
      <c r="M120" t="s">
        <v>84</v>
      </c>
      <c r="N120" t="s">
        <v>64</v>
      </c>
      <c r="O120" t="s">
        <v>339</v>
      </c>
      <c r="P120" s="4">
        <v>339.61</v>
      </c>
      <c r="Q120" s="8" t="str">
        <f t="shared" si="12"/>
        <v>High</v>
      </c>
      <c r="R120" s="4">
        <v>621.02</v>
      </c>
      <c r="S120" s="4">
        <v>7.0999999999999994E-2</v>
      </c>
      <c r="T120" s="4">
        <v>10</v>
      </c>
      <c r="U120" s="4">
        <f t="shared" si="8"/>
        <v>9278.4804000000004</v>
      </c>
      <c r="V120">
        <f t="shared" si="9"/>
        <v>3396.1000000000004</v>
      </c>
      <c r="W120" s="4">
        <f t="shared" si="13"/>
        <v>5882.3804</v>
      </c>
      <c r="X120" s="4">
        <f t="shared" si="14"/>
        <v>0.63398101266668616</v>
      </c>
    </row>
    <row r="121" spans="1:24" x14ac:dyDescent="0.3">
      <c r="A121" t="s">
        <v>340</v>
      </c>
      <c r="B121" s="7">
        <v>45847</v>
      </c>
      <c r="C121" s="2">
        <v>45856</v>
      </c>
      <c r="D121" s="4">
        <f t="shared" si="15"/>
        <v>9</v>
      </c>
      <c r="E121" s="51" t="b">
        <f t="shared" si="10"/>
        <v>0</v>
      </c>
      <c r="F121" s="4" t="str">
        <f>TEXT(Data!B121,"MMM-YYYY")</f>
        <v>Jun-2025</v>
      </c>
      <c r="G121" s="4" t="str">
        <f t="shared" si="11"/>
        <v>Q3-2025</v>
      </c>
      <c r="H121" t="s">
        <v>52</v>
      </c>
      <c r="I121" t="s">
        <v>53</v>
      </c>
      <c r="J121" t="s">
        <v>179</v>
      </c>
      <c r="K121" t="s">
        <v>27</v>
      </c>
      <c r="L121" t="s">
        <v>55</v>
      </c>
      <c r="M121" t="s">
        <v>34</v>
      </c>
      <c r="N121" t="s">
        <v>57</v>
      </c>
      <c r="O121" t="s">
        <v>341</v>
      </c>
      <c r="P121" s="4">
        <v>57.96</v>
      </c>
      <c r="Q121" s="8" t="str">
        <f t="shared" si="12"/>
        <v>Medium</v>
      </c>
      <c r="R121" s="4">
        <v>88.51</v>
      </c>
      <c r="S121" s="4">
        <v>4.2999999999999997E-2</v>
      </c>
      <c r="T121" s="4">
        <v>7</v>
      </c>
      <c r="U121" s="4">
        <f t="shared" si="8"/>
        <v>4225.1932799999995</v>
      </c>
      <c r="V121">
        <f t="shared" si="9"/>
        <v>405.72</v>
      </c>
      <c r="W121" s="4">
        <f t="shared" si="13"/>
        <v>3819.4732799999992</v>
      </c>
      <c r="X121" s="4">
        <f t="shared" si="14"/>
        <v>0.90397599041907017</v>
      </c>
    </row>
    <row r="122" spans="1:24" x14ac:dyDescent="0.3">
      <c r="A122" t="s">
        <v>342</v>
      </c>
      <c r="B122" s="7">
        <v>45827</v>
      </c>
      <c r="C122" s="2">
        <v>45850</v>
      </c>
      <c r="D122" s="4">
        <f t="shared" si="15"/>
        <v>23</v>
      </c>
      <c r="E122" s="51" t="b">
        <f t="shared" si="10"/>
        <v>0</v>
      </c>
      <c r="F122" s="4" t="str">
        <f>TEXT(Data!B122,"MMM-YYYY")</f>
        <v>Nov-2023</v>
      </c>
      <c r="G122" s="4" t="str">
        <f t="shared" si="11"/>
        <v>Q2-2025</v>
      </c>
      <c r="H122" t="s">
        <v>78</v>
      </c>
      <c r="I122" t="s">
        <v>108</v>
      </c>
      <c r="J122" t="s">
        <v>1364</v>
      </c>
      <c r="K122" t="s">
        <v>39</v>
      </c>
      <c r="L122" t="s">
        <v>98</v>
      </c>
      <c r="M122" t="s">
        <v>1364</v>
      </c>
      <c r="N122" t="s">
        <v>35</v>
      </c>
      <c r="O122" t="s">
        <v>343</v>
      </c>
      <c r="P122" s="4">
        <v>801.24</v>
      </c>
      <c r="Q122" s="8" t="str">
        <f t="shared" si="12"/>
        <v>High</v>
      </c>
      <c r="R122" s="4">
        <v>1959.09</v>
      </c>
      <c r="S122" s="4">
        <v>0.123</v>
      </c>
      <c r="T122" s="4">
        <v>23</v>
      </c>
      <c r="U122" s="4">
        <f t="shared" si="8"/>
        <v>14696.792309999999</v>
      </c>
      <c r="V122">
        <f t="shared" si="9"/>
        <v>18428.52</v>
      </c>
      <c r="W122" s="4">
        <f t="shared" si="13"/>
        <v>-3731.7276900000015</v>
      </c>
      <c r="X122" s="4">
        <f t="shared" si="14"/>
        <v>-0.25391443325091134</v>
      </c>
    </row>
    <row r="123" spans="1:24" x14ac:dyDescent="0.3">
      <c r="A123" t="s">
        <v>344</v>
      </c>
      <c r="B123" s="7">
        <v>45249</v>
      </c>
      <c r="C123" s="2">
        <v>45273</v>
      </c>
      <c r="D123" s="4">
        <f t="shared" si="15"/>
        <v>24</v>
      </c>
      <c r="E123" s="51" t="b">
        <f t="shared" si="10"/>
        <v>0</v>
      </c>
      <c r="F123" s="4" t="str">
        <f>TEXT(Data!B123,"MMM-YYYY")</f>
        <v>Dec-2023</v>
      </c>
      <c r="G123" s="4" t="str">
        <f t="shared" si="11"/>
        <v>Q4-2023</v>
      </c>
      <c r="H123" t="s">
        <v>78</v>
      </c>
      <c r="I123" t="s">
        <v>90</v>
      </c>
      <c r="J123" t="s">
        <v>138</v>
      </c>
      <c r="K123" t="s">
        <v>39</v>
      </c>
      <c r="L123" t="s">
        <v>98</v>
      </c>
      <c r="M123" t="s">
        <v>92</v>
      </c>
      <c r="N123" t="s">
        <v>64</v>
      </c>
      <c r="O123" t="s">
        <v>345</v>
      </c>
      <c r="P123" s="4">
        <v>1297.42</v>
      </c>
      <c r="Q123" s="8" t="str">
        <f t="shared" si="12"/>
        <v>High</v>
      </c>
      <c r="R123" s="4">
        <v>2742.97</v>
      </c>
      <c r="S123" s="4">
        <v>6.9000000000000006E-2</v>
      </c>
      <c r="T123" s="4">
        <v>9</v>
      </c>
      <c r="U123" s="4">
        <f t="shared" si="8"/>
        <v>7972.7022900000002</v>
      </c>
      <c r="V123">
        <f t="shared" si="9"/>
        <v>11676.78</v>
      </c>
      <c r="W123" s="4">
        <f t="shared" si="13"/>
        <v>-3704.0777100000005</v>
      </c>
      <c r="X123" s="4">
        <f t="shared" si="14"/>
        <v>-0.46459501123551927</v>
      </c>
    </row>
    <row r="124" spans="1:24" x14ac:dyDescent="0.3">
      <c r="A124" t="s">
        <v>346</v>
      </c>
      <c r="B124" s="7">
        <v>45289</v>
      </c>
      <c r="C124" s="2">
        <v>45311</v>
      </c>
      <c r="D124" s="4">
        <f t="shared" si="15"/>
        <v>22</v>
      </c>
      <c r="E124" s="51" t="b">
        <f t="shared" si="10"/>
        <v>0</v>
      </c>
      <c r="F124" s="4" t="str">
        <f>TEXT(Data!B124,"MMM-YYYY")</f>
        <v>Nov-2024</v>
      </c>
      <c r="G124" s="4" t="str">
        <f t="shared" si="11"/>
        <v>Q4-2023</v>
      </c>
      <c r="H124" t="s">
        <v>16</v>
      </c>
      <c r="I124" t="s">
        <v>17</v>
      </c>
      <c r="J124" t="s">
        <v>18</v>
      </c>
      <c r="K124" t="s">
        <v>19</v>
      </c>
      <c r="L124" t="s">
        <v>98</v>
      </c>
      <c r="M124" t="s">
        <v>49</v>
      </c>
      <c r="N124" t="s">
        <v>42</v>
      </c>
      <c r="O124" t="s">
        <v>347</v>
      </c>
      <c r="P124" s="4">
        <v>1395.49</v>
      </c>
      <c r="Q124" s="8" t="str">
        <f t="shared" si="12"/>
        <v>High</v>
      </c>
      <c r="R124" s="4">
        <v>1679.42</v>
      </c>
      <c r="S124" s="4">
        <v>0.20300000000000001</v>
      </c>
      <c r="T124" s="4">
        <v>12</v>
      </c>
      <c r="U124" s="4">
        <f t="shared" si="8"/>
        <v>7009.2643199999993</v>
      </c>
      <c r="V124">
        <f t="shared" si="9"/>
        <v>16745.88</v>
      </c>
      <c r="W124" s="4">
        <f t="shared" si="13"/>
        <v>-9736.6156800000026</v>
      </c>
      <c r="X124" s="4">
        <f t="shared" si="14"/>
        <v>-1.3891066502111884</v>
      </c>
    </row>
    <row r="125" spans="1:24" x14ac:dyDescent="0.3">
      <c r="A125" t="s">
        <v>348</v>
      </c>
      <c r="B125" s="7">
        <v>45598</v>
      </c>
      <c r="C125" s="2">
        <v>45625</v>
      </c>
      <c r="D125" s="4">
        <f t="shared" si="15"/>
        <v>27</v>
      </c>
      <c r="E125" s="51" t="b">
        <f t="shared" si="10"/>
        <v>0</v>
      </c>
      <c r="F125" s="4" t="str">
        <f>TEXT(Data!B125,"MMM-YYYY")</f>
        <v>Aug-2023</v>
      </c>
      <c r="G125" s="4" t="str">
        <f t="shared" si="11"/>
        <v>Q4-2024</v>
      </c>
      <c r="H125" t="s">
        <v>52</v>
      </c>
      <c r="I125" t="s">
        <v>73</v>
      </c>
      <c r="J125" t="s">
        <v>87</v>
      </c>
      <c r="K125" t="s">
        <v>62</v>
      </c>
      <c r="L125" t="s">
        <v>98</v>
      </c>
      <c r="M125" t="s">
        <v>34</v>
      </c>
      <c r="N125" t="s">
        <v>35</v>
      </c>
      <c r="O125" t="s">
        <v>349</v>
      </c>
      <c r="P125" s="4">
        <v>1363.51</v>
      </c>
      <c r="Q125" s="8" t="str">
        <f t="shared" si="12"/>
        <v>High</v>
      </c>
      <c r="R125" s="4">
        <v>1433.9</v>
      </c>
      <c r="S125" s="4">
        <v>5.7000000000000002E-2</v>
      </c>
      <c r="T125" s="4">
        <v>8</v>
      </c>
      <c r="U125" s="4">
        <f t="shared" si="8"/>
        <v>18192.506879999997</v>
      </c>
      <c r="V125">
        <f t="shared" si="9"/>
        <v>10908.08</v>
      </c>
      <c r="W125" s="4">
        <f t="shared" si="13"/>
        <v>7284.4268799999973</v>
      </c>
      <c r="X125" s="4">
        <f t="shared" si="14"/>
        <v>0.4004080871343883</v>
      </c>
    </row>
    <row r="126" spans="1:24" x14ac:dyDescent="0.3">
      <c r="A126" t="s">
        <v>350</v>
      </c>
      <c r="B126" s="7">
        <v>45159</v>
      </c>
      <c r="C126" s="2">
        <v>45173</v>
      </c>
      <c r="D126" s="4">
        <f t="shared" si="15"/>
        <v>14</v>
      </c>
      <c r="E126" s="51" t="b">
        <f t="shared" si="10"/>
        <v>0</v>
      </c>
      <c r="F126" s="4" t="str">
        <f>TEXT(Data!B126,"MMM-YYYY")</f>
        <v>Aug-2023</v>
      </c>
      <c r="G126" s="4" t="str">
        <f t="shared" si="11"/>
        <v>Q3-2023</v>
      </c>
      <c r="H126" t="s">
        <v>52</v>
      </c>
      <c r="I126" t="s">
        <v>53</v>
      </c>
      <c r="J126" t="s">
        <v>144</v>
      </c>
      <c r="K126" t="s">
        <v>27</v>
      </c>
      <c r="L126" t="s">
        <v>55</v>
      </c>
      <c r="M126" t="s">
        <v>84</v>
      </c>
      <c r="N126" t="s">
        <v>22</v>
      </c>
      <c r="O126" t="s">
        <v>351</v>
      </c>
      <c r="P126" s="4">
        <v>178.19</v>
      </c>
      <c r="Q126" s="8" t="str">
        <f t="shared" si="12"/>
        <v>High</v>
      </c>
      <c r="R126" s="4">
        <v>284.43</v>
      </c>
      <c r="S126" s="4">
        <v>8.8999999999999996E-2</v>
      </c>
      <c r="T126" s="4">
        <v>8</v>
      </c>
      <c r="U126" s="4">
        <f t="shared" si="8"/>
        <v>4141.6975199999997</v>
      </c>
      <c r="V126">
        <f t="shared" si="9"/>
        <v>1425.52</v>
      </c>
      <c r="W126" s="4">
        <f t="shared" si="13"/>
        <v>2716.1775199999997</v>
      </c>
      <c r="X126" s="4">
        <f t="shared" si="14"/>
        <v>0.65581262438498888</v>
      </c>
    </row>
    <row r="127" spans="1:24" x14ac:dyDescent="0.3">
      <c r="A127" t="s">
        <v>352</v>
      </c>
      <c r="B127" s="7">
        <v>45150</v>
      </c>
      <c r="C127" s="2">
        <v>45175</v>
      </c>
      <c r="D127" s="4">
        <f t="shared" si="15"/>
        <v>25</v>
      </c>
      <c r="E127" s="51" t="b">
        <f t="shared" si="10"/>
        <v>0</v>
      </c>
      <c r="F127" s="4" t="str">
        <f>TEXT(Data!B127,"MMM-YYYY")</f>
        <v>Jun-2024</v>
      </c>
      <c r="G127" s="4" t="str">
        <f t="shared" si="11"/>
        <v>Q3-2023</v>
      </c>
      <c r="H127" t="s">
        <v>45</v>
      </c>
      <c r="I127" t="s">
        <v>116</v>
      </c>
      <c r="J127" t="s">
        <v>162</v>
      </c>
      <c r="K127" t="s">
        <v>62</v>
      </c>
      <c r="L127" t="s">
        <v>20</v>
      </c>
      <c r="M127" t="s">
        <v>56</v>
      </c>
      <c r="N127" t="s">
        <v>22</v>
      </c>
      <c r="O127" t="s">
        <v>353</v>
      </c>
      <c r="P127" s="4">
        <v>950.77</v>
      </c>
      <c r="Q127" s="8" t="str">
        <f t="shared" si="12"/>
        <v>High</v>
      </c>
      <c r="R127" s="4">
        <v>694.78</v>
      </c>
      <c r="S127" s="4">
        <v>8.4000000000000005E-2</v>
      </c>
      <c r="T127" s="4">
        <v>14</v>
      </c>
      <c r="U127" s="4">
        <f t="shared" si="8"/>
        <v>16093.478800000001</v>
      </c>
      <c r="V127">
        <f t="shared" si="9"/>
        <v>13310.779999999999</v>
      </c>
      <c r="W127" s="4">
        <f t="shared" si="13"/>
        <v>2782.6988000000019</v>
      </c>
      <c r="X127" s="4">
        <f t="shared" si="14"/>
        <v>0.17290847023081185</v>
      </c>
    </row>
    <row r="128" spans="1:24" x14ac:dyDescent="0.3">
      <c r="A128" t="s">
        <v>354</v>
      </c>
      <c r="B128" s="7">
        <v>45450</v>
      </c>
      <c r="C128" s="2">
        <v>45469</v>
      </c>
      <c r="D128" s="4">
        <f t="shared" si="15"/>
        <v>19</v>
      </c>
      <c r="E128" s="51" t="b">
        <f t="shared" si="10"/>
        <v>0</v>
      </c>
      <c r="F128" s="4" t="str">
        <f>TEXT(Data!B128,"MMM-YYYY")</f>
        <v>Aug-2025</v>
      </c>
      <c r="G128" s="4" t="str">
        <f t="shared" si="11"/>
        <v>Q2-2024</v>
      </c>
      <c r="H128" t="s">
        <v>78</v>
      </c>
      <c r="I128" t="s">
        <v>79</v>
      </c>
      <c r="J128" t="s">
        <v>80</v>
      </c>
      <c r="K128" t="s">
        <v>39</v>
      </c>
      <c r="L128" t="s">
        <v>40</v>
      </c>
      <c r="M128" t="s">
        <v>110</v>
      </c>
      <c r="N128" t="s">
        <v>22</v>
      </c>
      <c r="O128" t="s">
        <v>355</v>
      </c>
      <c r="P128" s="4">
        <v>1064.32</v>
      </c>
      <c r="Q128" s="8" t="str">
        <f t="shared" si="12"/>
        <v>High</v>
      </c>
      <c r="R128" s="4">
        <v>1848.39</v>
      </c>
      <c r="S128" s="4">
        <v>7.2999999999999995E-2</v>
      </c>
      <c r="T128" s="4">
        <v>38</v>
      </c>
      <c r="U128" s="4">
        <f t="shared" si="8"/>
        <v>29785.344300000001</v>
      </c>
      <c r="V128">
        <f t="shared" si="9"/>
        <v>40444.159999999996</v>
      </c>
      <c r="W128" s="4">
        <f t="shared" si="13"/>
        <v>-10658.815699999996</v>
      </c>
      <c r="X128" s="4">
        <f t="shared" si="14"/>
        <v>-0.35785437269563458</v>
      </c>
    </row>
    <row r="129" spans="1:24" x14ac:dyDescent="0.3">
      <c r="A129" t="s">
        <v>356</v>
      </c>
      <c r="B129" s="7">
        <v>45874</v>
      </c>
      <c r="C129" s="2">
        <v>45883</v>
      </c>
      <c r="D129" s="4">
        <f t="shared" si="15"/>
        <v>9</v>
      </c>
      <c r="E129" s="51" t="b">
        <f t="shared" si="10"/>
        <v>0</v>
      </c>
      <c r="F129" s="4" t="str">
        <f>TEXT(Data!B129,"MMM-YYYY")</f>
        <v>May-2024</v>
      </c>
      <c r="G129" s="4" t="str">
        <f t="shared" si="11"/>
        <v>Q3-2025</v>
      </c>
      <c r="H129" t="s">
        <v>78</v>
      </c>
      <c r="I129" t="s">
        <v>108</v>
      </c>
      <c r="J129" t="s">
        <v>152</v>
      </c>
      <c r="K129" t="s">
        <v>39</v>
      </c>
      <c r="L129" t="s">
        <v>98</v>
      </c>
      <c r="M129" t="s">
        <v>63</v>
      </c>
      <c r="N129" t="s">
        <v>22</v>
      </c>
      <c r="O129" t="s">
        <v>357</v>
      </c>
      <c r="P129" s="4">
        <v>41.76</v>
      </c>
      <c r="Q129" s="8" t="str">
        <f t="shared" si="12"/>
        <v>Low</v>
      </c>
      <c r="R129" s="4">
        <v>45.19</v>
      </c>
      <c r="S129" s="4">
        <v>0.17899999999999999</v>
      </c>
      <c r="T129" s="4">
        <v>23</v>
      </c>
      <c r="U129" s="4">
        <f t="shared" si="8"/>
        <v>40507.245110000003</v>
      </c>
      <c r="V129">
        <f t="shared" si="9"/>
        <v>960.4799999999999</v>
      </c>
      <c r="W129" s="4">
        <f t="shared" si="13"/>
        <v>39546.76511</v>
      </c>
      <c r="X129" s="4">
        <f t="shared" si="14"/>
        <v>0.97628868619942533</v>
      </c>
    </row>
    <row r="130" spans="1:24" x14ac:dyDescent="0.3">
      <c r="A130" t="s">
        <v>358</v>
      </c>
      <c r="B130" s="7">
        <v>45442</v>
      </c>
      <c r="C130" s="2">
        <v>45456</v>
      </c>
      <c r="D130" s="4">
        <f t="shared" si="15"/>
        <v>14</v>
      </c>
      <c r="E130" s="51" t="b">
        <f t="shared" si="10"/>
        <v>0</v>
      </c>
      <c r="F130" s="4" t="str">
        <f>TEXT(Data!B130,"MMM-YYYY")</f>
        <v>Jan-2023</v>
      </c>
      <c r="G130" s="4" t="str">
        <f t="shared" si="11"/>
        <v>Q2-2024</v>
      </c>
      <c r="H130" t="s">
        <v>52</v>
      </c>
      <c r="I130" t="s">
        <v>122</v>
      </c>
      <c r="J130" t="s">
        <v>167</v>
      </c>
      <c r="K130" t="s">
        <v>62</v>
      </c>
      <c r="L130" t="s">
        <v>20</v>
      </c>
      <c r="M130" t="s">
        <v>84</v>
      </c>
      <c r="N130" t="s">
        <v>42</v>
      </c>
      <c r="O130" t="s">
        <v>359</v>
      </c>
      <c r="P130" s="4">
        <v>157.78</v>
      </c>
      <c r="Q130" s="8" t="str">
        <f t="shared" si="12"/>
        <v>High</v>
      </c>
      <c r="R130" s="4">
        <v>361.1</v>
      </c>
      <c r="S130" s="4">
        <v>0.187</v>
      </c>
      <c r="T130" s="4">
        <v>9</v>
      </c>
      <c r="U130" s="4">
        <f t="shared" ref="U130:U193" si="16">(R156*T130)*(1-S130)</f>
        <v>9877.5109800000009</v>
      </c>
      <c r="V130">
        <f t="shared" ref="V130:V193" si="17">(P130*T130)</f>
        <v>1420.02</v>
      </c>
      <c r="W130" s="4">
        <f t="shared" si="13"/>
        <v>8457.4909800000005</v>
      </c>
      <c r="X130" s="4">
        <f t="shared" si="14"/>
        <v>0.85623706185948478</v>
      </c>
    </row>
    <row r="131" spans="1:24" x14ac:dyDescent="0.3">
      <c r="A131" t="s">
        <v>360</v>
      </c>
      <c r="B131" s="7">
        <v>44948</v>
      </c>
      <c r="C131" s="2">
        <v>44956</v>
      </c>
      <c r="D131" s="4">
        <f t="shared" si="15"/>
        <v>8</v>
      </c>
      <c r="E131" s="51" t="b">
        <f t="shared" ref="E131:E194" si="18">IF(D131&lt;=7, "Yes")</f>
        <v>0</v>
      </c>
      <c r="F131" s="4" t="str">
        <f>TEXT(Data!B131,"MMM-YYYY")</f>
        <v>Feb-2025</v>
      </c>
      <c r="G131" s="4" t="str">
        <f t="shared" ref="G131:G194" si="19">"Q"&amp;ROUNDUP(MONTH(B131)/3,0)&amp;"-"&amp;YEAR(B131)</f>
        <v>Q1-2023</v>
      </c>
      <c r="H131" t="s">
        <v>52</v>
      </c>
      <c r="I131" t="s">
        <v>122</v>
      </c>
      <c r="J131" t="s">
        <v>167</v>
      </c>
      <c r="K131" t="s">
        <v>62</v>
      </c>
      <c r="L131" t="s">
        <v>28</v>
      </c>
      <c r="M131" t="s">
        <v>75</v>
      </c>
      <c r="N131" t="s">
        <v>35</v>
      </c>
      <c r="O131" t="s">
        <v>361</v>
      </c>
      <c r="P131" s="4">
        <v>413.52</v>
      </c>
      <c r="Q131" s="8" t="str">
        <f t="shared" ref="Q131:Q194" si="20">IF(R131&lt;50, "Low", IF(R131&lt;200, "Medium", "High"))</f>
        <v>High</v>
      </c>
      <c r="R131" s="4">
        <v>1004.34</v>
      </c>
      <c r="S131" s="4">
        <v>0.111</v>
      </c>
      <c r="T131" s="4">
        <v>18</v>
      </c>
      <c r="U131" s="4">
        <f t="shared" si="16"/>
        <v>8440.7349599999998</v>
      </c>
      <c r="V131">
        <f t="shared" si="17"/>
        <v>7443.36</v>
      </c>
      <c r="W131" s="4">
        <f t="shared" ref="W131:W194" si="21">(U131-V131)</f>
        <v>997.3749600000001</v>
      </c>
      <c r="X131" s="4">
        <f t="shared" ref="X131:X194" si="22">IF(U131=0, 0, W131/U131)</f>
        <v>0.11816209900281008</v>
      </c>
    </row>
    <row r="132" spans="1:24" x14ac:dyDescent="0.3">
      <c r="A132" t="s">
        <v>362</v>
      </c>
      <c r="B132" s="7">
        <v>45700</v>
      </c>
      <c r="C132" s="2">
        <v>45716</v>
      </c>
      <c r="D132" s="4">
        <f t="shared" ref="D132:D195" si="23">DATEDIF(B132,C132, "MD")</f>
        <v>16</v>
      </c>
      <c r="E132" s="51" t="b">
        <f t="shared" si="18"/>
        <v>0</v>
      </c>
      <c r="F132" s="4" t="str">
        <f>TEXT(Data!B132,"MMM-YYYY")</f>
        <v>Mar-2025</v>
      </c>
      <c r="G132" s="4" t="str">
        <f t="shared" si="19"/>
        <v>Q1-2025</v>
      </c>
      <c r="H132" t="s">
        <v>52</v>
      </c>
      <c r="I132" t="s">
        <v>73</v>
      </c>
      <c r="J132" t="s">
        <v>74</v>
      </c>
      <c r="K132" t="s">
        <v>39</v>
      </c>
      <c r="L132" t="s">
        <v>98</v>
      </c>
      <c r="M132" t="s">
        <v>56</v>
      </c>
      <c r="N132" t="s">
        <v>64</v>
      </c>
      <c r="O132" t="s">
        <v>363</v>
      </c>
      <c r="P132" s="4">
        <v>414.95</v>
      </c>
      <c r="Q132" s="8" t="str">
        <f t="shared" si="20"/>
        <v>High</v>
      </c>
      <c r="R132" s="4">
        <v>1027.73</v>
      </c>
      <c r="S132" s="4">
        <v>6.3E-2</v>
      </c>
      <c r="T132" s="4">
        <v>8</v>
      </c>
      <c r="U132" s="4">
        <f t="shared" si="16"/>
        <v>10997.906320000002</v>
      </c>
      <c r="V132">
        <f t="shared" si="17"/>
        <v>3319.6</v>
      </c>
      <c r="W132" s="4">
        <f t="shared" si="21"/>
        <v>7678.3063200000015</v>
      </c>
      <c r="X132" s="4">
        <f t="shared" si="22"/>
        <v>0.69816073137818835</v>
      </c>
    </row>
    <row r="133" spans="1:24" x14ac:dyDescent="0.3">
      <c r="A133" t="s">
        <v>364</v>
      </c>
      <c r="B133" s="7">
        <v>45719</v>
      </c>
      <c r="C133" s="2">
        <v>45740</v>
      </c>
      <c r="D133" s="4">
        <f t="shared" si="23"/>
        <v>21</v>
      </c>
      <c r="E133" s="51" t="b">
        <f t="shared" si="18"/>
        <v>0</v>
      </c>
      <c r="F133" s="4" t="str">
        <f>TEXT(Data!B133,"MMM-YYYY")</f>
        <v>Jan-2023</v>
      </c>
      <c r="G133" s="4" t="str">
        <f t="shared" si="19"/>
        <v>Q1-2025</v>
      </c>
      <c r="H133" t="s">
        <v>16</v>
      </c>
      <c r="I133" t="s">
        <v>25</v>
      </c>
      <c r="J133" t="s">
        <v>67</v>
      </c>
      <c r="K133" t="s">
        <v>105</v>
      </c>
      <c r="L133" t="s">
        <v>98</v>
      </c>
      <c r="M133" t="s">
        <v>92</v>
      </c>
      <c r="N133" t="s">
        <v>81</v>
      </c>
      <c r="O133" t="s">
        <v>365</v>
      </c>
      <c r="P133" s="4">
        <v>555.95000000000005</v>
      </c>
      <c r="Q133" s="8" t="str">
        <f t="shared" si="20"/>
        <v>High</v>
      </c>
      <c r="R133" s="4">
        <v>468.09</v>
      </c>
      <c r="S133" s="4">
        <v>0.14199999999999999</v>
      </c>
      <c r="T133" s="4">
        <v>11</v>
      </c>
      <c r="U133" s="4">
        <f t="shared" si="16"/>
        <v>15583.45932</v>
      </c>
      <c r="V133">
        <f t="shared" si="17"/>
        <v>6115.4500000000007</v>
      </c>
      <c r="W133" s="4">
        <f t="shared" si="21"/>
        <v>9468.0093199999992</v>
      </c>
      <c r="X133" s="4">
        <f t="shared" si="22"/>
        <v>0.60756787858063332</v>
      </c>
    </row>
    <row r="134" spans="1:24" x14ac:dyDescent="0.3">
      <c r="A134" t="s">
        <v>366</v>
      </c>
      <c r="B134" s="7">
        <v>44953</v>
      </c>
      <c r="C134" s="2">
        <v>44957</v>
      </c>
      <c r="D134" s="4">
        <f t="shared" si="23"/>
        <v>4</v>
      </c>
      <c r="E134" s="51" t="str">
        <f t="shared" si="18"/>
        <v>Yes</v>
      </c>
      <c r="F134" s="4" t="str">
        <f>TEXT(Data!B134,"MMM-YYYY")</f>
        <v>Jan-2025</v>
      </c>
      <c r="G134" s="4" t="str">
        <f t="shared" si="19"/>
        <v>Q1-2023</v>
      </c>
      <c r="H134" t="s">
        <v>78</v>
      </c>
      <c r="I134" t="s">
        <v>108</v>
      </c>
      <c r="J134" t="s">
        <v>228</v>
      </c>
      <c r="K134" t="s">
        <v>105</v>
      </c>
      <c r="L134" t="s">
        <v>28</v>
      </c>
      <c r="M134" t="s">
        <v>126</v>
      </c>
      <c r="N134" t="s">
        <v>57</v>
      </c>
      <c r="O134" t="s">
        <v>367</v>
      </c>
      <c r="P134" s="4">
        <v>941.2</v>
      </c>
      <c r="Q134" s="8" t="str">
        <f t="shared" si="20"/>
        <v>High</v>
      </c>
      <c r="R134" s="4">
        <v>668.02</v>
      </c>
      <c r="S134" s="4">
        <v>0.22</v>
      </c>
      <c r="T134" s="4">
        <v>16</v>
      </c>
      <c r="U134" s="4">
        <f t="shared" si="16"/>
        <v>24737.606400000001</v>
      </c>
      <c r="V134">
        <f t="shared" si="17"/>
        <v>15059.2</v>
      </c>
      <c r="W134" s="4">
        <f t="shared" si="21"/>
        <v>9678.4063999999998</v>
      </c>
      <c r="X134" s="4">
        <f t="shared" si="22"/>
        <v>0.3912426385763822</v>
      </c>
    </row>
    <row r="135" spans="1:24" x14ac:dyDescent="0.3">
      <c r="A135" t="s">
        <v>368</v>
      </c>
      <c r="B135" s="7">
        <v>45666</v>
      </c>
      <c r="C135" s="2">
        <v>45672</v>
      </c>
      <c r="D135" s="4">
        <f t="shared" si="23"/>
        <v>6</v>
      </c>
      <c r="E135" s="51" t="str">
        <f t="shared" si="18"/>
        <v>Yes</v>
      </c>
      <c r="F135" s="4" t="str">
        <f>TEXT(Data!B135,"MMM-YYYY")</f>
        <v>Dec-2024</v>
      </c>
      <c r="G135" s="4" t="str">
        <f t="shared" si="19"/>
        <v>Q1-2025</v>
      </c>
      <c r="H135" t="s">
        <v>45</v>
      </c>
      <c r="I135" t="s">
        <v>116</v>
      </c>
      <c r="J135" t="s">
        <v>338</v>
      </c>
      <c r="K135" t="s">
        <v>27</v>
      </c>
      <c r="L135" t="s">
        <v>28</v>
      </c>
      <c r="M135" t="s">
        <v>21</v>
      </c>
      <c r="N135" t="s">
        <v>42</v>
      </c>
      <c r="O135" t="s">
        <v>369</v>
      </c>
      <c r="P135" s="4">
        <v>304.77999999999997</v>
      </c>
      <c r="Q135" s="8" t="str">
        <f t="shared" si="20"/>
        <v>High</v>
      </c>
      <c r="R135" s="4">
        <v>537.27</v>
      </c>
      <c r="S135" s="4">
        <v>0.187</v>
      </c>
      <c r="T135" s="4">
        <v>8</v>
      </c>
      <c r="U135" s="4">
        <f t="shared" si="16"/>
        <v>16599.638879999999</v>
      </c>
      <c r="V135">
        <f t="shared" si="17"/>
        <v>2438.2399999999998</v>
      </c>
      <c r="W135" s="4">
        <f t="shared" si="21"/>
        <v>14161.398879999999</v>
      </c>
      <c r="X135" s="4">
        <f t="shared" si="22"/>
        <v>0.85311487691833454</v>
      </c>
    </row>
    <row r="136" spans="1:24" x14ac:dyDescent="0.3">
      <c r="A136" t="s">
        <v>370</v>
      </c>
      <c r="B136" s="7">
        <v>45647</v>
      </c>
      <c r="C136" s="2">
        <v>45652</v>
      </c>
      <c r="D136" s="4">
        <f t="shared" si="23"/>
        <v>5</v>
      </c>
      <c r="E136" s="51" t="str">
        <f t="shared" si="18"/>
        <v>Yes</v>
      </c>
      <c r="F136" s="4" t="str">
        <f>TEXT(Data!B136,"MMM-YYYY")</f>
        <v>Apr-2023</v>
      </c>
      <c r="G136" s="4" t="str">
        <f t="shared" si="19"/>
        <v>Q4-2024</v>
      </c>
      <c r="H136" t="s">
        <v>52</v>
      </c>
      <c r="I136" t="s">
        <v>122</v>
      </c>
      <c r="J136" t="s">
        <v>167</v>
      </c>
      <c r="K136" t="s">
        <v>48</v>
      </c>
      <c r="L136" t="s">
        <v>40</v>
      </c>
      <c r="M136" t="s">
        <v>110</v>
      </c>
      <c r="N136" t="s">
        <v>30</v>
      </c>
      <c r="O136" t="s">
        <v>371</v>
      </c>
      <c r="P136" s="4">
        <v>699.57</v>
      </c>
      <c r="Q136" s="8" t="str">
        <f t="shared" si="20"/>
        <v>High</v>
      </c>
      <c r="R136" s="4">
        <v>572.71</v>
      </c>
      <c r="S136" s="4">
        <v>0.192</v>
      </c>
      <c r="T136" s="4">
        <v>26</v>
      </c>
      <c r="U136" s="4">
        <f t="shared" si="16"/>
        <v>10987.39408</v>
      </c>
      <c r="V136">
        <f t="shared" si="17"/>
        <v>18188.82</v>
      </c>
      <c r="W136" s="4">
        <f t="shared" si="21"/>
        <v>-7201.4259199999997</v>
      </c>
      <c r="X136" s="4">
        <f t="shared" si="22"/>
        <v>-0.65542619729172391</v>
      </c>
    </row>
    <row r="137" spans="1:24" x14ac:dyDescent="0.3">
      <c r="A137" t="s">
        <v>372</v>
      </c>
      <c r="B137" s="7">
        <v>45028</v>
      </c>
      <c r="C137" s="2">
        <v>45033</v>
      </c>
      <c r="D137" s="4">
        <f t="shared" si="23"/>
        <v>5</v>
      </c>
      <c r="E137" s="51" t="str">
        <f t="shared" si="18"/>
        <v>Yes</v>
      </c>
      <c r="F137" s="4" t="str">
        <f>TEXT(Data!B137,"MMM-YYYY")</f>
        <v>Dec-2024</v>
      </c>
      <c r="G137" s="4" t="str">
        <f t="shared" si="19"/>
        <v>Q2-2023</v>
      </c>
      <c r="H137" t="s">
        <v>78</v>
      </c>
      <c r="I137" t="s">
        <v>90</v>
      </c>
      <c r="J137" t="s">
        <v>138</v>
      </c>
      <c r="K137" t="s">
        <v>105</v>
      </c>
      <c r="L137" t="s">
        <v>98</v>
      </c>
      <c r="M137" t="s">
        <v>63</v>
      </c>
      <c r="N137" t="s">
        <v>64</v>
      </c>
      <c r="O137" t="s">
        <v>373</v>
      </c>
      <c r="P137" s="4">
        <v>1087.81</v>
      </c>
      <c r="Q137" s="8" t="str">
        <f t="shared" si="20"/>
        <v>High</v>
      </c>
      <c r="R137" s="4">
        <v>2323.87</v>
      </c>
      <c r="S137" s="4">
        <v>9.4E-2</v>
      </c>
      <c r="T137" s="4">
        <v>13</v>
      </c>
      <c r="U137" s="4">
        <f t="shared" si="16"/>
        <v>14342.18838</v>
      </c>
      <c r="V137">
        <f t="shared" si="17"/>
        <v>14141.529999999999</v>
      </c>
      <c r="W137" s="4">
        <f t="shared" si="21"/>
        <v>200.65838000000076</v>
      </c>
      <c r="X137" s="4">
        <f t="shared" si="22"/>
        <v>1.399077844213902E-2</v>
      </c>
    </row>
    <row r="138" spans="1:24" x14ac:dyDescent="0.3">
      <c r="A138" t="s">
        <v>374</v>
      </c>
      <c r="B138" s="7">
        <v>45640</v>
      </c>
      <c r="C138" s="2">
        <v>45669</v>
      </c>
      <c r="D138" s="4">
        <f t="shared" si="23"/>
        <v>29</v>
      </c>
      <c r="E138" s="51" t="b">
        <f t="shared" si="18"/>
        <v>0</v>
      </c>
      <c r="F138" s="4" t="str">
        <f>TEXT(Data!B138,"MMM-YYYY")</f>
        <v>Mar-2023</v>
      </c>
      <c r="G138" s="4" t="str">
        <f t="shared" si="19"/>
        <v>Q4-2024</v>
      </c>
      <c r="H138" t="s">
        <v>45</v>
      </c>
      <c r="I138" t="s">
        <v>116</v>
      </c>
      <c r="J138" t="s">
        <v>117</v>
      </c>
      <c r="K138" t="s">
        <v>27</v>
      </c>
      <c r="L138" t="s">
        <v>28</v>
      </c>
      <c r="M138" t="s">
        <v>29</v>
      </c>
      <c r="N138" t="s">
        <v>22</v>
      </c>
      <c r="O138" t="s">
        <v>375</v>
      </c>
      <c r="P138" s="4">
        <v>1412.15</v>
      </c>
      <c r="Q138" s="8" t="str">
        <f t="shared" si="20"/>
        <v>High</v>
      </c>
      <c r="R138" s="4">
        <v>1631.04</v>
      </c>
      <c r="S138" s="4">
        <v>8.9999999999999993E-3</v>
      </c>
      <c r="T138" s="4">
        <v>6</v>
      </c>
      <c r="U138" s="4">
        <f t="shared" si="16"/>
        <v>7989.2834400000002</v>
      </c>
      <c r="V138">
        <f t="shared" si="17"/>
        <v>8472.9000000000015</v>
      </c>
      <c r="W138" s="4">
        <f t="shared" si="21"/>
        <v>-483.6165600000013</v>
      </c>
      <c r="X138" s="4">
        <f t="shared" si="22"/>
        <v>-6.0533158403002073E-2</v>
      </c>
    </row>
    <row r="139" spans="1:24" x14ac:dyDescent="0.3">
      <c r="A139" t="s">
        <v>376</v>
      </c>
      <c r="B139" s="7">
        <v>45016</v>
      </c>
      <c r="C139" s="2">
        <v>45028</v>
      </c>
      <c r="D139" s="4">
        <f t="shared" si="23"/>
        <v>12</v>
      </c>
      <c r="E139" s="51" t="b">
        <f t="shared" si="18"/>
        <v>0</v>
      </c>
      <c r="F139" s="4" t="str">
        <f>TEXT(Data!B139,"MMM-YYYY")</f>
        <v>Nov-2024</v>
      </c>
      <c r="G139" s="4" t="str">
        <f t="shared" si="19"/>
        <v>Q1-2023</v>
      </c>
      <c r="H139" t="s">
        <v>16</v>
      </c>
      <c r="I139" t="s">
        <v>17</v>
      </c>
      <c r="J139" t="s">
        <v>113</v>
      </c>
      <c r="K139" t="s">
        <v>62</v>
      </c>
      <c r="L139" t="s">
        <v>28</v>
      </c>
      <c r="M139" t="s">
        <v>21</v>
      </c>
      <c r="N139" t="s">
        <v>42</v>
      </c>
      <c r="O139" t="s">
        <v>377</v>
      </c>
      <c r="P139" s="4">
        <v>304.22000000000003</v>
      </c>
      <c r="Q139" s="8" t="str">
        <f t="shared" si="20"/>
        <v>High</v>
      </c>
      <c r="R139" s="4">
        <v>393.31</v>
      </c>
      <c r="S139" s="4">
        <v>0.26500000000000001</v>
      </c>
      <c r="T139" s="4">
        <v>15</v>
      </c>
      <c r="U139" s="4">
        <f t="shared" si="16"/>
        <v>3326.2424999999998</v>
      </c>
      <c r="V139">
        <f t="shared" si="17"/>
        <v>4563.3</v>
      </c>
      <c r="W139" s="4">
        <f t="shared" si="21"/>
        <v>-1237.0575000000003</v>
      </c>
      <c r="X139" s="4">
        <f t="shared" si="22"/>
        <v>-0.3719083921271526</v>
      </c>
    </row>
    <row r="140" spans="1:24" x14ac:dyDescent="0.3">
      <c r="A140" t="s">
        <v>378</v>
      </c>
      <c r="B140" s="7">
        <v>45616</v>
      </c>
      <c r="C140" s="2">
        <v>45641</v>
      </c>
      <c r="D140" s="4">
        <f t="shared" si="23"/>
        <v>25</v>
      </c>
      <c r="E140" s="51" t="b">
        <f t="shared" si="18"/>
        <v>0</v>
      </c>
      <c r="F140" s="4" t="str">
        <f>TEXT(Data!B140,"MMM-YYYY")</f>
        <v>Feb-2024</v>
      </c>
      <c r="G140" s="4" t="str">
        <f t="shared" si="19"/>
        <v>Q4-2024</v>
      </c>
      <c r="H140" t="s">
        <v>78</v>
      </c>
      <c r="I140" t="s">
        <v>90</v>
      </c>
      <c r="J140" t="s">
        <v>217</v>
      </c>
      <c r="K140" t="s">
        <v>19</v>
      </c>
      <c r="L140" t="s">
        <v>28</v>
      </c>
      <c r="M140" t="s">
        <v>41</v>
      </c>
      <c r="N140" t="s">
        <v>30</v>
      </c>
      <c r="O140" t="s">
        <v>379</v>
      </c>
      <c r="P140" s="4">
        <v>1203.58</v>
      </c>
      <c r="Q140" s="8" t="str">
        <f t="shared" si="20"/>
        <v>High</v>
      </c>
      <c r="R140" s="4">
        <v>1856.16</v>
      </c>
      <c r="S140" s="4">
        <v>0.129</v>
      </c>
      <c r="T140" s="4">
        <v>22</v>
      </c>
      <c r="U140" s="4">
        <f t="shared" si="16"/>
        <v>28967.387020000002</v>
      </c>
      <c r="V140">
        <f t="shared" si="17"/>
        <v>26478.76</v>
      </c>
      <c r="W140" s="4">
        <f t="shared" si="21"/>
        <v>2488.6270200000035</v>
      </c>
      <c r="X140" s="4">
        <f t="shared" si="22"/>
        <v>8.591133947572753E-2</v>
      </c>
    </row>
    <row r="141" spans="1:24" x14ac:dyDescent="0.3">
      <c r="A141" t="s">
        <v>380</v>
      </c>
      <c r="B141" s="7">
        <v>45336</v>
      </c>
      <c r="C141" s="2">
        <v>45336</v>
      </c>
      <c r="D141" s="4">
        <f t="shared" si="23"/>
        <v>0</v>
      </c>
      <c r="E141" s="51" t="str">
        <f t="shared" si="18"/>
        <v>Yes</v>
      </c>
      <c r="F141" s="4" t="str">
        <f>TEXT(Data!B141,"MMM-YYYY")</f>
        <v>May-2023</v>
      </c>
      <c r="G141" s="4" t="str">
        <f t="shared" si="19"/>
        <v>Q1-2024</v>
      </c>
      <c r="H141" t="s">
        <v>45</v>
      </c>
      <c r="I141" t="s">
        <v>116</v>
      </c>
      <c r="J141" t="s">
        <v>338</v>
      </c>
      <c r="K141" t="s">
        <v>19</v>
      </c>
      <c r="L141" t="s">
        <v>55</v>
      </c>
      <c r="M141" t="s">
        <v>49</v>
      </c>
      <c r="N141" t="s">
        <v>81</v>
      </c>
      <c r="O141" t="s">
        <v>381</v>
      </c>
      <c r="P141" s="4">
        <v>65.930000000000007</v>
      </c>
      <c r="Q141" s="8" t="str">
        <f t="shared" si="20"/>
        <v>Medium</v>
      </c>
      <c r="R141" s="4">
        <v>84.9</v>
      </c>
      <c r="S141" s="4">
        <v>0.25900000000000001</v>
      </c>
      <c r="T141" s="4">
        <v>23</v>
      </c>
      <c r="U141" s="4">
        <f t="shared" si="16"/>
        <v>35027.455319999994</v>
      </c>
      <c r="V141">
        <f t="shared" si="17"/>
        <v>1516.39</v>
      </c>
      <c r="W141" s="4">
        <f t="shared" si="21"/>
        <v>33511.065319999994</v>
      </c>
      <c r="X141" s="4">
        <f t="shared" si="22"/>
        <v>0.95670853088964847</v>
      </c>
    </row>
    <row r="142" spans="1:24" x14ac:dyDescent="0.3">
      <c r="A142" t="s">
        <v>382</v>
      </c>
      <c r="B142" s="7">
        <v>45048</v>
      </c>
      <c r="C142" s="2">
        <v>45064</v>
      </c>
      <c r="D142" s="4">
        <f t="shared" si="23"/>
        <v>16</v>
      </c>
      <c r="E142" s="51" t="b">
        <f t="shared" si="18"/>
        <v>0</v>
      </c>
      <c r="F142" s="4" t="str">
        <f>TEXT(Data!B142,"MMM-YYYY")</f>
        <v>Dec-2024</v>
      </c>
      <c r="G142" s="4" t="str">
        <f t="shared" si="19"/>
        <v>Q2-2023</v>
      </c>
      <c r="H142" t="s">
        <v>45</v>
      </c>
      <c r="I142" t="s">
        <v>60</v>
      </c>
      <c r="J142" t="s">
        <v>141</v>
      </c>
      <c r="K142" t="s">
        <v>62</v>
      </c>
      <c r="L142" t="s">
        <v>40</v>
      </c>
      <c r="M142" t="s">
        <v>95</v>
      </c>
      <c r="N142" t="s">
        <v>64</v>
      </c>
      <c r="O142" t="s">
        <v>383</v>
      </c>
      <c r="P142" s="4">
        <v>1463.92</v>
      </c>
      <c r="Q142" s="8" t="str">
        <f t="shared" si="20"/>
        <v>High</v>
      </c>
      <c r="R142" s="4">
        <v>2252.2399999999998</v>
      </c>
      <c r="S142" s="4">
        <v>0.11799999999999999</v>
      </c>
      <c r="T142" s="4">
        <v>44</v>
      </c>
      <c r="U142" s="4">
        <f t="shared" si="16"/>
        <v>15179.749199999998</v>
      </c>
      <c r="V142">
        <f t="shared" si="17"/>
        <v>64412.480000000003</v>
      </c>
      <c r="W142" s="4">
        <f t="shared" si="21"/>
        <v>-49232.730800000005</v>
      </c>
      <c r="X142" s="4">
        <f t="shared" si="22"/>
        <v>-3.2433164837795876</v>
      </c>
    </row>
    <row r="143" spans="1:24" x14ac:dyDescent="0.3">
      <c r="A143" t="s">
        <v>384</v>
      </c>
      <c r="B143" s="7">
        <v>45649</v>
      </c>
      <c r="C143" s="2">
        <v>45668</v>
      </c>
      <c r="D143" s="4">
        <f t="shared" si="23"/>
        <v>19</v>
      </c>
      <c r="E143" s="51" t="b">
        <f t="shared" si="18"/>
        <v>0</v>
      </c>
      <c r="F143" s="4" t="str">
        <f>TEXT(Data!B143,"MMM-YYYY")</f>
        <v>Jul-2023</v>
      </c>
      <c r="G143" s="4" t="str">
        <f t="shared" si="19"/>
        <v>Q4-2024</v>
      </c>
      <c r="H143" t="s">
        <v>78</v>
      </c>
      <c r="I143" t="s">
        <v>79</v>
      </c>
      <c r="J143" t="s">
        <v>80</v>
      </c>
      <c r="K143" t="s">
        <v>27</v>
      </c>
      <c r="L143" t="s">
        <v>20</v>
      </c>
      <c r="M143" t="s">
        <v>95</v>
      </c>
      <c r="N143" t="s">
        <v>42</v>
      </c>
      <c r="O143" t="s">
        <v>385</v>
      </c>
      <c r="P143" s="4">
        <v>501.81</v>
      </c>
      <c r="Q143" s="8" t="str">
        <f t="shared" si="20"/>
        <v>High</v>
      </c>
      <c r="R143" s="4">
        <v>921.62</v>
      </c>
      <c r="S143" s="4">
        <v>0.01</v>
      </c>
      <c r="T143" s="4">
        <v>9</v>
      </c>
      <c r="U143" s="4">
        <f t="shared" si="16"/>
        <v>16474.322700000001</v>
      </c>
      <c r="V143">
        <f t="shared" si="17"/>
        <v>4516.29</v>
      </c>
      <c r="W143" s="4">
        <f t="shared" si="21"/>
        <v>11958.0327</v>
      </c>
      <c r="X143" s="4">
        <f t="shared" si="22"/>
        <v>0.72585883606614066</v>
      </c>
    </row>
    <row r="144" spans="1:24" x14ac:dyDescent="0.3">
      <c r="A144" t="s">
        <v>386</v>
      </c>
      <c r="B144" s="7">
        <v>45133</v>
      </c>
      <c r="C144" s="2">
        <v>45163</v>
      </c>
      <c r="D144" s="4">
        <f t="shared" si="23"/>
        <v>30</v>
      </c>
      <c r="E144" s="51" t="b">
        <f t="shared" si="18"/>
        <v>0</v>
      </c>
      <c r="F144" s="4" t="str">
        <f>TEXT(Data!B144,"MMM-YYYY")</f>
        <v>Jun-2024</v>
      </c>
      <c r="G144" s="4" t="str">
        <f t="shared" si="19"/>
        <v>Q3-2023</v>
      </c>
      <c r="H144" t="s">
        <v>52</v>
      </c>
      <c r="I144" t="s">
        <v>122</v>
      </c>
      <c r="J144" t="s">
        <v>387</v>
      </c>
      <c r="K144" t="s">
        <v>48</v>
      </c>
      <c r="L144" t="s">
        <v>20</v>
      </c>
      <c r="M144" t="s">
        <v>110</v>
      </c>
      <c r="N144" t="s">
        <v>81</v>
      </c>
      <c r="O144" t="s">
        <v>388</v>
      </c>
      <c r="P144" s="4">
        <v>1261.48</v>
      </c>
      <c r="Q144" s="8" t="str">
        <f t="shared" si="20"/>
        <v>High</v>
      </c>
      <c r="R144" s="4">
        <v>1643.18</v>
      </c>
      <c r="S144" s="4">
        <v>0.151</v>
      </c>
      <c r="T144" s="4">
        <v>23</v>
      </c>
      <c r="U144" s="4">
        <f t="shared" si="16"/>
        <v>27251.100119999996</v>
      </c>
      <c r="V144">
        <f t="shared" si="17"/>
        <v>29014.04</v>
      </c>
      <c r="W144" s="4">
        <f t="shared" si="21"/>
        <v>-1762.9398800000054</v>
      </c>
      <c r="X144" s="4">
        <f t="shared" si="22"/>
        <v>-6.4692429745475011E-2</v>
      </c>
    </row>
    <row r="145" spans="1:24" x14ac:dyDescent="0.3">
      <c r="A145" t="s">
        <v>389</v>
      </c>
      <c r="B145" s="7">
        <v>45458</v>
      </c>
      <c r="C145" s="2">
        <v>45479</v>
      </c>
      <c r="D145" s="4">
        <f t="shared" si="23"/>
        <v>21</v>
      </c>
      <c r="E145" s="51" t="b">
        <f t="shared" si="18"/>
        <v>0</v>
      </c>
      <c r="F145" s="4" t="str">
        <f>TEXT(Data!B145,"MMM-YYYY")</f>
        <v>Jul-2023</v>
      </c>
      <c r="G145" s="4" t="str">
        <f t="shared" si="19"/>
        <v>Q2-2024</v>
      </c>
      <c r="H145" t="s">
        <v>52</v>
      </c>
      <c r="I145" t="s">
        <v>53</v>
      </c>
      <c r="J145" t="s">
        <v>54</v>
      </c>
      <c r="K145" t="s">
        <v>105</v>
      </c>
      <c r="L145" t="s">
        <v>55</v>
      </c>
      <c r="M145" t="s">
        <v>49</v>
      </c>
      <c r="N145" t="s">
        <v>30</v>
      </c>
      <c r="O145" t="s">
        <v>390</v>
      </c>
      <c r="P145" s="4">
        <v>817.23</v>
      </c>
      <c r="Q145" s="8" t="str">
        <f t="shared" si="20"/>
        <v>High</v>
      </c>
      <c r="R145" s="4">
        <v>1467.17</v>
      </c>
      <c r="S145" s="4">
        <v>0.245</v>
      </c>
      <c r="T145" s="4">
        <v>9</v>
      </c>
      <c r="U145" s="4">
        <f t="shared" si="16"/>
        <v>3655.9817999999996</v>
      </c>
      <c r="V145">
        <f t="shared" si="17"/>
        <v>7355.07</v>
      </c>
      <c r="W145" s="4">
        <f t="shared" si="21"/>
        <v>-3699.0882000000001</v>
      </c>
      <c r="X145" s="4">
        <f t="shared" si="22"/>
        <v>-1.0117906495048745</v>
      </c>
    </row>
    <row r="146" spans="1:24" x14ac:dyDescent="0.3">
      <c r="A146" t="s">
        <v>391</v>
      </c>
      <c r="B146" s="7">
        <v>45112</v>
      </c>
      <c r="C146" s="2">
        <v>45121</v>
      </c>
      <c r="D146" s="4">
        <f t="shared" si="23"/>
        <v>9</v>
      </c>
      <c r="E146" s="51" t="b">
        <f t="shared" si="18"/>
        <v>0</v>
      </c>
      <c r="F146" s="4" t="str">
        <f>TEXT(Data!B146,"MMM-YYYY")</f>
        <v>Nov-2023</v>
      </c>
      <c r="G146" s="4" t="str">
        <f t="shared" si="19"/>
        <v>Q3-2023</v>
      </c>
      <c r="H146" t="s">
        <v>52</v>
      </c>
      <c r="I146" t="s">
        <v>73</v>
      </c>
      <c r="J146" t="s">
        <v>87</v>
      </c>
      <c r="K146" t="s">
        <v>105</v>
      </c>
      <c r="L146" t="s">
        <v>98</v>
      </c>
      <c r="M146" t="s">
        <v>56</v>
      </c>
      <c r="N146" t="s">
        <v>35</v>
      </c>
      <c r="O146" t="s">
        <v>392</v>
      </c>
      <c r="P146" s="4">
        <v>578.85</v>
      </c>
      <c r="Q146" s="8" t="str">
        <f t="shared" si="20"/>
        <v>High</v>
      </c>
      <c r="R146" s="4">
        <v>998.76</v>
      </c>
      <c r="S146" s="4">
        <v>8.2000000000000003E-2</v>
      </c>
      <c r="T146" s="4">
        <v>28</v>
      </c>
      <c r="U146" s="4">
        <f t="shared" si="16"/>
        <v>31331.119680000003</v>
      </c>
      <c r="V146">
        <f t="shared" si="17"/>
        <v>16207.800000000001</v>
      </c>
      <c r="W146" s="4">
        <f t="shared" si="21"/>
        <v>15123.319680000002</v>
      </c>
      <c r="X146" s="4">
        <f t="shared" si="22"/>
        <v>0.4826932402819254</v>
      </c>
    </row>
    <row r="147" spans="1:24" x14ac:dyDescent="0.3">
      <c r="A147" t="s">
        <v>393</v>
      </c>
      <c r="B147" s="7">
        <v>45260</v>
      </c>
      <c r="C147" s="2">
        <v>45259</v>
      </c>
      <c r="D147" s="4">
        <f>DATEDIF(C147,B147, "MD")</f>
        <v>1</v>
      </c>
      <c r="E147" s="51" t="str">
        <f t="shared" si="18"/>
        <v>Yes</v>
      </c>
      <c r="F147" s="4" t="str">
        <f>TEXT(Data!B147,"MMM-YYYY")</f>
        <v>Sept-2025</v>
      </c>
      <c r="G147" s="4" t="str">
        <f t="shared" si="19"/>
        <v>Q4-2023</v>
      </c>
      <c r="H147" t="s">
        <v>16</v>
      </c>
      <c r="I147" t="s">
        <v>148</v>
      </c>
      <c r="J147" t="s">
        <v>172</v>
      </c>
      <c r="K147" t="s">
        <v>62</v>
      </c>
      <c r="L147" t="s">
        <v>40</v>
      </c>
      <c r="M147" t="s">
        <v>63</v>
      </c>
      <c r="N147" t="s">
        <v>57</v>
      </c>
      <c r="O147" t="s">
        <v>394</v>
      </c>
      <c r="P147" s="4">
        <v>275.56</v>
      </c>
      <c r="Q147" s="8" t="str">
        <f t="shared" si="20"/>
        <v>High</v>
      </c>
      <c r="R147" s="4">
        <v>630.72</v>
      </c>
      <c r="S147" s="4">
        <v>0.107</v>
      </c>
      <c r="T147" s="4">
        <v>23</v>
      </c>
      <c r="U147" s="4">
        <f t="shared" si="16"/>
        <v>42353.882679999995</v>
      </c>
      <c r="V147">
        <f t="shared" si="17"/>
        <v>6337.88</v>
      </c>
      <c r="W147" s="4">
        <f t="shared" si="21"/>
        <v>36016.002679999998</v>
      </c>
      <c r="X147" s="4">
        <f t="shared" si="22"/>
        <v>0.85035893762361436</v>
      </c>
    </row>
    <row r="148" spans="1:24" x14ac:dyDescent="0.3">
      <c r="A148" t="s">
        <v>395</v>
      </c>
      <c r="B148" s="7">
        <v>45911</v>
      </c>
      <c r="C148" s="2">
        <v>45928</v>
      </c>
      <c r="D148" s="4">
        <f t="shared" si="23"/>
        <v>17</v>
      </c>
      <c r="E148" s="51" t="b">
        <f t="shared" si="18"/>
        <v>0</v>
      </c>
      <c r="F148" s="4" t="str">
        <f>TEXT(Data!B148,"MMM-YYYY")</f>
        <v>Apr-2024</v>
      </c>
      <c r="G148" s="4" t="str">
        <f t="shared" si="19"/>
        <v>Q3-2025</v>
      </c>
      <c r="H148" t="s">
        <v>16</v>
      </c>
      <c r="I148" t="s">
        <v>17</v>
      </c>
      <c r="J148" t="s">
        <v>33</v>
      </c>
      <c r="K148" t="s">
        <v>39</v>
      </c>
      <c r="L148" t="s">
        <v>55</v>
      </c>
      <c r="M148" t="s">
        <v>29</v>
      </c>
      <c r="N148" t="s">
        <v>57</v>
      </c>
      <c r="O148" t="s">
        <v>396</v>
      </c>
      <c r="P148" s="4">
        <v>891.46</v>
      </c>
      <c r="Q148" s="8" t="str">
        <f t="shared" si="20"/>
        <v>High</v>
      </c>
      <c r="R148" s="4">
        <v>728.61</v>
      </c>
      <c r="S148" s="4">
        <v>0.185</v>
      </c>
      <c r="T148" s="4">
        <v>6</v>
      </c>
      <c r="U148" s="4">
        <f t="shared" si="16"/>
        <v>49.780199999999994</v>
      </c>
      <c r="V148">
        <f t="shared" si="17"/>
        <v>5348.76</v>
      </c>
      <c r="W148" s="4">
        <f t="shared" si="21"/>
        <v>-5298.9798000000001</v>
      </c>
      <c r="X148" s="4">
        <f t="shared" si="22"/>
        <v>-106.44753938312824</v>
      </c>
    </row>
    <row r="149" spans="1:24" x14ac:dyDescent="0.3">
      <c r="A149" t="s">
        <v>397</v>
      </c>
      <c r="B149" s="7">
        <v>45386</v>
      </c>
      <c r="C149" s="2">
        <v>45406</v>
      </c>
      <c r="D149" s="4">
        <f t="shared" si="23"/>
        <v>20</v>
      </c>
      <c r="E149" s="51" t="b">
        <f t="shared" si="18"/>
        <v>0</v>
      </c>
      <c r="F149" s="4" t="str">
        <f>TEXT(Data!B149,"MMM-YYYY")</f>
        <v>Sept-2023</v>
      </c>
      <c r="G149" s="4" t="str">
        <f t="shared" si="19"/>
        <v>Q2-2024</v>
      </c>
      <c r="H149" t="s">
        <v>78</v>
      </c>
      <c r="I149" t="s">
        <v>79</v>
      </c>
      <c r="J149" t="s">
        <v>335</v>
      </c>
      <c r="K149" t="s">
        <v>39</v>
      </c>
      <c r="L149" t="s">
        <v>98</v>
      </c>
      <c r="M149" t="s">
        <v>68</v>
      </c>
      <c r="N149" t="s">
        <v>81</v>
      </c>
      <c r="O149" t="s">
        <v>398</v>
      </c>
      <c r="P149" s="4">
        <v>683.42</v>
      </c>
      <c r="Q149" s="8" t="str">
        <f t="shared" si="20"/>
        <v>High</v>
      </c>
      <c r="R149" s="4">
        <v>951.51</v>
      </c>
      <c r="S149" s="4">
        <v>0</v>
      </c>
      <c r="T149" s="4">
        <v>14</v>
      </c>
      <c r="U149" s="4">
        <f t="shared" si="16"/>
        <v>31944.079999999998</v>
      </c>
      <c r="V149">
        <f t="shared" si="17"/>
        <v>9567.8799999999992</v>
      </c>
      <c r="W149" s="4">
        <f t="shared" si="21"/>
        <v>22376.199999999997</v>
      </c>
      <c r="X149" s="4">
        <f t="shared" si="22"/>
        <v>0.7004803393930894</v>
      </c>
    </row>
    <row r="150" spans="1:24" x14ac:dyDescent="0.3">
      <c r="A150" t="s">
        <v>399</v>
      </c>
      <c r="B150" s="7">
        <v>45183</v>
      </c>
      <c r="C150" s="2">
        <v>45185</v>
      </c>
      <c r="D150" s="4">
        <f t="shared" si="23"/>
        <v>2</v>
      </c>
      <c r="E150" s="51" t="str">
        <f t="shared" si="18"/>
        <v>Yes</v>
      </c>
      <c r="F150" s="4" t="str">
        <f>TEXT(Data!B150,"MMM-YYYY")</f>
        <v>Sept-2024</v>
      </c>
      <c r="G150" s="4" t="str">
        <f t="shared" si="19"/>
        <v>Q3-2023</v>
      </c>
      <c r="H150" t="s">
        <v>78</v>
      </c>
      <c r="I150" t="s">
        <v>90</v>
      </c>
      <c r="J150" t="s">
        <v>138</v>
      </c>
      <c r="K150" t="s">
        <v>39</v>
      </c>
      <c r="L150" t="s">
        <v>98</v>
      </c>
      <c r="M150" t="s">
        <v>56</v>
      </c>
      <c r="N150" t="s">
        <v>30</v>
      </c>
      <c r="O150" t="s">
        <v>400</v>
      </c>
      <c r="P150" s="4">
        <v>376.83</v>
      </c>
      <c r="Q150" s="8" t="str">
        <f t="shared" si="20"/>
        <v>High</v>
      </c>
      <c r="R150" s="4">
        <v>732.88</v>
      </c>
      <c r="S150" s="4">
        <v>0.188</v>
      </c>
      <c r="T150" s="4">
        <v>25</v>
      </c>
      <c r="U150" s="4">
        <f t="shared" si="16"/>
        <v>5066.2710000000006</v>
      </c>
      <c r="V150">
        <f t="shared" si="17"/>
        <v>9420.75</v>
      </c>
      <c r="W150" s="4">
        <f t="shared" si="21"/>
        <v>-4354.4789999999994</v>
      </c>
      <c r="X150" s="4">
        <f t="shared" si="22"/>
        <v>-0.85950376519534755</v>
      </c>
    </row>
    <row r="151" spans="1:24" x14ac:dyDescent="0.3">
      <c r="A151" t="s">
        <v>401</v>
      </c>
      <c r="B151" s="7">
        <v>45558</v>
      </c>
      <c r="C151" s="2">
        <v>45583</v>
      </c>
      <c r="D151" s="4">
        <f t="shared" si="23"/>
        <v>25</v>
      </c>
      <c r="E151" s="51" t="b">
        <f t="shared" si="18"/>
        <v>0</v>
      </c>
      <c r="F151" s="4" t="str">
        <f>TEXT(Data!B151,"MMM-YYYY")</f>
        <v>Apr-2025</v>
      </c>
      <c r="G151" s="4" t="str">
        <f t="shared" si="19"/>
        <v>Q3-2024</v>
      </c>
      <c r="H151" t="s">
        <v>52</v>
      </c>
      <c r="I151" t="s">
        <v>53</v>
      </c>
      <c r="J151" t="s">
        <v>179</v>
      </c>
      <c r="K151" t="s">
        <v>62</v>
      </c>
      <c r="L151" t="s">
        <v>28</v>
      </c>
      <c r="M151" t="s">
        <v>126</v>
      </c>
      <c r="N151" t="s">
        <v>42</v>
      </c>
      <c r="O151" t="s">
        <v>402</v>
      </c>
      <c r="P151" s="4">
        <v>1297</v>
      </c>
      <c r="Q151" s="8" t="str">
        <f t="shared" si="20"/>
        <v>High</v>
      </c>
      <c r="R151" s="4">
        <v>2411.52</v>
      </c>
      <c r="S151" s="4">
        <v>2.1000000000000001E-2</v>
      </c>
      <c r="T151" s="4">
        <v>18</v>
      </c>
      <c r="U151" s="4">
        <f t="shared" si="16"/>
        <v>57712.049999999996</v>
      </c>
      <c r="V151">
        <f t="shared" si="17"/>
        <v>23346</v>
      </c>
      <c r="W151" s="4">
        <f t="shared" si="21"/>
        <v>34366.049999999996</v>
      </c>
      <c r="X151" s="4">
        <f t="shared" si="22"/>
        <v>0.59547442865051581</v>
      </c>
    </row>
    <row r="152" spans="1:24" x14ac:dyDescent="0.3">
      <c r="A152" t="s">
        <v>403</v>
      </c>
      <c r="B152" s="7">
        <v>45763</v>
      </c>
      <c r="C152" s="2">
        <v>45793</v>
      </c>
      <c r="D152" s="4">
        <f t="shared" si="23"/>
        <v>0</v>
      </c>
      <c r="E152" s="51" t="str">
        <f t="shared" si="18"/>
        <v>Yes</v>
      </c>
      <c r="F152" s="4" t="str">
        <f>TEXT(Data!B152,"MMM-YYYY")</f>
        <v>Jul-2023</v>
      </c>
      <c r="G152" s="4" t="str">
        <f t="shared" si="19"/>
        <v>Q2-2025</v>
      </c>
      <c r="H152" t="s">
        <v>52</v>
      </c>
      <c r="I152" t="s">
        <v>53</v>
      </c>
      <c r="J152" t="s">
        <v>144</v>
      </c>
      <c r="K152" t="s">
        <v>105</v>
      </c>
      <c r="L152" t="s">
        <v>55</v>
      </c>
      <c r="M152" t="s">
        <v>95</v>
      </c>
      <c r="N152" t="s">
        <v>30</v>
      </c>
      <c r="O152" t="s">
        <v>404</v>
      </c>
      <c r="P152" s="4">
        <v>763.32</v>
      </c>
      <c r="Q152" s="8" t="str">
        <f t="shared" si="20"/>
        <v>High</v>
      </c>
      <c r="R152" s="4">
        <v>568.29</v>
      </c>
      <c r="S152" s="4">
        <v>0.13100000000000001</v>
      </c>
      <c r="T152" s="4">
        <v>16</v>
      </c>
      <c r="U152" s="4">
        <f t="shared" si="16"/>
        <v>26608.919040000001</v>
      </c>
      <c r="V152">
        <f t="shared" si="17"/>
        <v>12213.12</v>
      </c>
      <c r="W152" s="4">
        <f t="shared" si="21"/>
        <v>14395.79904</v>
      </c>
      <c r="X152" s="4">
        <f t="shared" si="22"/>
        <v>0.54101404940048248</v>
      </c>
    </row>
    <row r="153" spans="1:24" x14ac:dyDescent="0.3">
      <c r="A153" t="s">
        <v>405</v>
      </c>
      <c r="B153" s="7">
        <v>45110</v>
      </c>
      <c r="C153" s="2">
        <v>45130</v>
      </c>
      <c r="D153" s="4">
        <f t="shared" si="23"/>
        <v>20</v>
      </c>
      <c r="E153" s="51" t="b">
        <f t="shared" si="18"/>
        <v>0</v>
      </c>
      <c r="F153" s="4" t="str">
        <f>TEXT(Data!B153,"MMM-YYYY")</f>
        <v>Dec-2023</v>
      </c>
      <c r="G153" s="4" t="str">
        <f t="shared" si="19"/>
        <v>Q3-2023</v>
      </c>
      <c r="H153" t="s">
        <v>16</v>
      </c>
      <c r="I153" t="s">
        <v>148</v>
      </c>
      <c r="J153" t="s">
        <v>149</v>
      </c>
      <c r="K153" t="s">
        <v>62</v>
      </c>
      <c r="L153" t="s">
        <v>55</v>
      </c>
      <c r="M153" t="s">
        <v>84</v>
      </c>
      <c r="N153" t="s">
        <v>57</v>
      </c>
      <c r="O153" t="s">
        <v>406</v>
      </c>
      <c r="P153" s="4">
        <v>1001.96</v>
      </c>
      <c r="Q153" s="8" t="str">
        <f t="shared" si="20"/>
        <v>High</v>
      </c>
      <c r="R153" s="4">
        <v>1254.95</v>
      </c>
      <c r="S153" s="4">
        <v>4.4999999999999998E-2</v>
      </c>
      <c r="T153" s="4">
        <v>18</v>
      </c>
      <c r="U153" s="4">
        <f t="shared" si="16"/>
        <v>517.24709999999993</v>
      </c>
      <c r="V153">
        <f t="shared" si="17"/>
        <v>18035.28</v>
      </c>
      <c r="W153" s="4">
        <f t="shared" si="21"/>
        <v>-17518.032899999998</v>
      </c>
      <c r="X153" s="4">
        <f t="shared" si="22"/>
        <v>-33.867822361884677</v>
      </c>
    </row>
    <row r="154" spans="1:24" x14ac:dyDescent="0.3">
      <c r="A154" t="s">
        <v>407</v>
      </c>
      <c r="B154" s="7">
        <v>45267</v>
      </c>
      <c r="C154" s="2">
        <v>45265</v>
      </c>
      <c r="D154" s="4">
        <f>DATEDIF(C154,B154, "MD")</f>
        <v>2</v>
      </c>
      <c r="E154" s="51" t="str">
        <f t="shared" si="18"/>
        <v>Yes</v>
      </c>
      <c r="F154" s="4" t="str">
        <f>TEXT(Data!B154,"MMM-YYYY")</f>
        <v>Feb-2024</v>
      </c>
      <c r="G154" s="4" t="str">
        <f t="shared" si="19"/>
        <v>Q4-2023</v>
      </c>
      <c r="H154" t="s">
        <v>45</v>
      </c>
      <c r="I154" t="s">
        <v>46</v>
      </c>
      <c r="J154" t="s">
        <v>214</v>
      </c>
      <c r="K154" t="s">
        <v>39</v>
      </c>
      <c r="L154" t="s">
        <v>40</v>
      </c>
      <c r="M154" t="s">
        <v>92</v>
      </c>
      <c r="N154" t="s">
        <v>30</v>
      </c>
      <c r="O154" t="s">
        <v>408</v>
      </c>
      <c r="P154" s="4">
        <v>1097.5899999999999</v>
      </c>
      <c r="Q154" s="8" t="str">
        <f t="shared" si="20"/>
        <v>High</v>
      </c>
      <c r="R154" s="4">
        <v>845.55</v>
      </c>
      <c r="S154" s="4">
        <v>0.184</v>
      </c>
      <c r="T154" s="4">
        <v>6</v>
      </c>
      <c r="U154" s="4">
        <f t="shared" si="16"/>
        <v>2454.4137600000004</v>
      </c>
      <c r="V154">
        <f t="shared" si="17"/>
        <v>6585.5399999999991</v>
      </c>
      <c r="W154" s="4">
        <f t="shared" si="21"/>
        <v>-4131.1262399999987</v>
      </c>
      <c r="X154" s="4">
        <f t="shared" si="22"/>
        <v>-1.6831417372757875</v>
      </c>
    </row>
    <row r="155" spans="1:24" x14ac:dyDescent="0.3">
      <c r="A155" t="s">
        <v>409</v>
      </c>
      <c r="B155" s="7">
        <v>45340</v>
      </c>
      <c r="C155" s="2">
        <v>45355</v>
      </c>
      <c r="D155" s="4">
        <f t="shared" si="23"/>
        <v>15</v>
      </c>
      <c r="E155" s="51" t="b">
        <f t="shared" si="18"/>
        <v>0</v>
      </c>
      <c r="F155" s="4" t="str">
        <f>TEXT(Data!B155,"MMM-YYYY")</f>
        <v>Oct-2023</v>
      </c>
      <c r="G155" s="4" t="str">
        <f t="shared" si="19"/>
        <v>Q1-2024</v>
      </c>
      <c r="H155" t="s">
        <v>16</v>
      </c>
      <c r="I155" t="s">
        <v>17</v>
      </c>
      <c r="J155" t="s">
        <v>18</v>
      </c>
      <c r="K155" t="s">
        <v>27</v>
      </c>
      <c r="L155" t="s">
        <v>98</v>
      </c>
      <c r="M155" t="s">
        <v>95</v>
      </c>
      <c r="N155" t="s">
        <v>30</v>
      </c>
      <c r="O155" t="s">
        <v>410</v>
      </c>
      <c r="P155" s="4">
        <v>928.68</v>
      </c>
      <c r="Q155" s="8" t="str">
        <f t="shared" si="20"/>
        <v>High</v>
      </c>
      <c r="R155" s="4">
        <v>2145.17</v>
      </c>
      <c r="S155" s="4">
        <v>0.13600000000000001</v>
      </c>
      <c r="T155" s="4">
        <v>16</v>
      </c>
      <c r="U155" s="4">
        <f t="shared" si="16"/>
        <v>5684.1523200000001</v>
      </c>
      <c r="V155">
        <f t="shared" si="17"/>
        <v>14858.88</v>
      </c>
      <c r="W155" s="4">
        <f t="shared" si="21"/>
        <v>-9174.72768</v>
      </c>
      <c r="X155" s="4">
        <f t="shared" si="22"/>
        <v>-1.6140889904934848</v>
      </c>
    </row>
    <row r="156" spans="1:24" x14ac:dyDescent="0.3">
      <c r="A156" t="s">
        <v>411</v>
      </c>
      <c r="B156" s="7">
        <v>45230</v>
      </c>
      <c r="C156" s="2">
        <v>45232</v>
      </c>
      <c r="D156" s="4">
        <f t="shared" si="23"/>
        <v>2</v>
      </c>
      <c r="E156" s="51" t="str">
        <f t="shared" si="18"/>
        <v>Yes</v>
      </c>
      <c r="F156" s="4" t="str">
        <f>TEXT(Data!B156,"MMM-YYYY")</f>
        <v>Aug-2024</v>
      </c>
      <c r="G156" s="4" t="str">
        <f t="shared" si="19"/>
        <v>Q4-2023</v>
      </c>
      <c r="H156" t="s">
        <v>16</v>
      </c>
      <c r="I156" t="s">
        <v>17</v>
      </c>
      <c r="J156" t="s">
        <v>18</v>
      </c>
      <c r="K156" t="s">
        <v>27</v>
      </c>
      <c r="L156" t="s">
        <v>20</v>
      </c>
      <c r="M156" t="s">
        <v>68</v>
      </c>
      <c r="N156" t="s">
        <v>81</v>
      </c>
      <c r="O156" t="s">
        <v>412</v>
      </c>
      <c r="P156" s="4">
        <v>867.89</v>
      </c>
      <c r="Q156" s="8" t="str">
        <f t="shared" si="20"/>
        <v>High</v>
      </c>
      <c r="R156" s="4">
        <v>1349.94</v>
      </c>
      <c r="S156" s="4">
        <v>0.184</v>
      </c>
      <c r="T156" s="4">
        <v>10</v>
      </c>
      <c r="U156" s="4">
        <f t="shared" si="16"/>
        <v>48.307200000000009</v>
      </c>
      <c r="V156">
        <f t="shared" si="17"/>
        <v>8678.9</v>
      </c>
      <c r="W156" s="4">
        <f t="shared" si="21"/>
        <v>-8630.5928000000004</v>
      </c>
      <c r="X156" s="4">
        <f t="shared" si="22"/>
        <v>-178.66058889772123</v>
      </c>
    </row>
    <row r="157" spans="1:24" x14ac:dyDescent="0.3">
      <c r="A157" t="s">
        <v>413</v>
      </c>
      <c r="B157" s="7">
        <v>45511</v>
      </c>
      <c r="C157" s="2">
        <v>45521</v>
      </c>
      <c r="D157" s="4">
        <f t="shared" si="23"/>
        <v>10</v>
      </c>
      <c r="E157" s="51" t="b">
        <f t="shared" si="18"/>
        <v>0</v>
      </c>
      <c r="F157" s="4" t="str">
        <f>TEXT(Data!B157,"MMM-YYYY")</f>
        <v>Feb-2024</v>
      </c>
      <c r="G157" s="4" t="str">
        <f t="shared" si="19"/>
        <v>Q3-2024</v>
      </c>
      <c r="H157" t="s">
        <v>45</v>
      </c>
      <c r="I157" t="s">
        <v>46</v>
      </c>
      <c r="J157" t="s">
        <v>47</v>
      </c>
      <c r="K157" t="s">
        <v>48</v>
      </c>
      <c r="L157" t="s">
        <v>28</v>
      </c>
      <c r="M157" t="s">
        <v>95</v>
      </c>
      <c r="N157" t="s">
        <v>35</v>
      </c>
      <c r="O157" t="s">
        <v>414</v>
      </c>
      <c r="P157" s="4">
        <v>436.58</v>
      </c>
      <c r="Q157" s="8" t="str">
        <f t="shared" si="20"/>
        <v>High</v>
      </c>
      <c r="R157" s="4">
        <v>527.48</v>
      </c>
      <c r="S157" s="4">
        <v>0.111</v>
      </c>
      <c r="T157" s="4">
        <v>19</v>
      </c>
      <c r="U157" s="4">
        <f t="shared" si="16"/>
        <v>37272.187330000001</v>
      </c>
      <c r="V157">
        <f t="shared" si="17"/>
        <v>8295.02</v>
      </c>
      <c r="W157" s="4">
        <f t="shared" si="21"/>
        <v>28977.16733</v>
      </c>
      <c r="X157" s="4">
        <f t="shared" si="22"/>
        <v>0.77744745897101064</v>
      </c>
    </row>
    <row r="158" spans="1:24" x14ac:dyDescent="0.3">
      <c r="A158" t="s">
        <v>415</v>
      </c>
      <c r="B158" s="7">
        <v>45323</v>
      </c>
      <c r="C158" s="2">
        <v>45343</v>
      </c>
      <c r="D158" s="4">
        <f t="shared" si="23"/>
        <v>20</v>
      </c>
      <c r="E158" s="51" t="b">
        <f t="shared" si="18"/>
        <v>0</v>
      </c>
      <c r="F158" s="4" t="str">
        <f>TEXT(Data!B158,"MMM-YYYY")</f>
        <v>Aug-2024</v>
      </c>
      <c r="G158" s="4" t="str">
        <f t="shared" si="19"/>
        <v>Q1-2024</v>
      </c>
      <c r="H158" t="s">
        <v>78</v>
      </c>
      <c r="I158" t="s">
        <v>90</v>
      </c>
      <c r="J158" t="s">
        <v>217</v>
      </c>
      <c r="K158" t="s">
        <v>62</v>
      </c>
      <c r="L158" t="s">
        <v>40</v>
      </c>
      <c r="M158" t="s">
        <v>75</v>
      </c>
      <c r="N158" t="s">
        <v>35</v>
      </c>
      <c r="O158" t="s">
        <v>416</v>
      </c>
      <c r="P158" s="4">
        <v>656.2</v>
      </c>
      <c r="Q158" s="8" t="str">
        <f t="shared" si="20"/>
        <v>High</v>
      </c>
      <c r="R158" s="4">
        <v>1467.17</v>
      </c>
      <c r="S158" s="4">
        <v>1.7999999999999999E-2</v>
      </c>
      <c r="T158" s="4">
        <v>5</v>
      </c>
      <c r="U158" s="4">
        <f t="shared" si="16"/>
        <v>9391.848</v>
      </c>
      <c r="V158">
        <f t="shared" si="17"/>
        <v>3281</v>
      </c>
      <c r="W158" s="4">
        <f t="shared" si="21"/>
        <v>6110.848</v>
      </c>
      <c r="X158" s="4">
        <f t="shared" si="22"/>
        <v>0.65065448248310664</v>
      </c>
    </row>
    <row r="159" spans="1:24" x14ac:dyDescent="0.3">
      <c r="A159" t="s">
        <v>417</v>
      </c>
      <c r="B159" s="7">
        <v>45531</v>
      </c>
      <c r="C159" s="2">
        <v>45553</v>
      </c>
      <c r="D159" s="4">
        <f t="shared" si="23"/>
        <v>22</v>
      </c>
      <c r="E159" s="51" t="b">
        <f t="shared" si="18"/>
        <v>0</v>
      </c>
      <c r="F159" s="4" t="str">
        <f>TEXT(Data!B159,"MMM-YYYY")</f>
        <v>Feb-2025</v>
      </c>
      <c r="G159" s="4" t="str">
        <f t="shared" si="19"/>
        <v>Q3-2024</v>
      </c>
      <c r="H159" t="s">
        <v>45</v>
      </c>
      <c r="I159" t="s">
        <v>60</v>
      </c>
      <c r="J159" t="s">
        <v>141</v>
      </c>
      <c r="K159" t="s">
        <v>48</v>
      </c>
      <c r="L159" t="s">
        <v>98</v>
      </c>
      <c r="M159" t="s">
        <v>56</v>
      </c>
      <c r="N159" t="s">
        <v>22</v>
      </c>
      <c r="O159" t="s">
        <v>418</v>
      </c>
      <c r="P159" s="4">
        <v>896.75</v>
      </c>
      <c r="Q159" s="8" t="str">
        <f t="shared" si="20"/>
        <v>High</v>
      </c>
      <c r="R159" s="4">
        <v>1651.14</v>
      </c>
      <c r="S159" s="4">
        <v>2.5000000000000001E-2</v>
      </c>
      <c r="T159" s="4">
        <v>15</v>
      </c>
      <c r="U159" s="4">
        <f t="shared" si="16"/>
        <v>20216.283749999999</v>
      </c>
      <c r="V159">
        <f t="shared" si="17"/>
        <v>13451.25</v>
      </c>
      <c r="W159" s="4">
        <f t="shared" si="21"/>
        <v>6765.0337499999987</v>
      </c>
      <c r="X159" s="4">
        <f t="shared" si="22"/>
        <v>0.3346329045267778</v>
      </c>
    </row>
    <row r="160" spans="1:24" x14ac:dyDescent="0.3">
      <c r="A160" t="s">
        <v>419</v>
      </c>
      <c r="B160" s="7">
        <v>45703</v>
      </c>
      <c r="C160" s="2">
        <v>45703</v>
      </c>
      <c r="D160" s="4">
        <f t="shared" si="23"/>
        <v>0</v>
      </c>
      <c r="E160" s="51" t="str">
        <f t="shared" si="18"/>
        <v>Yes</v>
      </c>
      <c r="F160" s="4" t="str">
        <f>TEXT(Data!B160,"MMM-YYYY")</f>
        <v>Aug-2025</v>
      </c>
      <c r="G160" s="4" t="str">
        <f t="shared" si="19"/>
        <v>Q1-2025</v>
      </c>
      <c r="H160" t="s">
        <v>78</v>
      </c>
      <c r="I160" t="s">
        <v>79</v>
      </c>
      <c r="J160" t="s">
        <v>335</v>
      </c>
      <c r="K160" t="s">
        <v>62</v>
      </c>
      <c r="L160" t="s">
        <v>40</v>
      </c>
      <c r="M160" t="s">
        <v>49</v>
      </c>
      <c r="N160" t="s">
        <v>81</v>
      </c>
      <c r="O160" t="s">
        <v>420</v>
      </c>
      <c r="P160" s="4">
        <v>815.83</v>
      </c>
      <c r="Q160" s="8" t="str">
        <f t="shared" si="20"/>
        <v>High</v>
      </c>
      <c r="R160" s="4">
        <v>1982.18</v>
      </c>
      <c r="S160" s="4">
        <v>0.127</v>
      </c>
      <c r="T160" s="4">
        <v>6</v>
      </c>
      <c r="U160" s="4">
        <f t="shared" si="16"/>
        <v>7100.6851799999995</v>
      </c>
      <c r="V160">
        <f t="shared" si="17"/>
        <v>4894.9800000000005</v>
      </c>
      <c r="W160" s="4">
        <f t="shared" si="21"/>
        <v>2205.705179999999</v>
      </c>
      <c r="X160" s="4">
        <f t="shared" si="22"/>
        <v>0.31063272403804826</v>
      </c>
    </row>
    <row r="161" spans="1:24" x14ac:dyDescent="0.3">
      <c r="A161" t="s">
        <v>421</v>
      </c>
      <c r="B161" s="7">
        <v>45870</v>
      </c>
      <c r="C161" s="2">
        <v>45890</v>
      </c>
      <c r="D161" s="4">
        <f t="shared" si="23"/>
        <v>20</v>
      </c>
      <c r="E161" s="51" t="b">
        <f t="shared" si="18"/>
        <v>0</v>
      </c>
      <c r="F161" s="4" t="str">
        <f>TEXT(Data!B161,"MMM-YYYY")</f>
        <v>Feb-2023</v>
      </c>
      <c r="G161" s="4" t="str">
        <f t="shared" si="19"/>
        <v>Q3-2025</v>
      </c>
      <c r="H161" t="s">
        <v>45</v>
      </c>
      <c r="I161" t="s">
        <v>116</v>
      </c>
      <c r="J161" t="s">
        <v>162</v>
      </c>
      <c r="K161" t="s">
        <v>19</v>
      </c>
      <c r="L161" t="s">
        <v>98</v>
      </c>
      <c r="M161" t="s">
        <v>34</v>
      </c>
      <c r="N161" t="s">
        <v>42</v>
      </c>
      <c r="O161" t="s">
        <v>422</v>
      </c>
      <c r="P161" s="4">
        <v>1220.4100000000001</v>
      </c>
      <c r="Q161" s="8" t="str">
        <f t="shared" si="20"/>
        <v>High</v>
      </c>
      <c r="R161" s="4">
        <v>2552.2199999999998</v>
      </c>
      <c r="S161" s="4">
        <v>0.18099999999999999</v>
      </c>
      <c r="T161" s="4">
        <v>14</v>
      </c>
      <c r="U161" s="4">
        <f t="shared" si="16"/>
        <v>10180.661399999999</v>
      </c>
      <c r="V161">
        <f t="shared" si="17"/>
        <v>17085.740000000002</v>
      </c>
      <c r="W161" s="4">
        <f t="shared" si="21"/>
        <v>-6905.0786000000026</v>
      </c>
      <c r="X161" s="4">
        <f t="shared" si="22"/>
        <v>-0.6782544206803699</v>
      </c>
    </row>
    <row r="162" spans="1:24" x14ac:dyDescent="0.3">
      <c r="A162" t="s">
        <v>423</v>
      </c>
      <c r="B162" s="7">
        <v>44977</v>
      </c>
      <c r="C162" s="2">
        <v>44989</v>
      </c>
      <c r="D162" s="4">
        <f t="shared" si="23"/>
        <v>12</v>
      </c>
      <c r="E162" s="51" t="b">
        <f t="shared" si="18"/>
        <v>0</v>
      </c>
      <c r="F162" s="4" t="str">
        <f>TEXT(Data!B162,"MMM-YYYY")</f>
        <v>Oct-2024</v>
      </c>
      <c r="G162" s="4" t="str">
        <f t="shared" si="19"/>
        <v>Q1-2023</v>
      </c>
      <c r="H162" t="s">
        <v>45</v>
      </c>
      <c r="I162" t="s">
        <v>60</v>
      </c>
      <c r="J162" t="s">
        <v>141</v>
      </c>
      <c r="K162" t="s">
        <v>48</v>
      </c>
      <c r="L162" t="s">
        <v>55</v>
      </c>
      <c r="M162" t="s">
        <v>110</v>
      </c>
      <c r="N162" t="s">
        <v>64</v>
      </c>
      <c r="O162" t="s">
        <v>424</v>
      </c>
      <c r="P162" s="4">
        <v>299.75</v>
      </c>
      <c r="Q162" s="8" t="str">
        <f t="shared" si="20"/>
        <v>High</v>
      </c>
      <c r="R162" s="4">
        <v>523.01</v>
      </c>
      <c r="S162" s="4">
        <v>0.157</v>
      </c>
      <c r="T162" s="4">
        <v>50</v>
      </c>
      <c r="U162" s="4">
        <f t="shared" si="16"/>
        <v>43022.083500000001</v>
      </c>
      <c r="V162">
        <f t="shared" si="17"/>
        <v>14987.5</v>
      </c>
      <c r="W162" s="4">
        <f t="shared" si="21"/>
        <v>28034.583500000001</v>
      </c>
      <c r="X162" s="4">
        <f t="shared" si="22"/>
        <v>0.65163239943969709</v>
      </c>
    </row>
    <row r="163" spans="1:24" x14ac:dyDescent="0.3">
      <c r="A163" t="s">
        <v>425</v>
      </c>
      <c r="B163" s="7">
        <v>45595</v>
      </c>
      <c r="C163" s="2">
        <v>45620</v>
      </c>
      <c r="D163" s="4">
        <f t="shared" si="23"/>
        <v>25</v>
      </c>
      <c r="E163" s="51" t="b">
        <f t="shared" si="18"/>
        <v>0</v>
      </c>
      <c r="F163" s="4" t="str">
        <f>TEXT(Data!B163,"MMM-YYYY")</f>
        <v>Apr-2024</v>
      </c>
      <c r="G163" s="4" t="str">
        <f t="shared" si="19"/>
        <v>Q4-2024</v>
      </c>
      <c r="H163" t="s">
        <v>45</v>
      </c>
      <c r="I163" t="s">
        <v>116</v>
      </c>
      <c r="J163" t="s">
        <v>117</v>
      </c>
      <c r="K163" t="s">
        <v>62</v>
      </c>
      <c r="L163" t="s">
        <v>28</v>
      </c>
      <c r="M163" t="s">
        <v>63</v>
      </c>
      <c r="N163" t="s">
        <v>22</v>
      </c>
      <c r="O163" t="s">
        <v>426</v>
      </c>
      <c r="P163" s="4">
        <v>811.05</v>
      </c>
      <c r="Q163" s="8" t="str">
        <f t="shared" si="20"/>
        <v>High</v>
      </c>
      <c r="R163" s="4">
        <v>1217.71</v>
      </c>
      <c r="S163" s="4">
        <v>7.1999999999999995E-2</v>
      </c>
      <c r="T163" s="4">
        <v>5</v>
      </c>
      <c r="U163" s="4">
        <f t="shared" si="16"/>
        <v>6475.2592000000004</v>
      </c>
      <c r="V163">
        <f t="shared" si="17"/>
        <v>4055.25</v>
      </c>
      <c r="W163" s="4">
        <f t="shared" si="21"/>
        <v>2420.0092000000004</v>
      </c>
      <c r="X163" s="4">
        <f t="shared" si="22"/>
        <v>0.37373163378540897</v>
      </c>
    </row>
    <row r="164" spans="1:24" x14ac:dyDescent="0.3">
      <c r="A164" t="s">
        <v>427</v>
      </c>
      <c r="B164" s="7">
        <v>45385</v>
      </c>
      <c r="C164" s="2">
        <v>45389</v>
      </c>
      <c r="D164" s="4">
        <f t="shared" si="23"/>
        <v>4</v>
      </c>
      <c r="E164" s="51" t="str">
        <f t="shared" si="18"/>
        <v>Yes</v>
      </c>
      <c r="F164" s="4" t="str">
        <f>TEXT(Data!B164,"MMM-YYYY")</f>
        <v>Mar-2023</v>
      </c>
      <c r="G164" s="4" t="str">
        <f t="shared" si="19"/>
        <v>Q2-2024</v>
      </c>
      <c r="H164" t="s">
        <v>52</v>
      </c>
      <c r="I164" t="s">
        <v>73</v>
      </c>
      <c r="J164" t="s">
        <v>87</v>
      </c>
      <c r="K164" t="s">
        <v>39</v>
      </c>
      <c r="L164" t="s">
        <v>98</v>
      </c>
      <c r="M164" t="s">
        <v>126</v>
      </c>
      <c r="N164" t="s">
        <v>42</v>
      </c>
      <c r="O164" t="s">
        <v>428</v>
      </c>
      <c r="P164" s="4">
        <v>1023.27</v>
      </c>
      <c r="Q164" s="8" t="str">
        <f t="shared" si="20"/>
        <v>High</v>
      </c>
      <c r="R164" s="4">
        <v>1343.64</v>
      </c>
      <c r="S164" s="4">
        <v>0.13300000000000001</v>
      </c>
      <c r="T164" s="4">
        <v>7</v>
      </c>
      <c r="U164" s="4">
        <f t="shared" si="16"/>
        <v>13797.385980000001</v>
      </c>
      <c r="V164">
        <f t="shared" si="17"/>
        <v>7162.8899999999994</v>
      </c>
      <c r="W164" s="4">
        <f t="shared" si="21"/>
        <v>6634.4959800000015</v>
      </c>
      <c r="X164" s="4">
        <f t="shared" si="22"/>
        <v>0.48085166201895302</v>
      </c>
    </row>
    <row r="165" spans="1:24" x14ac:dyDescent="0.3">
      <c r="A165" t="s">
        <v>429</v>
      </c>
      <c r="B165" s="7">
        <v>45010</v>
      </c>
      <c r="C165" s="2">
        <v>45011</v>
      </c>
      <c r="D165" s="4">
        <f t="shared" si="23"/>
        <v>1</v>
      </c>
      <c r="E165" s="51" t="str">
        <f t="shared" si="18"/>
        <v>Yes</v>
      </c>
      <c r="F165" s="4" t="str">
        <f>TEXT(Data!B165,"MMM-YYYY")</f>
        <v>Jun-2024</v>
      </c>
      <c r="G165" s="4" t="str">
        <f t="shared" si="19"/>
        <v>Q1-2023</v>
      </c>
      <c r="H165" t="s">
        <v>45</v>
      </c>
      <c r="I165" t="s">
        <v>46</v>
      </c>
      <c r="J165" t="s">
        <v>47</v>
      </c>
      <c r="K165" t="s">
        <v>62</v>
      </c>
      <c r="L165" t="s">
        <v>55</v>
      </c>
      <c r="M165" t="s">
        <v>34</v>
      </c>
      <c r="N165" t="s">
        <v>64</v>
      </c>
      <c r="O165" t="s">
        <v>430</v>
      </c>
      <c r="P165" s="4">
        <v>135.12</v>
      </c>
      <c r="Q165" s="8" t="str">
        <f t="shared" si="20"/>
        <v>High</v>
      </c>
      <c r="R165" s="4">
        <v>301.7</v>
      </c>
      <c r="S165" s="4">
        <v>0.14000000000000001</v>
      </c>
      <c r="T165" s="4">
        <v>47</v>
      </c>
      <c r="U165" s="4">
        <f t="shared" si="16"/>
        <v>50207.703000000001</v>
      </c>
      <c r="V165">
        <f t="shared" si="17"/>
        <v>6350.64</v>
      </c>
      <c r="W165" s="4">
        <f t="shared" si="21"/>
        <v>43857.063000000002</v>
      </c>
      <c r="X165" s="4">
        <f t="shared" si="22"/>
        <v>0.87351263609888707</v>
      </c>
    </row>
    <row r="166" spans="1:24" x14ac:dyDescent="0.3">
      <c r="A166" t="s">
        <v>431</v>
      </c>
      <c r="B166" s="7">
        <v>45447</v>
      </c>
      <c r="C166" s="2">
        <v>45459</v>
      </c>
      <c r="D166" s="4">
        <f t="shared" si="23"/>
        <v>12</v>
      </c>
      <c r="E166" s="51" t="b">
        <f t="shared" si="18"/>
        <v>0</v>
      </c>
      <c r="F166" s="4" t="str">
        <f>TEXT(Data!B166,"MMM-YYYY")</f>
        <v>Feb-2023</v>
      </c>
      <c r="G166" s="4" t="str">
        <f t="shared" si="19"/>
        <v>Q2-2024</v>
      </c>
      <c r="H166" t="s">
        <v>45</v>
      </c>
      <c r="I166" t="s">
        <v>116</v>
      </c>
      <c r="J166" t="s">
        <v>162</v>
      </c>
      <c r="K166" t="s">
        <v>19</v>
      </c>
      <c r="L166" t="s">
        <v>20</v>
      </c>
      <c r="M166" t="s">
        <v>29</v>
      </c>
      <c r="N166" t="s">
        <v>30</v>
      </c>
      <c r="O166" t="s">
        <v>432</v>
      </c>
      <c r="P166" s="4">
        <v>918.42</v>
      </c>
      <c r="Q166" s="8" t="str">
        <f t="shared" si="20"/>
        <v>High</v>
      </c>
      <c r="R166" s="4">
        <v>1511.71</v>
      </c>
      <c r="S166" s="4">
        <v>0.02</v>
      </c>
      <c r="T166" s="4">
        <v>8</v>
      </c>
      <c r="U166" s="4">
        <f t="shared" si="16"/>
        <v>10272.6736</v>
      </c>
      <c r="V166">
        <f t="shared" si="17"/>
        <v>7347.36</v>
      </c>
      <c r="W166" s="4">
        <f t="shared" si="21"/>
        <v>2925.3136000000004</v>
      </c>
      <c r="X166" s="4">
        <f t="shared" si="22"/>
        <v>0.28476652855007489</v>
      </c>
    </row>
    <row r="167" spans="1:24" x14ac:dyDescent="0.3">
      <c r="A167" t="s">
        <v>433</v>
      </c>
      <c r="B167" s="7">
        <v>44976</v>
      </c>
      <c r="C167" s="2">
        <v>44997</v>
      </c>
      <c r="D167" s="4">
        <f t="shared" si="23"/>
        <v>21</v>
      </c>
      <c r="E167" s="51" t="b">
        <f t="shared" si="18"/>
        <v>0</v>
      </c>
      <c r="F167" s="4" t="str">
        <f>TEXT(Data!B167,"MMM-YYYY")</f>
        <v>Apr-2023</v>
      </c>
      <c r="G167" s="4" t="str">
        <f t="shared" si="19"/>
        <v>Q1-2023</v>
      </c>
      <c r="H167" t="s">
        <v>78</v>
      </c>
      <c r="I167" t="s">
        <v>79</v>
      </c>
      <c r="J167" t="s">
        <v>80</v>
      </c>
      <c r="K167" t="s">
        <v>62</v>
      </c>
      <c r="L167" t="s">
        <v>98</v>
      </c>
      <c r="M167" t="s">
        <v>49</v>
      </c>
      <c r="N167" t="s">
        <v>64</v>
      </c>
      <c r="O167" t="s">
        <v>434</v>
      </c>
      <c r="P167" s="4">
        <v>1234.81</v>
      </c>
      <c r="Q167" s="8" t="str">
        <f t="shared" si="20"/>
        <v>High</v>
      </c>
      <c r="R167" s="4">
        <v>2055.2399999999998</v>
      </c>
      <c r="S167" s="4">
        <v>5.2999999999999999E-2</v>
      </c>
      <c r="T167" s="4">
        <v>44</v>
      </c>
      <c r="U167" s="4">
        <f t="shared" si="16"/>
        <v>40303.373</v>
      </c>
      <c r="V167">
        <f t="shared" si="17"/>
        <v>54331.64</v>
      </c>
      <c r="W167" s="4">
        <f t="shared" si="21"/>
        <v>-14028.267</v>
      </c>
      <c r="X167" s="4">
        <f t="shared" si="22"/>
        <v>-0.34806682309195314</v>
      </c>
    </row>
    <row r="168" spans="1:24" x14ac:dyDescent="0.3">
      <c r="A168" t="s">
        <v>435</v>
      </c>
      <c r="B168" s="7">
        <v>45034</v>
      </c>
      <c r="C168" s="2">
        <v>45064</v>
      </c>
      <c r="D168" s="4">
        <f t="shared" si="23"/>
        <v>0</v>
      </c>
      <c r="E168" s="51" t="str">
        <f t="shared" si="18"/>
        <v>Yes</v>
      </c>
      <c r="F168" s="4" t="str">
        <f>TEXT(Data!B168,"MMM-YYYY")</f>
        <v>May-2024</v>
      </c>
      <c r="G168" s="4" t="str">
        <f t="shared" si="19"/>
        <v>Q2-2023</v>
      </c>
      <c r="H168" t="s">
        <v>45</v>
      </c>
      <c r="I168" t="s">
        <v>116</v>
      </c>
      <c r="J168" t="s">
        <v>117</v>
      </c>
      <c r="K168" t="s">
        <v>39</v>
      </c>
      <c r="L168" t="s">
        <v>20</v>
      </c>
      <c r="M168" t="s">
        <v>92</v>
      </c>
      <c r="N168" t="s">
        <v>57</v>
      </c>
      <c r="O168" t="s">
        <v>436</v>
      </c>
      <c r="P168" s="4">
        <v>329.03</v>
      </c>
      <c r="Q168" s="8" t="str">
        <f t="shared" si="20"/>
        <v>High</v>
      </c>
      <c r="R168" s="4">
        <v>391.15</v>
      </c>
      <c r="S168" s="4">
        <v>0.19700000000000001</v>
      </c>
      <c r="T168" s="4">
        <v>46</v>
      </c>
      <c r="U168" s="4">
        <f t="shared" si="16"/>
        <v>32735.194359999998</v>
      </c>
      <c r="V168">
        <f t="shared" si="17"/>
        <v>15135.38</v>
      </c>
      <c r="W168" s="4">
        <f t="shared" si="21"/>
        <v>17599.814359999997</v>
      </c>
      <c r="X168" s="4">
        <f t="shared" si="22"/>
        <v>0.53764196926552166</v>
      </c>
    </row>
    <row r="169" spans="1:24" x14ac:dyDescent="0.3">
      <c r="A169" t="s">
        <v>437</v>
      </c>
      <c r="B169" s="7">
        <v>45435</v>
      </c>
      <c r="C169" s="2">
        <v>45457</v>
      </c>
      <c r="D169" s="4">
        <f t="shared" si="23"/>
        <v>22</v>
      </c>
      <c r="E169" s="51" t="b">
        <f t="shared" si="18"/>
        <v>0</v>
      </c>
      <c r="F169" s="4" t="str">
        <f>TEXT(Data!B169,"MMM-YYYY")</f>
        <v>Oct-2023</v>
      </c>
      <c r="G169" s="4" t="str">
        <f t="shared" si="19"/>
        <v>Q2-2024</v>
      </c>
      <c r="H169" t="s">
        <v>78</v>
      </c>
      <c r="I169" t="s">
        <v>90</v>
      </c>
      <c r="J169" t="s">
        <v>91</v>
      </c>
      <c r="K169" t="s">
        <v>62</v>
      </c>
      <c r="L169" t="s">
        <v>28</v>
      </c>
      <c r="M169" t="s">
        <v>126</v>
      </c>
      <c r="N169" t="s">
        <v>64</v>
      </c>
      <c r="O169" t="s">
        <v>438</v>
      </c>
      <c r="P169" s="4">
        <v>1481.74</v>
      </c>
      <c r="Q169" s="8" t="str">
        <f t="shared" si="20"/>
        <v>High</v>
      </c>
      <c r="R169" s="4">
        <v>1848.97</v>
      </c>
      <c r="S169" s="4">
        <v>0.254</v>
      </c>
      <c r="T169" s="4">
        <v>9</v>
      </c>
      <c r="U169" s="4">
        <f t="shared" si="16"/>
        <v>5308.1555399999997</v>
      </c>
      <c r="V169">
        <f t="shared" si="17"/>
        <v>13335.66</v>
      </c>
      <c r="W169" s="4">
        <f t="shared" si="21"/>
        <v>-8027.5044600000001</v>
      </c>
      <c r="X169" s="4">
        <f t="shared" si="22"/>
        <v>-1.5122963898680333</v>
      </c>
    </row>
    <row r="170" spans="1:24" x14ac:dyDescent="0.3">
      <c r="A170" t="s">
        <v>439</v>
      </c>
      <c r="B170" s="7">
        <v>45206</v>
      </c>
      <c r="C170" s="2">
        <v>45222</v>
      </c>
      <c r="D170" s="4">
        <f t="shared" si="23"/>
        <v>16</v>
      </c>
      <c r="E170" s="51" t="b">
        <f t="shared" si="18"/>
        <v>0</v>
      </c>
      <c r="F170" s="4" t="str">
        <f>TEXT(Data!B170,"MMM-YYYY")</f>
        <v>Oct-2024</v>
      </c>
      <c r="G170" s="4" t="str">
        <f t="shared" si="19"/>
        <v>Q4-2023</v>
      </c>
      <c r="H170" t="s">
        <v>45</v>
      </c>
      <c r="I170" t="s">
        <v>60</v>
      </c>
      <c r="J170" t="s">
        <v>281</v>
      </c>
      <c r="K170" t="s">
        <v>48</v>
      </c>
      <c r="L170" t="s">
        <v>20</v>
      </c>
      <c r="M170" t="s">
        <v>41</v>
      </c>
      <c r="N170" t="s">
        <v>64</v>
      </c>
      <c r="O170" t="s">
        <v>440</v>
      </c>
      <c r="P170" s="4">
        <v>906.81</v>
      </c>
      <c r="Q170" s="8" t="str">
        <f t="shared" si="20"/>
        <v>High</v>
      </c>
      <c r="R170" s="4">
        <v>1395.56</v>
      </c>
      <c r="S170" s="4">
        <v>0.185</v>
      </c>
      <c r="T170" s="4">
        <v>6</v>
      </c>
      <c r="U170" s="4">
        <f t="shared" si="16"/>
        <v>1766.9036999999998</v>
      </c>
      <c r="V170">
        <f t="shared" si="17"/>
        <v>5440.86</v>
      </c>
      <c r="W170" s="4">
        <f t="shared" si="21"/>
        <v>-3673.9562999999998</v>
      </c>
      <c r="X170" s="4">
        <f t="shared" si="22"/>
        <v>-2.079318923832691</v>
      </c>
    </row>
    <row r="171" spans="1:24" x14ac:dyDescent="0.3">
      <c r="A171" t="s">
        <v>441</v>
      </c>
      <c r="B171" s="7">
        <v>45574</v>
      </c>
      <c r="C171" s="2">
        <v>45604</v>
      </c>
      <c r="D171" s="4">
        <f t="shared" si="23"/>
        <v>30</v>
      </c>
      <c r="E171" s="51" t="b">
        <f t="shared" si="18"/>
        <v>0</v>
      </c>
      <c r="F171" s="4" t="str">
        <f>TEXT(Data!B171,"MMM-YYYY")</f>
        <v>Jul-2024</v>
      </c>
      <c r="G171" s="4" t="str">
        <f t="shared" si="19"/>
        <v>Q4-2024</v>
      </c>
      <c r="H171" t="s">
        <v>78</v>
      </c>
      <c r="I171" t="s">
        <v>108</v>
      </c>
      <c r="J171" t="s">
        <v>228</v>
      </c>
      <c r="K171" t="s">
        <v>62</v>
      </c>
      <c r="L171" t="s">
        <v>55</v>
      </c>
      <c r="M171" t="s">
        <v>29</v>
      </c>
      <c r="N171" t="s">
        <v>22</v>
      </c>
      <c r="O171" t="s">
        <v>442</v>
      </c>
      <c r="P171" s="4">
        <v>343.85</v>
      </c>
      <c r="Q171" s="8" t="str">
        <f t="shared" si="20"/>
        <v>High</v>
      </c>
      <c r="R171" s="4">
        <v>538.04</v>
      </c>
      <c r="S171" s="4">
        <v>0.13900000000000001</v>
      </c>
      <c r="T171" s="4">
        <v>5</v>
      </c>
      <c r="U171" s="4">
        <f t="shared" si="16"/>
        <v>8403.5321999999996</v>
      </c>
      <c r="V171">
        <f t="shared" si="17"/>
        <v>1719.25</v>
      </c>
      <c r="W171" s="4">
        <f t="shared" si="21"/>
        <v>6684.2821999999996</v>
      </c>
      <c r="X171" s="4">
        <f t="shared" si="22"/>
        <v>0.79541340961363838</v>
      </c>
    </row>
    <row r="172" spans="1:24" x14ac:dyDescent="0.3">
      <c r="A172" t="s">
        <v>443</v>
      </c>
      <c r="B172" s="7">
        <v>45488</v>
      </c>
      <c r="C172" s="2">
        <v>45488</v>
      </c>
      <c r="D172" s="4">
        <f t="shared" si="23"/>
        <v>0</v>
      </c>
      <c r="E172" s="51" t="str">
        <f t="shared" si="18"/>
        <v>Yes</v>
      </c>
      <c r="F172" s="4" t="str">
        <f>TEXT(Data!B172,"MMM-YYYY")</f>
        <v>Sept-2023</v>
      </c>
      <c r="G172" s="4" t="str">
        <f t="shared" si="19"/>
        <v>Q3-2024</v>
      </c>
      <c r="H172" t="s">
        <v>45</v>
      </c>
      <c r="I172" t="s">
        <v>46</v>
      </c>
      <c r="J172" t="s">
        <v>214</v>
      </c>
      <c r="K172" t="s">
        <v>62</v>
      </c>
      <c r="L172" t="s">
        <v>40</v>
      </c>
      <c r="M172" t="s">
        <v>41</v>
      </c>
      <c r="N172" t="s">
        <v>81</v>
      </c>
      <c r="O172" t="s">
        <v>444</v>
      </c>
      <c r="P172" s="4">
        <v>801.77</v>
      </c>
      <c r="Q172" s="8" t="str">
        <f t="shared" si="20"/>
        <v>High</v>
      </c>
      <c r="R172" s="4">
        <v>1218.92</v>
      </c>
      <c r="S172" s="4">
        <v>0.254</v>
      </c>
      <c r="T172" s="4">
        <v>16</v>
      </c>
      <c r="U172" s="4">
        <f t="shared" si="16"/>
        <v>18676.97536</v>
      </c>
      <c r="V172">
        <f t="shared" si="17"/>
        <v>12828.32</v>
      </c>
      <c r="W172" s="4">
        <f t="shared" si="21"/>
        <v>5848.6553600000007</v>
      </c>
      <c r="X172" s="4">
        <f t="shared" si="22"/>
        <v>0.31314788648947495</v>
      </c>
    </row>
    <row r="173" spans="1:24" x14ac:dyDescent="0.3">
      <c r="A173" t="s">
        <v>445</v>
      </c>
      <c r="B173" s="7">
        <v>45190</v>
      </c>
      <c r="C173" s="2">
        <v>45209</v>
      </c>
      <c r="D173" s="4">
        <f t="shared" si="23"/>
        <v>19</v>
      </c>
      <c r="E173" s="51" t="b">
        <f t="shared" si="18"/>
        <v>0</v>
      </c>
      <c r="F173" s="4" t="str">
        <f>TEXT(Data!B173,"MMM-YYYY")</f>
        <v>Feb-2023</v>
      </c>
      <c r="G173" s="4" t="str">
        <f t="shared" si="19"/>
        <v>Q3-2023</v>
      </c>
      <c r="H173" t="s">
        <v>45</v>
      </c>
      <c r="I173" t="s">
        <v>46</v>
      </c>
      <c r="J173" t="s">
        <v>214</v>
      </c>
      <c r="K173" t="s">
        <v>27</v>
      </c>
      <c r="L173" t="s">
        <v>28</v>
      </c>
      <c r="M173" t="s">
        <v>145</v>
      </c>
      <c r="N173" t="s">
        <v>22</v>
      </c>
      <c r="O173" t="s">
        <v>446</v>
      </c>
      <c r="P173" s="4">
        <v>845.63</v>
      </c>
      <c r="Q173" s="8" t="str">
        <f t="shared" si="20"/>
        <v>High</v>
      </c>
      <c r="R173" s="4">
        <v>2062.12</v>
      </c>
      <c r="S173" s="4">
        <v>0.13400000000000001</v>
      </c>
      <c r="T173" s="4">
        <v>5</v>
      </c>
      <c r="U173" s="4">
        <f t="shared" si="16"/>
        <v>3691.4982</v>
      </c>
      <c r="V173">
        <f t="shared" si="17"/>
        <v>4228.1499999999996</v>
      </c>
      <c r="W173" s="4">
        <f t="shared" si="21"/>
        <v>-536.65179999999964</v>
      </c>
      <c r="X173" s="4">
        <f t="shared" si="22"/>
        <v>-0.1453750674996942</v>
      </c>
    </row>
    <row r="174" spans="1:24" x14ac:dyDescent="0.3">
      <c r="A174" t="s">
        <v>447</v>
      </c>
      <c r="B174" s="7">
        <v>44981</v>
      </c>
      <c r="C174" s="2">
        <v>44994</v>
      </c>
      <c r="D174" s="4">
        <f t="shared" si="23"/>
        <v>13</v>
      </c>
      <c r="E174" s="51" t="b">
        <f t="shared" si="18"/>
        <v>0</v>
      </c>
      <c r="F174" s="4" t="str">
        <f>TEXT(Data!B174,"MMM-YYYY")</f>
        <v>May-2025</v>
      </c>
      <c r="G174" s="4" t="str">
        <f t="shared" si="19"/>
        <v>Q1-2023</v>
      </c>
      <c r="H174" t="s">
        <v>52</v>
      </c>
      <c r="I174" t="s">
        <v>122</v>
      </c>
      <c r="J174" t="s">
        <v>387</v>
      </c>
      <c r="K174" t="s">
        <v>105</v>
      </c>
      <c r="L174" t="s">
        <v>28</v>
      </c>
      <c r="M174" t="s">
        <v>110</v>
      </c>
      <c r="N174" t="s">
        <v>22</v>
      </c>
      <c r="O174" t="s">
        <v>448</v>
      </c>
      <c r="P174" s="4">
        <v>6.85</v>
      </c>
      <c r="Q174" s="8" t="str">
        <f t="shared" si="20"/>
        <v>Low</v>
      </c>
      <c r="R174" s="4">
        <v>10.18</v>
      </c>
      <c r="S174" s="4">
        <v>4.7E-2</v>
      </c>
      <c r="T174" s="4">
        <v>10</v>
      </c>
      <c r="U174" s="4">
        <f t="shared" si="16"/>
        <v>13964.213699999998</v>
      </c>
      <c r="V174">
        <f t="shared" si="17"/>
        <v>68.5</v>
      </c>
      <c r="W174" s="4">
        <f t="shared" si="21"/>
        <v>13895.713699999998</v>
      </c>
      <c r="X174" s="4">
        <f t="shared" si="22"/>
        <v>0.99509460385871928</v>
      </c>
    </row>
    <row r="175" spans="1:24" x14ac:dyDescent="0.3">
      <c r="A175" t="s">
        <v>449</v>
      </c>
      <c r="B175" s="7">
        <v>45798</v>
      </c>
      <c r="C175" s="2">
        <v>45796</v>
      </c>
      <c r="D175" s="4">
        <f>DATEDIF(C175,B175, "MD")</f>
        <v>2</v>
      </c>
      <c r="E175" s="51" t="str">
        <f t="shared" si="18"/>
        <v>Yes</v>
      </c>
      <c r="F175" s="4" t="str">
        <f>TEXT(Data!B175,"MMM-YYYY")</f>
        <v>May-2024</v>
      </c>
      <c r="G175" s="4" t="str">
        <f t="shared" si="19"/>
        <v>Q2-2025</v>
      </c>
      <c r="H175" t="s">
        <v>16</v>
      </c>
      <c r="I175" t="s">
        <v>148</v>
      </c>
      <c r="J175" t="s">
        <v>149</v>
      </c>
      <c r="K175" t="s">
        <v>39</v>
      </c>
      <c r="L175" t="s">
        <v>55</v>
      </c>
      <c r="M175" t="s">
        <v>68</v>
      </c>
      <c r="N175" t="s">
        <v>57</v>
      </c>
      <c r="O175" t="s">
        <v>450</v>
      </c>
      <c r="P175" s="4">
        <v>1263.8399999999999</v>
      </c>
      <c r="Q175" s="8" t="str">
        <f t="shared" si="20"/>
        <v>High</v>
      </c>
      <c r="R175" s="4">
        <v>2281.7199999999998</v>
      </c>
      <c r="S175" s="4">
        <v>7.8E-2</v>
      </c>
      <c r="T175" s="4">
        <v>15</v>
      </c>
      <c r="U175" s="4">
        <f t="shared" si="16"/>
        <v>36583.530899999998</v>
      </c>
      <c r="V175">
        <f t="shared" si="17"/>
        <v>18957.599999999999</v>
      </c>
      <c r="W175" s="4">
        <f t="shared" si="21"/>
        <v>17625.930899999999</v>
      </c>
      <c r="X175" s="4">
        <f t="shared" si="22"/>
        <v>0.48179960945213191</v>
      </c>
    </row>
    <row r="176" spans="1:24" x14ac:dyDescent="0.3">
      <c r="A176" t="s">
        <v>451</v>
      </c>
      <c r="B176" s="7">
        <v>45435</v>
      </c>
      <c r="C176" s="2">
        <v>45446</v>
      </c>
      <c r="D176" s="4">
        <f t="shared" si="23"/>
        <v>11</v>
      </c>
      <c r="E176" s="51" t="b">
        <f t="shared" si="18"/>
        <v>0</v>
      </c>
      <c r="F176" s="4" t="str">
        <f>TEXT(Data!B176,"MMM-YYYY")</f>
        <v>Apr-2025</v>
      </c>
      <c r="G176" s="4" t="str">
        <f t="shared" si="19"/>
        <v>Q2-2024</v>
      </c>
      <c r="H176" t="s">
        <v>16</v>
      </c>
      <c r="I176" t="s">
        <v>148</v>
      </c>
      <c r="J176" t="s">
        <v>149</v>
      </c>
      <c r="K176" t="s">
        <v>62</v>
      </c>
      <c r="L176" t="s">
        <v>55</v>
      </c>
      <c r="M176" t="s">
        <v>84</v>
      </c>
      <c r="N176" t="s">
        <v>30</v>
      </c>
      <c r="O176" t="s">
        <v>452</v>
      </c>
      <c r="P176" s="4">
        <v>180.89</v>
      </c>
      <c r="Q176" s="8" t="str">
        <f t="shared" si="20"/>
        <v>High</v>
      </c>
      <c r="R176" s="4">
        <v>249.57</v>
      </c>
      <c r="S176" s="4">
        <v>2.1999999999999999E-2</v>
      </c>
      <c r="T176" s="4">
        <v>8</v>
      </c>
      <c r="U176" s="4">
        <f t="shared" si="16"/>
        <v>6897.4036800000003</v>
      </c>
      <c r="V176">
        <f t="shared" si="17"/>
        <v>1447.12</v>
      </c>
      <c r="W176" s="4">
        <f t="shared" si="21"/>
        <v>5450.2836800000005</v>
      </c>
      <c r="X176" s="4">
        <f t="shared" si="22"/>
        <v>0.79019351815000627</v>
      </c>
    </row>
    <row r="177" spans="1:24" x14ac:dyDescent="0.3">
      <c r="A177" t="s">
        <v>453</v>
      </c>
      <c r="B177" s="7">
        <v>45761</v>
      </c>
      <c r="C177" s="2">
        <v>45781</v>
      </c>
      <c r="D177" s="4">
        <f t="shared" si="23"/>
        <v>20</v>
      </c>
      <c r="E177" s="51" t="b">
        <f t="shared" si="18"/>
        <v>0</v>
      </c>
      <c r="F177" s="4" t="str">
        <f>TEXT(Data!B177,"MMM-YYYY")</f>
        <v>Aug-2023</v>
      </c>
      <c r="G177" s="4" t="str">
        <f t="shared" si="19"/>
        <v>Q2-2025</v>
      </c>
      <c r="H177" t="s">
        <v>78</v>
      </c>
      <c r="I177" t="s">
        <v>108</v>
      </c>
      <c r="J177" t="s">
        <v>109</v>
      </c>
      <c r="K177" t="s">
        <v>105</v>
      </c>
      <c r="L177" t="s">
        <v>40</v>
      </c>
      <c r="M177" t="s">
        <v>95</v>
      </c>
      <c r="N177" t="s">
        <v>64</v>
      </c>
      <c r="O177" t="s">
        <v>454</v>
      </c>
      <c r="P177" s="4">
        <v>1413.87</v>
      </c>
      <c r="Q177" s="8" t="str">
        <f t="shared" si="20"/>
        <v>High</v>
      </c>
      <c r="R177" s="4">
        <v>3275</v>
      </c>
      <c r="S177" s="4">
        <v>0.255</v>
      </c>
      <c r="T177" s="4">
        <v>38</v>
      </c>
      <c r="U177" s="4">
        <f t="shared" si="16"/>
        <v>17694.882399999999</v>
      </c>
      <c r="V177">
        <f t="shared" si="17"/>
        <v>53727.06</v>
      </c>
      <c r="W177" s="4">
        <f t="shared" si="21"/>
        <v>-36032.177599999995</v>
      </c>
      <c r="X177" s="4">
        <f t="shared" si="22"/>
        <v>-2.0363050053387188</v>
      </c>
    </row>
    <row r="178" spans="1:24" x14ac:dyDescent="0.3">
      <c r="A178" t="s">
        <v>455</v>
      </c>
      <c r="B178" s="7">
        <v>45165</v>
      </c>
      <c r="C178" s="2">
        <v>45180</v>
      </c>
      <c r="D178" s="4">
        <f t="shared" si="23"/>
        <v>15</v>
      </c>
      <c r="E178" s="51" t="b">
        <f t="shared" si="18"/>
        <v>0</v>
      </c>
      <c r="F178" s="4" t="str">
        <f>TEXT(Data!B178,"MMM-YYYY")</f>
        <v>Feb-2024</v>
      </c>
      <c r="G178" s="4" t="str">
        <f t="shared" si="19"/>
        <v>Q3-2023</v>
      </c>
      <c r="H178" t="s">
        <v>78</v>
      </c>
      <c r="I178" t="s">
        <v>108</v>
      </c>
      <c r="J178" t="s">
        <v>152</v>
      </c>
      <c r="K178" t="s">
        <v>48</v>
      </c>
      <c r="L178" t="s">
        <v>40</v>
      </c>
      <c r="M178" t="s">
        <v>126</v>
      </c>
      <c r="N178" t="s">
        <v>30</v>
      </c>
      <c r="O178" t="s">
        <v>456</v>
      </c>
      <c r="P178" s="4">
        <v>943.79</v>
      </c>
      <c r="Q178" s="8" t="str">
        <f t="shared" si="20"/>
        <v>High</v>
      </c>
      <c r="R178" s="4">
        <v>1913.76</v>
      </c>
      <c r="S178" s="4">
        <v>9.0999999999999998E-2</v>
      </c>
      <c r="T178" s="4">
        <v>9</v>
      </c>
      <c r="U178" s="4">
        <f t="shared" si="16"/>
        <v>7960.4402400000008</v>
      </c>
      <c r="V178">
        <f t="shared" si="17"/>
        <v>8494.11</v>
      </c>
      <c r="W178" s="4">
        <f t="shared" si="21"/>
        <v>-533.66975999999977</v>
      </c>
      <c r="X178" s="4">
        <f t="shared" si="22"/>
        <v>-6.7040231935715122E-2</v>
      </c>
    </row>
    <row r="179" spans="1:24" x14ac:dyDescent="0.3">
      <c r="A179" t="s">
        <v>457</v>
      </c>
      <c r="B179" s="7">
        <v>45325</v>
      </c>
      <c r="C179" s="2">
        <v>45343</v>
      </c>
      <c r="D179" s="4">
        <f t="shared" si="23"/>
        <v>18</v>
      </c>
      <c r="E179" s="51" t="b">
        <f t="shared" si="18"/>
        <v>0</v>
      </c>
      <c r="F179" s="4" t="str">
        <f>TEXT(Data!B179,"MMM-YYYY")</f>
        <v>Apr-2023</v>
      </c>
      <c r="G179" s="4" t="str">
        <f t="shared" si="19"/>
        <v>Q1-2024</v>
      </c>
      <c r="H179" t="s">
        <v>78</v>
      </c>
      <c r="I179" t="s">
        <v>79</v>
      </c>
      <c r="J179" t="s">
        <v>335</v>
      </c>
      <c r="K179" t="s">
        <v>19</v>
      </c>
      <c r="L179" t="s">
        <v>20</v>
      </c>
      <c r="M179" t="s">
        <v>92</v>
      </c>
      <c r="N179" t="s">
        <v>22</v>
      </c>
      <c r="O179" t="s">
        <v>458</v>
      </c>
      <c r="P179" s="4">
        <v>39.229999999999997</v>
      </c>
      <c r="Q179" s="8" t="str">
        <f t="shared" si="20"/>
        <v>Low</v>
      </c>
      <c r="R179" s="4">
        <v>30.09</v>
      </c>
      <c r="S179" s="4">
        <v>0.17699999999999999</v>
      </c>
      <c r="T179" s="4">
        <v>13</v>
      </c>
      <c r="U179" s="4">
        <f t="shared" si="16"/>
        <v>16533.592659999998</v>
      </c>
      <c r="V179">
        <f t="shared" si="17"/>
        <v>509.98999999999995</v>
      </c>
      <c r="W179" s="4">
        <f t="shared" si="21"/>
        <v>16023.602659999999</v>
      </c>
      <c r="X179" s="4">
        <f t="shared" si="22"/>
        <v>0.96915431446222655</v>
      </c>
    </row>
    <row r="180" spans="1:24" x14ac:dyDescent="0.3">
      <c r="A180" t="s">
        <v>459</v>
      </c>
      <c r="B180" s="7">
        <v>45021</v>
      </c>
      <c r="C180" s="2">
        <v>45032</v>
      </c>
      <c r="D180" s="4">
        <f t="shared" si="23"/>
        <v>11</v>
      </c>
      <c r="E180" s="51" t="b">
        <f t="shared" si="18"/>
        <v>0</v>
      </c>
      <c r="F180" s="4" t="str">
        <f>TEXT(Data!B180,"MMM-YYYY")</f>
        <v>Aug-2025</v>
      </c>
      <c r="G180" s="4" t="str">
        <f t="shared" si="19"/>
        <v>Q2-2023</v>
      </c>
      <c r="H180" t="s">
        <v>52</v>
      </c>
      <c r="I180" t="s">
        <v>53</v>
      </c>
      <c r="J180" t="s">
        <v>179</v>
      </c>
      <c r="K180" t="s">
        <v>39</v>
      </c>
      <c r="L180" t="s">
        <v>28</v>
      </c>
      <c r="M180" t="s">
        <v>68</v>
      </c>
      <c r="N180" t="s">
        <v>64</v>
      </c>
      <c r="O180" t="s">
        <v>460</v>
      </c>
      <c r="P180" s="4">
        <v>213.1</v>
      </c>
      <c r="Q180" s="8" t="str">
        <f t="shared" si="20"/>
        <v>High</v>
      </c>
      <c r="R180" s="4">
        <v>501.31</v>
      </c>
      <c r="S180" s="4">
        <v>5.6000000000000001E-2</v>
      </c>
      <c r="T180" s="4">
        <v>15</v>
      </c>
      <c r="U180" s="4">
        <f t="shared" si="16"/>
        <v>31908.427200000002</v>
      </c>
      <c r="V180">
        <f t="shared" si="17"/>
        <v>3196.5</v>
      </c>
      <c r="W180" s="4">
        <f t="shared" si="21"/>
        <v>28711.927200000002</v>
      </c>
      <c r="X180" s="4">
        <f t="shared" si="22"/>
        <v>0.89982270263700115</v>
      </c>
    </row>
    <row r="181" spans="1:24" x14ac:dyDescent="0.3">
      <c r="A181" t="s">
        <v>461</v>
      </c>
      <c r="B181" s="7">
        <v>45890</v>
      </c>
      <c r="C181" s="2">
        <v>45912</v>
      </c>
      <c r="D181" s="4">
        <f t="shared" si="23"/>
        <v>22</v>
      </c>
      <c r="E181" s="51" t="b">
        <f t="shared" si="18"/>
        <v>0</v>
      </c>
      <c r="F181" s="4" t="str">
        <f>TEXT(Data!B181,"MMM-YYYY")</f>
        <v>Sept-2025</v>
      </c>
      <c r="G181" s="4" t="str">
        <f t="shared" si="19"/>
        <v>Q3-2025</v>
      </c>
      <c r="H181" t="s">
        <v>45</v>
      </c>
      <c r="I181" t="s">
        <v>116</v>
      </c>
      <c r="J181" t="s">
        <v>117</v>
      </c>
      <c r="K181" t="s">
        <v>27</v>
      </c>
      <c r="L181" t="s">
        <v>20</v>
      </c>
      <c r="M181" t="s">
        <v>56</v>
      </c>
      <c r="N181" t="s">
        <v>30</v>
      </c>
      <c r="O181" t="s">
        <v>462</v>
      </c>
      <c r="P181" s="4">
        <v>352.66</v>
      </c>
      <c r="Q181" s="8" t="str">
        <f t="shared" si="20"/>
        <v>High</v>
      </c>
      <c r="R181" s="4">
        <v>411.18</v>
      </c>
      <c r="S181" s="4">
        <v>0.17299999999999999</v>
      </c>
      <c r="T181" s="4">
        <v>13</v>
      </c>
      <c r="U181" s="4">
        <f t="shared" si="16"/>
        <v>26302.966559999997</v>
      </c>
      <c r="V181">
        <f t="shared" si="17"/>
        <v>4584.58</v>
      </c>
      <c r="W181" s="4">
        <f t="shared" si="21"/>
        <v>21718.386559999999</v>
      </c>
      <c r="X181" s="4">
        <f t="shared" si="22"/>
        <v>0.82570102921501043</v>
      </c>
    </row>
    <row r="182" spans="1:24" x14ac:dyDescent="0.3">
      <c r="A182" t="s">
        <v>463</v>
      </c>
      <c r="B182" s="7">
        <v>45915</v>
      </c>
      <c r="C182" s="2">
        <v>45918</v>
      </c>
      <c r="D182" s="4">
        <f t="shared" si="23"/>
        <v>3</v>
      </c>
      <c r="E182" s="51" t="str">
        <f t="shared" si="18"/>
        <v>Yes</v>
      </c>
      <c r="F182" s="4" t="str">
        <f>TEXT(Data!B182,"MMM-YYYY")</f>
        <v>Oct-2024</v>
      </c>
      <c r="G182" s="4" t="str">
        <f t="shared" si="19"/>
        <v>Q3-2025</v>
      </c>
      <c r="H182" t="s">
        <v>52</v>
      </c>
      <c r="I182" t="s">
        <v>73</v>
      </c>
      <c r="J182" t="s">
        <v>225</v>
      </c>
      <c r="K182" t="s">
        <v>39</v>
      </c>
      <c r="L182" t="s">
        <v>98</v>
      </c>
      <c r="M182" t="s">
        <v>49</v>
      </c>
      <c r="N182" t="s">
        <v>81</v>
      </c>
      <c r="O182" t="s">
        <v>464</v>
      </c>
      <c r="P182" s="4">
        <v>5.5</v>
      </c>
      <c r="Q182" s="8" t="str">
        <f t="shared" si="20"/>
        <v>Low</v>
      </c>
      <c r="R182" s="4">
        <v>5.92</v>
      </c>
      <c r="S182" s="4">
        <v>0.21199999999999999</v>
      </c>
      <c r="T182" s="4">
        <v>4</v>
      </c>
      <c r="U182" s="4">
        <f t="shared" si="16"/>
        <v>593.52160000000003</v>
      </c>
      <c r="V182">
        <f t="shared" si="17"/>
        <v>22</v>
      </c>
      <c r="W182" s="4">
        <f t="shared" si="21"/>
        <v>571.52160000000003</v>
      </c>
      <c r="X182" s="4">
        <f t="shared" si="22"/>
        <v>0.96293310976382329</v>
      </c>
    </row>
    <row r="183" spans="1:24" x14ac:dyDescent="0.3">
      <c r="A183" t="s">
        <v>465</v>
      </c>
      <c r="B183" s="7">
        <v>45568</v>
      </c>
      <c r="C183" s="2">
        <v>45576</v>
      </c>
      <c r="D183" s="4">
        <f t="shared" si="23"/>
        <v>8</v>
      </c>
      <c r="E183" s="51" t="b">
        <f t="shared" si="18"/>
        <v>0</v>
      </c>
      <c r="F183" s="4" t="str">
        <f>TEXT(Data!B183,"MMM-YYYY")</f>
        <v>Feb-2025</v>
      </c>
      <c r="G183" s="4" t="str">
        <f t="shared" si="19"/>
        <v>Q4-2024</v>
      </c>
      <c r="H183" t="s">
        <v>45</v>
      </c>
      <c r="I183" t="s">
        <v>116</v>
      </c>
      <c r="J183" t="s">
        <v>338</v>
      </c>
      <c r="K183" t="s">
        <v>105</v>
      </c>
      <c r="L183" t="s">
        <v>98</v>
      </c>
      <c r="M183" t="s">
        <v>56</v>
      </c>
      <c r="N183" t="s">
        <v>42</v>
      </c>
      <c r="O183" t="s">
        <v>466</v>
      </c>
      <c r="P183" s="4">
        <v>1132.6099999999999</v>
      </c>
      <c r="Q183" s="8" t="str">
        <f t="shared" si="20"/>
        <v>High</v>
      </c>
      <c r="R183" s="4">
        <v>2206.63</v>
      </c>
      <c r="S183" s="4">
        <v>6.3E-2</v>
      </c>
      <c r="T183" s="4">
        <v>20</v>
      </c>
      <c r="U183" s="4">
        <f t="shared" si="16"/>
        <v>48027.621600000006</v>
      </c>
      <c r="V183">
        <f t="shared" si="17"/>
        <v>22652.199999999997</v>
      </c>
      <c r="W183" s="4">
        <f t="shared" si="21"/>
        <v>25375.421600000009</v>
      </c>
      <c r="X183" s="4">
        <f t="shared" si="22"/>
        <v>0.52835057732694402</v>
      </c>
    </row>
    <row r="184" spans="1:24" x14ac:dyDescent="0.3">
      <c r="A184" t="s">
        <v>467</v>
      </c>
      <c r="B184" s="7">
        <v>45690</v>
      </c>
      <c r="C184" s="2">
        <v>45720</v>
      </c>
      <c r="D184" s="4">
        <f t="shared" si="23"/>
        <v>2</v>
      </c>
      <c r="E184" s="51" t="str">
        <f t="shared" si="18"/>
        <v>Yes</v>
      </c>
      <c r="F184" s="4" t="str">
        <f>TEXT(Data!B184,"MMM-YYYY")</f>
        <v>Aug-2023</v>
      </c>
      <c r="G184" s="4" t="str">
        <f t="shared" si="19"/>
        <v>Q1-2025</v>
      </c>
      <c r="H184" t="s">
        <v>45</v>
      </c>
      <c r="I184" t="s">
        <v>46</v>
      </c>
      <c r="J184" t="s">
        <v>47</v>
      </c>
      <c r="K184" t="s">
        <v>27</v>
      </c>
      <c r="L184" t="s">
        <v>55</v>
      </c>
      <c r="M184" t="s">
        <v>49</v>
      </c>
      <c r="N184" t="s">
        <v>81</v>
      </c>
      <c r="O184" t="s">
        <v>468</v>
      </c>
      <c r="P184" s="4">
        <v>766.59</v>
      </c>
      <c r="Q184" s="8" t="str">
        <f t="shared" si="20"/>
        <v>High</v>
      </c>
      <c r="R184" s="4">
        <v>1912.8</v>
      </c>
      <c r="S184" s="4">
        <v>0.19600000000000001</v>
      </c>
      <c r="T184" s="4">
        <v>5</v>
      </c>
      <c r="U184" s="4">
        <f t="shared" si="16"/>
        <v>7256.5421999999999</v>
      </c>
      <c r="V184">
        <f t="shared" si="17"/>
        <v>3832.9500000000003</v>
      </c>
      <c r="W184" s="4">
        <f t="shared" si="21"/>
        <v>3423.5921999999996</v>
      </c>
      <c r="X184" s="4">
        <f t="shared" si="22"/>
        <v>0.47179388001078526</v>
      </c>
    </row>
    <row r="185" spans="1:24" x14ac:dyDescent="0.3">
      <c r="A185" t="s">
        <v>469</v>
      </c>
      <c r="B185" s="7">
        <v>45157</v>
      </c>
      <c r="C185" s="2">
        <v>45161</v>
      </c>
      <c r="D185" s="4">
        <f t="shared" si="23"/>
        <v>4</v>
      </c>
      <c r="E185" s="51" t="str">
        <f t="shared" si="18"/>
        <v>Yes</v>
      </c>
      <c r="F185" s="4" t="str">
        <f>TEXT(Data!B185,"MMM-YYYY")</f>
        <v>Oct-2024</v>
      </c>
      <c r="G185" s="4" t="str">
        <f t="shared" si="19"/>
        <v>Q3-2023</v>
      </c>
      <c r="H185" t="s">
        <v>16</v>
      </c>
      <c r="I185" t="s">
        <v>25</v>
      </c>
      <c r="J185" t="s">
        <v>67</v>
      </c>
      <c r="K185" t="s">
        <v>62</v>
      </c>
      <c r="L185" t="s">
        <v>28</v>
      </c>
      <c r="M185" t="s">
        <v>29</v>
      </c>
      <c r="N185" t="s">
        <v>64</v>
      </c>
      <c r="O185" t="s">
        <v>470</v>
      </c>
      <c r="P185" s="4">
        <v>790.63</v>
      </c>
      <c r="Q185" s="8" t="str">
        <f t="shared" si="20"/>
        <v>High</v>
      </c>
      <c r="R185" s="4">
        <v>1382.31</v>
      </c>
      <c r="S185" s="4">
        <v>0.10100000000000001</v>
      </c>
      <c r="T185" s="4">
        <v>7</v>
      </c>
      <c r="U185" s="4">
        <f t="shared" si="16"/>
        <v>12999.63889</v>
      </c>
      <c r="V185">
        <f t="shared" si="17"/>
        <v>5534.41</v>
      </c>
      <c r="W185" s="4">
        <f t="shared" si="21"/>
        <v>7465.2288900000003</v>
      </c>
      <c r="X185" s="4">
        <f t="shared" si="22"/>
        <v>0.57426432789164961</v>
      </c>
    </row>
    <row r="186" spans="1:24" x14ac:dyDescent="0.3">
      <c r="A186" t="s">
        <v>471</v>
      </c>
      <c r="B186" s="7">
        <v>45587</v>
      </c>
      <c r="C186" s="2">
        <v>45594</v>
      </c>
      <c r="D186" s="4">
        <f t="shared" si="23"/>
        <v>7</v>
      </c>
      <c r="E186" s="51" t="str">
        <f t="shared" si="18"/>
        <v>Yes</v>
      </c>
      <c r="F186" s="4" t="str">
        <f>TEXT(Data!B186,"MMM-YYYY")</f>
        <v>Jun-2023</v>
      </c>
      <c r="G186" s="4" t="str">
        <f t="shared" si="19"/>
        <v>Q4-2024</v>
      </c>
      <c r="H186" t="s">
        <v>16</v>
      </c>
      <c r="I186" t="s">
        <v>25</v>
      </c>
      <c r="J186" t="s">
        <v>26</v>
      </c>
      <c r="K186" t="s">
        <v>105</v>
      </c>
      <c r="L186" t="s">
        <v>55</v>
      </c>
      <c r="M186" t="s">
        <v>110</v>
      </c>
      <c r="N186" t="s">
        <v>64</v>
      </c>
      <c r="O186" t="s">
        <v>472</v>
      </c>
      <c r="P186" s="4">
        <v>1023.06</v>
      </c>
      <c r="Q186" s="8" t="str">
        <f t="shared" si="20"/>
        <v>High</v>
      </c>
      <c r="R186" s="4">
        <v>1355.61</v>
      </c>
      <c r="S186" s="4">
        <v>0.153</v>
      </c>
      <c r="T186" s="4">
        <v>23</v>
      </c>
      <c r="U186" s="4">
        <f t="shared" si="16"/>
        <v>46101.981310000003</v>
      </c>
      <c r="V186">
        <f t="shared" si="17"/>
        <v>23530.379999999997</v>
      </c>
      <c r="W186" s="4">
        <f t="shared" si="21"/>
        <v>22571.601310000005</v>
      </c>
      <c r="X186" s="4">
        <f t="shared" si="22"/>
        <v>0.4896015457171683</v>
      </c>
    </row>
    <row r="187" spans="1:24" x14ac:dyDescent="0.3">
      <c r="A187" t="s">
        <v>473</v>
      </c>
      <c r="B187" s="7">
        <v>45099</v>
      </c>
      <c r="C187" s="2">
        <v>45128</v>
      </c>
      <c r="D187" s="4">
        <f t="shared" si="23"/>
        <v>29</v>
      </c>
      <c r="E187" s="51" t="b">
        <f t="shared" si="18"/>
        <v>0</v>
      </c>
      <c r="F187" s="4" t="str">
        <f>TEXT(Data!B187,"MMM-YYYY")</f>
        <v>Jan-2025</v>
      </c>
      <c r="G187" s="4" t="str">
        <f t="shared" si="19"/>
        <v>Q2-2023</v>
      </c>
      <c r="H187" t="s">
        <v>78</v>
      </c>
      <c r="I187" t="s">
        <v>90</v>
      </c>
      <c r="J187" t="s">
        <v>138</v>
      </c>
      <c r="K187" t="s">
        <v>19</v>
      </c>
      <c r="L187" t="s">
        <v>20</v>
      </c>
      <c r="M187" t="s">
        <v>29</v>
      </c>
      <c r="N187" t="s">
        <v>81</v>
      </c>
      <c r="O187" t="s">
        <v>474</v>
      </c>
      <c r="P187" s="4">
        <v>734.34</v>
      </c>
      <c r="Q187" s="8" t="str">
        <f t="shared" si="20"/>
        <v>High</v>
      </c>
      <c r="R187" s="4">
        <v>887.9</v>
      </c>
      <c r="S187" s="4">
        <v>2.5000000000000001E-2</v>
      </c>
      <c r="T187" s="4">
        <v>12</v>
      </c>
      <c r="U187" s="4">
        <f t="shared" si="16"/>
        <v>1541.5919999999999</v>
      </c>
      <c r="V187">
        <f t="shared" si="17"/>
        <v>8812.08</v>
      </c>
      <c r="W187" s="4">
        <f t="shared" si="21"/>
        <v>-7270.4880000000003</v>
      </c>
      <c r="X187" s="4">
        <f t="shared" si="22"/>
        <v>-4.7162206342534221</v>
      </c>
    </row>
    <row r="188" spans="1:24" x14ac:dyDescent="0.3">
      <c r="A188" t="s">
        <v>475</v>
      </c>
      <c r="B188" s="7">
        <v>45670</v>
      </c>
      <c r="C188" s="2">
        <v>45696</v>
      </c>
      <c r="D188" s="4">
        <f t="shared" si="23"/>
        <v>26</v>
      </c>
      <c r="E188" s="51" t="b">
        <f t="shared" si="18"/>
        <v>0</v>
      </c>
      <c r="F188" s="4" t="str">
        <f>TEXT(Data!B188,"MMM-YYYY")</f>
        <v>Jan-2023</v>
      </c>
      <c r="G188" s="4" t="str">
        <f t="shared" si="19"/>
        <v>Q1-2025</v>
      </c>
      <c r="H188" t="s">
        <v>78</v>
      </c>
      <c r="I188" t="s">
        <v>90</v>
      </c>
      <c r="J188" t="s">
        <v>217</v>
      </c>
      <c r="K188" t="s">
        <v>39</v>
      </c>
      <c r="L188" t="s">
        <v>1364</v>
      </c>
      <c r="M188" t="s">
        <v>63</v>
      </c>
      <c r="N188" t="s">
        <v>64</v>
      </c>
      <c r="O188" t="s">
        <v>476</v>
      </c>
      <c r="P188" s="4">
        <v>594.74</v>
      </c>
      <c r="Q188" s="8" t="str">
        <f t="shared" si="20"/>
        <v>High</v>
      </c>
      <c r="R188" s="4">
        <v>1020.69</v>
      </c>
      <c r="S188" s="4">
        <v>0.21099999999999999</v>
      </c>
      <c r="T188" s="4">
        <v>6</v>
      </c>
      <c r="U188" s="4">
        <f t="shared" si="16"/>
        <v>6319.9846800000005</v>
      </c>
      <c r="V188">
        <f t="shared" si="17"/>
        <v>3568.44</v>
      </c>
      <c r="W188" s="4">
        <f t="shared" si="21"/>
        <v>2751.5446800000004</v>
      </c>
      <c r="X188" s="4">
        <f t="shared" si="22"/>
        <v>0.43537204903477711</v>
      </c>
    </row>
    <row r="189" spans="1:24" x14ac:dyDescent="0.3">
      <c r="A189" t="s">
        <v>360</v>
      </c>
      <c r="B189" s="7">
        <v>44955</v>
      </c>
      <c r="C189" s="2">
        <v>44985</v>
      </c>
      <c r="D189" s="4">
        <f t="shared" si="23"/>
        <v>30</v>
      </c>
      <c r="E189" s="51" t="b">
        <f t="shared" si="18"/>
        <v>0</v>
      </c>
      <c r="F189" s="4" t="str">
        <f>TEXT(Data!B189,"MMM-YYYY")</f>
        <v>Jul-2023</v>
      </c>
      <c r="G189" s="4" t="str">
        <f t="shared" si="19"/>
        <v>Q1-2023</v>
      </c>
      <c r="H189" t="s">
        <v>45</v>
      </c>
      <c r="I189" t="s">
        <v>60</v>
      </c>
      <c r="J189" t="s">
        <v>61</v>
      </c>
      <c r="K189" t="s">
        <v>39</v>
      </c>
      <c r="L189" t="s">
        <v>20</v>
      </c>
      <c r="M189" t="s">
        <v>56</v>
      </c>
      <c r="N189" t="s">
        <v>81</v>
      </c>
      <c r="O189" t="s">
        <v>477</v>
      </c>
      <c r="P189" s="4">
        <v>1262.0999999999999</v>
      </c>
      <c r="Q189" s="8" t="str">
        <f t="shared" si="20"/>
        <v>High</v>
      </c>
      <c r="R189" s="4">
        <v>1395.53</v>
      </c>
      <c r="S189" s="4">
        <v>0.23300000000000001</v>
      </c>
      <c r="T189" s="4">
        <v>25</v>
      </c>
      <c r="U189" s="4">
        <f t="shared" si="16"/>
        <v>51608.553749999999</v>
      </c>
      <c r="V189">
        <f t="shared" si="17"/>
        <v>31552.499999999996</v>
      </c>
      <c r="W189" s="4">
        <f t="shared" si="21"/>
        <v>20056.053750000003</v>
      </c>
      <c r="X189" s="4">
        <f t="shared" si="22"/>
        <v>0.38861879073679723</v>
      </c>
    </row>
    <row r="190" spans="1:24" x14ac:dyDescent="0.3">
      <c r="A190" t="s">
        <v>478</v>
      </c>
      <c r="B190" s="7">
        <v>45126</v>
      </c>
      <c r="C190" s="2">
        <v>45138</v>
      </c>
      <c r="D190" s="4">
        <f t="shared" si="23"/>
        <v>12</v>
      </c>
      <c r="E190" s="51" t="b">
        <f t="shared" si="18"/>
        <v>0</v>
      </c>
      <c r="F190" s="4" t="str">
        <f>TEXT(Data!B190,"MMM-YYYY")</f>
        <v>May-2024</v>
      </c>
      <c r="G190" s="4" t="str">
        <f t="shared" si="19"/>
        <v>Q3-2023</v>
      </c>
      <c r="H190" t="s">
        <v>52</v>
      </c>
      <c r="I190" t="s">
        <v>73</v>
      </c>
      <c r="J190" t="s">
        <v>225</v>
      </c>
      <c r="K190" t="s">
        <v>19</v>
      </c>
      <c r="L190" t="s">
        <v>20</v>
      </c>
      <c r="M190" t="s">
        <v>21</v>
      </c>
      <c r="N190" t="s">
        <v>64</v>
      </c>
      <c r="O190" t="s">
        <v>479</v>
      </c>
      <c r="P190" s="4">
        <v>1334.64</v>
      </c>
      <c r="Q190" s="8" t="str">
        <f t="shared" si="20"/>
        <v>High</v>
      </c>
      <c r="R190" s="4">
        <v>2273.42</v>
      </c>
      <c r="S190" s="4">
        <v>0.11799999999999999</v>
      </c>
      <c r="T190" s="4">
        <v>14</v>
      </c>
      <c r="U190" s="4">
        <f t="shared" si="16"/>
        <v>9587.7280800000008</v>
      </c>
      <c r="V190">
        <f t="shared" si="17"/>
        <v>18684.960000000003</v>
      </c>
      <c r="W190" s="4">
        <f t="shared" si="21"/>
        <v>-9097.231920000002</v>
      </c>
      <c r="X190" s="4">
        <f t="shared" si="22"/>
        <v>-0.94884125249409468</v>
      </c>
    </row>
    <row r="191" spans="1:24" x14ac:dyDescent="0.3">
      <c r="A191" t="s">
        <v>480</v>
      </c>
      <c r="B191" s="7">
        <v>45431</v>
      </c>
      <c r="C191" s="2">
        <v>45451</v>
      </c>
      <c r="D191" s="4">
        <f t="shared" si="23"/>
        <v>20</v>
      </c>
      <c r="E191" s="51" t="b">
        <f t="shared" si="18"/>
        <v>0</v>
      </c>
      <c r="F191" s="4" t="str">
        <f>TEXT(Data!B191,"MMM-YYYY")</f>
        <v>Feb-2024</v>
      </c>
      <c r="G191" s="4" t="str">
        <f t="shared" si="19"/>
        <v>Q2-2024</v>
      </c>
      <c r="H191" t="s">
        <v>52</v>
      </c>
      <c r="I191" t="s">
        <v>73</v>
      </c>
      <c r="J191" t="s">
        <v>87</v>
      </c>
      <c r="K191" t="s">
        <v>62</v>
      </c>
      <c r="L191" t="s">
        <v>20</v>
      </c>
      <c r="M191" t="s">
        <v>63</v>
      </c>
      <c r="N191" t="s">
        <v>64</v>
      </c>
      <c r="O191" t="s">
        <v>481</v>
      </c>
      <c r="P191" s="4">
        <v>1075.9000000000001</v>
      </c>
      <c r="Q191" s="8" t="str">
        <f t="shared" si="20"/>
        <v>High</v>
      </c>
      <c r="R191" s="4">
        <v>1242.1500000000001</v>
      </c>
      <c r="S191" s="4">
        <v>1.2E-2</v>
      </c>
      <c r="T191" s="4">
        <v>7</v>
      </c>
      <c r="U191" s="4">
        <f t="shared" si="16"/>
        <v>2200.4637200000002</v>
      </c>
      <c r="V191">
        <f t="shared" si="17"/>
        <v>7531.3000000000011</v>
      </c>
      <c r="W191" s="4">
        <f t="shared" si="21"/>
        <v>-5330.8362800000014</v>
      </c>
      <c r="X191" s="4">
        <f t="shared" si="22"/>
        <v>-2.4225967606500691</v>
      </c>
    </row>
    <row r="192" spans="1:24" x14ac:dyDescent="0.3">
      <c r="A192" t="s">
        <v>482</v>
      </c>
      <c r="B192" s="7">
        <v>45325</v>
      </c>
      <c r="C192" s="2">
        <v>45341</v>
      </c>
      <c r="D192" s="4">
        <f t="shared" si="23"/>
        <v>16</v>
      </c>
      <c r="E192" s="51" t="b">
        <f t="shared" si="18"/>
        <v>0</v>
      </c>
      <c r="F192" s="4" t="str">
        <f>TEXT(Data!B192,"MMM-YYYY")</f>
        <v>Aug-2023</v>
      </c>
      <c r="G192" s="4" t="str">
        <f t="shared" si="19"/>
        <v>Q1-2024</v>
      </c>
      <c r="H192" t="s">
        <v>45</v>
      </c>
      <c r="I192" t="s">
        <v>116</v>
      </c>
      <c r="J192" t="s">
        <v>117</v>
      </c>
      <c r="K192" t="s">
        <v>62</v>
      </c>
      <c r="L192" t="s">
        <v>28</v>
      </c>
      <c r="M192" t="s">
        <v>92</v>
      </c>
      <c r="N192" t="s">
        <v>57</v>
      </c>
      <c r="O192" t="s">
        <v>483</v>
      </c>
      <c r="P192" s="4">
        <v>993.75</v>
      </c>
      <c r="Q192" s="8" t="str">
        <f t="shared" si="20"/>
        <v>High</v>
      </c>
      <c r="R192" s="4">
        <v>1310.29</v>
      </c>
      <c r="S192" s="4">
        <v>0.215</v>
      </c>
      <c r="T192" s="4">
        <v>19</v>
      </c>
      <c r="U192" s="4">
        <f t="shared" si="16"/>
        <v>18590.205150000002</v>
      </c>
      <c r="V192">
        <f t="shared" si="17"/>
        <v>18881.25</v>
      </c>
      <c r="W192" s="4">
        <f t="shared" si="21"/>
        <v>-291.04484999999841</v>
      </c>
      <c r="X192" s="4">
        <f t="shared" si="22"/>
        <v>-1.5655817009636301E-2</v>
      </c>
    </row>
    <row r="193" spans="1:24" x14ac:dyDescent="0.3">
      <c r="A193" t="s">
        <v>484</v>
      </c>
      <c r="B193" s="7">
        <v>45146</v>
      </c>
      <c r="C193" s="2">
        <v>45160</v>
      </c>
      <c r="D193" s="4">
        <f t="shared" si="23"/>
        <v>14</v>
      </c>
      <c r="E193" s="51" t="b">
        <f t="shared" si="18"/>
        <v>0</v>
      </c>
      <c r="F193" s="4" t="str">
        <f>TEXT(Data!B193,"MMM-YYYY")</f>
        <v>Aug-2024</v>
      </c>
      <c r="G193" s="4" t="str">
        <f t="shared" si="19"/>
        <v>Q3-2023</v>
      </c>
      <c r="H193" t="s">
        <v>78</v>
      </c>
      <c r="I193" t="s">
        <v>108</v>
      </c>
      <c r="J193" t="s">
        <v>109</v>
      </c>
      <c r="K193" t="s">
        <v>39</v>
      </c>
      <c r="L193" t="s">
        <v>98</v>
      </c>
      <c r="M193" t="s">
        <v>126</v>
      </c>
      <c r="N193" t="s">
        <v>64</v>
      </c>
      <c r="O193" t="s">
        <v>485</v>
      </c>
      <c r="P193" s="4">
        <v>446.69</v>
      </c>
      <c r="Q193" s="8" t="str">
        <f t="shared" si="20"/>
        <v>High</v>
      </c>
      <c r="R193" s="4">
        <v>967.25</v>
      </c>
      <c r="S193" s="4">
        <v>9.4E-2</v>
      </c>
      <c r="T193" s="4">
        <v>10</v>
      </c>
      <c r="U193" s="4">
        <f t="shared" si="16"/>
        <v>3143.4576000000002</v>
      </c>
      <c r="V193">
        <f t="shared" si="17"/>
        <v>4466.8999999999996</v>
      </c>
      <c r="W193" s="4">
        <f t="shared" si="21"/>
        <v>-1323.4423999999995</v>
      </c>
      <c r="X193" s="4">
        <f t="shared" si="22"/>
        <v>-0.42101487228585471</v>
      </c>
    </row>
    <row r="194" spans="1:24" x14ac:dyDescent="0.3">
      <c r="A194" t="s">
        <v>486</v>
      </c>
      <c r="B194" s="7">
        <v>45516</v>
      </c>
      <c r="C194" s="2">
        <v>45538</v>
      </c>
      <c r="D194" s="4">
        <f t="shared" si="23"/>
        <v>22</v>
      </c>
      <c r="E194" s="51" t="b">
        <f t="shared" si="18"/>
        <v>0</v>
      </c>
      <c r="F194" s="4" t="str">
        <f>TEXT(Data!B194,"MMM-YYYY")</f>
        <v>Oct-2023</v>
      </c>
      <c r="G194" s="4" t="str">
        <f t="shared" si="19"/>
        <v>Q3-2024</v>
      </c>
      <c r="H194" t="s">
        <v>52</v>
      </c>
      <c r="I194" t="s">
        <v>122</v>
      </c>
      <c r="J194" t="s">
        <v>326</v>
      </c>
      <c r="K194" t="s">
        <v>48</v>
      </c>
      <c r="L194" t="s">
        <v>55</v>
      </c>
      <c r="M194" t="s">
        <v>34</v>
      </c>
      <c r="N194" t="s">
        <v>57</v>
      </c>
      <c r="O194" t="s">
        <v>487</v>
      </c>
      <c r="P194" s="4">
        <v>797.8</v>
      </c>
      <c r="Q194" s="8" t="str">
        <f t="shared" si="20"/>
        <v>High</v>
      </c>
      <c r="R194" s="4">
        <v>886.22</v>
      </c>
      <c r="S194" s="4">
        <v>0.23599999999999999</v>
      </c>
      <c r="T194" s="4">
        <v>36</v>
      </c>
      <c r="U194" s="4">
        <f t="shared" ref="U194:U257" si="24">(R220*T194)*(1-S194)</f>
        <v>13882.919040000001</v>
      </c>
      <c r="V194">
        <f t="shared" ref="V194:V257" si="25">(P194*T194)</f>
        <v>28720.799999999999</v>
      </c>
      <c r="W194" s="4">
        <f t="shared" si="21"/>
        <v>-14837.880959999999</v>
      </c>
      <c r="X194" s="4">
        <f t="shared" si="22"/>
        <v>-1.06878682482038</v>
      </c>
    </row>
    <row r="195" spans="1:24" x14ac:dyDescent="0.3">
      <c r="A195" t="s">
        <v>488</v>
      </c>
      <c r="B195" s="7">
        <v>45214</v>
      </c>
      <c r="C195" s="2">
        <v>45243</v>
      </c>
      <c r="D195" s="4">
        <f t="shared" si="23"/>
        <v>29</v>
      </c>
      <c r="E195" s="51" t="b">
        <f t="shared" ref="E195:E258" si="26">IF(D195&lt;=7, "Yes")</f>
        <v>0</v>
      </c>
      <c r="F195" s="4" t="str">
        <f>TEXT(Data!B195,"MMM-YYYY")</f>
        <v>May-2023</v>
      </c>
      <c r="G195" s="4" t="str">
        <f t="shared" ref="G195:G258" si="27">"Q"&amp;ROUNDUP(MONTH(B195)/3,0)&amp;"-"&amp;YEAR(B195)</f>
        <v>Q4-2023</v>
      </c>
      <c r="H195" t="s">
        <v>45</v>
      </c>
      <c r="I195" t="s">
        <v>116</v>
      </c>
      <c r="J195" t="s">
        <v>117</v>
      </c>
      <c r="K195" t="s">
        <v>39</v>
      </c>
      <c r="L195" t="s">
        <v>55</v>
      </c>
      <c r="M195" t="s">
        <v>29</v>
      </c>
      <c r="N195" t="s">
        <v>30</v>
      </c>
      <c r="O195" t="s">
        <v>489</v>
      </c>
      <c r="P195" s="4">
        <v>986.44</v>
      </c>
      <c r="Q195" s="8" t="str">
        <f t="shared" ref="Q195:Q258" si="28">IF(R195&lt;50, "Low", IF(R195&lt;200, "Medium", "High"))</f>
        <v>High</v>
      </c>
      <c r="R195" s="4">
        <v>790.61</v>
      </c>
      <c r="S195" s="4">
        <v>7.1999999999999995E-2</v>
      </c>
      <c r="T195" s="4">
        <v>6</v>
      </c>
      <c r="U195" s="4">
        <f t="shared" si="24"/>
        <v>5219.7772800000002</v>
      </c>
      <c r="V195">
        <f t="shared" si="25"/>
        <v>5918.64</v>
      </c>
      <c r="W195" s="4">
        <f t="shared" ref="W195:W258" si="29">(U195-V195)</f>
        <v>-698.86272000000008</v>
      </c>
      <c r="X195" s="4">
        <f t="shared" ref="X195:X258" si="30">IF(U195=0, 0, W195/U195)</f>
        <v>-0.13388745965804888</v>
      </c>
    </row>
    <row r="196" spans="1:24" x14ac:dyDescent="0.3">
      <c r="A196" t="s">
        <v>490</v>
      </c>
      <c r="B196" s="7">
        <v>45050</v>
      </c>
      <c r="C196" s="2">
        <v>45072</v>
      </c>
      <c r="D196" s="4">
        <f t="shared" ref="D196:D259" si="31">DATEDIF(B196,C196, "MD")</f>
        <v>22</v>
      </c>
      <c r="E196" s="51" t="b">
        <f t="shared" si="26"/>
        <v>0</v>
      </c>
      <c r="F196" s="4" t="str">
        <f>TEXT(Data!B196,"MMM-YYYY")</f>
        <v>Sept-2024</v>
      </c>
      <c r="G196" s="4" t="str">
        <f t="shared" si="27"/>
        <v>Q2-2023</v>
      </c>
      <c r="H196" t="s">
        <v>52</v>
      </c>
      <c r="I196" t="s">
        <v>122</v>
      </c>
      <c r="J196" t="s">
        <v>167</v>
      </c>
      <c r="K196" t="s">
        <v>105</v>
      </c>
      <c r="L196" t="s">
        <v>28</v>
      </c>
      <c r="M196" t="s">
        <v>29</v>
      </c>
      <c r="N196" t="s">
        <v>35</v>
      </c>
      <c r="O196" t="s">
        <v>491</v>
      </c>
      <c r="P196" s="4">
        <v>249.71</v>
      </c>
      <c r="Q196" s="8" t="str">
        <f t="shared" si="28"/>
        <v>High</v>
      </c>
      <c r="R196" s="4">
        <v>361.33</v>
      </c>
      <c r="S196" s="4">
        <v>9.4E-2</v>
      </c>
      <c r="T196" s="4">
        <v>12</v>
      </c>
      <c r="U196" s="4">
        <f t="shared" si="24"/>
        <v>14139.90576</v>
      </c>
      <c r="V196">
        <f t="shared" si="25"/>
        <v>2996.52</v>
      </c>
      <c r="W196" s="4">
        <f t="shared" si="29"/>
        <v>11143.385759999999</v>
      </c>
      <c r="X196" s="4">
        <f t="shared" si="30"/>
        <v>0.7880806243789279</v>
      </c>
    </row>
    <row r="197" spans="1:24" x14ac:dyDescent="0.3">
      <c r="A197" t="s">
        <v>492</v>
      </c>
      <c r="B197" s="7">
        <v>45557</v>
      </c>
      <c r="C197" s="2">
        <v>45566</v>
      </c>
      <c r="D197" s="4">
        <f t="shared" si="31"/>
        <v>9</v>
      </c>
      <c r="E197" s="51" t="b">
        <f t="shared" si="26"/>
        <v>0</v>
      </c>
      <c r="F197" s="4" t="str">
        <f>TEXT(Data!B197,"MMM-YYYY")</f>
        <v>Oct-2024</v>
      </c>
      <c r="G197" s="4" t="str">
        <f t="shared" si="27"/>
        <v>Q3-2024</v>
      </c>
      <c r="H197" t="s">
        <v>52</v>
      </c>
      <c r="I197" t="s">
        <v>73</v>
      </c>
      <c r="J197" t="s">
        <v>74</v>
      </c>
      <c r="K197" t="s">
        <v>39</v>
      </c>
      <c r="L197" t="s">
        <v>28</v>
      </c>
      <c r="M197" t="s">
        <v>95</v>
      </c>
      <c r="N197" t="s">
        <v>64</v>
      </c>
      <c r="O197" t="s">
        <v>493</v>
      </c>
      <c r="P197" s="4">
        <v>1378.8</v>
      </c>
      <c r="Q197" s="8" t="str">
        <f t="shared" si="28"/>
        <v>High</v>
      </c>
      <c r="R197" s="4">
        <v>1952.04</v>
      </c>
      <c r="S197" s="4">
        <v>0.159</v>
      </c>
      <c r="T197" s="4">
        <v>19</v>
      </c>
      <c r="U197" s="4">
        <f t="shared" si="24"/>
        <v>3645.6088500000001</v>
      </c>
      <c r="V197">
        <f t="shared" si="25"/>
        <v>26197.200000000001</v>
      </c>
      <c r="W197" s="4">
        <f t="shared" si="29"/>
        <v>-22551.59115</v>
      </c>
      <c r="X197" s="4">
        <f t="shared" si="30"/>
        <v>-6.1859601723317077</v>
      </c>
    </row>
    <row r="198" spans="1:24" x14ac:dyDescent="0.3">
      <c r="A198" t="s">
        <v>494</v>
      </c>
      <c r="B198" s="7">
        <v>45588</v>
      </c>
      <c r="C198" s="2">
        <v>45610</v>
      </c>
      <c r="D198" s="4">
        <f t="shared" si="31"/>
        <v>22</v>
      </c>
      <c r="E198" s="51" t="b">
        <f t="shared" si="26"/>
        <v>0</v>
      </c>
      <c r="F198" s="4" t="str">
        <f>TEXT(Data!B198,"MMM-YYYY")</f>
        <v>Feb-2024</v>
      </c>
      <c r="G198" s="4" t="str">
        <f t="shared" si="27"/>
        <v>Q4-2024</v>
      </c>
      <c r="H198" t="s">
        <v>45</v>
      </c>
      <c r="I198" t="s">
        <v>46</v>
      </c>
      <c r="J198" t="s">
        <v>47</v>
      </c>
      <c r="K198" t="s">
        <v>39</v>
      </c>
      <c r="L198" t="s">
        <v>98</v>
      </c>
      <c r="M198" t="s">
        <v>56</v>
      </c>
      <c r="N198" t="s">
        <v>42</v>
      </c>
      <c r="O198" t="s">
        <v>495</v>
      </c>
      <c r="P198" s="4">
        <v>1406.4</v>
      </c>
      <c r="Q198" s="8" t="str">
        <f t="shared" si="28"/>
        <v>High</v>
      </c>
      <c r="R198" s="4">
        <v>1564.76</v>
      </c>
      <c r="S198" s="4">
        <v>0.185</v>
      </c>
      <c r="T198" s="4">
        <v>17</v>
      </c>
      <c r="U198" s="4">
        <f t="shared" si="24"/>
        <v>6879.2846</v>
      </c>
      <c r="V198">
        <f t="shared" si="25"/>
        <v>23908.800000000003</v>
      </c>
      <c r="W198" s="4">
        <f t="shared" si="29"/>
        <v>-17029.515400000004</v>
      </c>
      <c r="X198" s="4">
        <f t="shared" si="30"/>
        <v>-2.4754776681284567</v>
      </c>
    </row>
    <row r="199" spans="1:24" x14ac:dyDescent="0.3">
      <c r="A199" t="s">
        <v>496</v>
      </c>
      <c r="B199" s="7">
        <v>45333</v>
      </c>
      <c r="C199" s="2">
        <v>45354</v>
      </c>
      <c r="D199" s="4">
        <f t="shared" si="31"/>
        <v>21</v>
      </c>
      <c r="E199" s="51" t="b">
        <f t="shared" si="26"/>
        <v>0</v>
      </c>
      <c r="F199" s="4" t="str">
        <f>TEXT(Data!B199,"MMM-YYYY")</f>
        <v>Jan-2023</v>
      </c>
      <c r="G199" s="4" t="str">
        <f t="shared" si="27"/>
        <v>Q1-2024</v>
      </c>
      <c r="H199" t="s">
        <v>16</v>
      </c>
      <c r="I199" t="s">
        <v>17</v>
      </c>
      <c r="J199" t="s">
        <v>18</v>
      </c>
      <c r="K199" t="s">
        <v>105</v>
      </c>
      <c r="L199" t="s">
        <v>28</v>
      </c>
      <c r="M199" t="s">
        <v>56</v>
      </c>
      <c r="N199" t="s">
        <v>42</v>
      </c>
      <c r="O199" t="s">
        <v>497</v>
      </c>
      <c r="P199" s="4">
        <v>516.86</v>
      </c>
      <c r="Q199" s="8" t="str">
        <f t="shared" si="28"/>
        <v>High</v>
      </c>
      <c r="R199" s="4">
        <v>852.54</v>
      </c>
      <c r="S199" s="4">
        <v>5.0999999999999997E-2</v>
      </c>
      <c r="T199" s="4">
        <v>14</v>
      </c>
      <c r="U199" s="4">
        <f t="shared" si="24"/>
        <v>39076.783199999991</v>
      </c>
      <c r="V199">
        <f t="shared" si="25"/>
        <v>7236.04</v>
      </c>
      <c r="W199" s="4">
        <f t="shared" si="29"/>
        <v>31840.74319999999</v>
      </c>
      <c r="X199" s="4">
        <f t="shared" si="30"/>
        <v>0.81482508519278518</v>
      </c>
    </row>
    <row r="200" spans="1:24" x14ac:dyDescent="0.3">
      <c r="A200" t="s">
        <v>498</v>
      </c>
      <c r="B200" s="7">
        <v>44956</v>
      </c>
      <c r="C200" s="2">
        <v>44978</v>
      </c>
      <c r="D200" s="4">
        <f t="shared" si="31"/>
        <v>22</v>
      </c>
      <c r="E200" s="51" t="b">
        <f t="shared" si="26"/>
        <v>0</v>
      </c>
      <c r="F200" s="4" t="str">
        <f>TEXT(Data!B200,"MMM-YYYY")</f>
        <v>Apr-2023</v>
      </c>
      <c r="G200" s="4" t="str">
        <f t="shared" si="27"/>
        <v>Q1-2023</v>
      </c>
      <c r="H200" t="s">
        <v>78</v>
      </c>
      <c r="I200" t="s">
        <v>79</v>
      </c>
      <c r="J200" t="s">
        <v>159</v>
      </c>
      <c r="K200" t="s">
        <v>62</v>
      </c>
      <c r="L200" t="s">
        <v>40</v>
      </c>
      <c r="M200" t="s">
        <v>41</v>
      </c>
      <c r="N200" t="s">
        <v>35</v>
      </c>
      <c r="O200" t="s">
        <v>499</v>
      </c>
      <c r="P200" s="4">
        <v>1142.8800000000001</v>
      </c>
      <c r="Q200" s="8" t="str">
        <f t="shared" si="28"/>
        <v>High</v>
      </c>
      <c r="R200" s="4">
        <v>1465.29</v>
      </c>
      <c r="S200" s="4">
        <v>0.186</v>
      </c>
      <c r="T200" s="4">
        <v>7</v>
      </c>
      <c r="U200" s="4">
        <f t="shared" si="24"/>
        <v>6200.5636000000013</v>
      </c>
      <c r="V200">
        <f t="shared" si="25"/>
        <v>8000.1600000000008</v>
      </c>
      <c r="W200" s="4">
        <f t="shared" si="29"/>
        <v>-1799.5963999999994</v>
      </c>
      <c r="X200" s="4">
        <f t="shared" si="30"/>
        <v>-0.29023110092766391</v>
      </c>
    </row>
    <row r="201" spans="1:24" x14ac:dyDescent="0.3">
      <c r="A201" t="s">
        <v>500</v>
      </c>
      <c r="B201" s="7">
        <v>45030</v>
      </c>
      <c r="C201" s="2">
        <v>45059</v>
      </c>
      <c r="D201" s="4">
        <f t="shared" si="31"/>
        <v>29</v>
      </c>
      <c r="E201" s="51" t="b">
        <f t="shared" si="26"/>
        <v>0</v>
      </c>
      <c r="F201" s="4" t="str">
        <f>TEXT(Data!B201,"MMM-YYYY")</f>
        <v>Jan-2023</v>
      </c>
      <c r="G201" s="4" t="str">
        <f t="shared" si="27"/>
        <v>Q2-2023</v>
      </c>
      <c r="H201" t="s">
        <v>78</v>
      </c>
      <c r="I201" t="s">
        <v>79</v>
      </c>
      <c r="J201" t="s">
        <v>335</v>
      </c>
      <c r="K201" t="s">
        <v>48</v>
      </c>
      <c r="L201" t="s">
        <v>98</v>
      </c>
      <c r="M201" t="s">
        <v>29</v>
      </c>
      <c r="N201" t="s">
        <v>30</v>
      </c>
      <c r="O201" t="s">
        <v>501</v>
      </c>
      <c r="P201" s="4">
        <v>1320.33</v>
      </c>
      <c r="Q201" s="8" t="str">
        <f t="shared" si="28"/>
        <v>High</v>
      </c>
      <c r="R201" s="4">
        <v>2645.23</v>
      </c>
      <c r="S201" s="4">
        <v>0.155</v>
      </c>
      <c r="T201" s="4">
        <v>25</v>
      </c>
      <c r="U201" s="4">
        <f t="shared" si="24"/>
        <v>53428.293749999997</v>
      </c>
      <c r="V201">
        <f t="shared" si="25"/>
        <v>33008.25</v>
      </c>
      <c r="W201" s="4">
        <f t="shared" si="29"/>
        <v>20420.043749999997</v>
      </c>
      <c r="X201" s="4">
        <f t="shared" si="30"/>
        <v>0.38219531856189959</v>
      </c>
    </row>
    <row r="202" spans="1:24" x14ac:dyDescent="0.3">
      <c r="A202" t="s">
        <v>502</v>
      </c>
      <c r="B202" s="7">
        <v>44939</v>
      </c>
      <c r="C202" s="2">
        <v>44945</v>
      </c>
      <c r="D202" s="4">
        <f t="shared" si="31"/>
        <v>6</v>
      </c>
      <c r="E202" s="51" t="str">
        <f t="shared" si="26"/>
        <v>Yes</v>
      </c>
      <c r="F202" s="4" t="str">
        <f>TEXT(Data!B202,"MMM-YYYY")</f>
        <v>Jan-2024</v>
      </c>
      <c r="G202" s="4" t="str">
        <f t="shared" si="27"/>
        <v>Q1-2023</v>
      </c>
      <c r="H202" t="s">
        <v>52</v>
      </c>
      <c r="I202" t="s">
        <v>122</v>
      </c>
      <c r="J202" t="s">
        <v>123</v>
      </c>
      <c r="K202" t="s">
        <v>19</v>
      </c>
      <c r="L202" t="s">
        <v>98</v>
      </c>
      <c r="M202" t="s">
        <v>92</v>
      </c>
      <c r="N202" t="s">
        <v>42</v>
      </c>
      <c r="O202" t="s">
        <v>503</v>
      </c>
      <c r="P202" s="4">
        <v>833.57</v>
      </c>
      <c r="Q202" s="8" t="str">
        <f t="shared" si="28"/>
        <v>High</v>
      </c>
      <c r="R202" s="4">
        <v>881.57</v>
      </c>
      <c r="S202" s="4">
        <v>5.7000000000000002E-2</v>
      </c>
      <c r="T202" s="4">
        <v>18</v>
      </c>
      <c r="U202" s="4">
        <f t="shared" si="24"/>
        <v>45796.021740000004</v>
      </c>
      <c r="V202">
        <f t="shared" si="25"/>
        <v>15004.26</v>
      </c>
      <c r="W202" s="4">
        <f t="shared" si="29"/>
        <v>30791.761740000002</v>
      </c>
      <c r="X202" s="4">
        <f t="shared" si="30"/>
        <v>0.67236761120464961</v>
      </c>
    </row>
    <row r="203" spans="1:24" x14ac:dyDescent="0.3">
      <c r="A203" t="s">
        <v>504</v>
      </c>
      <c r="B203" s="7">
        <v>45303</v>
      </c>
      <c r="C203" s="2">
        <v>45320</v>
      </c>
      <c r="D203" s="4">
        <f t="shared" si="31"/>
        <v>17</v>
      </c>
      <c r="E203" s="51" t="b">
        <f t="shared" si="26"/>
        <v>0</v>
      </c>
      <c r="F203" s="4" t="str">
        <f>TEXT(Data!B203,"MMM-YYYY")</f>
        <v>Aug-2023</v>
      </c>
      <c r="G203" s="4" t="str">
        <f t="shared" si="27"/>
        <v>Q1-2024</v>
      </c>
      <c r="H203" t="s">
        <v>52</v>
      </c>
      <c r="I203" t="s">
        <v>122</v>
      </c>
      <c r="J203" t="s">
        <v>123</v>
      </c>
      <c r="K203" t="s">
        <v>27</v>
      </c>
      <c r="L203" t="s">
        <v>55</v>
      </c>
      <c r="M203" t="s">
        <v>75</v>
      </c>
      <c r="N203" t="s">
        <v>30</v>
      </c>
      <c r="O203" t="s">
        <v>505</v>
      </c>
      <c r="P203" s="4">
        <v>493.76</v>
      </c>
      <c r="Q203" s="8" t="str">
        <f t="shared" si="28"/>
        <v>High</v>
      </c>
      <c r="R203" s="4">
        <v>625.04</v>
      </c>
      <c r="S203" s="4">
        <v>0.25800000000000001</v>
      </c>
      <c r="T203" s="4">
        <v>10</v>
      </c>
      <c r="U203" s="4">
        <f t="shared" si="24"/>
        <v>11002.004999999999</v>
      </c>
      <c r="V203">
        <f t="shared" si="25"/>
        <v>4937.6000000000004</v>
      </c>
      <c r="W203" s="4">
        <f t="shared" si="29"/>
        <v>6064.4049999999988</v>
      </c>
      <c r="X203" s="4">
        <f t="shared" si="30"/>
        <v>0.55120907507313432</v>
      </c>
    </row>
    <row r="204" spans="1:24" x14ac:dyDescent="0.3">
      <c r="A204" t="s">
        <v>506</v>
      </c>
      <c r="B204" s="7">
        <v>45153</v>
      </c>
      <c r="C204" s="2">
        <v>45176</v>
      </c>
      <c r="D204" s="4">
        <f t="shared" si="31"/>
        <v>23</v>
      </c>
      <c r="E204" s="51" t="b">
        <f t="shared" si="26"/>
        <v>0</v>
      </c>
      <c r="F204" s="4" t="str">
        <f>TEXT(Data!B204,"MMM-YYYY")</f>
        <v>Jan-2023</v>
      </c>
      <c r="G204" s="4" t="str">
        <f t="shared" si="27"/>
        <v>Q3-2023</v>
      </c>
      <c r="H204" t="s">
        <v>52</v>
      </c>
      <c r="I204" t="s">
        <v>122</v>
      </c>
      <c r="J204" t="s">
        <v>387</v>
      </c>
      <c r="K204" t="s">
        <v>105</v>
      </c>
      <c r="L204" t="s">
        <v>28</v>
      </c>
      <c r="M204" t="s">
        <v>95</v>
      </c>
      <c r="N204" t="s">
        <v>42</v>
      </c>
      <c r="O204" t="s">
        <v>507</v>
      </c>
      <c r="P204" s="4">
        <v>590.33000000000004</v>
      </c>
      <c r="Q204" s="8" t="str">
        <f t="shared" si="28"/>
        <v>High</v>
      </c>
      <c r="R204" s="4">
        <v>973.04</v>
      </c>
      <c r="S204" s="4">
        <v>0</v>
      </c>
      <c r="T204" s="4">
        <v>26</v>
      </c>
      <c r="U204" s="4">
        <f t="shared" si="24"/>
        <v>37877.06</v>
      </c>
      <c r="V204">
        <f t="shared" si="25"/>
        <v>15348.580000000002</v>
      </c>
      <c r="W204" s="4">
        <f t="shared" si="29"/>
        <v>22528.479999999996</v>
      </c>
      <c r="X204" s="4">
        <f t="shared" si="30"/>
        <v>0.59477900343902079</v>
      </c>
    </row>
    <row r="205" spans="1:24" x14ac:dyDescent="0.3">
      <c r="A205" t="s">
        <v>508</v>
      </c>
      <c r="B205" s="7">
        <v>44946</v>
      </c>
      <c r="C205" s="2">
        <v>44960</v>
      </c>
      <c r="D205" s="4">
        <f t="shared" si="31"/>
        <v>14</v>
      </c>
      <c r="E205" s="51" t="b">
        <f t="shared" si="26"/>
        <v>0</v>
      </c>
      <c r="F205" s="4" t="str">
        <f>TEXT(Data!B205,"MMM-YYYY")</f>
        <v>Feb-2025</v>
      </c>
      <c r="G205" s="4" t="str">
        <f t="shared" si="27"/>
        <v>Q1-2023</v>
      </c>
      <c r="H205" t="s">
        <v>16</v>
      </c>
      <c r="I205" t="s">
        <v>17</v>
      </c>
      <c r="J205" t="s">
        <v>18</v>
      </c>
      <c r="K205" t="s">
        <v>19</v>
      </c>
      <c r="L205" t="s">
        <v>20</v>
      </c>
      <c r="M205" t="s">
        <v>110</v>
      </c>
      <c r="N205" t="s">
        <v>35</v>
      </c>
      <c r="O205" t="s">
        <v>509</v>
      </c>
      <c r="P205" s="4">
        <v>884.36</v>
      </c>
      <c r="Q205" s="8" t="str">
        <f t="shared" si="28"/>
        <v>High</v>
      </c>
      <c r="R205" s="4">
        <v>1545.34</v>
      </c>
      <c r="S205" s="4">
        <v>0.24299999999999999</v>
      </c>
      <c r="T205" s="4">
        <v>41</v>
      </c>
      <c r="U205" s="4">
        <f t="shared" si="24"/>
        <v>28497.86303</v>
      </c>
      <c r="V205">
        <f t="shared" si="25"/>
        <v>36258.76</v>
      </c>
      <c r="W205" s="4">
        <f t="shared" si="29"/>
        <v>-7760.8969700000016</v>
      </c>
      <c r="X205" s="4">
        <f t="shared" si="30"/>
        <v>-0.27233259426610423</v>
      </c>
    </row>
    <row r="206" spans="1:24" x14ac:dyDescent="0.3">
      <c r="A206" t="s">
        <v>510</v>
      </c>
      <c r="B206" s="7">
        <v>45692</v>
      </c>
      <c r="C206" s="2">
        <v>45713</v>
      </c>
      <c r="D206" s="4">
        <f t="shared" si="31"/>
        <v>21</v>
      </c>
      <c r="E206" s="51" t="b">
        <f t="shared" si="26"/>
        <v>0</v>
      </c>
      <c r="F206" s="4" t="str">
        <f>TEXT(Data!B206,"MMM-YYYY")</f>
        <v>Apr-2023</v>
      </c>
      <c r="G206" s="4" t="str">
        <f t="shared" si="27"/>
        <v>Q1-2025</v>
      </c>
      <c r="H206" t="s">
        <v>78</v>
      </c>
      <c r="I206" t="s">
        <v>108</v>
      </c>
      <c r="J206" t="s">
        <v>109</v>
      </c>
      <c r="K206" t="s">
        <v>19</v>
      </c>
      <c r="L206" t="s">
        <v>40</v>
      </c>
      <c r="M206" t="s">
        <v>145</v>
      </c>
      <c r="N206" t="s">
        <v>64</v>
      </c>
      <c r="O206" t="s">
        <v>511</v>
      </c>
      <c r="P206" s="4">
        <v>1016.32</v>
      </c>
      <c r="Q206" s="8" t="str">
        <f t="shared" si="28"/>
        <v>High</v>
      </c>
      <c r="R206" s="4">
        <v>2253.42</v>
      </c>
      <c r="S206" s="4">
        <v>5.5E-2</v>
      </c>
      <c r="T206" s="4">
        <v>12</v>
      </c>
      <c r="U206" s="4">
        <f t="shared" si="24"/>
        <v>554.97959999999989</v>
      </c>
      <c r="V206">
        <f t="shared" si="25"/>
        <v>12195.84</v>
      </c>
      <c r="W206" s="4">
        <f t="shared" si="29"/>
        <v>-11640.8604</v>
      </c>
      <c r="X206" s="4">
        <f t="shared" si="30"/>
        <v>-20.97529422703105</v>
      </c>
    </row>
    <row r="207" spans="1:24" x14ac:dyDescent="0.3">
      <c r="A207" t="s">
        <v>512</v>
      </c>
      <c r="B207" s="7">
        <v>45035</v>
      </c>
      <c r="C207" s="2">
        <v>45044</v>
      </c>
      <c r="D207" s="4">
        <f t="shared" si="31"/>
        <v>9</v>
      </c>
      <c r="E207" s="51" t="b">
        <f t="shared" si="26"/>
        <v>0</v>
      </c>
      <c r="F207" s="4" t="str">
        <f>TEXT(Data!B207,"MMM-YYYY")</f>
        <v>Jul-2023</v>
      </c>
      <c r="G207" s="4" t="str">
        <f t="shared" si="27"/>
        <v>Q2-2023</v>
      </c>
      <c r="H207" t="s">
        <v>78</v>
      </c>
      <c r="I207" t="s">
        <v>79</v>
      </c>
      <c r="J207" t="s">
        <v>80</v>
      </c>
      <c r="K207" t="s">
        <v>27</v>
      </c>
      <c r="L207" t="s">
        <v>28</v>
      </c>
      <c r="M207" t="s">
        <v>63</v>
      </c>
      <c r="N207" t="s">
        <v>64</v>
      </c>
      <c r="O207" t="s">
        <v>513</v>
      </c>
      <c r="P207" s="4">
        <v>1178.42</v>
      </c>
      <c r="Q207" s="8" t="str">
        <f t="shared" si="28"/>
        <v>High</v>
      </c>
      <c r="R207" s="4">
        <v>2446.56</v>
      </c>
      <c r="S207" s="4">
        <v>2.9000000000000001E-2</v>
      </c>
      <c r="T207" s="4">
        <v>11</v>
      </c>
      <c r="U207" s="4">
        <f t="shared" si="24"/>
        <v>9957.7894899999992</v>
      </c>
      <c r="V207">
        <f t="shared" si="25"/>
        <v>12962.62</v>
      </c>
      <c r="W207" s="4">
        <f t="shared" si="29"/>
        <v>-3004.8305100000016</v>
      </c>
      <c r="X207" s="4">
        <f t="shared" si="30"/>
        <v>-0.30175678176542792</v>
      </c>
    </row>
    <row r="208" spans="1:24" x14ac:dyDescent="0.3">
      <c r="A208" t="s">
        <v>514</v>
      </c>
      <c r="B208" s="7">
        <v>45109</v>
      </c>
      <c r="C208" s="2">
        <v>45139</v>
      </c>
      <c r="D208" s="4">
        <f t="shared" si="31"/>
        <v>30</v>
      </c>
      <c r="E208" s="51" t="b">
        <f t="shared" si="26"/>
        <v>0</v>
      </c>
      <c r="F208" s="4" t="str">
        <f>TEXT(Data!B208,"MMM-YYYY")</f>
        <v>Jan-2025</v>
      </c>
      <c r="G208" s="4" t="str">
        <f t="shared" si="27"/>
        <v>Q3-2023</v>
      </c>
      <c r="H208" t="s">
        <v>78</v>
      </c>
      <c r="I208" t="s">
        <v>108</v>
      </c>
      <c r="J208" t="s">
        <v>109</v>
      </c>
      <c r="K208" t="s">
        <v>62</v>
      </c>
      <c r="L208" t="s">
        <v>20</v>
      </c>
      <c r="M208" t="s">
        <v>56</v>
      </c>
      <c r="N208" t="s">
        <v>22</v>
      </c>
      <c r="O208" t="s">
        <v>515</v>
      </c>
      <c r="P208" s="4">
        <v>137.46</v>
      </c>
      <c r="Q208" s="8" t="str">
        <f t="shared" si="28"/>
        <v>Medium</v>
      </c>
      <c r="R208" s="4">
        <v>188.3</v>
      </c>
      <c r="S208" s="4">
        <v>3.7999999999999999E-2</v>
      </c>
      <c r="T208" s="4">
        <v>37</v>
      </c>
      <c r="U208" s="4">
        <f t="shared" si="24"/>
        <v>11596.169260000001</v>
      </c>
      <c r="V208">
        <f t="shared" si="25"/>
        <v>5086.0200000000004</v>
      </c>
      <c r="W208" s="4">
        <f t="shared" si="29"/>
        <v>6510.1492600000001</v>
      </c>
      <c r="X208" s="4">
        <f t="shared" si="30"/>
        <v>0.56140516010370822</v>
      </c>
    </row>
    <row r="209" spans="1:24" x14ac:dyDescent="0.3">
      <c r="A209" t="s">
        <v>516</v>
      </c>
      <c r="B209" s="7">
        <v>45678</v>
      </c>
      <c r="C209" s="2">
        <v>45702</v>
      </c>
      <c r="D209" s="4">
        <f t="shared" si="31"/>
        <v>24</v>
      </c>
      <c r="E209" s="51" t="b">
        <f t="shared" si="26"/>
        <v>0</v>
      </c>
      <c r="F209" s="4" t="str">
        <f>TEXT(Data!B209,"MMM-YYYY")</f>
        <v>Sept-2024</v>
      </c>
      <c r="G209" s="4" t="str">
        <f t="shared" si="27"/>
        <v>Q1-2025</v>
      </c>
      <c r="H209" t="s">
        <v>16</v>
      </c>
      <c r="I209" t="s">
        <v>17</v>
      </c>
      <c r="J209" t="s">
        <v>33</v>
      </c>
      <c r="K209" t="s">
        <v>62</v>
      </c>
      <c r="L209" t="s">
        <v>20</v>
      </c>
      <c r="M209" t="s">
        <v>29</v>
      </c>
      <c r="N209" t="s">
        <v>81</v>
      </c>
      <c r="O209" t="s">
        <v>517</v>
      </c>
      <c r="P209" s="4">
        <v>1030.44</v>
      </c>
      <c r="Q209" s="8" t="str">
        <f t="shared" si="28"/>
        <v>High</v>
      </c>
      <c r="R209" s="4">
        <v>2562.84</v>
      </c>
      <c r="S209" s="4">
        <v>0.14799999999999999</v>
      </c>
      <c r="T209" s="4">
        <v>13</v>
      </c>
      <c r="U209" s="4">
        <f t="shared" si="24"/>
        <v>4496.5237200000001</v>
      </c>
      <c r="V209">
        <f t="shared" si="25"/>
        <v>13395.720000000001</v>
      </c>
      <c r="W209" s="4">
        <f t="shared" si="29"/>
        <v>-8899.1962800000001</v>
      </c>
      <c r="X209" s="4">
        <f t="shared" si="30"/>
        <v>-1.9791280629561541</v>
      </c>
    </row>
    <row r="210" spans="1:24" x14ac:dyDescent="0.3">
      <c r="A210" t="s">
        <v>518</v>
      </c>
      <c r="B210" s="7">
        <v>45545</v>
      </c>
      <c r="C210" s="2">
        <v>45572</v>
      </c>
      <c r="D210" s="4">
        <f t="shared" si="31"/>
        <v>27</v>
      </c>
      <c r="E210" s="51" t="b">
        <f t="shared" si="26"/>
        <v>0</v>
      </c>
      <c r="F210" s="4" t="str">
        <f>TEXT(Data!B210,"MMM-YYYY")</f>
        <v>Jul-2025</v>
      </c>
      <c r="G210" s="4" t="str">
        <f t="shared" si="27"/>
        <v>Q3-2024</v>
      </c>
      <c r="H210" t="s">
        <v>16</v>
      </c>
      <c r="I210" t="s">
        <v>17</v>
      </c>
      <c r="J210" t="s">
        <v>18</v>
      </c>
      <c r="K210" t="s">
        <v>48</v>
      </c>
      <c r="L210" t="s">
        <v>20</v>
      </c>
      <c r="M210" t="s">
        <v>49</v>
      </c>
      <c r="N210" t="s">
        <v>30</v>
      </c>
      <c r="O210" t="s">
        <v>519</v>
      </c>
      <c r="P210" s="4">
        <v>1248.3900000000001</v>
      </c>
      <c r="Q210" s="8" t="str">
        <f t="shared" si="28"/>
        <v>High</v>
      </c>
      <c r="R210" s="4">
        <v>1805.11</v>
      </c>
      <c r="S210" s="4">
        <v>0.20300000000000001</v>
      </c>
      <c r="T210" s="4">
        <v>11</v>
      </c>
      <c r="U210" s="4">
        <f t="shared" si="24"/>
        <v>13931.376689999999</v>
      </c>
      <c r="V210">
        <f t="shared" si="25"/>
        <v>13732.29</v>
      </c>
      <c r="W210" s="4">
        <f t="shared" si="29"/>
        <v>199.08668999999827</v>
      </c>
      <c r="X210" s="4">
        <f t="shared" si="30"/>
        <v>1.4290525224467122E-2</v>
      </c>
    </row>
    <row r="211" spans="1:24" x14ac:dyDescent="0.3">
      <c r="A211" t="s">
        <v>520</v>
      </c>
      <c r="B211" s="7">
        <v>45859</v>
      </c>
      <c r="C211" s="2">
        <v>45876</v>
      </c>
      <c r="D211" s="4">
        <f t="shared" si="31"/>
        <v>17</v>
      </c>
      <c r="E211" s="51" t="b">
        <f t="shared" si="26"/>
        <v>0</v>
      </c>
      <c r="F211" s="4" t="str">
        <f>TEXT(Data!B211,"MMM-YYYY")</f>
        <v>Oct-2024</v>
      </c>
      <c r="G211" s="4" t="str">
        <f t="shared" si="27"/>
        <v>Q3-2025</v>
      </c>
      <c r="H211" t="s">
        <v>16</v>
      </c>
      <c r="I211" t="s">
        <v>25</v>
      </c>
      <c r="J211" t="s">
        <v>38</v>
      </c>
      <c r="K211" t="s">
        <v>105</v>
      </c>
      <c r="L211" t="s">
        <v>98</v>
      </c>
      <c r="M211" t="s">
        <v>110</v>
      </c>
      <c r="N211" t="s">
        <v>81</v>
      </c>
      <c r="O211" t="s">
        <v>521</v>
      </c>
      <c r="P211" s="4">
        <v>1204.95</v>
      </c>
      <c r="Q211" s="8" t="str">
        <f t="shared" si="28"/>
        <v>High</v>
      </c>
      <c r="R211" s="4">
        <v>2065.73</v>
      </c>
      <c r="S211" s="4">
        <v>0.13600000000000001</v>
      </c>
      <c r="T211" s="4">
        <v>10</v>
      </c>
      <c r="U211" s="4">
        <f t="shared" si="24"/>
        <v>12379.392</v>
      </c>
      <c r="V211">
        <f t="shared" si="25"/>
        <v>12049.5</v>
      </c>
      <c r="W211" s="4">
        <f t="shared" si="29"/>
        <v>329.89199999999983</v>
      </c>
      <c r="X211" s="4">
        <f t="shared" si="30"/>
        <v>2.6648481605558643E-2</v>
      </c>
    </row>
    <row r="212" spans="1:24" x14ac:dyDescent="0.3">
      <c r="A212" t="s">
        <v>522</v>
      </c>
      <c r="B212" s="7">
        <v>45567</v>
      </c>
      <c r="C212" s="2">
        <v>45588</v>
      </c>
      <c r="D212" s="4">
        <f t="shared" si="31"/>
        <v>21</v>
      </c>
      <c r="E212" s="51" t="b">
        <f t="shared" si="26"/>
        <v>0</v>
      </c>
      <c r="F212" s="4" t="str">
        <f>TEXT(Data!B212,"MMM-YYYY")</f>
        <v>Jul-2025</v>
      </c>
      <c r="G212" s="4" t="str">
        <f t="shared" si="27"/>
        <v>Q4-2024</v>
      </c>
      <c r="H212" t="s">
        <v>16</v>
      </c>
      <c r="I212" t="s">
        <v>148</v>
      </c>
      <c r="J212" t="s">
        <v>172</v>
      </c>
      <c r="K212" t="s">
        <v>19</v>
      </c>
      <c r="L212" t="s">
        <v>40</v>
      </c>
      <c r="M212" t="s">
        <v>75</v>
      </c>
      <c r="N212" t="s">
        <v>22</v>
      </c>
      <c r="O212" t="s">
        <v>523</v>
      </c>
      <c r="P212" s="4">
        <v>1095.6099999999999</v>
      </c>
      <c r="Q212" s="8" t="str">
        <f t="shared" si="28"/>
        <v>High</v>
      </c>
      <c r="R212" s="4">
        <v>2366.5100000000002</v>
      </c>
      <c r="S212" s="4">
        <v>0.152</v>
      </c>
      <c r="T212" s="4">
        <v>9</v>
      </c>
      <c r="U212" s="4">
        <f t="shared" si="24"/>
        <v>13476.28032</v>
      </c>
      <c r="V212">
        <f t="shared" si="25"/>
        <v>9860.49</v>
      </c>
      <c r="W212" s="4">
        <f t="shared" si="29"/>
        <v>3615.7903200000001</v>
      </c>
      <c r="X212" s="4">
        <f t="shared" si="30"/>
        <v>0.26830774027710341</v>
      </c>
    </row>
    <row r="213" spans="1:24" x14ac:dyDescent="0.3">
      <c r="A213" t="s">
        <v>524</v>
      </c>
      <c r="B213" s="7">
        <v>45852</v>
      </c>
      <c r="C213" s="2">
        <v>45873</v>
      </c>
      <c r="D213" s="4">
        <f t="shared" si="31"/>
        <v>21</v>
      </c>
      <c r="E213" s="51" t="b">
        <f t="shared" si="26"/>
        <v>0</v>
      </c>
      <c r="F213" s="4" t="str">
        <f>TEXT(Data!B213,"MMM-YYYY")</f>
        <v>Sept-2024</v>
      </c>
      <c r="G213" s="4" t="str">
        <f t="shared" si="27"/>
        <v>Q3-2025</v>
      </c>
      <c r="H213" t="s">
        <v>52</v>
      </c>
      <c r="I213" t="s">
        <v>53</v>
      </c>
      <c r="J213" t="s">
        <v>144</v>
      </c>
      <c r="K213" t="s">
        <v>48</v>
      </c>
      <c r="L213" t="s">
        <v>28</v>
      </c>
      <c r="M213" t="s">
        <v>92</v>
      </c>
      <c r="N213" t="s">
        <v>64</v>
      </c>
      <c r="O213" t="s">
        <v>525</v>
      </c>
      <c r="P213" s="4">
        <v>90.3</v>
      </c>
      <c r="Q213" s="8" t="str">
        <f t="shared" si="28"/>
        <v>Medium</v>
      </c>
      <c r="R213" s="4">
        <v>131.76</v>
      </c>
      <c r="S213" s="4">
        <v>0.10199999999999999</v>
      </c>
      <c r="T213" s="4">
        <v>15</v>
      </c>
      <c r="U213" s="4">
        <f t="shared" si="24"/>
        <v>37144.063799999996</v>
      </c>
      <c r="V213">
        <f t="shared" si="25"/>
        <v>1354.5</v>
      </c>
      <c r="W213" s="4">
        <f t="shared" si="29"/>
        <v>35789.563799999996</v>
      </c>
      <c r="X213" s="4">
        <f t="shared" si="30"/>
        <v>0.96353387697982573</v>
      </c>
    </row>
    <row r="214" spans="1:24" x14ac:dyDescent="0.3">
      <c r="A214" t="s">
        <v>526</v>
      </c>
      <c r="B214" s="7">
        <v>45544</v>
      </c>
      <c r="C214" s="2">
        <v>45566</v>
      </c>
      <c r="D214" s="4">
        <f t="shared" si="31"/>
        <v>22</v>
      </c>
      <c r="E214" s="51" t="b">
        <f t="shared" si="26"/>
        <v>0</v>
      </c>
      <c r="F214" s="4" t="str">
        <f>TEXT(Data!B214,"MMM-YYYY")</f>
        <v>Jan-2025</v>
      </c>
      <c r="G214" s="4" t="str">
        <f t="shared" si="27"/>
        <v>Q3-2024</v>
      </c>
      <c r="H214" t="s">
        <v>45</v>
      </c>
      <c r="I214" t="s">
        <v>116</v>
      </c>
      <c r="J214" t="s">
        <v>117</v>
      </c>
      <c r="K214" t="s">
        <v>48</v>
      </c>
      <c r="L214" t="s">
        <v>98</v>
      </c>
      <c r="M214" t="s">
        <v>49</v>
      </c>
      <c r="N214" t="s">
        <v>30</v>
      </c>
      <c r="O214" t="s">
        <v>527</v>
      </c>
      <c r="P214" s="4">
        <v>1166.18</v>
      </c>
      <c r="Q214" s="8" t="str">
        <f t="shared" si="28"/>
        <v>High</v>
      </c>
      <c r="R214" s="4">
        <v>1335.02</v>
      </c>
      <c r="S214" s="4">
        <v>0.128</v>
      </c>
      <c r="T214" s="4">
        <v>6</v>
      </c>
      <c r="U214" s="4">
        <f t="shared" si="24"/>
        <v>4571.46</v>
      </c>
      <c r="V214">
        <f t="shared" si="25"/>
        <v>6997.08</v>
      </c>
      <c r="W214" s="4">
        <f t="shared" si="29"/>
        <v>-2425.62</v>
      </c>
      <c r="X214" s="4">
        <f t="shared" si="30"/>
        <v>-0.53060072712000106</v>
      </c>
    </row>
    <row r="215" spans="1:24" x14ac:dyDescent="0.3">
      <c r="A215" t="s">
        <v>528</v>
      </c>
      <c r="B215" s="7">
        <v>45686</v>
      </c>
      <c r="C215" s="2">
        <v>45694</v>
      </c>
      <c r="D215" s="4">
        <f t="shared" si="31"/>
        <v>8</v>
      </c>
      <c r="E215" s="51" t="b">
        <f t="shared" si="26"/>
        <v>0</v>
      </c>
      <c r="F215" s="4" t="str">
        <f>TEXT(Data!B215,"MMM-YYYY")</f>
        <v>Nov-2023</v>
      </c>
      <c r="G215" s="4" t="str">
        <f t="shared" si="27"/>
        <v>Q1-2025</v>
      </c>
      <c r="H215" t="s">
        <v>16</v>
      </c>
      <c r="I215" t="s">
        <v>17</v>
      </c>
      <c r="J215" t="s">
        <v>18</v>
      </c>
      <c r="K215" t="s">
        <v>27</v>
      </c>
      <c r="L215" t="s">
        <v>20</v>
      </c>
      <c r="M215" t="s">
        <v>56</v>
      </c>
      <c r="N215" t="s">
        <v>42</v>
      </c>
      <c r="O215" t="s">
        <v>529</v>
      </c>
      <c r="P215" s="4">
        <v>1445.27</v>
      </c>
      <c r="Q215" s="8" t="str">
        <f t="shared" si="28"/>
        <v>High</v>
      </c>
      <c r="R215" s="4">
        <v>2691.45</v>
      </c>
      <c r="S215" s="4">
        <v>0</v>
      </c>
      <c r="T215" s="4">
        <v>9</v>
      </c>
      <c r="U215" s="4">
        <f t="shared" si="24"/>
        <v>2326.6799999999998</v>
      </c>
      <c r="V215">
        <f t="shared" si="25"/>
        <v>13007.43</v>
      </c>
      <c r="W215" s="4">
        <f t="shared" si="29"/>
        <v>-10680.75</v>
      </c>
      <c r="X215" s="4">
        <f t="shared" si="30"/>
        <v>-4.5905539223270928</v>
      </c>
    </row>
    <row r="216" spans="1:24" x14ac:dyDescent="0.3">
      <c r="A216" t="s">
        <v>530</v>
      </c>
      <c r="B216" s="7">
        <v>45240</v>
      </c>
      <c r="C216" s="2">
        <v>45258</v>
      </c>
      <c r="D216" s="4">
        <f t="shared" si="31"/>
        <v>18</v>
      </c>
      <c r="E216" s="51" t="b">
        <f t="shared" si="26"/>
        <v>0</v>
      </c>
      <c r="F216" s="4" t="str">
        <f>TEXT(Data!B216,"MMM-YYYY")</f>
        <v>Feb-2024</v>
      </c>
      <c r="G216" s="4" t="str">
        <f t="shared" si="27"/>
        <v>Q4-2023</v>
      </c>
      <c r="H216" t="s">
        <v>52</v>
      </c>
      <c r="I216" t="s">
        <v>73</v>
      </c>
      <c r="J216" t="s">
        <v>87</v>
      </c>
      <c r="K216" t="s">
        <v>27</v>
      </c>
      <c r="L216" t="s">
        <v>40</v>
      </c>
      <c r="M216" t="s">
        <v>49</v>
      </c>
      <c r="N216" t="s">
        <v>81</v>
      </c>
      <c r="O216" t="s">
        <v>531</v>
      </c>
      <c r="P216" s="4">
        <v>388.51</v>
      </c>
      <c r="Q216" s="8" t="str">
        <f t="shared" si="28"/>
        <v>High</v>
      </c>
      <c r="R216" s="4">
        <v>776.46</v>
      </c>
      <c r="S216" s="4">
        <v>0.157</v>
      </c>
      <c r="T216" s="4">
        <v>12</v>
      </c>
      <c r="U216" s="4">
        <f t="shared" si="24"/>
        <v>6137.98416</v>
      </c>
      <c r="V216">
        <f t="shared" si="25"/>
        <v>4662.12</v>
      </c>
      <c r="W216" s="4">
        <f t="shared" si="29"/>
        <v>1475.8641600000001</v>
      </c>
      <c r="X216" s="4">
        <f t="shared" si="30"/>
        <v>0.24044769773403912</v>
      </c>
    </row>
    <row r="217" spans="1:24" x14ac:dyDescent="0.3">
      <c r="A217" t="s">
        <v>532</v>
      </c>
      <c r="B217" s="7">
        <v>45351</v>
      </c>
      <c r="C217" s="2">
        <v>45381</v>
      </c>
      <c r="D217" s="4">
        <f t="shared" si="31"/>
        <v>1</v>
      </c>
      <c r="E217" s="51" t="str">
        <f t="shared" si="26"/>
        <v>Yes</v>
      </c>
      <c r="F217" s="4" t="str">
        <f>TEXT(Data!B217,"MMM-YYYY")</f>
        <v>Dec-2023</v>
      </c>
      <c r="G217" s="4" t="str">
        <f t="shared" si="27"/>
        <v>Q1-2024</v>
      </c>
      <c r="H217" t="s">
        <v>45</v>
      </c>
      <c r="I217" t="s">
        <v>46</v>
      </c>
      <c r="J217" t="s">
        <v>231</v>
      </c>
      <c r="K217" t="s">
        <v>62</v>
      </c>
      <c r="L217" t="s">
        <v>98</v>
      </c>
      <c r="M217" t="s">
        <v>34</v>
      </c>
      <c r="N217" t="s">
        <v>35</v>
      </c>
      <c r="O217" t="s">
        <v>533</v>
      </c>
      <c r="P217" s="4">
        <v>231.11</v>
      </c>
      <c r="Q217" s="8" t="str">
        <f t="shared" si="28"/>
        <v>High</v>
      </c>
      <c r="R217" s="4">
        <v>318.17</v>
      </c>
      <c r="S217" s="4">
        <v>0.20100000000000001</v>
      </c>
      <c r="T217" s="4">
        <v>60</v>
      </c>
      <c r="U217" s="4">
        <f t="shared" si="24"/>
        <v>64128.8586</v>
      </c>
      <c r="V217">
        <f t="shared" si="25"/>
        <v>13866.6</v>
      </c>
      <c r="W217" s="4">
        <f t="shared" si="29"/>
        <v>50262.258600000001</v>
      </c>
      <c r="X217" s="4">
        <f t="shared" si="30"/>
        <v>0.7837697363913475</v>
      </c>
    </row>
    <row r="218" spans="1:24" x14ac:dyDescent="0.3">
      <c r="A218" t="s">
        <v>534</v>
      </c>
      <c r="B218" s="7">
        <v>45280</v>
      </c>
      <c r="C218" s="2">
        <v>45305</v>
      </c>
      <c r="D218" s="4">
        <f t="shared" si="31"/>
        <v>25</v>
      </c>
      <c r="E218" s="51" t="b">
        <f t="shared" si="26"/>
        <v>0</v>
      </c>
      <c r="F218" s="4" t="str">
        <f>TEXT(Data!B218,"MMM-YYYY")</f>
        <v>Jan-2023</v>
      </c>
      <c r="G218" s="4" t="str">
        <f t="shared" si="27"/>
        <v>Q4-2023</v>
      </c>
      <c r="H218" t="s">
        <v>45</v>
      </c>
      <c r="I218" t="s">
        <v>60</v>
      </c>
      <c r="J218" t="s">
        <v>220</v>
      </c>
      <c r="K218" t="s">
        <v>39</v>
      </c>
      <c r="L218" t="s">
        <v>40</v>
      </c>
      <c r="M218" t="s">
        <v>49</v>
      </c>
      <c r="N218" t="s">
        <v>64</v>
      </c>
      <c r="O218" t="s">
        <v>535</v>
      </c>
      <c r="P218" s="4">
        <v>1085.6099999999999</v>
      </c>
      <c r="Q218" s="8" t="str">
        <f t="shared" si="28"/>
        <v>High</v>
      </c>
      <c r="R218" s="4">
        <v>1246.4100000000001</v>
      </c>
      <c r="S218" s="4">
        <v>0.113</v>
      </c>
      <c r="T218" s="4">
        <v>7</v>
      </c>
      <c r="U218" s="4">
        <f t="shared" si="24"/>
        <v>11133.23372</v>
      </c>
      <c r="V218">
        <f t="shared" si="25"/>
        <v>7599.2699999999995</v>
      </c>
      <c r="W218" s="4">
        <f t="shared" si="29"/>
        <v>3533.9637200000006</v>
      </c>
      <c r="X218" s="4">
        <f t="shared" si="30"/>
        <v>0.31742473111397151</v>
      </c>
    </row>
    <row r="219" spans="1:24" x14ac:dyDescent="0.3">
      <c r="A219" t="s">
        <v>536</v>
      </c>
      <c r="B219" s="7">
        <v>44948</v>
      </c>
      <c r="C219" s="2">
        <v>44947</v>
      </c>
      <c r="D219" s="4">
        <f>DATEDIF(C219,B219, "MD")</f>
        <v>1</v>
      </c>
      <c r="E219" s="51" t="str">
        <f t="shared" si="26"/>
        <v>Yes</v>
      </c>
      <c r="F219" s="4" t="str">
        <f>TEXT(Data!B219,"MMM-YYYY")</f>
        <v>Oct-2024</v>
      </c>
      <c r="G219" s="4" t="str">
        <f t="shared" si="27"/>
        <v>Q1-2023</v>
      </c>
      <c r="H219" t="s">
        <v>78</v>
      </c>
      <c r="I219" t="s">
        <v>79</v>
      </c>
      <c r="J219" t="s">
        <v>159</v>
      </c>
      <c r="K219" t="s">
        <v>19</v>
      </c>
      <c r="L219" t="s">
        <v>98</v>
      </c>
      <c r="M219" t="s">
        <v>84</v>
      </c>
      <c r="N219" t="s">
        <v>64</v>
      </c>
      <c r="O219" t="s">
        <v>537</v>
      </c>
      <c r="P219" s="4">
        <v>150.86000000000001</v>
      </c>
      <c r="Q219" s="8" t="str">
        <f t="shared" si="28"/>
        <v>High</v>
      </c>
      <c r="R219" s="4">
        <v>346.96</v>
      </c>
      <c r="S219" s="4">
        <v>0.19600000000000001</v>
      </c>
      <c r="T219" s="4">
        <v>8</v>
      </c>
      <c r="U219" s="4">
        <f t="shared" si="24"/>
        <v>789.46368000000007</v>
      </c>
      <c r="V219">
        <f t="shared" si="25"/>
        <v>1206.8800000000001</v>
      </c>
      <c r="W219" s="4">
        <f t="shared" si="29"/>
        <v>-417.41632000000004</v>
      </c>
      <c r="X219" s="4">
        <f t="shared" si="30"/>
        <v>-0.52873403878440617</v>
      </c>
    </row>
    <row r="220" spans="1:24" x14ac:dyDescent="0.3">
      <c r="A220" t="s">
        <v>538</v>
      </c>
      <c r="B220" s="7">
        <v>45576</v>
      </c>
      <c r="C220" s="2">
        <v>45605</v>
      </c>
      <c r="D220" s="4">
        <f t="shared" si="31"/>
        <v>29</v>
      </c>
      <c r="E220" s="51" t="b">
        <f t="shared" si="26"/>
        <v>0</v>
      </c>
      <c r="F220" s="4" t="str">
        <f>TEXT(Data!B220,"MMM-YYYY")</f>
        <v>Sept-2024</v>
      </c>
      <c r="G220" s="4" t="str">
        <f t="shared" si="27"/>
        <v>Q4-2024</v>
      </c>
      <c r="H220" t="s">
        <v>45</v>
      </c>
      <c r="I220" t="s">
        <v>116</v>
      </c>
      <c r="J220" t="s">
        <v>162</v>
      </c>
      <c r="K220" t="s">
        <v>39</v>
      </c>
      <c r="L220" t="s">
        <v>28</v>
      </c>
      <c r="M220" t="s">
        <v>84</v>
      </c>
      <c r="N220" t="s">
        <v>30</v>
      </c>
      <c r="O220" t="s">
        <v>539</v>
      </c>
      <c r="P220" s="4">
        <v>391.64</v>
      </c>
      <c r="Q220" s="8" t="str">
        <f t="shared" si="28"/>
        <v>High</v>
      </c>
      <c r="R220" s="4">
        <v>504.76</v>
      </c>
      <c r="S220" s="4">
        <v>4.0000000000000001E-3</v>
      </c>
      <c r="T220" s="4">
        <v>13</v>
      </c>
      <c r="U220" s="4">
        <f t="shared" si="24"/>
        <v>12014.83764</v>
      </c>
      <c r="V220">
        <f t="shared" si="25"/>
        <v>5091.32</v>
      </c>
      <c r="W220" s="4">
        <f t="shared" si="29"/>
        <v>6923.51764</v>
      </c>
      <c r="X220" s="4">
        <f t="shared" si="30"/>
        <v>0.57624729084562143</v>
      </c>
    </row>
    <row r="221" spans="1:24" x14ac:dyDescent="0.3">
      <c r="A221" t="s">
        <v>540</v>
      </c>
      <c r="B221" s="7">
        <v>45554</v>
      </c>
      <c r="C221" s="2">
        <v>45579</v>
      </c>
      <c r="D221" s="4">
        <f t="shared" si="31"/>
        <v>25</v>
      </c>
      <c r="E221" s="51" t="b">
        <f t="shared" si="26"/>
        <v>0</v>
      </c>
      <c r="F221" s="4" t="str">
        <f>TEXT(Data!B221,"MMM-YYYY")</f>
        <v>Aug-2025</v>
      </c>
      <c r="G221" s="4" t="str">
        <f t="shared" si="27"/>
        <v>Q3-2024</v>
      </c>
      <c r="H221" t="s">
        <v>52</v>
      </c>
      <c r="I221" t="s">
        <v>73</v>
      </c>
      <c r="J221" t="s">
        <v>225</v>
      </c>
      <c r="K221" t="s">
        <v>62</v>
      </c>
      <c r="L221" t="s">
        <v>20</v>
      </c>
      <c r="M221" t="s">
        <v>95</v>
      </c>
      <c r="N221" t="s">
        <v>30</v>
      </c>
      <c r="O221" t="s">
        <v>541</v>
      </c>
      <c r="P221" s="4">
        <v>386.96</v>
      </c>
      <c r="Q221" s="8" t="str">
        <f t="shared" si="28"/>
        <v>High</v>
      </c>
      <c r="R221" s="4">
        <v>937.46</v>
      </c>
      <c r="S221" s="4">
        <v>0.26600000000000001</v>
      </c>
      <c r="T221" s="4">
        <v>41</v>
      </c>
      <c r="U221" s="4">
        <f t="shared" si="24"/>
        <v>4570.6767199999995</v>
      </c>
      <c r="V221">
        <f t="shared" si="25"/>
        <v>15865.359999999999</v>
      </c>
      <c r="W221" s="4">
        <f t="shared" si="29"/>
        <v>-11294.683279999999</v>
      </c>
      <c r="X221" s="4">
        <f t="shared" si="30"/>
        <v>-2.4711183861631763</v>
      </c>
    </row>
    <row r="222" spans="1:24" x14ac:dyDescent="0.3">
      <c r="A222" t="s">
        <v>542</v>
      </c>
      <c r="B222" s="7">
        <v>45894</v>
      </c>
      <c r="C222" s="2">
        <v>45924</v>
      </c>
      <c r="D222" s="4">
        <f t="shared" si="31"/>
        <v>30</v>
      </c>
      <c r="E222" s="51" t="b">
        <f t="shared" si="26"/>
        <v>0</v>
      </c>
      <c r="F222" s="4" t="str">
        <f>TEXT(Data!B222,"MMM-YYYY")</f>
        <v>Sept-2023</v>
      </c>
      <c r="G222" s="4" t="str">
        <f t="shared" si="27"/>
        <v>Q3-2025</v>
      </c>
      <c r="H222" t="s">
        <v>16</v>
      </c>
      <c r="I222" t="s">
        <v>17</v>
      </c>
      <c r="J222" t="s">
        <v>33</v>
      </c>
      <c r="K222" t="s">
        <v>48</v>
      </c>
      <c r="L222" t="s">
        <v>98</v>
      </c>
      <c r="M222" t="s">
        <v>56</v>
      </c>
      <c r="N222" t="s">
        <v>22</v>
      </c>
      <c r="O222" t="s">
        <v>543</v>
      </c>
      <c r="P222" s="4">
        <v>589.14</v>
      </c>
      <c r="Q222" s="8" t="str">
        <f t="shared" si="28"/>
        <v>High</v>
      </c>
      <c r="R222" s="4">
        <v>1300.58</v>
      </c>
      <c r="S222" s="4">
        <v>5.5E-2</v>
      </c>
      <c r="T222" s="4">
        <v>11</v>
      </c>
      <c r="U222" s="4">
        <f t="shared" si="24"/>
        <v>22977.108</v>
      </c>
      <c r="V222">
        <f t="shared" si="25"/>
        <v>6480.54</v>
      </c>
      <c r="W222" s="4">
        <f t="shared" si="29"/>
        <v>16496.567999999999</v>
      </c>
      <c r="X222" s="4">
        <f t="shared" si="30"/>
        <v>0.71795667235406646</v>
      </c>
    </row>
    <row r="223" spans="1:24" x14ac:dyDescent="0.3">
      <c r="A223" t="s">
        <v>544</v>
      </c>
      <c r="B223" s="7">
        <v>45194</v>
      </c>
      <c r="C223" s="2">
        <v>45201</v>
      </c>
      <c r="D223" s="4">
        <f t="shared" si="31"/>
        <v>7</v>
      </c>
      <c r="E223" s="51" t="str">
        <f t="shared" si="26"/>
        <v>Yes</v>
      </c>
      <c r="F223" s="4" t="str">
        <f>TEXT(Data!B223,"MMM-YYYY")</f>
        <v>Aug-2023</v>
      </c>
      <c r="G223" s="4" t="str">
        <f t="shared" si="27"/>
        <v>Q3-2023</v>
      </c>
      <c r="H223" t="s">
        <v>52</v>
      </c>
      <c r="I223" t="s">
        <v>122</v>
      </c>
      <c r="J223" t="s">
        <v>387</v>
      </c>
      <c r="K223" t="s">
        <v>27</v>
      </c>
      <c r="L223" t="s">
        <v>40</v>
      </c>
      <c r="M223" t="s">
        <v>34</v>
      </c>
      <c r="N223" t="s">
        <v>81</v>
      </c>
      <c r="O223" t="s">
        <v>545</v>
      </c>
      <c r="P223" s="4">
        <v>145.58000000000001</v>
      </c>
      <c r="Q223" s="8" t="str">
        <f t="shared" si="28"/>
        <v>High</v>
      </c>
      <c r="R223" s="4">
        <v>228.15</v>
      </c>
      <c r="S223" s="4">
        <v>0.20399999999999999</v>
      </c>
      <c r="T223" s="4">
        <v>5</v>
      </c>
      <c r="U223" s="4">
        <f t="shared" si="24"/>
        <v>158.16520000000003</v>
      </c>
      <c r="V223">
        <f t="shared" si="25"/>
        <v>727.90000000000009</v>
      </c>
      <c r="W223" s="4">
        <f t="shared" si="29"/>
        <v>-569.73480000000006</v>
      </c>
      <c r="X223" s="4">
        <f t="shared" si="30"/>
        <v>-3.602150156924532</v>
      </c>
    </row>
    <row r="224" spans="1:24" x14ac:dyDescent="0.3">
      <c r="A224" t="s">
        <v>546</v>
      </c>
      <c r="B224" s="7">
        <v>45164</v>
      </c>
      <c r="C224" s="2">
        <v>45179</v>
      </c>
      <c r="D224" s="4">
        <f t="shared" si="31"/>
        <v>15</v>
      </c>
      <c r="E224" s="51" t="b">
        <f t="shared" si="26"/>
        <v>0</v>
      </c>
      <c r="F224" s="4" t="str">
        <f>TEXT(Data!B224,"MMM-YYYY")</f>
        <v>Jul-2025</v>
      </c>
      <c r="G224" s="4" t="str">
        <f t="shared" si="27"/>
        <v>Q3-2023</v>
      </c>
      <c r="H224" t="s">
        <v>16</v>
      </c>
      <c r="I224" t="s">
        <v>148</v>
      </c>
      <c r="J224" t="s">
        <v>258</v>
      </c>
      <c r="K224" t="s">
        <v>39</v>
      </c>
      <c r="L224" t="s">
        <v>98</v>
      </c>
      <c r="M224" t="s">
        <v>126</v>
      </c>
      <c r="N224" t="s">
        <v>22</v>
      </c>
      <c r="O224" t="s">
        <v>547</v>
      </c>
      <c r="P224" s="4">
        <v>241.14</v>
      </c>
      <c r="Q224" s="8" t="str">
        <f t="shared" si="28"/>
        <v>High</v>
      </c>
      <c r="R224" s="4">
        <v>496.52</v>
      </c>
      <c r="S224" s="4">
        <v>9.2999999999999999E-2</v>
      </c>
      <c r="T224" s="4">
        <v>10</v>
      </c>
      <c r="U224" s="4">
        <f t="shared" si="24"/>
        <v>9151.630000000001</v>
      </c>
      <c r="V224">
        <f t="shared" si="25"/>
        <v>2411.3999999999996</v>
      </c>
      <c r="W224" s="4">
        <f t="shared" si="29"/>
        <v>6740.2300000000014</v>
      </c>
      <c r="X224" s="4">
        <f t="shared" si="30"/>
        <v>0.73650595576962796</v>
      </c>
    </row>
    <row r="225" spans="1:24" x14ac:dyDescent="0.3">
      <c r="A225" t="s">
        <v>548</v>
      </c>
      <c r="B225" s="7">
        <v>45854</v>
      </c>
      <c r="C225" s="2">
        <v>45855</v>
      </c>
      <c r="D225" s="4">
        <f t="shared" si="31"/>
        <v>1</v>
      </c>
      <c r="E225" s="51" t="str">
        <f t="shared" si="26"/>
        <v>Yes</v>
      </c>
      <c r="F225" s="4" t="str">
        <f>TEXT(Data!B225,"MMM-YYYY")</f>
        <v>Apr-2023</v>
      </c>
      <c r="G225" s="4" t="str">
        <f t="shared" si="27"/>
        <v>Q3-2025</v>
      </c>
      <c r="H225" t="s">
        <v>16</v>
      </c>
      <c r="I225" t="s">
        <v>148</v>
      </c>
      <c r="J225" t="s">
        <v>172</v>
      </c>
      <c r="K225" t="s">
        <v>62</v>
      </c>
      <c r="L225" t="s">
        <v>55</v>
      </c>
      <c r="M225" t="s">
        <v>56</v>
      </c>
      <c r="N225" t="s">
        <v>35</v>
      </c>
      <c r="O225" t="s">
        <v>549</v>
      </c>
      <c r="P225" s="4">
        <v>1198.9000000000001</v>
      </c>
      <c r="Q225" s="8" t="str">
        <f t="shared" si="28"/>
        <v>High</v>
      </c>
      <c r="R225" s="4">
        <v>2941.2</v>
      </c>
      <c r="S225" s="4">
        <v>5.0999999999999997E-2</v>
      </c>
      <c r="T225" s="4">
        <v>24</v>
      </c>
      <c r="U225" s="4">
        <f t="shared" si="24"/>
        <v>37663.304640000002</v>
      </c>
      <c r="V225">
        <f t="shared" si="25"/>
        <v>28773.600000000002</v>
      </c>
      <c r="W225" s="4">
        <f t="shared" si="29"/>
        <v>8889.7046399999999</v>
      </c>
      <c r="X225" s="4">
        <f t="shared" si="30"/>
        <v>0.23603092519286697</v>
      </c>
    </row>
    <row r="226" spans="1:24" x14ac:dyDescent="0.3">
      <c r="A226" t="s">
        <v>550</v>
      </c>
      <c r="B226" s="7">
        <v>45035</v>
      </c>
      <c r="C226" s="2">
        <v>45053</v>
      </c>
      <c r="D226" s="4">
        <f t="shared" si="31"/>
        <v>18</v>
      </c>
      <c r="E226" s="51" t="b">
        <f t="shared" si="26"/>
        <v>0</v>
      </c>
      <c r="F226" s="4" t="str">
        <f>TEXT(Data!B226,"MMM-YYYY")</f>
        <v>Dec-2023</v>
      </c>
      <c r="G226" s="4" t="str">
        <f t="shared" si="27"/>
        <v>Q2-2023</v>
      </c>
      <c r="H226" t="s">
        <v>78</v>
      </c>
      <c r="I226" t="s">
        <v>108</v>
      </c>
      <c r="J226" t="s">
        <v>109</v>
      </c>
      <c r="K226" t="s">
        <v>105</v>
      </c>
      <c r="L226" t="s">
        <v>20</v>
      </c>
      <c r="M226" t="s">
        <v>126</v>
      </c>
      <c r="N226" t="s">
        <v>57</v>
      </c>
      <c r="O226" t="s">
        <v>551</v>
      </c>
      <c r="P226" s="4">
        <v>1089.1500000000001</v>
      </c>
      <c r="Q226" s="8" t="str">
        <f t="shared" si="28"/>
        <v>High</v>
      </c>
      <c r="R226" s="4">
        <v>1088.2</v>
      </c>
      <c r="S226" s="4">
        <v>5.0999999999999997E-2</v>
      </c>
      <c r="T226" s="4">
        <v>15</v>
      </c>
      <c r="U226" s="4">
        <f t="shared" si="24"/>
        <v>14458.4895</v>
      </c>
      <c r="V226">
        <f t="shared" si="25"/>
        <v>16337.250000000002</v>
      </c>
      <c r="W226" s="4">
        <f t="shared" si="29"/>
        <v>-1878.7605000000021</v>
      </c>
      <c r="X226" s="4">
        <f t="shared" si="30"/>
        <v>-0.12994168581718044</v>
      </c>
    </row>
    <row r="227" spans="1:24" x14ac:dyDescent="0.3">
      <c r="A227" t="s">
        <v>552</v>
      </c>
      <c r="B227" s="7">
        <v>45279</v>
      </c>
      <c r="C227" s="2">
        <v>45280</v>
      </c>
      <c r="D227" s="4">
        <f t="shared" si="31"/>
        <v>1</v>
      </c>
      <c r="E227" s="51" t="str">
        <f t="shared" si="26"/>
        <v>Yes</v>
      </c>
      <c r="F227" s="4" t="str">
        <f>TEXT(Data!B227,"MMM-YYYY")</f>
        <v>Jul-2023</v>
      </c>
      <c r="G227" s="4" t="str">
        <f t="shared" si="27"/>
        <v>Q4-2023</v>
      </c>
      <c r="H227" t="s">
        <v>52</v>
      </c>
      <c r="I227" t="s">
        <v>73</v>
      </c>
      <c r="J227" t="s">
        <v>225</v>
      </c>
      <c r="K227" t="s">
        <v>48</v>
      </c>
      <c r="L227" t="s">
        <v>55</v>
      </c>
      <c r="M227" t="s">
        <v>29</v>
      </c>
      <c r="N227" t="s">
        <v>42</v>
      </c>
      <c r="O227" t="s">
        <v>553</v>
      </c>
      <c r="P227" s="4">
        <v>1080.43</v>
      </c>
      <c r="Q227" s="8" t="str">
        <f t="shared" si="28"/>
        <v>High</v>
      </c>
      <c r="R227" s="4">
        <v>2529.15</v>
      </c>
      <c r="S227" s="4">
        <v>0.14699999999999999</v>
      </c>
      <c r="T227" s="4">
        <v>10</v>
      </c>
      <c r="U227" s="4">
        <f t="shared" si="24"/>
        <v>7783.1984999999995</v>
      </c>
      <c r="V227">
        <f t="shared" si="25"/>
        <v>10804.300000000001</v>
      </c>
      <c r="W227" s="4">
        <f t="shared" si="29"/>
        <v>-3021.1015000000016</v>
      </c>
      <c r="X227" s="4">
        <f t="shared" si="30"/>
        <v>-0.38815680982567796</v>
      </c>
    </row>
    <row r="228" spans="1:24" x14ac:dyDescent="0.3">
      <c r="A228" t="s">
        <v>554</v>
      </c>
      <c r="B228" s="7">
        <v>45137</v>
      </c>
      <c r="C228" s="2">
        <v>45145</v>
      </c>
      <c r="D228" s="4">
        <f t="shared" si="31"/>
        <v>8</v>
      </c>
      <c r="E228" s="51" t="b">
        <f t="shared" si="26"/>
        <v>0</v>
      </c>
      <c r="F228" s="4" t="str">
        <f>TEXT(Data!B228,"MMM-YYYY")</f>
        <v>Oct-2023</v>
      </c>
      <c r="G228" s="4" t="str">
        <f t="shared" si="27"/>
        <v>Q3-2023</v>
      </c>
      <c r="H228" t="s">
        <v>45</v>
      </c>
      <c r="I228" t="s">
        <v>46</v>
      </c>
      <c r="J228" t="s">
        <v>231</v>
      </c>
      <c r="K228" t="s">
        <v>27</v>
      </c>
      <c r="L228" t="s">
        <v>40</v>
      </c>
      <c r="M228" t="s">
        <v>75</v>
      </c>
      <c r="N228" t="s">
        <v>35</v>
      </c>
      <c r="O228" t="s">
        <v>555</v>
      </c>
      <c r="P228" s="4">
        <v>1352.44</v>
      </c>
      <c r="Q228" s="8" t="str">
        <f t="shared" si="28"/>
        <v>High</v>
      </c>
      <c r="R228" s="4">
        <v>2698.01</v>
      </c>
      <c r="S228" s="4">
        <v>0.13100000000000001</v>
      </c>
      <c r="T228" s="4">
        <v>13</v>
      </c>
      <c r="U228" s="4">
        <f t="shared" si="24"/>
        <v>9209.201430000001</v>
      </c>
      <c r="V228">
        <f t="shared" si="25"/>
        <v>17581.72</v>
      </c>
      <c r="W228" s="4">
        <f t="shared" si="29"/>
        <v>-8372.5185700000002</v>
      </c>
      <c r="X228" s="4">
        <f t="shared" si="30"/>
        <v>-0.90914707791335603</v>
      </c>
    </row>
    <row r="229" spans="1:24" x14ac:dyDescent="0.3">
      <c r="A229" t="s">
        <v>556</v>
      </c>
      <c r="B229" s="7">
        <v>45203</v>
      </c>
      <c r="C229" s="2">
        <v>45228</v>
      </c>
      <c r="D229" s="4">
        <f t="shared" si="31"/>
        <v>25</v>
      </c>
      <c r="E229" s="51" t="b">
        <f t="shared" si="26"/>
        <v>0</v>
      </c>
      <c r="F229" s="4" t="str">
        <f>TEXT(Data!B229,"MMM-YYYY")</f>
        <v>Aug-2025</v>
      </c>
      <c r="G229" s="4" t="str">
        <f t="shared" si="27"/>
        <v>Q4-2023</v>
      </c>
      <c r="H229" t="s">
        <v>52</v>
      </c>
      <c r="I229" t="s">
        <v>122</v>
      </c>
      <c r="J229" t="s">
        <v>167</v>
      </c>
      <c r="K229" t="s">
        <v>62</v>
      </c>
      <c r="L229" t="s">
        <v>55</v>
      </c>
      <c r="M229" t="s">
        <v>68</v>
      </c>
      <c r="N229" t="s">
        <v>81</v>
      </c>
      <c r="O229" t="s">
        <v>557</v>
      </c>
      <c r="P229" s="4">
        <v>1239.8399999999999</v>
      </c>
      <c r="Q229" s="8" t="str">
        <f t="shared" si="28"/>
        <v>High</v>
      </c>
      <c r="R229" s="4">
        <v>1482.75</v>
      </c>
      <c r="S229" s="4">
        <v>6.7000000000000004E-2</v>
      </c>
      <c r="T229" s="4">
        <v>4</v>
      </c>
      <c r="U229" s="4">
        <f t="shared" si="24"/>
        <v>6770.0719200000003</v>
      </c>
      <c r="V229">
        <f t="shared" si="25"/>
        <v>4959.3599999999997</v>
      </c>
      <c r="W229" s="4">
        <f t="shared" si="29"/>
        <v>1810.7119200000006</v>
      </c>
      <c r="X229" s="4">
        <f t="shared" si="30"/>
        <v>0.26745829902498297</v>
      </c>
    </row>
    <row r="230" spans="1:24" x14ac:dyDescent="0.3">
      <c r="A230" t="s">
        <v>558</v>
      </c>
      <c r="B230" s="7">
        <v>45879</v>
      </c>
      <c r="C230" s="2">
        <v>45899</v>
      </c>
      <c r="D230" s="4">
        <f t="shared" si="31"/>
        <v>20</v>
      </c>
      <c r="E230" s="51" t="b">
        <f t="shared" si="26"/>
        <v>0</v>
      </c>
      <c r="F230" s="4" t="str">
        <f>TEXT(Data!B230,"MMM-YYYY")</f>
        <v>Mar-2023</v>
      </c>
      <c r="G230" s="4" t="str">
        <f t="shared" si="27"/>
        <v>Q3-2025</v>
      </c>
      <c r="H230" t="s">
        <v>52</v>
      </c>
      <c r="I230" t="s">
        <v>122</v>
      </c>
      <c r="J230" t="s">
        <v>167</v>
      </c>
      <c r="K230" t="s">
        <v>19</v>
      </c>
      <c r="L230" t="s">
        <v>40</v>
      </c>
      <c r="M230" t="s">
        <v>95</v>
      </c>
      <c r="N230" t="s">
        <v>30</v>
      </c>
      <c r="O230" t="s">
        <v>559</v>
      </c>
      <c r="P230" s="4">
        <v>933.29</v>
      </c>
      <c r="Q230" s="8" t="str">
        <f t="shared" si="28"/>
        <v>High</v>
      </c>
      <c r="R230" s="4">
        <v>1456.81</v>
      </c>
      <c r="S230" s="4">
        <v>0.123</v>
      </c>
      <c r="T230" s="4">
        <v>13</v>
      </c>
      <c r="U230" s="4">
        <f t="shared" si="24"/>
        <v>8652.4469199999985</v>
      </c>
      <c r="V230">
        <f t="shared" si="25"/>
        <v>12132.77</v>
      </c>
      <c r="W230" s="4">
        <f t="shared" si="29"/>
        <v>-3480.3230800000019</v>
      </c>
      <c r="X230" s="4">
        <f t="shared" si="30"/>
        <v>-0.4022357042093247</v>
      </c>
    </row>
    <row r="231" spans="1:24" x14ac:dyDescent="0.3">
      <c r="A231" t="s">
        <v>560</v>
      </c>
      <c r="B231" s="7">
        <v>44992</v>
      </c>
      <c r="C231" s="2">
        <v>45017</v>
      </c>
      <c r="D231" s="4">
        <f t="shared" si="31"/>
        <v>25</v>
      </c>
      <c r="E231" s="51" t="b">
        <f t="shared" si="26"/>
        <v>0</v>
      </c>
      <c r="F231" s="4" t="str">
        <f>TEXT(Data!B231,"MMM-YYYY")</f>
        <v>May-2023</v>
      </c>
      <c r="G231" s="4" t="str">
        <f t="shared" si="27"/>
        <v>Q1-2023</v>
      </c>
      <c r="H231" t="s">
        <v>16</v>
      </c>
      <c r="I231" t="s">
        <v>17</v>
      </c>
      <c r="J231" t="s">
        <v>33</v>
      </c>
      <c r="K231" t="s">
        <v>48</v>
      </c>
      <c r="L231" t="s">
        <v>40</v>
      </c>
      <c r="M231" t="s">
        <v>145</v>
      </c>
      <c r="N231" t="s">
        <v>30</v>
      </c>
      <c r="O231" t="s">
        <v>561</v>
      </c>
      <c r="P231" s="4">
        <v>1024.0999999999999</v>
      </c>
      <c r="Q231" s="8" t="str">
        <f t="shared" si="28"/>
        <v>High</v>
      </c>
      <c r="R231" s="4">
        <v>918.19</v>
      </c>
      <c r="S231" s="4">
        <v>0.189</v>
      </c>
      <c r="T231" s="4">
        <v>10</v>
      </c>
      <c r="U231" s="4">
        <f t="shared" si="24"/>
        <v>13522.938400000001</v>
      </c>
      <c r="V231">
        <f t="shared" si="25"/>
        <v>10241</v>
      </c>
      <c r="W231" s="4">
        <f t="shared" si="29"/>
        <v>3281.9384000000009</v>
      </c>
      <c r="X231" s="4">
        <f t="shared" si="30"/>
        <v>0.24269417658517181</v>
      </c>
    </row>
    <row r="232" spans="1:24" x14ac:dyDescent="0.3">
      <c r="A232" t="s">
        <v>562</v>
      </c>
      <c r="B232" s="7">
        <v>45069</v>
      </c>
      <c r="C232" s="2">
        <v>45087</v>
      </c>
      <c r="D232" s="4">
        <f t="shared" si="31"/>
        <v>18</v>
      </c>
      <c r="E232" s="51" t="b">
        <f t="shared" si="26"/>
        <v>0</v>
      </c>
      <c r="F232" s="4" t="str">
        <f>TEXT(Data!B232,"MMM-YYYY")</f>
        <v>Apr-2025</v>
      </c>
      <c r="G232" s="4" t="str">
        <f t="shared" si="27"/>
        <v>Q2-2023</v>
      </c>
      <c r="H232" t="s">
        <v>45</v>
      </c>
      <c r="I232" t="s">
        <v>116</v>
      </c>
      <c r="J232" t="s">
        <v>162</v>
      </c>
      <c r="K232" t="s">
        <v>19</v>
      </c>
      <c r="L232" t="s">
        <v>55</v>
      </c>
      <c r="M232" t="s">
        <v>63</v>
      </c>
      <c r="N232" t="s">
        <v>22</v>
      </c>
      <c r="O232" t="s">
        <v>563</v>
      </c>
      <c r="P232" s="4">
        <v>54.62</v>
      </c>
      <c r="Q232" s="8" t="str">
        <f t="shared" si="28"/>
        <v>Low</v>
      </c>
      <c r="R232" s="4">
        <v>48.94</v>
      </c>
      <c r="S232" s="4">
        <v>0.14799999999999999</v>
      </c>
      <c r="T232" s="4">
        <v>16</v>
      </c>
      <c r="U232" s="4">
        <f t="shared" si="24"/>
        <v>34932.681600000004</v>
      </c>
      <c r="V232">
        <f t="shared" si="25"/>
        <v>873.92</v>
      </c>
      <c r="W232" s="4">
        <f t="shared" si="29"/>
        <v>34058.761600000005</v>
      </c>
      <c r="X232" s="4">
        <f t="shared" si="30"/>
        <v>0.9749827393726338</v>
      </c>
    </row>
    <row r="233" spans="1:24" x14ac:dyDescent="0.3">
      <c r="A233" t="s">
        <v>564</v>
      </c>
      <c r="B233" s="7">
        <v>45771</v>
      </c>
      <c r="C233" s="2">
        <v>45783</v>
      </c>
      <c r="D233" s="4">
        <f t="shared" si="31"/>
        <v>12</v>
      </c>
      <c r="E233" s="51" t="b">
        <f t="shared" si="26"/>
        <v>0</v>
      </c>
      <c r="F233" s="4" t="str">
        <f>TEXT(Data!B233,"MMM-YYYY")</f>
        <v>Sept-2024</v>
      </c>
      <c r="G233" s="4" t="str">
        <f t="shared" si="27"/>
        <v>Q2-2025</v>
      </c>
      <c r="H233" t="s">
        <v>52</v>
      </c>
      <c r="I233" t="s">
        <v>73</v>
      </c>
      <c r="J233" t="s">
        <v>87</v>
      </c>
      <c r="K233" t="s">
        <v>48</v>
      </c>
      <c r="L233" t="s">
        <v>28</v>
      </c>
      <c r="M233" t="s">
        <v>21</v>
      </c>
      <c r="N233" t="s">
        <v>42</v>
      </c>
      <c r="O233" t="s">
        <v>565</v>
      </c>
      <c r="P233" s="4">
        <v>394.13</v>
      </c>
      <c r="Q233" s="8" t="str">
        <f t="shared" si="28"/>
        <v>High</v>
      </c>
      <c r="R233" s="4">
        <v>932.29</v>
      </c>
      <c r="S233" s="4">
        <v>0.109</v>
      </c>
      <c r="T233" s="4">
        <v>7</v>
      </c>
      <c r="U233" s="4">
        <f t="shared" si="24"/>
        <v>4648.9350599999998</v>
      </c>
      <c r="V233">
        <f t="shared" si="25"/>
        <v>2758.91</v>
      </c>
      <c r="W233" s="4">
        <f t="shared" si="29"/>
        <v>1890.0250599999999</v>
      </c>
      <c r="X233" s="4">
        <f t="shared" si="30"/>
        <v>0.40655010999443819</v>
      </c>
    </row>
    <row r="234" spans="1:24" x14ac:dyDescent="0.3">
      <c r="A234" t="s">
        <v>566</v>
      </c>
      <c r="B234" s="7">
        <v>45538</v>
      </c>
      <c r="C234" s="2">
        <v>45543</v>
      </c>
      <c r="D234" s="4">
        <f t="shared" si="31"/>
        <v>5</v>
      </c>
      <c r="E234" s="51" t="str">
        <f t="shared" si="26"/>
        <v>Yes</v>
      </c>
      <c r="F234" s="4" t="str">
        <f>TEXT(Data!B234,"MMM-YYYY")</f>
        <v>Sept-2024</v>
      </c>
      <c r="G234" s="4" t="str">
        <f t="shared" si="27"/>
        <v>Q3-2024</v>
      </c>
      <c r="H234" t="s">
        <v>16</v>
      </c>
      <c r="I234" t="s">
        <v>25</v>
      </c>
      <c r="J234" t="s">
        <v>38</v>
      </c>
      <c r="K234" t="s">
        <v>62</v>
      </c>
      <c r="L234" t="s">
        <v>98</v>
      </c>
      <c r="M234" t="s">
        <v>95</v>
      </c>
      <c r="N234" t="s">
        <v>30</v>
      </c>
      <c r="O234" t="s">
        <v>567</v>
      </c>
      <c r="P234" s="4">
        <v>197.63</v>
      </c>
      <c r="Q234" s="8" t="str">
        <f t="shared" si="28"/>
        <v>High</v>
      </c>
      <c r="R234" s="4">
        <v>325.79000000000002</v>
      </c>
      <c r="S234" s="4">
        <v>0.11600000000000001</v>
      </c>
      <c r="T234" s="4">
        <v>10</v>
      </c>
      <c r="U234" s="4">
        <f t="shared" si="24"/>
        <v>6081.4780000000001</v>
      </c>
      <c r="V234">
        <f t="shared" si="25"/>
        <v>1976.3</v>
      </c>
      <c r="W234" s="4">
        <f t="shared" si="29"/>
        <v>4105.1779999999999</v>
      </c>
      <c r="X234" s="4">
        <f t="shared" si="30"/>
        <v>0.67502965561990025</v>
      </c>
    </row>
    <row r="235" spans="1:24" x14ac:dyDescent="0.3">
      <c r="A235" t="s">
        <v>568</v>
      </c>
      <c r="B235" s="7">
        <v>45540</v>
      </c>
      <c r="C235" s="2">
        <v>45560</v>
      </c>
      <c r="D235" s="4">
        <f t="shared" si="31"/>
        <v>20</v>
      </c>
      <c r="E235" s="51" t="b">
        <f t="shared" si="26"/>
        <v>0</v>
      </c>
      <c r="F235" s="4" t="str">
        <f>TEXT(Data!B235,"MMM-YYYY")</f>
        <v>Mar-2023</v>
      </c>
      <c r="G235" s="4" t="str">
        <f t="shared" si="27"/>
        <v>Q3-2024</v>
      </c>
      <c r="H235" t="s">
        <v>45</v>
      </c>
      <c r="I235" t="s">
        <v>46</v>
      </c>
      <c r="J235" t="s">
        <v>47</v>
      </c>
      <c r="K235" t="s">
        <v>105</v>
      </c>
      <c r="L235" t="s">
        <v>55</v>
      </c>
      <c r="M235" t="s">
        <v>145</v>
      </c>
      <c r="N235" t="s">
        <v>64</v>
      </c>
      <c r="O235" t="s">
        <v>569</v>
      </c>
      <c r="P235" s="4">
        <v>195.54</v>
      </c>
      <c r="Q235" s="8" t="str">
        <f t="shared" si="28"/>
        <v>High</v>
      </c>
      <c r="R235" s="4">
        <v>405.97</v>
      </c>
      <c r="S235" s="4">
        <v>0.187</v>
      </c>
      <c r="T235" s="4">
        <v>16</v>
      </c>
      <c r="U235" s="4">
        <f t="shared" si="24"/>
        <v>7155.3105599999999</v>
      </c>
      <c r="V235">
        <f t="shared" si="25"/>
        <v>3128.64</v>
      </c>
      <c r="W235" s="4">
        <f t="shared" si="29"/>
        <v>4026.67056</v>
      </c>
      <c r="X235" s="4">
        <f t="shared" si="30"/>
        <v>0.56275273116866642</v>
      </c>
    </row>
    <row r="236" spans="1:24" x14ac:dyDescent="0.3">
      <c r="A236" t="s">
        <v>570</v>
      </c>
      <c r="B236" s="7">
        <v>44999</v>
      </c>
      <c r="C236" s="2">
        <v>45015</v>
      </c>
      <c r="D236" s="4">
        <f t="shared" si="31"/>
        <v>16</v>
      </c>
      <c r="E236" s="51" t="b">
        <f t="shared" si="26"/>
        <v>0</v>
      </c>
      <c r="F236" s="4" t="str">
        <f>TEXT(Data!B236,"MMM-YYYY")</f>
        <v>Jan-2024</v>
      </c>
      <c r="G236" s="4" t="str">
        <f t="shared" si="27"/>
        <v>Q1-2023</v>
      </c>
      <c r="H236" t="s">
        <v>16</v>
      </c>
      <c r="I236" t="s">
        <v>148</v>
      </c>
      <c r="J236" t="s">
        <v>258</v>
      </c>
      <c r="K236" t="s">
        <v>48</v>
      </c>
      <c r="L236" t="s">
        <v>55</v>
      </c>
      <c r="M236" t="s">
        <v>95</v>
      </c>
      <c r="N236" t="s">
        <v>22</v>
      </c>
      <c r="O236" t="s">
        <v>571</v>
      </c>
      <c r="P236" s="4">
        <v>1309.77</v>
      </c>
      <c r="Q236" s="8" t="str">
        <f t="shared" si="28"/>
        <v>High</v>
      </c>
      <c r="R236" s="4">
        <v>1589.07</v>
      </c>
      <c r="S236" s="4">
        <v>0.10199999999999999</v>
      </c>
      <c r="T236" s="4">
        <v>10</v>
      </c>
      <c r="U236" s="4">
        <f t="shared" si="24"/>
        <v>18572.525799999999</v>
      </c>
      <c r="V236">
        <f t="shared" si="25"/>
        <v>13097.7</v>
      </c>
      <c r="W236" s="4">
        <f t="shared" si="29"/>
        <v>5474.8257999999987</v>
      </c>
      <c r="X236" s="4">
        <f t="shared" si="30"/>
        <v>0.29478089619883574</v>
      </c>
    </row>
    <row r="237" spans="1:24" x14ac:dyDescent="0.3">
      <c r="A237" t="s">
        <v>572</v>
      </c>
      <c r="B237" s="7">
        <v>45302</v>
      </c>
      <c r="C237" s="2">
        <v>45324</v>
      </c>
      <c r="D237" s="4">
        <f t="shared" si="31"/>
        <v>22</v>
      </c>
      <c r="E237" s="51" t="b">
        <f t="shared" si="26"/>
        <v>0</v>
      </c>
      <c r="F237" s="4" t="str">
        <f>TEXT(Data!B237,"MMM-YYYY")</f>
        <v>Sept-2024</v>
      </c>
      <c r="G237" s="4" t="str">
        <f t="shared" si="27"/>
        <v>Q1-2024</v>
      </c>
      <c r="H237" t="s">
        <v>45</v>
      </c>
      <c r="I237" t="s">
        <v>46</v>
      </c>
      <c r="J237" t="s">
        <v>231</v>
      </c>
      <c r="K237" t="s">
        <v>62</v>
      </c>
      <c r="L237" t="s">
        <v>28</v>
      </c>
      <c r="M237" t="s">
        <v>1364</v>
      </c>
      <c r="N237" t="s">
        <v>30</v>
      </c>
      <c r="O237" t="s">
        <v>573</v>
      </c>
      <c r="P237" s="4">
        <v>1237.68</v>
      </c>
      <c r="Q237" s="8" t="str">
        <f t="shared" si="28"/>
        <v>High</v>
      </c>
      <c r="R237" s="4">
        <v>1432.8</v>
      </c>
      <c r="S237" s="4">
        <v>6.8000000000000005E-2</v>
      </c>
      <c r="T237" s="4">
        <v>13</v>
      </c>
      <c r="U237" s="4">
        <f t="shared" si="24"/>
        <v>31218.691400000003</v>
      </c>
      <c r="V237">
        <f t="shared" si="25"/>
        <v>16089.84</v>
      </c>
      <c r="W237" s="4">
        <f t="shared" si="29"/>
        <v>15128.851400000003</v>
      </c>
      <c r="X237" s="4">
        <f t="shared" si="30"/>
        <v>0.48460876230065175</v>
      </c>
    </row>
    <row r="238" spans="1:24" x14ac:dyDescent="0.3">
      <c r="A238" t="s">
        <v>574</v>
      </c>
      <c r="B238" s="7">
        <v>45548</v>
      </c>
      <c r="C238" s="2">
        <v>45567</v>
      </c>
      <c r="D238" s="4">
        <f t="shared" si="31"/>
        <v>19</v>
      </c>
      <c r="E238" s="51" t="b">
        <f t="shared" si="26"/>
        <v>0</v>
      </c>
      <c r="F238" s="4" t="str">
        <f>TEXT(Data!B238,"MMM-YYYY")</f>
        <v>Jul-2025</v>
      </c>
      <c r="G238" s="4" t="str">
        <f t="shared" si="27"/>
        <v>Q3-2024</v>
      </c>
      <c r="H238" t="s">
        <v>16</v>
      </c>
      <c r="I238" t="s">
        <v>17</v>
      </c>
      <c r="J238" t="s">
        <v>113</v>
      </c>
      <c r="K238" t="s">
        <v>62</v>
      </c>
      <c r="L238" t="s">
        <v>20</v>
      </c>
      <c r="M238" t="s">
        <v>110</v>
      </c>
      <c r="N238" t="s">
        <v>42</v>
      </c>
      <c r="O238" t="s">
        <v>575</v>
      </c>
      <c r="P238" s="4">
        <v>1338.99</v>
      </c>
      <c r="Q238" s="8" t="str">
        <f t="shared" si="28"/>
        <v>High</v>
      </c>
      <c r="R238" s="4">
        <v>1765.76</v>
      </c>
      <c r="S238" s="4">
        <v>0.126</v>
      </c>
      <c r="T238" s="4">
        <v>24</v>
      </c>
      <c r="U238" s="4">
        <f t="shared" si="24"/>
        <v>21901.880639999999</v>
      </c>
      <c r="V238">
        <f t="shared" si="25"/>
        <v>32135.760000000002</v>
      </c>
      <c r="W238" s="4">
        <f t="shared" si="29"/>
        <v>-10233.879360000003</v>
      </c>
      <c r="X238" s="4">
        <f t="shared" si="30"/>
        <v>-0.46726030189889678</v>
      </c>
    </row>
    <row r="239" spans="1:24" x14ac:dyDescent="0.3">
      <c r="A239" t="s">
        <v>576</v>
      </c>
      <c r="B239" s="7">
        <v>45855</v>
      </c>
      <c r="C239" s="2">
        <v>45861</v>
      </c>
      <c r="D239" s="4">
        <f t="shared" si="31"/>
        <v>6</v>
      </c>
      <c r="E239" s="51" t="str">
        <f t="shared" si="26"/>
        <v>Yes</v>
      </c>
      <c r="F239" s="4" t="str">
        <f>TEXT(Data!B239,"MMM-YYYY")</f>
        <v>Nov-2023</v>
      </c>
      <c r="G239" s="4" t="str">
        <f t="shared" si="27"/>
        <v>Q3-2025</v>
      </c>
      <c r="H239" t="s">
        <v>52</v>
      </c>
      <c r="I239" t="s">
        <v>53</v>
      </c>
      <c r="J239" t="s">
        <v>179</v>
      </c>
      <c r="K239" t="s">
        <v>48</v>
      </c>
      <c r="L239" t="s">
        <v>28</v>
      </c>
      <c r="M239" t="s">
        <v>92</v>
      </c>
      <c r="N239" t="s">
        <v>22</v>
      </c>
      <c r="O239" t="s">
        <v>577</v>
      </c>
      <c r="P239" s="4">
        <v>1364.89</v>
      </c>
      <c r="Q239" s="8" t="str">
        <f t="shared" si="28"/>
        <v>High</v>
      </c>
      <c r="R239" s="4">
        <v>2757.54</v>
      </c>
      <c r="S239" s="4">
        <v>0.17199999999999999</v>
      </c>
      <c r="T239" s="4">
        <v>61</v>
      </c>
      <c r="U239" s="4">
        <f t="shared" si="24"/>
        <v>5002.3123200000009</v>
      </c>
      <c r="V239">
        <f t="shared" si="25"/>
        <v>83258.290000000008</v>
      </c>
      <c r="W239" s="4">
        <f t="shared" si="29"/>
        <v>-78255.977680000011</v>
      </c>
      <c r="X239" s="4">
        <f t="shared" si="30"/>
        <v>-15.643960767327698</v>
      </c>
    </row>
    <row r="240" spans="1:24" x14ac:dyDescent="0.3">
      <c r="A240" t="s">
        <v>578</v>
      </c>
      <c r="B240" s="7">
        <v>45258</v>
      </c>
      <c r="C240" s="2">
        <v>45267</v>
      </c>
      <c r="D240" s="4">
        <f t="shared" si="31"/>
        <v>9</v>
      </c>
      <c r="E240" s="51" t="b">
        <f t="shared" si="26"/>
        <v>0</v>
      </c>
      <c r="F240" s="4" t="str">
        <f>TEXT(Data!B240,"MMM-YYYY")</f>
        <v>Mar-2024</v>
      </c>
      <c r="G240" s="4" t="str">
        <f t="shared" si="27"/>
        <v>Q4-2023</v>
      </c>
      <c r="H240" t="s">
        <v>45</v>
      </c>
      <c r="I240" t="s">
        <v>60</v>
      </c>
      <c r="J240" t="s">
        <v>141</v>
      </c>
      <c r="K240" t="s">
        <v>105</v>
      </c>
      <c r="L240" t="s">
        <v>40</v>
      </c>
      <c r="M240" t="s">
        <v>49</v>
      </c>
      <c r="N240" t="s">
        <v>42</v>
      </c>
      <c r="O240" t="s">
        <v>579</v>
      </c>
      <c r="P240" s="4">
        <v>699.33</v>
      </c>
      <c r="Q240" s="8" t="str">
        <f t="shared" si="28"/>
        <v>High</v>
      </c>
      <c r="R240" s="4">
        <v>873.75</v>
      </c>
      <c r="S240" s="4">
        <v>0.23499999999999999</v>
      </c>
      <c r="T240" s="4">
        <v>10</v>
      </c>
      <c r="U240" s="4">
        <f t="shared" si="24"/>
        <v>15275.5965</v>
      </c>
      <c r="V240">
        <f t="shared" si="25"/>
        <v>6993.3</v>
      </c>
      <c r="W240" s="4">
        <f t="shared" si="29"/>
        <v>8282.2965000000004</v>
      </c>
      <c r="X240" s="4">
        <f t="shared" si="30"/>
        <v>0.5421913638527962</v>
      </c>
    </row>
    <row r="241" spans="1:24" x14ac:dyDescent="0.3">
      <c r="A241" t="s">
        <v>580</v>
      </c>
      <c r="B241" s="7">
        <v>45381</v>
      </c>
      <c r="C241" s="2">
        <v>45406</v>
      </c>
      <c r="D241" s="4">
        <f t="shared" si="31"/>
        <v>25</v>
      </c>
      <c r="E241" s="51" t="b">
        <f t="shared" si="26"/>
        <v>0</v>
      </c>
      <c r="F241" s="4" t="str">
        <f>TEXT(Data!B241,"MMM-YYYY")</f>
        <v>Sept-2023</v>
      </c>
      <c r="G241" s="4" t="str">
        <f t="shared" si="27"/>
        <v>Q1-2024</v>
      </c>
      <c r="H241" t="s">
        <v>52</v>
      </c>
      <c r="I241" t="s">
        <v>122</v>
      </c>
      <c r="J241" t="s">
        <v>326</v>
      </c>
      <c r="K241" t="s">
        <v>39</v>
      </c>
      <c r="L241" t="s">
        <v>28</v>
      </c>
      <c r="M241" t="s">
        <v>41</v>
      </c>
      <c r="N241" t="s">
        <v>57</v>
      </c>
      <c r="O241" t="s">
        <v>581</v>
      </c>
      <c r="P241" s="4">
        <v>160.82</v>
      </c>
      <c r="Q241" s="8" t="str">
        <f t="shared" si="28"/>
        <v>High</v>
      </c>
      <c r="R241" s="4">
        <v>258.52</v>
      </c>
      <c r="S241" s="4">
        <v>0.13</v>
      </c>
      <c r="T241" s="4">
        <v>17</v>
      </c>
      <c r="U241" s="4">
        <f t="shared" si="24"/>
        <v>13631.647199999999</v>
      </c>
      <c r="V241">
        <f t="shared" si="25"/>
        <v>2733.94</v>
      </c>
      <c r="W241" s="4">
        <f t="shared" si="29"/>
        <v>10897.707199999999</v>
      </c>
      <c r="X241" s="4">
        <f t="shared" si="30"/>
        <v>0.79944169916604058</v>
      </c>
    </row>
    <row r="242" spans="1:24" x14ac:dyDescent="0.3">
      <c r="A242" t="s">
        <v>582</v>
      </c>
      <c r="B242" s="7">
        <v>45188</v>
      </c>
      <c r="C242" s="2">
        <v>45207</v>
      </c>
      <c r="D242" s="4">
        <f t="shared" si="31"/>
        <v>19</v>
      </c>
      <c r="E242" s="51" t="b">
        <f t="shared" si="26"/>
        <v>0</v>
      </c>
      <c r="F242" s="4" t="str">
        <f>TEXT(Data!B242,"MMM-YYYY")</f>
        <v>May-2025</v>
      </c>
      <c r="G242" s="4" t="str">
        <f t="shared" si="27"/>
        <v>Q3-2023</v>
      </c>
      <c r="H242" t="s">
        <v>45</v>
      </c>
      <c r="I242" t="s">
        <v>60</v>
      </c>
      <c r="J242" t="s">
        <v>61</v>
      </c>
      <c r="K242" t="s">
        <v>27</v>
      </c>
      <c r="L242" t="s">
        <v>98</v>
      </c>
      <c r="M242" t="s">
        <v>29</v>
      </c>
      <c r="N242" t="s">
        <v>30</v>
      </c>
      <c r="O242" t="s">
        <v>583</v>
      </c>
      <c r="P242" s="4">
        <v>385.32</v>
      </c>
      <c r="Q242" s="8" t="str">
        <f t="shared" si="28"/>
        <v>High</v>
      </c>
      <c r="R242" s="4">
        <v>606.76</v>
      </c>
      <c r="S242" s="4">
        <v>8.5999999999999993E-2</v>
      </c>
      <c r="T242" s="4">
        <v>8</v>
      </c>
      <c r="U242" s="4">
        <f t="shared" si="24"/>
        <v>18307.712480000002</v>
      </c>
      <c r="V242">
        <f t="shared" si="25"/>
        <v>3082.56</v>
      </c>
      <c r="W242" s="4">
        <f t="shared" si="29"/>
        <v>15225.152480000002</v>
      </c>
      <c r="X242" s="4">
        <f t="shared" si="30"/>
        <v>0.8316250594732959</v>
      </c>
    </row>
    <row r="243" spans="1:24" x14ac:dyDescent="0.3">
      <c r="A243" t="s">
        <v>584</v>
      </c>
      <c r="B243" s="7">
        <v>45793</v>
      </c>
      <c r="C243" s="2">
        <v>45804</v>
      </c>
      <c r="D243" s="4">
        <f t="shared" si="31"/>
        <v>11</v>
      </c>
      <c r="E243" s="51" t="b">
        <f t="shared" si="26"/>
        <v>0</v>
      </c>
      <c r="F243" s="4" t="str">
        <f>TEXT(Data!B243,"MMM-YYYY")</f>
        <v>Aug-2025</v>
      </c>
      <c r="G243" s="4" t="str">
        <f t="shared" si="27"/>
        <v>Q2-2025</v>
      </c>
      <c r="H243" t="s">
        <v>45</v>
      </c>
      <c r="I243" t="s">
        <v>116</v>
      </c>
      <c r="J243" t="s">
        <v>338</v>
      </c>
      <c r="K243" t="s">
        <v>105</v>
      </c>
      <c r="L243" t="s">
        <v>28</v>
      </c>
      <c r="M243" t="s">
        <v>84</v>
      </c>
      <c r="N243" t="s">
        <v>42</v>
      </c>
      <c r="O243" t="s">
        <v>585</v>
      </c>
      <c r="P243" s="4">
        <v>918.12</v>
      </c>
      <c r="Q243" s="8" t="str">
        <f t="shared" si="28"/>
        <v>High</v>
      </c>
      <c r="R243" s="4">
        <v>1337.69</v>
      </c>
      <c r="S243" s="4">
        <v>9.5000000000000001E-2</v>
      </c>
      <c r="T243" s="4">
        <v>8</v>
      </c>
      <c r="U243" s="4">
        <f t="shared" si="24"/>
        <v>17830.4548</v>
      </c>
      <c r="V243">
        <f t="shared" si="25"/>
        <v>7344.96</v>
      </c>
      <c r="W243" s="4">
        <f t="shared" si="29"/>
        <v>10485.4948</v>
      </c>
      <c r="X243" s="4">
        <f t="shared" si="30"/>
        <v>0.58806659267042372</v>
      </c>
    </row>
    <row r="244" spans="1:24" x14ac:dyDescent="0.3">
      <c r="A244" t="s">
        <v>586</v>
      </c>
      <c r="B244" s="7">
        <v>45871</v>
      </c>
      <c r="C244" s="2">
        <v>45877</v>
      </c>
      <c r="D244" s="4">
        <f t="shared" si="31"/>
        <v>6</v>
      </c>
      <c r="E244" s="51" t="str">
        <f t="shared" si="26"/>
        <v>Yes</v>
      </c>
      <c r="F244" s="4" t="str">
        <f>TEXT(Data!B244,"MMM-YYYY")</f>
        <v>Dec-2024</v>
      </c>
      <c r="G244" s="4" t="str">
        <f t="shared" si="27"/>
        <v>Q3-2025</v>
      </c>
      <c r="H244" t="s">
        <v>45</v>
      </c>
      <c r="I244" t="s">
        <v>46</v>
      </c>
      <c r="J244" t="s">
        <v>47</v>
      </c>
      <c r="K244" t="s">
        <v>48</v>
      </c>
      <c r="L244" t="s">
        <v>98</v>
      </c>
      <c r="M244" t="s">
        <v>126</v>
      </c>
      <c r="N244" t="s">
        <v>57</v>
      </c>
      <c r="O244" t="s">
        <v>587</v>
      </c>
      <c r="P244" s="4">
        <v>1225.94</v>
      </c>
      <c r="Q244" s="8" t="str">
        <f t="shared" si="28"/>
        <v>High</v>
      </c>
      <c r="R244" s="4">
        <v>1793.08</v>
      </c>
      <c r="S244" s="4">
        <v>0.13600000000000001</v>
      </c>
      <c r="T244" s="4">
        <v>22</v>
      </c>
      <c r="U244" s="4">
        <f t="shared" si="24"/>
        <v>9431.7695999999996</v>
      </c>
      <c r="V244">
        <f t="shared" si="25"/>
        <v>26970.68</v>
      </c>
      <c r="W244" s="4">
        <f t="shared" si="29"/>
        <v>-17538.910400000001</v>
      </c>
      <c r="X244" s="4">
        <f t="shared" si="30"/>
        <v>-1.8595567050323198</v>
      </c>
    </row>
    <row r="245" spans="1:24" x14ac:dyDescent="0.3">
      <c r="A245" t="s">
        <v>588</v>
      </c>
      <c r="B245" s="7">
        <v>45630</v>
      </c>
      <c r="C245" s="2">
        <v>45638</v>
      </c>
      <c r="D245" s="4">
        <f t="shared" si="31"/>
        <v>8</v>
      </c>
      <c r="E245" s="51" t="b">
        <f t="shared" si="26"/>
        <v>0</v>
      </c>
      <c r="F245" s="4" t="str">
        <f>TEXT(Data!B245,"MMM-YYYY")</f>
        <v>Apr-2023</v>
      </c>
      <c r="G245" s="4" t="str">
        <f t="shared" si="27"/>
        <v>Q4-2024</v>
      </c>
      <c r="H245" t="s">
        <v>78</v>
      </c>
      <c r="I245" t="s">
        <v>79</v>
      </c>
      <c r="J245" t="s">
        <v>335</v>
      </c>
      <c r="K245" t="s">
        <v>105</v>
      </c>
      <c r="L245" t="s">
        <v>40</v>
      </c>
      <c r="M245" t="s">
        <v>56</v>
      </c>
      <c r="N245" t="s">
        <v>30</v>
      </c>
      <c r="O245" t="s">
        <v>589</v>
      </c>
      <c r="P245" s="4">
        <v>72.06</v>
      </c>
      <c r="Q245" s="8" t="str">
        <f t="shared" si="28"/>
        <v>Medium</v>
      </c>
      <c r="R245" s="4">
        <v>122.74</v>
      </c>
      <c r="S245" s="4">
        <v>0.23799999999999999</v>
      </c>
      <c r="T245" s="4">
        <v>8</v>
      </c>
      <c r="U245" s="4">
        <f t="shared" si="24"/>
        <v>5532.6686399999999</v>
      </c>
      <c r="V245">
        <f t="shared" si="25"/>
        <v>576.48</v>
      </c>
      <c r="W245" s="4">
        <f t="shared" si="29"/>
        <v>4956.1886400000003</v>
      </c>
      <c r="X245" s="4">
        <f t="shared" si="30"/>
        <v>0.89580435093615152</v>
      </c>
    </row>
    <row r="246" spans="1:24" x14ac:dyDescent="0.3">
      <c r="A246" t="s">
        <v>590</v>
      </c>
      <c r="B246" s="7">
        <v>45035</v>
      </c>
      <c r="C246" s="2">
        <v>45044</v>
      </c>
      <c r="D246" s="4">
        <f t="shared" si="31"/>
        <v>9</v>
      </c>
      <c r="E246" s="51" t="b">
        <f t="shared" si="26"/>
        <v>0</v>
      </c>
      <c r="F246" s="4" t="str">
        <f>TEXT(Data!B246,"MMM-YYYY")</f>
        <v>Mar-2024</v>
      </c>
      <c r="G246" s="4" t="str">
        <f t="shared" si="27"/>
        <v>Q2-2023</v>
      </c>
      <c r="H246" t="s">
        <v>52</v>
      </c>
      <c r="I246" t="s">
        <v>73</v>
      </c>
      <c r="J246" t="s">
        <v>225</v>
      </c>
      <c r="K246" t="s">
        <v>19</v>
      </c>
      <c r="L246" t="s">
        <v>55</v>
      </c>
      <c r="M246" t="s">
        <v>110</v>
      </c>
      <c r="N246" t="s">
        <v>42</v>
      </c>
      <c r="O246" t="s">
        <v>591</v>
      </c>
      <c r="P246" s="4">
        <v>1013.54</v>
      </c>
      <c r="Q246" s="8" t="str">
        <f t="shared" si="28"/>
        <v>High</v>
      </c>
      <c r="R246" s="4">
        <v>927.93</v>
      </c>
      <c r="S246" s="4">
        <v>0.17499999999999999</v>
      </c>
      <c r="T246" s="4">
        <v>16</v>
      </c>
      <c r="U246" s="4">
        <f t="shared" si="24"/>
        <v>4411.308</v>
      </c>
      <c r="V246">
        <f t="shared" si="25"/>
        <v>16216.64</v>
      </c>
      <c r="W246" s="4">
        <f t="shared" si="29"/>
        <v>-11805.331999999999</v>
      </c>
      <c r="X246" s="4">
        <f t="shared" si="30"/>
        <v>-2.6761522886182507</v>
      </c>
    </row>
    <row r="247" spans="1:24" x14ac:dyDescent="0.3">
      <c r="A247" t="s">
        <v>592</v>
      </c>
      <c r="B247" s="7">
        <v>45357</v>
      </c>
      <c r="C247" s="2">
        <v>45377</v>
      </c>
      <c r="D247" s="4">
        <f t="shared" si="31"/>
        <v>20</v>
      </c>
      <c r="E247" s="51" t="b">
        <f t="shared" si="26"/>
        <v>0</v>
      </c>
      <c r="F247" s="4" t="str">
        <f>TEXT(Data!B247,"MMM-YYYY")</f>
        <v>Feb-2024</v>
      </c>
      <c r="G247" s="4" t="str">
        <f t="shared" si="27"/>
        <v>Q1-2024</v>
      </c>
      <c r="H247" t="s">
        <v>16</v>
      </c>
      <c r="I247" t="s">
        <v>25</v>
      </c>
      <c r="J247" t="s">
        <v>26</v>
      </c>
      <c r="K247" t="s">
        <v>48</v>
      </c>
      <c r="L247" t="s">
        <v>40</v>
      </c>
      <c r="M247" t="s">
        <v>34</v>
      </c>
      <c r="N247" t="s">
        <v>42</v>
      </c>
      <c r="O247" t="s">
        <v>593</v>
      </c>
      <c r="P247" s="4">
        <v>65.64</v>
      </c>
      <c r="Q247" s="8" t="str">
        <f t="shared" si="28"/>
        <v>Medium</v>
      </c>
      <c r="R247" s="4">
        <v>151.88</v>
      </c>
      <c r="S247" s="4">
        <v>0.16700000000000001</v>
      </c>
      <c r="T247" s="4">
        <v>23</v>
      </c>
      <c r="U247" s="4">
        <f t="shared" si="24"/>
        <v>10322.677609999999</v>
      </c>
      <c r="V247">
        <f t="shared" si="25"/>
        <v>1509.72</v>
      </c>
      <c r="W247" s="4">
        <f t="shared" si="29"/>
        <v>8812.9576099999995</v>
      </c>
      <c r="X247" s="4">
        <f t="shared" si="30"/>
        <v>0.8537472488206479</v>
      </c>
    </row>
    <row r="248" spans="1:24" x14ac:dyDescent="0.3">
      <c r="A248" t="s">
        <v>594</v>
      </c>
      <c r="B248" s="7">
        <v>45338</v>
      </c>
      <c r="C248" s="2">
        <v>45355</v>
      </c>
      <c r="D248" s="4">
        <f t="shared" si="31"/>
        <v>17</v>
      </c>
      <c r="E248" s="51" t="b">
        <f t="shared" si="26"/>
        <v>0</v>
      </c>
      <c r="F248" s="4" t="str">
        <f>TEXT(Data!B248,"MMM-YYYY")</f>
        <v>Apr-2025</v>
      </c>
      <c r="G248" s="4" t="str">
        <f t="shared" si="27"/>
        <v>Q1-2024</v>
      </c>
      <c r="H248" t="s">
        <v>52</v>
      </c>
      <c r="I248" t="s">
        <v>53</v>
      </c>
      <c r="J248" t="s">
        <v>144</v>
      </c>
      <c r="K248" t="s">
        <v>39</v>
      </c>
      <c r="L248" t="s">
        <v>20</v>
      </c>
      <c r="M248" t="s">
        <v>145</v>
      </c>
      <c r="N248" t="s">
        <v>57</v>
      </c>
      <c r="O248" t="s">
        <v>595</v>
      </c>
      <c r="P248" s="4">
        <v>1350.98</v>
      </c>
      <c r="Q248" s="8" t="str">
        <f t="shared" si="28"/>
        <v>High</v>
      </c>
      <c r="R248" s="4">
        <v>2210.4</v>
      </c>
      <c r="S248" s="4">
        <v>0.26300000000000001</v>
      </c>
      <c r="T248" s="4">
        <v>6</v>
      </c>
      <c r="U248" s="4">
        <f t="shared" si="24"/>
        <v>6352.3798799999995</v>
      </c>
      <c r="V248">
        <f t="shared" si="25"/>
        <v>8105.88</v>
      </c>
      <c r="W248" s="4">
        <f t="shared" si="29"/>
        <v>-1753.5001200000006</v>
      </c>
      <c r="X248" s="4">
        <f t="shared" si="30"/>
        <v>-0.27603829637468102</v>
      </c>
    </row>
    <row r="249" spans="1:24" x14ac:dyDescent="0.3">
      <c r="A249" t="s">
        <v>596</v>
      </c>
      <c r="B249" s="7">
        <v>45769</v>
      </c>
      <c r="C249" s="2">
        <v>45779</v>
      </c>
      <c r="D249" s="4">
        <f t="shared" si="31"/>
        <v>10</v>
      </c>
      <c r="E249" s="51" t="b">
        <f t="shared" si="26"/>
        <v>0</v>
      </c>
      <c r="F249" s="4" t="str">
        <f>TEXT(Data!B249,"MMM-YYYY")</f>
        <v>Nov-2024</v>
      </c>
      <c r="G249" s="4" t="str">
        <f t="shared" si="27"/>
        <v>Q2-2025</v>
      </c>
      <c r="H249" t="s">
        <v>78</v>
      </c>
      <c r="I249" t="s">
        <v>79</v>
      </c>
      <c r="J249" t="s">
        <v>80</v>
      </c>
      <c r="K249" t="s">
        <v>19</v>
      </c>
      <c r="L249" t="s">
        <v>40</v>
      </c>
      <c r="M249" t="s">
        <v>21</v>
      </c>
      <c r="N249" t="s">
        <v>64</v>
      </c>
      <c r="O249" t="s">
        <v>597</v>
      </c>
      <c r="P249" s="4">
        <v>20.149999999999999</v>
      </c>
      <c r="Q249" s="8" t="str">
        <f t="shared" si="28"/>
        <v>Low</v>
      </c>
      <c r="R249" s="4">
        <v>39.74</v>
      </c>
      <c r="S249" s="4">
        <v>0.151</v>
      </c>
      <c r="T249" s="4">
        <v>18</v>
      </c>
      <c r="U249" s="4">
        <f t="shared" si="24"/>
        <v>26996.417099999999</v>
      </c>
      <c r="V249">
        <f t="shared" si="25"/>
        <v>362.7</v>
      </c>
      <c r="W249" s="4">
        <f t="shared" si="29"/>
        <v>26633.717099999998</v>
      </c>
      <c r="X249" s="4">
        <f t="shared" si="30"/>
        <v>0.98656488382675045</v>
      </c>
    </row>
    <row r="250" spans="1:24" x14ac:dyDescent="0.3">
      <c r="A250" t="s">
        <v>598</v>
      </c>
      <c r="B250" s="7">
        <v>45604</v>
      </c>
      <c r="C250" s="2">
        <v>45604</v>
      </c>
      <c r="D250" s="4">
        <f t="shared" si="31"/>
        <v>0</v>
      </c>
      <c r="E250" s="51" t="str">
        <f t="shared" si="26"/>
        <v>Yes</v>
      </c>
      <c r="F250" s="4" t="str">
        <f>TEXT(Data!B250,"MMM-YYYY")</f>
        <v>Sept-2025</v>
      </c>
      <c r="G250" s="4" t="str">
        <f t="shared" si="27"/>
        <v>Q4-2024</v>
      </c>
      <c r="H250" t="s">
        <v>16</v>
      </c>
      <c r="I250" t="s">
        <v>17</v>
      </c>
      <c r="J250" t="s">
        <v>135</v>
      </c>
      <c r="K250" t="s">
        <v>105</v>
      </c>
      <c r="L250" t="s">
        <v>40</v>
      </c>
      <c r="M250" t="s">
        <v>110</v>
      </c>
      <c r="N250" t="s">
        <v>35</v>
      </c>
      <c r="O250" t="s">
        <v>599</v>
      </c>
      <c r="P250" s="4">
        <v>803.28</v>
      </c>
      <c r="Q250" s="8" t="str">
        <f t="shared" si="28"/>
        <v>High</v>
      </c>
      <c r="R250" s="4">
        <v>1009</v>
      </c>
      <c r="S250" s="4">
        <v>0.11</v>
      </c>
      <c r="T250" s="4">
        <v>4</v>
      </c>
      <c r="U250" s="4">
        <f t="shared" si="24"/>
        <v>2237.6023999999998</v>
      </c>
      <c r="V250">
        <f t="shared" si="25"/>
        <v>3213.12</v>
      </c>
      <c r="W250" s="4">
        <f t="shared" si="29"/>
        <v>-975.51760000000013</v>
      </c>
      <c r="X250" s="4">
        <f t="shared" si="30"/>
        <v>-0.43596556743056775</v>
      </c>
    </row>
    <row r="251" spans="1:24" x14ac:dyDescent="0.3">
      <c r="A251" t="s">
        <v>600</v>
      </c>
      <c r="B251" s="7">
        <v>45912</v>
      </c>
      <c r="C251" s="2">
        <v>45930</v>
      </c>
      <c r="D251" s="4">
        <f t="shared" si="31"/>
        <v>18</v>
      </c>
      <c r="E251" s="51" t="b">
        <f t="shared" si="26"/>
        <v>0</v>
      </c>
      <c r="F251" s="4" t="str">
        <f>TEXT(Data!B251,"MMM-YYYY")</f>
        <v>Sept-2024</v>
      </c>
      <c r="G251" s="4" t="str">
        <f t="shared" si="27"/>
        <v>Q3-2025</v>
      </c>
      <c r="H251" t="s">
        <v>45</v>
      </c>
      <c r="I251" t="s">
        <v>46</v>
      </c>
      <c r="J251" t="s">
        <v>231</v>
      </c>
      <c r="K251" t="s">
        <v>39</v>
      </c>
      <c r="L251" t="s">
        <v>40</v>
      </c>
      <c r="M251" t="s">
        <v>84</v>
      </c>
      <c r="N251" t="s">
        <v>64</v>
      </c>
      <c r="O251" t="s">
        <v>601</v>
      </c>
      <c r="P251" s="4">
        <v>1212.99</v>
      </c>
      <c r="Q251" s="8" t="str">
        <f t="shared" si="28"/>
        <v>High</v>
      </c>
      <c r="R251" s="4">
        <v>1653.64</v>
      </c>
      <c r="S251" s="4">
        <v>0.107</v>
      </c>
      <c r="T251" s="4">
        <v>8</v>
      </c>
      <c r="U251" s="4">
        <f t="shared" si="24"/>
        <v>11792.958000000001</v>
      </c>
      <c r="V251">
        <f t="shared" si="25"/>
        <v>9703.92</v>
      </c>
      <c r="W251" s="4">
        <f t="shared" si="29"/>
        <v>2089.0380000000005</v>
      </c>
      <c r="X251" s="4">
        <f t="shared" si="30"/>
        <v>0.17714283388442495</v>
      </c>
    </row>
    <row r="252" spans="1:24" x14ac:dyDescent="0.3">
      <c r="A252" t="s">
        <v>602</v>
      </c>
      <c r="B252" s="7">
        <v>45537</v>
      </c>
      <c r="C252" s="2">
        <v>45543</v>
      </c>
      <c r="D252" s="4">
        <f t="shared" si="31"/>
        <v>6</v>
      </c>
      <c r="E252" s="51" t="str">
        <f t="shared" si="26"/>
        <v>Yes</v>
      </c>
      <c r="F252" s="4" t="str">
        <f>TEXT(Data!B252,"MMM-YYYY")</f>
        <v>Mar-2023</v>
      </c>
      <c r="G252" s="4" t="str">
        <f t="shared" si="27"/>
        <v>Q3-2024</v>
      </c>
      <c r="H252" t="s">
        <v>52</v>
      </c>
      <c r="I252" t="s">
        <v>122</v>
      </c>
      <c r="J252" t="s">
        <v>326</v>
      </c>
      <c r="K252" t="s">
        <v>48</v>
      </c>
      <c r="L252" t="s">
        <v>98</v>
      </c>
      <c r="M252" t="s">
        <v>92</v>
      </c>
      <c r="N252" t="s">
        <v>22</v>
      </c>
      <c r="O252" t="s">
        <v>603</v>
      </c>
      <c r="P252" s="4">
        <v>462.94</v>
      </c>
      <c r="Q252" s="8" t="str">
        <f t="shared" si="28"/>
        <v>High</v>
      </c>
      <c r="R252" s="4">
        <v>1015.7</v>
      </c>
      <c r="S252" s="4">
        <v>0.14299999999999999</v>
      </c>
      <c r="T252" s="4">
        <v>14</v>
      </c>
      <c r="U252" s="4">
        <f t="shared" si="24"/>
        <v>26961.185719999998</v>
      </c>
      <c r="V252">
        <f t="shared" si="25"/>
        <v>6481.16</v>
      </c>
      <c r="W252" s="4">
        <f t="shared" si="29"/>
        <v>20480.025719999998</v>
      </c>
      <c r="X252" s="4">
        <f t="shared" si="30"/>
        <v>0.75961146266678359</v>
      </c>
    </row>
    <row r="253" spans="1:24" x14ac:dyDescent="0.3">
      <c r="A253" t="s">
        <v>604</v>
      </c>
      <c r="B253" s="7">
        <v>44989</v>
      </c>
      <c r="C253" s="2">
        <v>45009</v>
      </c>
      <c r="D253" s="4">
        <f t="shared" si="31"/>
        <v>20</v>
      </c>
      <c r="E253" s="51" t="b">
        <f t="shared" si="26"/>
        <v>0</v>
      </c>
      <c r="F253" s="4" t="str">
        <f>TEXT(Data!B253,"MMM-YYYY")</f>
        <v>Mar-2024</v>
      </c>
      <c r="G253" s="4" t="str">
        <f t="shared" si="27"/>
        <v>Q1-2023</v>
      </c>
      <c r="H253" t="s">
        <v>52</v>
      </c>
      <c r="I253" t="s">
        <v>53</v>
      </c>
      <c r="J253" t="s">
        <v>144</v>
      </c>
      <c r="K253" t="s">
        <v>48</v>
      </c>
      <c r="L253" t="s">
        <v>55</v>
      </c>
      <c r="M253" t="s">
        <v>34</v>
      </c>
      <c r="N253" t="s">
        <v>57</v>
      </c>
      <c r="O253" t="s">
        <v>605</v>
      </c>
      <c r="P253" s="4">
        <v>481.71</v>
      </c>
      <c r="Q253" s="8" t="str">
        <f t="shared" si="28"/>
        <v>High</v>
      </c>
      <c r="R253" s="4">
        <v>912.45</v>
      </c>
      <c r="S253" s="4">
        <v>0.20300000000000001</v>
      </c>
      <c r="T253" s="4">
        <v>24</v>
      </c>
      <c r="U253" s="4">
        <f t="shared" si="24"/>
        <v>17084.938320000001</v>
      </c>
      <c r="V253">
        <f t="shared" si="25"/>
        <v>11561.039999999999</v>
      </c>
      <c r="W253" s="4">
        <f t="shared" si="29"/>
        <v>5523.8983200000021</v>
      </c>
      <c r="X253" s="4">
        <f t="shared" si="30"/>
        <v>0.3233197695266834</v>
      </c>
    </row>
    <row r="254" spans="1:24" x14ac:dyDescent="0.3">
      <c r="A254" t="s">
        <v>606</v>
      </c>
      <c r="B254" s="7">
        <v>45366</v>
      </c>
      <c r="C254" s="2">
        <v>45391</v>
      </c>
      <c r="D254" s="4">
        <f t="shared" si="31"/>
        <v>25</v>
      </c>
      <c r="E254" s="51" t="b">
        <f t="shared" si="26"/>
        <v>0</v>
      </c>
      <c r="F254" s="4" t="str">
        <f>TEXT(Data!B254,"MMM-YYYY")</f>
        <v>Jul-2024</v>
      </c>
      <c r="G254" s="4" t="str">
        <f t="shared" si="27"/>
        <v>Q1-2024</v>
      </c>
      <c r="H254" t="s">
        <v>52</v>
      </c>
      <c r="I254" t="s">
        <v>53</v>
      </c>
      <c r="J254" t="s">
        <v>179</v>
      </c>
      <c r="K254" t="s">
        <v>48</v>
      </c>
      <c r="L254" t="s">
        <v>28</v>
      </c>
      <c r="M254" t="s">
        <v>84</v>
      </c>
      <c r="N254" t="s">
        <v>64</v>
      </c>
      <c r="O254" t="s">
        <v>607</v>
      </c>
      <c r="P254" s="4">
        <v>648.64</v>
      </c>
      <c r="Q254" s="8" t="str">
        <f t="shared" si="28"/>
        <v>High</v>
      </c>
      <c r="R254" s="4">
        <v>815.19</v>
      </c>
      <c r="S254" s="4">
        <v>0.22500000000000001</v>
      </c>
      <c r="T254" s="4">
        <v>28</v>
      </c>
      <c r="U254" s="4">
        <f t="shared" si="24"/>
        <v>50537.130000000005</v>
      </c>
      <c r="V254">
        <f t="shared" si="25"/>
        <v>18161.919999999998</v>
      </c>
      <c r="W254" s="4">
        <f t="shared" si="29"/>
        <v>32375.210000000006</v>
      </c>
      <c r="X254" s="4">
        <f t="shared" si="30"/>
        <v>0.64062225140208795</v>
      </c>
    </row>
    <row r="255" spans="1:24" x14ac:dyDescent="0.3">
      <c r="A255" t="s">
        <v>608</v>
      </c>
      <c r="B255" s="7">
        <v>45502</v>
      </c>
      <c r="C255" s="2">
        <v>45504</v>
      </c>
      <c r="D255" s="4">
        <f t="shared" si="31"/>
        <v>2</v>
      </c>
      <c r="E255" s="51" t="str">
        <f t="shared" si="26"/>
        <v>Yes</v>
      </c>
      <c r="F255" s="4" t="str">
        <f>TEXT(Data!B255,"MMM-YYYY")</f>
        <v>Oct-2024</v>
      </c>
      <c r="G255" s="4" t="str">
        <f t="shared" si="27"/>
        <v>Q3-2024</v>
      </c>
      <c r="H255" t="s">
        <v>52</v>
      </c>
      <c r="I255" t="s">
        <v>122</v>
      </c>
      <c r="J255" t="s">
        <v>387</v>
      </c>
      <c r="K255" t="s">
        <v>27</v>
      </c>
      <c r="L255" t="s">
        <v>40</v>
      </c>
      <c r="M255" t="s">
        <v>34</v>
      </c>
      <c r="N255" t="s">
        <v>30</v>
      </c>
      <c r="O255" t="s">
        <v>609</v>
      </c>
      <c r="P255" s="4">
        <v>798.97</v>
      </c>
      <c r="Q255" s="8" t="str">
        <f t="shared" si="28"/>
        <v>High</v>
      </c>
      <c r="R255" s="4">
        <v>1814.06</v>
      </c>
      <c r="S255" s="4">
        <v>0.122</v>
      </c>
      <c r="T255" s="4">
        <v>16</v>
      </c>
      <c r="U255" s="4">
        <f t="shared" si="24"/>
        <v>29033.704000000002</v>
      </c>
      <c r="V255">
        <f t="shared" si="25"/>
        <v>12783.52</v>
      </c>
      <c r="W255" s="4">
        <f t="shared" si="29"/>
        <v>16250.184000000001</v>
      </c>
      <c r="X255" s="4">
        <f t="shared" si="30"/>
        <v>0.55970068441835741</v>
      </c>
    </row>
    <row r="256" spans="1:24" x14ac:dyDescent="0.3">
      <c r="A256" t="s">
        <v>610</v>
      </c>
      <c r="B256" s="7">
        <v>45592</v>
      </c>
      <c r="C256" s="2">
        <v>45616</v>
      </c>
      <c r="D256" s="4">
        <f t="shared" si="31"/>
        <v>24</v>
      </c>
      <c r="E256" s="51" t="b">
        <f t="shared" si="26"/>
        <v>0</v>
      </c>
      <c r="F256" s="4" t="str">
        <f>TEXT(Data!B256,"MMM-YYYY")</f>
        <v>Apr-2024</v>
      </c>
      <c r="G256" s="4" t="str">
        <f t="shared" si="27"/>
        <v>Q4-2024</v>
      </c>
      <c r="H256" t="s">
        <v>45</v>
      </c>
      <c r="I256" t="s">
        <v>46</v>
      </c>
      <c r="J256" t="s">
        <v>231</v>
      </c>
      <c r="K256" t="s">
        <v>39</v>
      </c>
      <c r="L256" t="s">
        <v>28</v>
      </c>
      <c r="M256" t="s">
        <v>92</v>
      </c>
      <c r="N256" t="s">
        <v>64</v>
      </c>
      <c r="O256" t="s">
        <v>611</v>
      </c>
      <c r="P256" s="4">
        <v>317.25</v>
      </c>
      <c r="Q256" s="8" t="str">
        <f t="shared" si="28"/>
        <v>High</v>
      </c>
      <c r="R256" s="4">
        <v>758.92</v>
      </c>
      <c r="S256" s="4">
        <v>5.2999999999999999E-2</v>
      </c>
      <c r="T256" s="4">
        <v>9</v>
      </c>
      <c r="U256" s="4">
        <f t="shared" si="24"/>
        <v>18599.828130000002</v>
      </c>
      <c r="V256">
        <f t="shared" si="25"/>
        <v>2855.25</v>
      </c>
      <c r="W256" s="4">
        <f t="shared" si="29"/>
        <v>15744.578130000002</v>
      </c>
      <c r="X256" s="4">
        <f t="shared" si="30"/>
        <v>0.84649051700672895</v>
      </c>
    </row>
    <row r="257" spans="1:24" x14ac:dyDescent="0.3">
      <c r="A257" t="s">
        <v>612</v>
      </c>
      <c r="B257" s="7">
        <v>45411</v>
      </c>
      <c r="C257" s="2">
        <v>45431</v>
      </c>
      <c r="D257" s="4">
        <f t="shared" si="31"/>
        <v>20</v>
      </c>
      <c r="E257" s="51" t="b">
        <f t="shared" si="26"/>
        <v>0</v>
      </c>
      <c r="F257" s="4" t="str">
        <f>TEXT(Data!B257,"MMM-YYYY")</f>
        <v>Oct-2023</v>
      </c>
      <c r="G257" s="4" t="str">
        <f t="shared" si="27"/>
        <v>Q2-2024</v>
      </c>
      <c r="H257" t="s">
        <v>78</v>
      </c>
      <c r="I257" t="s">
        <v>79</v>
      </c>
      <c r="J257" t="s">
        <v>335</v>
      </c>
      <c r="K257" t="s">
        <v>105</v>
      </c>
      <c r="L257" t="s">
        <v>40</v>
      </c>
      <c r="M257" t="s">
        <v>21</v>
      </c>
      <c r="N257" t="s">
        <v>57</v>
      </c>
      <c r="O257" t="s">
        <v>613</v>
      </c>
      <c r="P257" s="4">
        <v>668.97</v>
      </c>
      <c r="Q257" s="8" t="str">
        <f t="shared" si="28"/>
        <v>High</v>
      </c>
      <c r="R257" s="4">
        <v>1667.44</v>
      </c>
      <c r="S257" s="4">
        <v>3.4000000000000002E-2</v>
      </c>
      <c r="T257" s="4">
        <v>15</v>
      </c>
      <c r="U257" s="4">
        <f t="shared" si="24"/>
        <v>39508.723799999992</v>
      </c>
      <c r="V257">
        <f t="shared" si="25"/>
        <v>10034.550000000001</v>
      </c>
      <c r="W257" s="4">
        <f t="shared" si="29"/>
        <v>29474.17379999999</v>
      </c>
      <c r="X257" s="4">
        <f t="shared" si="30"/>
        <v>0.74601685311839905</v>
      </c>
    </row>
    <row r="258" spans="1:24" x14ac:dyDescent="0.3">
      <c r="A258" t="s">
        <v>614</v>
      </c>
      <c r="B258" s="7">
        <v>45204</v>
      </c>
      <c r="C258" s="2">
        <v>45205</v>
      </c>
      <c r="D258" s="4">
        <f t="shared" si="31"/>
        <v>1</v>
      </c>
      <c r="E258" s="51" t="str">
        <f t="shared" si="26"/>
        <v>Yes</v>
      </c>
      <c r="F258" s="4" t="str">
        <f>TEXT(Data!B258,"MMM-YYYY")</f>
        <v>Apr-2023</v>
      </c>
      <c r="G258" s="4" t="str">
        <f t="shared" si="27"/>
        <v>Q4-2023</v>
      </c>
      <c r="H258" t="s">
        <v>45</v>
      </c>
      <c r="I258" t="s">
        <v>60</v>
      </c>
      <c r="J258" t="s">
        <v>61</v>
      </c>
      <c r="K258" t="s">
        <v>39</v>
      </c>
      <c r="L258" t="s">
        <v>28</v>
      </c>
      <c r="M258" t="s">
        <v>34</v>
      </c>
      <c r="N258" t="s">
        <v>22</v>
      </c>
      <c r="O258" t="s">
        <v>615</v>
      </c>
      <c r="P258" s="4">
        <v>1470.26</v>
      </c>
      <c r="Q258" s="8" t="str">
        <f t="shared" si="28"/>
        <v>High</v>
      </c>
      <c r="R258" s="4">
        <v>2562.5500000000002</v>
      </c>
      <c r="S258" s="4">
        <v>0.17299999999999999</v>
      </c>
      <c r="T258" s="4">
        <v>9</v>
      </c>
      <c r="U258" s="4">
        <f t="shared" ref="U258:U321" si="32">(R284*T258)*(1-S258)</f>
        <v>828.33146999999997</v>
      </c>
      <c r="V258">
        <f t="shared" ref="V258:V321" si="33">(P258*T258)</f>
        <v>13232.34</v>
      </c>
      <c r="W258" s="4">
        <f t="shared" si="29"/>
        <v>-12404.008530000001</v>
      </c>
      <c r="X258" s="4">
        <f t="shared" si="30"/>
        <v>-14.974691870634834</v>
      </c>
    </row>
    <row r="259" spans="1:24" x14ac:dyDescent="0.3">
      <c r="A259" t="s">
        <v>616</v>
      </c>
      <c r="B259" s="7">
        <v>45035</v>
      </c>
      <c r="C259" s="2">
        <v>45053</v>
      </c>
      <c r="D259" s="4">
        <f t="shared" si="31"/>
        <v>18</v>
      </c>
      <c r="E259" s="51" t="b">
        <f t="shared" ref="E259:E322" si="34">IF(D259&lt;=7, "Yes")</f>
        <v>0</v>
      </c>
      <c r="F259" s="4" t="str">
        <f>TEXT(Data!B259,"MMM-YYYY")</f>
        <v>Jun-2025</v>
      </c>
      <c r="G259" s="4" t="str">
        <f t="shared" ref="G259:G322" si="35">"Q"&amp;ROUNDUP(MONTH(B259)/3,0)&amp;"-"&amp;YEAR(B259)</f>
        <v>Q2-2023</v>
      </c>
      <c r="H259" t="s">
        <v>78</v>
      </c>
      <c r="I259" t="s">
        <v>108</v>
      </c>
      <c r="J259" t="s">
        <v>152</v>
      </c>
      <c r="K259" t="s">
        <v>39</v>
      </c>
      <c r="L259" t="s">
        <v>98</v>
      </c>
      <c r="M259" t="s">
        <v>92</v>
      </c>
      <c r="N259" t="s">
        <v>35</v>
      </c>
      <c r="O259" t="s">
        <v>617</v>
      </c>
      <c r="P259" s="4">
        <v>516.96</v>
      </c>
      <c r="Q259" s="8" t="str">
        <f t="shared" ref="Q259:Q322" si="36">IF(R259&lt;50, "Low", IF(R259&lt;200, "Medium", "High"))</f>
        <v>High</v>
      </c>
      <c r="R259" s="4">
        <v>745.38</v>
      </c>
      <c r="S259" s="4">
        <v>0.19700000000000001</v>
      </c>
      <c r="T259" s="4">
        <v>4</v>
      </c>
      <c r="U259" s="4">
        <f t="shared" si="32"/>
        <v>3533.4890799999994</v>
      </c>
      <c r="V259">
        <f t="shared" si="33"/>
        <v>2067.84</v>
      </c>
      <c r="W259" s="4">
        <f t="shared" ref="W259:W322" si="37">(U259-V259)</f>
        <v>1465.6490799999992</v>
      </c>
      <c r="X259" s="4">
        <f t="shared" ref="X259:X322" si="38">IF(U259=0, 0, W259/U259)</f>
        <v>0.41478805985159561</v>
      </c>
    </row>
    <row r="260" spans="1:24" x14ac:dyDescent="0.3">
      <c r="A260" t="s">
        <v>618</v>
      </c>
      <c r="B260" s="7">
        <v>45835</v>
      </c>
      <c r="C260" s="2">
        <v>45843</v>
      </c>
      <c r="D260" s="4">
        <f t="shared" ref="D260:D322" si="39">DATEDIF(B260,C260, "MD")</f>
        <v>8</v>
      </c>
      <c r="E260" s="51" t="b">
        <f t="shared" si="34"/>
        <v>0</v>
      </c>
      <c r="F260" s="4" t="str">
        <f>TEXT(Data!B260,"MMM-YYYY")</f>
        <v>Oct-2023</v>
      </c>
      <c r="G260" s="4" t="str">
        <f t="shared" si="35"/>
        <v>Q2-2025</v>
      </c>
      <c r="H260" t="s">
        <v>78</v>
      </c>
      <c r="I260" t="s">
        <v>79</v>
      </c>
      <c r="J260" t="s">
        <v>159</v>
      </c>
      <c r="K260" t="s">
        <v>62</v>
      </c>
      <c r="L260" t="s">
        <v>98</v>
      </c>
      <c r="M260" t="s">
        <v>41</v>
      </c>
      <c r="N260" t="s">
        <v>64</v>
      </c>
      <c r="O260" t="s">
        <v>619</v>
      </c>
      <c r="P260" s="4">
        <v>314.93</v>
      </c>
      <c r="Q260" s="8" t="str">
        <f t="shared" si="36"/>
        <v>High</v>
      </c>
      <c r="R260" s="4">
        <v>687.95</v>
      </c>
      <c r="S260" s="4">
        <v>0.20499999999999999</v>
      </c>
      <c r="T260" s="4">
        <v>8</v>
      </c>
      <c r="U260" s="4">
        <f t="shared" si="32"/>
        <v>9725.3304000000007</v>
      </c>
      <c r="V260">
        <f t="shared" si="33"/>
        <v>2519.44</v>
      </c>
      <c r="W260" s="4">
        <f t="shared" si="37"/>
        <v>7205.8904000000002</v>
      </c>
      <c r="X260" s="4">
        <f t="shared" si="38"/>
        <v>0.74094042090333501</v>
      </c>
    </row>
    <row r="261" spans="1:24" x14ac:dyDescent="0.3">
      <c r="A261" t="s">
        <v>620</v>
      </c>
      <c r="B261" s="7">
        <v>45210</v>
      </c>
      <c r="C261" s="2">
        <v>45212</v>
      </c>
      <c r="D261" s="4">
        <f t="shared" si="39"/>
        <v>2</v>
      </c>
      <c r="E261" s="51" t="str">
        <f t="shared" si="34"/>
        <v>Yes</v>
      </c>
      <c r="F261" s="4" t="str">
        <f>TEXT(Data!B261,"MMM-YYYY")</f>
        <v>May-2023</v>
      </c>
      <c r="G261" s="4" t="str">
        <f t="shared" si="35"/>
        <v>Q4-2023</v>
      </c>
      <c r="H261" t="s">
        <v>52</v>
      </c>
      <c r="I261" t="s">
        <v>73</v>
      </c>
      <c r="J261" t="s">
        <v>87</v>
      </c>
      <c r="K261" t="s">
        <v>48</v>
      </c>
      <c r="L261" t="s">
        <v>55</v>
      </c>
      <c r="M261" t="s">
        <v>1364</v>
      </c>
      <c r="N261" t="s">
        <v>81</v>
      </c>
      <c r="O261" t="s">
        <v>621</v>
      </c>
      <c r="P261" s="4">
        <v>715.94</v>
      </c>
      <c r="Q261" s="8" t="str">
        <f t="shared" si="36"/>
        <v>High</v>
      </c>
      <c r="R261" s="4">
        <v>550.07000000000005</v>
      </c>
      <c r="S261" s="4">
        <v>0.14000000000000001</v>
      </c>
      <c r="T261" s="4">
        <v>16</v>
      </c>
      <c r="U261" s="4">
        <f t="shared" si="32"/>
        <v>10026.7744</v>
      </c>
      <c r="V261">
        <f t="shared" si="33"/>
        <v>11455.04</v>
      </c>
      <c r="W261" s="4">
        <f t="shared" si="37"/>
        <v>-1428.2656000000006</v>
      </c>
      <c r="X261" s="4">
        <f t="shared" si="38"/>
        <v>-0.14244517159975201</v>
      </c>
    </row>
    <row r="262" spans="1:24" x14ac:dyDescent="0.3">
      <c r="A262" t="s">
        <v>622</v>
      </c>
      <c r="B262" s="7">
        <v>45066</v>
      </c>
      <c r="C262" s="2">
        <v>45084</v>
      </c>
      <c r="D262" s="4">
        <f t="shared" si="39"/>
        <v>18</v>
      </c>
      <c r="E262" s="51" t="b">
        <f t="shared" si="34"/>
        <v>0</v>
      </c>
      <c r="F262" s="4" t="str">
        <f>TEXT(Data!B262,"MMM-YYYY")</f>
        <v>May-2023</v>
      </c>
      <c r="G262" s="4" t="str">
        <f t="shared" si="35"/>
        <v>Q2-2023</v>
      </c>
      <c r="H262" t="s">
        <v>16</v>
      </c>
      <c r="I262" t="s">
        <v>25</v>
      </c>
      <c r="J262" t="s">
        <v>26</v>
      </c>
      <c r="K262" t="s">
        <v>105</v>
      </c>
      <c r="L262" t="s">
        <v>55</v>
      </c>
      <c r="M262" t="s">
        <v>63</v>
      </c>
      <c r="N262" t="s">
        <v>22</v>
      </c>
      <c r="O262" t="s">
        <v>623</v>
      </c>
      <c r="P262" s="4">
        <v>1120.06</v>
      </c>
      <c r="Q262" s="8" t="str">
        <f t="shared" si="36"/>
        <v>High</v>
      </c>
      <c r="R262" s="4">
        <v>2068.21</v>
      </c>
      <c r="S262" s="4">
        <v>7.8E-2</v>
      </c>
      <c r="T262" s="4">
        <v>12</v>
      </c>
      <c r="U262" s="4">
        <f t="shared" si="32"/>
        <v>69.481920000000002</v>
      </c>
      <c r="V262">
        <f t="shared" si="33"/>
        <v>13440.72</v>
      </c>
      <c r="W262" s="4">
        <f t="shared" si="37"/>
        <v>-13371.238079999999</v>
      </c>
      <c r="X262" s="4">
        <f t="shared" si="38"/>
        <v>-192.44197742376721</v>
      </c>
    </row>
    <row r="263" spans="1:24" x14ac:dyDescent="0.3">
      <c r="A263" t="s">
        <v>624</v>
      </c>
      <c r="B263" s="7">
        <v>45073</v>
      </c>
      <c r="C263" s="2">
        <v>45096</v>
      </c>
      <c r="D263" s="4">
        <f t="shared" si="39"/>
        <v>23</v>
      </c>
      <c r="E263" s="51" t="b">
        <f t="shared" si="34"/>
        <v>0</v>
      </c>
      <c r="F263" s="4" t="str">
        <f>TEXT(Data!B263,"MMM-YYYY")</f>
        <v>Aug-2023</v>
      </c>
      <c r="G263" s="4" t="str">
        <f t="shared" si="35"/>
        <v>Q2-2023</v>
      </c>
      <c r="H263" t="s">
        <v>78</v>
      </c>
      <c r="I263" t="s">
        <v>79</v>
      </c>
      <c r="J263" t="s">
        <v>80</v>
      </c>
      <c r="K263" t="s">
        <v>27</v>
      </c>
      <c r="L263" t="s">
        <v>20</v>
      </c>
      <c r="M263" t="s">
        <v>68</v>
      </c>
      <c r="N263" t="s">
        <v>81</v>
      </c>
      <c r="O263" t="s">
        <v>625</v>
      </c>
      <c r="P263" s="4">
        <v>1471.58</v>
      </c>
      <c r="Q263" s="8" t="str">
        <f t="shared" si="36"/>
        <v>High</v>
      </c>
      <c r="R263" s="4">
        <v>2576.65</v>
      </c>
      <c r="S263" s="4">
        <v>4.0000000000000001E-3</v>
      </c>
      <c r="T263" s="4">
        <v>7</v>
      </c>
      <c r="U263" s="4">
        <f t="shared" si="32"/>
        <v>17916.436439999998</v>
      </c>
      <c r="V263">
        <f t="shared" si="33"/>
        <v>10301.06</v>
      </c>
      <c r="W263" s="4">
        <f t="shared" si="37"/>
        <v>7615.3764399999982</v>
      </c>
      <c r="X263" s="4">
        <f t="shared" si="38"/>
        <v>0.42504972824830334</v>
      </c>
    </row>
    <row r="264" spans="1:24" x14ac:dyDescent="0.3">
      <c r="A264" t="s">
        <v>626</v>
      </c>
      <c r="B264" s="7">
        <v>45142</v>
      </c>
      <c r="C264" s="2">
        <v>45162</v>
      </c>
      <c r="D264" s="4">
        <f t="shared" si="39"/>
        <v>20</v>
      </c>
      <c r="E264" s="51" t="b">
        <f t="shared" si="34"/>
        <v>0</v>
      </c>
      <c r="F264" s="4" t="str">
        <f>TEXT(Data!B264,"MMM-YYYY")</f>
        <v>Jun-2025</v>
      </c>
      <c r="G264" s="4" t="str">
        <f t="shared" si="35"/>
        <v>Q3-2023</v>
      </c>
      <c r="H264" t="s">
        <v>52</v>
      </c>
      <c r="I264" t="s">
        <v>73</v>
      </c>
      <c r="J264" t="s">
        <v>87</v>
      </c>
      <c r="K264" t="s">
        <v>39</v>
      </c>
      <c r="L264" t="s">
        <v>98</v>
      </c>
      <c r="M264" t="s">
        <v>1364</v>
      </c>
      <c r="N264" t="s">
        <v>35</v>
      </c>
      <c r="O264" t="s">
        <v>627</v>
      </c>
      <c r="P264" s="4">
        <v>582.88</v>
      </c>
      <c r="Q264" s="8" t="str">
        <f t="shared" si="36"/>
        <v>High</v>
      </c>
      <c r="R264" s="4">
        <v>1044.1400000000001</v>
      </c>
      <c r="S264" s="4">
        <v>0.216</v>
      </c>
      <c r="T264" s="4">
        <v>10</v>
      </c>
      <c r="U264" s="4">
        <f t="shared" si="32"/>
        <v>12481.436800000001</v>
      </c>
      <c r="V264">
        <f t="shared" si="33"/>
        <v>5828.8</v>
      </c>
      <c r="W264" s="4">
        <f t="shared" si="37"/>
        <v>6652.6368000000011</v>
      </c>
      <c r="X264" s="4">
        <f t="shared" si="38"/>
        <v>0.53300248253470306</v>
      </c>
    </row>
    <row r="265" spans="1:24" x14ac:dyDescent="0.3">
      <c r="A265" t="s">
        <v>628</v>
      </c>
      <c r="B265" s="7">
        <v>45829</v>
      </c>
      <c r="C265" s="2">
        <v>45835</v>
      </c>
      <c r="D265" s="4">
        <f t="shared" si="39"/>
        <v>6</v>
      </c>
      <c r="E265" s="51" t="str">
        <f t="shared" si="34"/>
        <v>Yes</v>
      </c>
      <c r="F265" s="4" t="str">
        <f>TEXT(Data!B265,"MMM-YYYY")</f>
        <v>Apr-2025</v>
      </c>
      <c r="G265" s="4" t="str">
        <f t="shared" si="35"/>
        <v>Q2-2025</v>
      </c>
      <c r="H265" t="s">
        <v>16</v>
      </c>
      <c r="I265" t="s">
        <v>148</v>
      </c>
      <c r="J265" t="s">
        <v>172</v>
      </c>
      <c r="K265" t="s">
        <v>105</v>
      </c>
      <c r="L265" t="s">
        <v>55</v>
      </c>
      <c r="M265" t="s">
        <v>126</v>
      </c>
      <c r="N265" t="s">
        <v>42</v>
      </c>
      <c r="O265" t="s">
        <v>629</v>
      </c>
      <c r="P265" s="4">
        <v>93.91</v>
      </c>
      <c r="Q265" s="8" t="str">
        <f t="shared" si="36"/>
        <v>Medium</v>
      </c>
      <c r="R265" s="4">
        <v>99.04</v>
      </c>
      <c r="S265" s="4">
        <v>5.7000000000000002E-2</v>
      </c>
      <c r="T265" s="4">
        <v>6</v>
      </c>
      <c r="U265" s="4">
        <f t="shared" si="32"/>
        <v>5632.3692599999995</v>
      </c>
      <c r="V265">
        <f t="shared" si="33"/>
        <v>563.46</v>
      </c>
      <c r="W265" s="4">
        <f t="shared" si="37"/>
        <v>5068.9092599999994</v>
      </c>
      <c r="X265" s="4">
        <f t="shared" si="38"/>
        <v>0.89996039428707486</v>
      </c>
    </row>
    <row r="266" spans="1:24" x14ac:dyDescent="0.3">
      <c r="A266" t="s">
        <v>630</v>
      </c>
      <c r="B266" s="7">
        <v>45763</v>
      </c>
      <c r="C266" s="2">
        <v>45773</v>
      </c>
      <c r="D266" s="4">
        <f t="shared" si="39"/>
        <v>10</v>
      </c>
      <c r="E266" s="51" t="b">
        <f t="shared" si="34"/>
        <v>0</v>
      </c>
      <c r="F266" s="4" t="str">
        <f>TEXT(Data!B266,"MMM-YYYY")</f>
        <v>Sept-2025</v>
      </c>
      <c r="G266" s="4" t="str">
        <f t="shared" si="35"/>
        <v>Q2-2025</v>
      </c>
      <c r="H266" t="s">
        <v>16</v>
      </c>
      <c r="I266" t="s">
        <v>25</v>
      </c>
      <c r="J266" t="s">
        <v>26</v>
      </c>
      <c r="K266" t="s">
        <v>105</v>
      </c>
      <c r="L266" t="s">
        <v>40</v>
      </c>
      <c r="M266" t="s">
        <v>84</v>
      </c>
      <c r="N266" t="s">
        <v>57</v>
      </c>
      <c r="O266" t="s">
        <v>631</v>
      </c>
      <c r="P266" s="4">
        <v>1457.44</v>
      </c>
      <c r="Q266" s="8" t="str">
        <f t="shared" si="36"/>
        <v>High</v>
      </c>
      <c r="R266" s="4">
        <v>1996.81</v>
      </c>
      <c r="S266" s="4">
        <v>0.126</v>
      </c>
      <c r="T266" s="4">
        <v>23</v>
      </c>
      <c r="U266" s="4">
        <f t="shared" si="32"/>
        <v>24932.711619999998</v>
      </c>
      <c r="V266">
        <f t="shared" si="33"/>
        <v>33521.120000000003</v>
      </c>
      <c r="W266" s="4">
        <f t="shared" si="37"/>
        <v>-8588.4083800000044</v>
      </c>
      <c r="X266" s="4">
        <f t="shared" si="38"/>
        <v>-0.3444634707566559</v>
      </c>
    </row>
    <row r="267" spans="1:24" x14ac:dyDescent="0.3">
      <c r="A267" t="s">
        <v>632</v>
      </c>
      <c r="B267" s="7">
        <v>45902</v>
      </c>
      <c r="C267" s="2">
        <v>45911</v>
      </c>
      <c r="D267" s="4">
        <f t="shared" si="39"/>
        <v>9</v>
      </c>
      <c r="E267" s="51" t="b">
        <f t="shared" si="34"/>
        <v>0</v>
      </c>
      <c r="F267" s="4" t="str">
        <f>TEXT(Data!B267,"MMM-YYYY")</f>
        <v>Oct-2024</v>
      </c>
      <c r="G267" s="4" t="str">
        <f t="shared" si="35"/>
        <v>Q3-2025</v>
      </c>
      <c r="H267" t="s">
        <v>52</v>
      </c>
      <c r="I267" t="s">
        <v>53</v>
      </c>
      <c r="J267" t="s">
        <v>54</v>
      </c>
      <c r="K267" t="s">
        <v>19</v>
      </c>
      <c r="L267" t="s">
        <v>55</v>
      </c>
      <c r="M267" t="s">
        <v>110</v>
      </c>
      <c r="N267" t="s">
        <v>30</v>
      </c>
      <c r="O267" t="s">
        <v>633</v>
      </c>
      <c r="P267" s="4">
        <v>1207.6300000000001</v>
      </c>
      <c r="Q267" s="8" t="str">
        <f t="shared" si="36"/>
        <v>High</v>
      </c>
      <c r="R267" s="4">
        <v>921.68</v>
      </c>
      <c r="S267" s="4">
        <v>0.19600000000000001</v>
      </c>
      <c r="T267" s="4">
        <v>17</v>
      </c>
      <c r="U267" s="4">
        <f t="shared" si="32"/>
        <v>1617.8811600000001</v>
      </c>
      <c r="V267">
        <f t="shared" si="33"/>
        <v>20529.710000000003</v>
      </c>
      <c r="W267" s="4">
        <f t="shared" si="37"/>
        <v>-18911.828840000002</v>
      </c>
      <c r="X267" s="4">
        <f t="shared" si="38"/>
        <v>-11.689257102171831</v>
      </c>
    </row>
    <row r="268" spans="1:24" x14ac:dyDescent="0.3">
      <c r="A268" t="s">
        <v>634</v>
      </c>
      <c r="B268" s="7">
        <v>45573</v>
      </c>
      <c r="C268" s="2">
        <v>45573</v>
      </c>
      <c r="D268" s="4">
        <f t="shared" si="39"/>
        <v>0</v>
      </c>
      <c r="E268" s="51" t="str">
        <f t="shared" si="34"/>
        <v>Yes</v>
      </c>
      <c r="F268" s="4" t="str">
        <f>TEXT(Data!B268,"MMM-YYYY")</f>
        <v>May-2023</v>
      </c>
      <c r="G268" s="4" t="str">
        <f t="shared" si="35"/>
        <v>Q4-2024</v>
      </c>
      <c r="H268" t="s">
        <v>78</v>
      </c>
      <c r="I268" t="s">
        <v>108</v>
      </c>
      <c r="J268" t="s">
        <v>152</v>
      </c>
      <c r="K268" t="s">
        <v>19</v>
      </c>
      <c r="L268" t="s">
        <v>28</v>
      </c>
      <c r="M268" t="s">
        <v>63</v>
      </c>
      <c r="N268" t="s">
        <v>64</v>
      </c>
      <c r="O268" t="s">
        <v>635</v>
      </c>
      <c r="P268" s="4">
        <v>1108.1099999999999</v>
      </c>
      <c r="Q268" s="8" t="str">
        <f t="shared" si="36"/>
        <v>High</v>
      </c>
      <c r="R268" s="4">
        <v>2503.79</v>
      </c>
      <c r="S268" s="4">
        <v>0.184</v>
      </c>
      <c r="T268" s="4">
        <v>19</v>
      </c>
      <c r="U268" s="4">
        <f t="shared" si="32"/>
        <v>32644.137120000007</v>
      </c>
      <c r="V268">
        <f t="shared" si="33"/>
        <v>21054.089999999997</v>
      </c>
      <c r="W268" s="4">
        <f t="shared" si="37"/>
        <v>11590.04712000001</v>
      </c>
      <c r="X268" s="4">
        <f t="shared" si="38"/>
        <v>0.35504222633898824</v>
      </c>
    </row>
    <row r="269" spans="1:24" x14ac:dyDescent="0.3">
      <c r="A269" t="s">
        <v>636</v>
      </c>
      <c r="B269" s="7">
        <v>45053</v>
      </c>
      <c r="C269" s="2">
        <v>45051</v>
      </c>
      <c r="D269" s="4">
        <f>DATEDIF(C269,B269, "MD")</f>
        <v>2</v>
      </c>
      <c r="E269" s="51" t="str">
        <f t="shared" si="34"/>
        <v>Yes</v>
      </c>
      <c r="F269" s="4" t="str">
        <f>TEXT(Data!B269,"MMM-YYYY")</f>
        <v>Dec-2023</v>
      </c>
      <c r="G269" s="4" t="str">
        <f t="shared" si="35"/>
        <v>Q2-2023</v>
      </c>
      <c r="H269" t="s">
        <v>16</v>
      </c>
      <c r="I269" t="s">
        <v>25</v>
      </c>
      <c r="J269" t="s">
        <v>26</v>
      </c>
      <c r="K269" t="s">
        <v>39</v>
      </c>
      <c r="L269" t="s">
        <v>40</v>
      </c>
      <c r="M269" t="s">
        <v>75</v>
      </c>
      <c r="N269" t="s">
        <v>22</v>
      </c>
      <c r="O269" t="s">
        <v>637</v>
      </c>
      <c r="P269" s="4">
        <v>1269.6500000000001</v>
      </c>
      <c r="Q269" s="8" t="str">
        <f t="shared" si="36"/>
        <v>High</v>
      </c>
      <c r="R269" s="4">
        <v>2462.77</v>
      </c>
      <c r="S269" s="4">
        <v>0.107</v>
      </c>
      <c r="T269" s="4">
        <v>8</v>
      </c>
      <c r="U269" s="4">
        <f t="shared" si="32"/>
        <v>3736.3119999999999</v>
      </c>
      <c r="V269">
        <f t="shared" si="33"/>
        <v>10157.200000000001</v>
      </c>
      <c r="W269" s="4">
        <f t="shared" si="37"/>
        <v>-6420.8880000000008</v>
      </c>
      <c r="X269" s="4">
        <f t="shared" si="38"/>
        <v>-1.7185095891349547</v>
      </c>
    </row>
    <row r="270" spans="1:24" x14ac:dyDescent="0.3">
      <c r="A270" t="s">
        <v>638</v>
      </c>
      <c r="B270" s="7">
        <v>45284</v>
      </c>
      <c r="C270" s="2">
        <v>45292</v>
      </c>
      <c r="D270" s="4">
        <f t="shared" si="39"/>
        <v>8</v>
      </c>
      <c r="E270" s="51" t="b">
        <f t="shared" si="34"/>
        <v>0</v>
      </c>
      <c r="F270" s="4" t="str">
        <f>TEXT(Data!B270,"MMM-YYYY")</f>
        <v>Jan-2024</v>
      </c>
      <c r="G270" s="4" t="str">
        <f t="shared" si="35"/>
        <v>Q4-2023</v>
      </c>
      <c r="H270" t="s">
        <v>52</v>
      </c>
      <c r="I270" t="s">
        <v>73</v>
      </c>
      <c r="J270" t="s">
        <v>74</v>
      </c>
      <c r="K270" t="s">
        <v>27</v>
      </c>
      <c r="L270" t="s">
        <v>98</v>
      </c>
      <c r="M270" t="s">
        <v>21</v>
      </c>
      <c r="N270" t="s">
        <v>42</v>
      </c>
      <c r="O270" t="s">
        <v>639</v>
      </c>
      <c r="P270" s="4">
        <v>526.49</v>
      </c>
      <c r="Q270" s="8" t="str">
        <f t="shared" si="36"/>
        <v>High</v>
      </c>
      <c r="R270" s="4">
        <v>496.2</v>
      </c>
      <c r="S270" s="4">
        <v>0</v>
      </c>
      <c r="T270" s="4">
        <v>14</v>
      </c>
      <c r="U270" s="4">
        <f t="shared" si="32"/>
        <v>15054.199999999999</v>
      </c>
      <c r="V270">
        <f t="shared" si="33"/>
        <v>7370.8600000000006</v>
      </c>
      <c r="W270" s="4">
        <f t="shared" si="37"/>
        <v>7683.3399999999983</v>
      </c>
      <c r="X270" s="4">
        <f t="shared" si="38"/>
        <v>0.51037849902352828</v>
      </c>
    </row>
    <row r="271" spans="1:24" x14ac:dyDescent="0.3">
      <c r="A271" t="s">
        <v>640</v>
      </c>
      <c r="B271" s="7">
        <v>45301</v>
      </c>
      <c r="C271" s="2">
        <v>45314</v>
      </c>
      <c r="D271" s="4">
        <f t="shared" si="39"/>
        <v>13</v>
      </c>
      <c r="E271" s="51" t="b">
        <f t="shared" si="34"/>
        <v>0</v>
      </c>
      <c r="F271" s="4" t="str">
        <f>TEXT(Data!B271,"MMM-YYYY")</f>
        <v>Aug-2023</v>
      </c>
      <c r="G271" s="4" t="str">
        <f t="shared" si="35"/>
        <v>Q1-2024</v>
      </c>
      <c r="H271" t="s">
        <v>78</v>
      </c>
      <c r="I271" t="s">
        <v>90</v>
      </c>
      <c r="J271" t="s">
        <v>91</v>
      </c>
      <c r="K271" t="s">
        <v>19</v>
      </c>
      <c r="L271" t="s">
        <v>98</v>
      </c>
      <c r="M271" t="s">
        <v>75</v>
      </c>
      <c r="N271" t="s">
        <v>30</v>
      </c>
      <c r="O271" t="s">
        <v>641</v>
      </c>
      <c r="P271" s="4">
        <v>720</v>
      </c>
      <c r="Q271" s="8" t="str">
        <f t="shared" si="36"/>
        <v>High</v>
      </c>
      <c r="R271" s="4">
        <v>907.59</v>
      </c>
      <c r="S271" s="4">
        <v>0.154</v>
      </c>
      <c r="T271" s="4">
        <v>10</v>
      </c>
      <c r="U271" s="4">
        <f t="shared" si="32"/>
        <v>27872.062200000004</v>
      </c>
      <c r="V271">
        <f t="shared" si="33"/>
        <v>7200</v>
      </c>
      <c r="W271" s="4">
        <f t="shared" si="37"/>
        <v>20672.062200000004</v>
      </c>
      <c r="X271" s="4">
        <f t="shared" si="38"/>
        <v>0.7416768106954067</v>
      </c>
    </row>
    <row r="272" spans="1:24" x14ac:dyDescent="0.3">
      <c r="A272" t="s">
        <v>642</v>
      </c>
      <c r="B272" s="7">
        <v>45141</v>
      </c>
      <c r="C272" s="2">
        <v>45152</v>
      </c>
      <c r="D272" s="4">
        <f t="shared" si="39"/>
        <v>11</v>
      </c>
      <c r="E272" s="51" t="b">
        <f t="shared" si="34"/>
        <v>0</v>
      </c>
      <c r="F272" s="4" t="str">
        <f>TEXT(Data!B272,"MMM-YYYY")</f>
        <v>Feb-2025</v>
      </c>
      <c r="G272" s="4" t="str">
        <f t="shared" si="35"/>
        <v>Q3-2023</v>
      </c>
      <c r="H272" t="s">
        <v>52</v>
      </c>
      <c r="I272" t="s">
        <v>73</v>
      </c>
      <c r="J272" t="s">
        <v>87</v>
      </c>
      <c r="K272" t="s">
        <v>19</v>
      </c>
      <c r="L272" t="s">
        <v>98</v>
      </c>
      <c r="M272" t="s">
        <v>29</v>
      </c>
      <c r="N272" t="s">
        <v>81</v>
      </c>
      <c r="O272" t="s">
        <v>643</v>
      </c>
      <c r="P272" s="4">
        <v>232.73</v>
      </c>
      <c r="Q272" s="8" t="str">
        <f t="shared" si="36"/>
        <v>High</v>
      </c>
      <c r="R272" s="4">
        <v>334.19</v>
      </c>
      <c r="S272" s="4">
        <v>0.13400000000000001</v>
      </c>
      <c r="T272" s="4">
        <v>25</v>
      </c>
      <c r="U272" s="4">
        <f t="shared" si="32"/>
        <v>10046.682500000001</v>
      </c>
      <c r="V272">
        <f t="shared" si="33"/>
        <v>5818.25</v>
      </c>
      <c r="W272" s="4">
        <f t="shared" si="37"/>
        <v>4228.4325000000008</v>
      </c>
      <c r="X272" s="4">
        <f t="shared" si="38"/>
        <v>0.42087848401698774</v>
      </c>
    </row>
    <row r="273" spans="1:24" x14ac:dyDescent="0.3">
      <c r="A273" t="s">
        <v>644</v>
      </c>
      <c r="B273" s="7">
        <v>45707</v>
      </c>
      <c r="C273" s="2">
        <v>45725</v>
      </c>
      <c r="D273" s="4">
        <f t="shared" si="39"/>
        <v>18</v>
      </c>
      <c r="E273" s="51" t="b">
        <f t="shared" si="34"/>
        <v>0</v>
      </c>
      <c r="F273" s="4" t="str">
        <f>TEXT(Data!B273,"MMM-YYYY")</f>
        <v>Mar-2024</v>
      </c>
      <c r="G273" s="4" t="str">
        <f t="shared" si="35"/>
        <v>Q1-2025</v>
      </c>
      <c r="H273" t="s">
        <v>45</v>
      </c>
      <c r="I273" t="s">
        <v>60</v>
      </c>
      <c r="J273" t="s">
        <v>141</v>
      </c>
      <c r="K273" t="s">
        <v>62</v>
      </c>
      <c r="L273" t="s">
        <v>98</v>
      </c>
      <c r="M273" t="s">
        <v>68</v>
      </c>
      <c r="N273" t="s">
        <v>64</v>
      </c>
      <c r="O273" t="s">
        <v>645</v>
      </c>
      <c r="P273" s="4">
        <v>325.87</v>
      </c>
      <c r="Q273" s="8" t="str">
        <f t="shared" si="36"/>
        <v>High</v>
      </c>
      <c r="R273" s="4">
        <v>538.79</v>
      </c>
      <c r="S273" s="4">
        <v>0.17399999999999999</v>
      </c>
      <c r="T273" s="4">
        <v>16</v>
      </c>
      <c r="U273" s="4">
        <f t="shared" si="32"/>
        <v>6753.7724800000005</v>
      </c>
      <c r="V273">
        <f t="shared" si="33"/>
        <v>5213.92</v>
      </c>
      <c r="W273" s="4">
        <f t="shared" si="37"/>
        <v>1539.8524800000005</v>
      </c>
      <c r="X273" s="4">
        <f t="shared" si="38"/>
        <v>0.22799886797489516</v>
      </c>
    </row>
    <row r="274" spans="1:24" x14ac:dyDescent="0.3">
      <c r="A274" t="s">
        <v>646</v>
      </c>
      <c r="B274" s="7">
        <v>45382</v>
      </c>
      <c r="C274" s="2">
        <v>45399</v>
      </c>
      <c r="D274" s="4">
        <f t="shared" si="39"/>
        <v>17</v>
      </c>
      <c r="E274" s="51" t="b">
        <f t="shared" si="34"/>
        <v>0</v>
      </c>
      <c r="F274" s="4" t="str">
        <f>TEXT(Data!B274,"MMM-YYYY")</f>
        <v>Jul-2023</v>
      </c>
      <c r="G274" s="4" t="str">
        <f t="shared" si="35"/>
        <v>Q1-2024</v>
      </c>
      <c r="H274" t="s">
        <v>78</v>
      </c>
      <c r="I274" t="s">
        <v>79</v>
      </c>
      <c r="J274" t="s">
        <v>335</v>
      </c>
      <c r="K274" t="s">
        <v>27</v>
      </c>
      <c r="L274" t="s">
        <v>98</v>
      </c>
      <c r="M274" t="s">
        <v>92</v>
      </c>
      <c r="N274" t="s">
        <v>64</v>
      </c>
      <c r="O274" t="s">
        <v>647</v>
      </c>
      <c r="P274" s="4">
        <v>1025.51</v>
      </c>
      <c r="Q274" s="8" t="str">
        <f t="shared" si="36"/>
        <v>High</v>
      </c>
      <c r="R274" s="4">
        <v>1436.54</v>
      </c>
      <c r="S274" s="4">
        <v>0.13900000000000001</v>
      </c>
      <c r="T274" s="4">
        <v>28</v>
      </c>
      <c r="U274" s="4">
        <f t="shared" si="32"/>
        <v>101.73576</v>
      </c>
      <c r="V274">
        <f t="shared" si="33"/>
        <v>28714.28</v>
      </c>
      <c r="W274" s="4">
        <f t="shared" si="37"/>
        <v>-28612.544239999999</v>
      </c>
      <c r="X274" s="4">
        <f t="shared" si="38"/>
        <v>-281.24372629643699</v>
      </c>
    </row>
    <row r="275" spans="1:24" x14ac:dyDescent="0.3">
      <c r="A275" t="s">
        <v>648</v>
      </c>
      <c r="B275" s="7">
        <v>45131</v>
      </c>
      <c r="C275" s="2">
        <v>45151</v>
      </c>
      <c r="D275" s="4">
        <f t="shared" si="39"/>
        <v>20</v>
      </c>
      <c r="E275" s="51" t="b">
        <f t="shared" si="34"/>
        <v>0</v>
      </c>
      <c r="F275" s="4" t="str">
        <f>TEXT(Data!B275,"MMM-YYYY")</f>
        <v>Mar-2024</v>
      </c>
      <c r="G275" s="4" t="str">
        <f t="shared" si="35"/>
        <v>Q3-2023</v>
      </c>
      <c r="H275" t="s">
        <v>52</v>
      </c>
      <c r="I275" t="s">
        <v>53</v>
      </c>
      <c r="J275" t="s">
        <v>144</v>
      </c>
      <c r="K275" t="s">
        <v>27</v>
      </c>
      <c r="L275" t="s">
        <v>98</v>
      </c>
      <c r="M275" t="s">
        <v>21</v>
      </c>
      <c r="N275" t="s">
        <v>64</v>
      </c>
      <c r="O275" t="s">
        <v>649</v>
      </c>
      <c r="P275" s="4">
        <v>1082.3800000000001</v>
      </c>
      <c r="Q275" s="8" t="str">
        <f t="shared" si="36"/>
        <v>High</v>
      </c>
      <c r="R275" s="4">
        <v>1766.55</v>
      </c>
      <c r="S275" s="4">
        <v>0.16400000000000001</v>
      </c>
      <c r="T275" s="4">
        <v>20</v>
      </c>
      <c r="U275" s="4">
        <f t="shared" si="32"/>
        <v>9651.4527999999991</v>
      </c>
      <c r="V275">
        <f t="shared" si="33"/>
        <v>21647.600000000002</v>
      </c>
      <c r="W275" s="4">
        <f t="shared" si="37"/>
        <v>-11996.147200000003</v>
      </c>
      <c r="X275" s="4">
        <f t="shared" si="38"/>
        <v>-1.242936938986015</v>
      </c>
    </row>
    <row r="276" spans="1:24" x14ac:dyDescent="0.3">
      <c r="A276" t="s">
        <v>650</v>
      </c>
      <c r="B276" s="7">
        <v>45367</v>
      </c>
      <c r="C276" s="2">
        <v>45395</v>
      </c>
      <c r="D276" s="4">
        <f t="shared" si="39"/>
        <v>28</v>
      </c>
      <c r="E276" s="51" t="b">
        <f t="shared" si="34"/>
        <v>0</v>
      </c>
      <c r="F276" s="4" t="str">
        <f>TEXT(Data!B276,"MMM-YYYY")</f>
        <v>Jan-2024</v>
      </c>
      <c r="G276" s="4" t="str">
        <f t="shared" si="35"/>
        <v>Q1-2024</v>
      </c>
      <c r="H276" t="s">
        <v>78</v>
      </c>
      <c r="I276" t="s">
        <v>90</v>
      </c>
      <c r="J276" t="s">
        <v>217</v>
      </c>
      <c r="K276" t="s">
        <v>62</v>
      </c>
      <c r="L276" t="s">
        <v>28</v>
      </c>
      <c r="M276" t="s">
        <v>95</v>
      </c>
      <c r="N276" t="s">
        <v>30</v>
      </c>
      <c r="O276" t="s">
        <v>651</v>
      </c>
      <c r="P276" s="4">
        <v>287.61</v>
      </c>
      <c r="Q276" s="8" t="str">
        <f t="shared" si="36"/>
        <v>High</v>
      </c>
      <c r="R276" s="4">
        <v>628.54</v>
      </c>
      <c r="S276" s="4">
        <v>0.13500000000000001</v>
      </c>
      <c r="T276" s="4">
        <v>21</v>
      </c>
      <c r="U276" s="4">
        <f t="shared" si="32"/>
        <v>25903.83495</v>
      </c>
      <c r="V276">
        <f t="shared" si="33"/>
        <v>6039.81</v>
      </c>
      <c r="W276" s="4">
        <f t="shared" si="37"/>
        <v>19864.024949999999</v>
      </c>
      <c r="X276" s="4">
        <f t="shared" si="38"/>
        <v>0.76683722654741504</v>
      </c>
    </row>
    <row r="277" spans="1:24" x14ac:dyDescent="0.3">
      <c r="A277" t="s">
        <v>652</v>
      </c>
      <c r="B277" s="7">
        <v>45316</v>
      </c>
      <c r="C277" s="2">
        <v>45318</v>
      </c>
      <c r="D277" s="4">
        <f t="shared" si="39"/>
        <v>2</v>
      </c>
      <c r="E277" s="51" t="str">
        <f t="shared" si="34"/>
        <v>Yes</v>
      </c>
      <c r="F277" s="4" t="str">
        <f>TEXT(Data!B277,"MMM-YYYY")</f>
        <v>Mar-2024</v>
      </c>
      <c r="G277" s="4" t="str">
        <f t="shared" si="35"/>
        <v>Q1-2024</v>
      </c>
      <c r="H277" t="s">
        <v>52</v>
      </c>
      <c r="I277" t="s">
        <v>73</v>
      </c>
      <c r="J277" t="s">
        <v>74</v>
      </c>
      <c r="K277" t="s">
        <v>39</v>
      </c>
      <c r="L277" t="s">
        <v>40</v>
      </c>
      <c r="M277" t="s">
        <v>126</v>
      </c>
      <c r="N277" t="s">
        <v>57</v>
      </c>
      <c r="O277" t="s">
        <v>653</v>
      </c>
      <c r="P277" s="4">
        <v>1410.97</v>
      </c>
      <c r="Q277" s="8" t="str">
        <f t="shared" si="36"/>
        <v>High</v>
      </c>
      <c r="R277" s="4">
        <v>1650.75</v>
      </c>
      <c r="S277" s="4">
        <v>0.13500000000000001</v>
      </c>
      <c r="T277" s="4">
        <v>6</v>
      </c>
      <c r="U277" s="4">
        <f t="shared" si="32"/>
        <v>7059.0227999999997</v>
      </c>
      <c r="V277">
        <f t="shared" si="33"/>
        <v>8465.82</v>
      </c>
      <c r="W277" s="4">
        <f t="shared" si="37"/>
        <v>-1406.7972</v>
      </c>
      <c r="X277" s="4">
        <f t="shared" si="38"/>
        <v>-0.19929064402511917</v>
      </c>
    </row>
    <row r="278" spans="1:24" x14ac:dyDescent="0.3">
      <c r="A278" t="s">
        <v>654</v>
      </c>
      <c r="B278" s="7">
        <v>45378</v>
      </c>
      <c r="C278" s="2">
        <v>45393</v>
      </c>
      <c r="D278" s="4">
        <f t="shared" si="39"/>
        <v>15</v>
      </c>
      <c r="E278" s="51" t="b">
        <f t="shared" si="34"/>
        <v>0</v>
      </c>
      <c r="F278" s="4" t="str">
        <f>TEXT(Data!B278,"MMM-YYYY")</f>
        <v>Jun-2025</v>
      </c>
      <c r="G278" s="4" t="str">
        <f t="shared" si="35"/>
        <v>Q1-2024</v>
      </c>
      <c r="H278" t="s">
        <v>52</v>
      </c>
      <c r="I278" t="s">
        <v>122</v>
      </c>
      <c r="J278" t="s">
        <v>167</v>
      </c>
      <c r="K278" t="s">
        <v>62</v>
      </c>
      <c r="L278" t="s">
        <v>98</v>
      </c>
      <c r="M278" t="s">
        <v>68</v>
      </c>
      <c r="N278" t="s">
        <v>35</v>
      </c>
      <c r="O278" t="s">
        <v>655</v>
      </c>
      <c r="P278" s="4">
        <v>1338.35</v>
      </c>
      <c r="Q278" s="8" t="str">
        <f t="shared" si="36"/>
        <v>High</v>
      </c>
      <c r="R278" s="4">
        <v>2247.14</v>
      </c>
      <c r="S278" s="4">
        <v>0.115</v>
      </c>
      <c r="T278" s="4">
        <v>40</v>
      </c>
      <c r="U278" s="4">
        <f t="shared" si="32"/>
        <v>73316.94</v>
      </c>
      <c r="V278">
        <f t="shared" si="33"/>
        <v>53534</v>
      </c>
      <c r="W278" s="4">
        <f t="shared" si="37"/>
        <v>19782.940000000002</v>
      </c>
      <c r="X278" s="4">
        <f t="shared" si="38"/>
        <v>0.26982768238827209</v>
      </c>
    </row>
    <row r="279" spans="1:24" x14ac:dyDescent="0.3">
      <c r="A279" t="s">
        <v>656</v>
      </c>
      <c r="B279" s="7">
        <v>45832</v>
      </c>
      <c r="C279" s="2">
        <v>45852</v>
      </c>
      <c r="D279" s="4">
        <f t="shared" si="39"/>
        <v>20</v>
      </c>
      <c r="E279" s="51" t="b">
        <f t="shared" si="34"/>
        <v>0</v>
      </c>
      <c r="F279" s="4" t="str">
        <f>TEXT(Data!B279,"MMM-YYYY")</f>
        <v>Jun-2024</v>
      </c>
      <c r="G279" s="4" t="str">
        <f t="shared" si="35"/>
        <v>Q2-2025</v>
      </c>
      <c r="H279" t="s">
        <v>78</v>
      </c>
      <c r="I279" t="s">
        <v>79</v>
      </c>
      <c r="J279" t="s">
        <v>80</v>
      </c>
      <c r="K279" t="s">
        <v>19</v>
      </c>
      <c r="L279" t="s">
        <v>98</v>
      </c>
      <c r="M279" t="s">
        <v>68</v>
      </c>
      <c r="N279" t="s">
        <v>81</v>
      </c>
      <c r="O279" t="s">
        <v>657</v>
      </c>
      <c r="P279" s="4">
        <v>385.08</v>
      </c>
      <c r="Q279" s="8" t="str">
        <f t="shared" si="36"/>
        <v>High</v>
      </c>
      <c r="R279" s="4">
        <v>893.19</v>
      </c>
      <c r="S279" s="4">
        <v>0.151</v>
      </c>
      <c r="T279" s="4">
        <v>8</v>
      </c>
      <c r="U279" s="4">
        <f t="shared" si="32"/>
        <v>6655.0732799999996</v>
      </c>
      <c r="V279">
        <f t="shared" si="33"/>
        <v>3080.64</v>
      </c>
      <c r="W279" s="4">
        <f t="shared" si="37"/>
        <v>3574.4332799999997</v>
      </c>
      <c r="X279" s="4">
        <f t="shared" si="38"/>
        <v>0.53709901147775185</v>
      </c>
    </row>
    <row r="280" spans="1:24" x14ac:dyDescent="0.3">
      <c r="A280" t="s">
        <v>658</v>
      </c>
      <c r="B280" s="7">
        <v>45459</v>
      </c>
      <c r="C280" s="2">
        <v>45476</v>
      </c>
      <c r="D280" s="4">
        <f t="shared" si="39"/>
        <v>17</v>
      </c>
      <c r="E280" s="51" t="b">
        <f t="shared" si="34"/>
        <v>0</v>
      </c>
      <c r="F280" s="4" t="str">
        <f>TEXT(Data!B280,"MMM-YYYY")</f>
        <v>Oct-2023</v>
      </c>
      <c r="G280" s="4" t="str">
        <f t="shared" si="35"/>
        <v>Q2-2024</v>
      </c>
      <c r="H280" t="s">
        <v>16</v>
      </c>
      <c r="I280" t="s">
        <v>148</v>
      </c>
      <c r="J280" t="s">
        <v>149</v>
      </c>
      <c r="K280" t="s">
        <v>105</v>
      </c>
      <c r="L280" t="s">
        <v>40</v>
      </c>
      <c r="M280" t="s">
        <v>84</v>
      </c>
      <c r="N280" t="s">
        <v>42</v>
      </c>
      <c r="O280" t="s">
        <v>659</v>
      </c>
      <c r="P280" s="4">
        <v>1173.83</v>
      </c>
      <c r="Q280" s="8" t="str">
        <f t="shared" si="36"/>
        <v>High</v>
      </c>
      <c r="R280" s="4">
        <v>2328.9</v>
      </c>
      <c r="S280" s="4">
        <v>0.12</v>
      </c>
      <c r="T280" s="4">
        <v>17</v>
      </c>
      <c r="U280" s="4">
        <f t="shared" si="32"/>
        <v>8039.3543999999993</v>
      </c>
      <c r="V280">
        <f t="shared" si="33"/>
        <v>19955.11</v>
      </c>
      <c r="W280" s="4">
        <f t="shared" si="37"/>
        <v>-11915.7556</v>
      </c>
      <c r="X280" s="4">
        <f t="shared" si="38"/>
        <v>-1.4821781709237749</v>
      </c>
    </row>
    <row r="281" spans="1:24" x14ac:dyDescent="0.3">
      <c r="A281" t="s">
        <v>660</v>
      </c>
      <c r="B281" s="7">
        <v>45229</v>
      </c>
      <c r="C281" s="2">
        <v>45244</v>
      </c>
      <c r="D281" s="4">
        <f t="shared" si="39"/>
        <v>15</v>
      </c>
      <c r="E281" s="51" t="b">
        <f t="shared" si="34"/>
        <v>0</v>
      </c>
      <c r="F281" s="4" t="str">
        <f>TEXT(Data!B281,"MMM-YYYY")</f>
        <v>Jun-2023</v>
      </c>
      <c r="G281" s="4" t="str">
        <f t="shared" si="35"/>
        <v>Q4-2023</v>
      </c>
      <c r="H281" t="s">
        <v>45</v>
      </c>
      <c r="I281" t="s">
        <v>60</v>
      </c>
      <c r="J281" t="s">
        <v>61</v>
      </c>
      <c r="K281" t="s">
        <v>19</v>
      </c>
      <c r="L281" t="s">
        <v>28</v>
      </c>
      <c r="M281" t="s">
        <v>84</v>
      </c>
      <c r="N281" t="s">
        <v>57</v>
      </c>
      <c r="O281" t="s">
        <v>661</v>
      </c>
      <c r="P281" s="4">
        <v>953.46</v>
      </c>
      <c r="Q281" s="8" t="str">
        <f t="shared" si="36"/>
        <v>High</v>
      </c>
      <c r="R281" s="4">
        <v>2066.75</v>
      </c>
      <c r="S281" s="4">
        <v>0.13800000000000001</v>
      </c>
      <c r="T281" s="4">
        <v>5</v>
      </c>
      <c r="U281" s="4">
        <f t="shared" si="32"/>
        <v>919.40919999999994</v>
      </c>
      <c r="V281">
        <f t="shared" si="33"/>
        <v>4767.3</v>
      </c>
      <c r="W281" s="4">
        <f t="shared" si="37"/>
        <v>-3847.8908000000001</v>
      </c>
      <c r="X281" s="4">
        <f t="shared" si="38"/>
        <v>-4.1851776118838062</v>
      </c>
    </row>
    <row r="282" spans="1:24" x14ac:dyDescent="0.3">
      <c r="A282" t="s">
        <v>662</v>
      </c>
      <c r="B282" s="7">
        <v>45092</v>
      </c>
      <c r="C282" s="2">
        <v>45100</v>
      </c>
      <c r="D282" s="4">
        <f t="shared" si="39"/>
        <v>8</v>
      </c>
      <c r="E282" s="51" t="b">
        <f t="shared" si="34"/>
        <v>0</v>
      </c>
      <c r="F282" s="4" t="str">
        <f>TEXT(Data!B282,"MMM-YYYY")</f>
        <v>Mar-2025</v>
      </c>
      <c r="G282" s="4" t="str">
        <f t="shared" si="35"/>
        <v>Q2-2023</v>
      </c>
      <c r="H282" t="s">
        <v>52</v>
      </c>
      <c r="I282" t="s">
        <v>122</v>
      </c>
      <c r="J282" t="s">
        <v>167</v>
      </c>
      <c r="K282" t="s">
        <v>48</v>
      </c>
      <c r="L282" t="s">
        <v>55</v>
      </c>
      <c r="M282" t="s">
        <v>68</v>
      </c>
      <c r="N282" t="s">
        <v>64</v>
      </c>
      <c r="O282" t="s">
        <v>663</v>
      </c>
      <c r="P282" s="4">
        <v>1097.0899999999999</v>
      </c>
      <c r="Q282" s="8" t="str">
        <f t="shared" si="36"/>
        <v>High</v>
      </c>
      <c r="R282" s="4">
        <v>2182.31</v>
      </c>
      <c r="S282" s="4">
        <v>0.112</v>
      </c>
      <c r="T282" s="4">
        <v>9</v>
      </c>
      <c r="U282" s="4">
        <f t="shared" si="32"/>
        <v>15941.402639999998</v>
      </c>
      <c r="V282">
        <f t="shared" si="33"/>
        <v>9873.81</v>
      </c>
      <c r="W282" s="4">
        <f t="shared" si="37"/>
        <v>6067.5926399999989</v>
      </c>
      <c r="X282" s="4">
        <f t="shared" si="38"/>
        <v>0.38061849242646062</v>
      </c>
    </row>
    <row r="283" spans="1:24" x14ac:dyDescent="0.3">
      <c r="A283" t="s">
        <v>664</v>
      </c>
      <c r="B283" s="7">
        <v>45730</v>
      </c>
      <c r="C283" s="2">
        <v>45745</v>
      </c>
      <c r="D283" s="4">
        <f t="shared" si="39"/>
        <v>15</v>
      </c>
      <c r="E283" s="51" t="b">
        <f t="shared" si="34"/>
        <v>0</v>
      </c>
      <c r="F283" s="4" t="str">
        <f>TEXT(Data!B283,"MMM-YYYY")</f>
        <v>Aug-2023</v>
      </c>
      <c r="G283" s="4" t="str">
        <f t="shared" si="35"/>
        <v>Q1-2025</v>
      </c>
      <c r="H283" t="s">
        <v>45</v>
      </c>
      <c r="I283" t="s">
        <v>46</v>
      </c>
      <c r="J283" t="s">
        <v>214</v>
      </c>
      <c r="K283" t="s">
        <v>39</v>
      </c>
      <c r="L283" t="s">
        <v>98</v>
      </c>
      <c r="M283" t="s">
        <v>92</v>
      </c>
      <c r="N283" t="s">
        <v>35</v>
      </c>
      <c r="O283" t="s">
        <v>665</v>
      </c>
      <c r="P283" s="4">
        <v>1106.96</v>
      </c>
      <c r="Q283" s="8" t="str">
        <f t="shared" si="36"/>
        <v>High</v>
      </c>
      <c r="R283" s="4">
        <v>2726.62</v>
      </c>
      <c r="S283" s="4">
        <v>0.317</v>
      </c>
      <c r="T283" s="4">
        <v>7</v>
      </c>
      <c r="U283" s="4">
        <f t="shared" si="32"/>
        <v>2643.1280400000001</v>
      </c>
      <c r="V283">
        <f t="shared" si="33"/>
        <v>7748.72</v>
      </c>
      <c r="W283" s="4">
        <f t="shared" si="37"/>
        <v>-5105.5919599999997</v>
      </c>
      <c r="X283" s="4">
        <f t="shared" si="38"/>
        <v>-1.9316476094741137</v>
      </c>
    </row>
    <row r="284" spans="1:24" x14ac:dyDescent="0.3">
      <c r="A284" t="s">
        <v>666</v>
      </c>
      <c r="B284" s="7">
        <v>45153</v>
      </c>
      <c r="C284" s="2">
        <v>45163</v>
      </c>
      <c r="D284" s="4">
        <f t="shared" si="39"/>
        <v>10</v>
      </c>
      <c r="E284" s="51" t="b">
        <f t="shared" si="34"/>
        <v>0</v>
      </c>
      <c r="F284" s="4" t="str">
        <f>TEXT(Data!B284,"MMM-YYYY")</f>
        <v>May-2025</v>
      </c>
      <c r="G284" s="4" t="str">
        <f t="shared" si="35"/>
        <v>Q3-2023</v>
      </c>
      <c r="H284" t="s">
        <v>16</v>
      </c>
      <c r="I284" t="s">
        <v>17</v>
      </c>
      <c r="J284" t="s">
        <v>33</v>
      </c>
      <c r="K284" t="s">
        <v>62</v>
      </c>
      <c r="L284" t="s">
        <v>20</v>
      </c>
      <c r="M284" t="s">
        <v>126</v>
      </c>
      <c r="N284" t="s">
        <v>42</v>
      </c>
      <c r="O284" t="s">
        <v>667</v>
      </c>
      <c r="P284" s="4">
        <v>91.85</v>
      </c>
      <c r="Q284" s="8" t="str">
        <f t="shared" si="36"/>
        <v>Medium</v>
      </c>
      <c r="R284" s="4">
        <v>111.29</v>
      </c>
      <c r="S284" s="4">
        <v>0</v>
      </c>
      <c r="T284" s="4">
        <v>6</v>
      </c>
      <c r="U284" s="4">
        <f t="shared" si="32"/>
        <v>1349.6999999999998</v>
      </c>
      <c r="V284">
        <f t="shared" si="33"/>
        <v>551.09999999999991</v>
      </c>
      <c r="W284" s="4">
        <f t="shared" si="37"/>
        <v>798.59999999999991</v>
      </c>
      <c r="X284" s="4">
        <f t="shared" si="38"/>
        <v>0.59168704156479224</v>
      </c>
    </row>
    <row r="285" spans="1:24" x14ac:dyDescent="0.3">
      <c r="A285" t="s">
        <v>668</v>
      </c>
      <c r="B285" s="7">
        <v>45794</v>
      </c>
      <c r="C285" s="2">
        <v>45805</v>
      </c>
      <c r="D285" s="4">
        <f t="shared" si="39"/>
        <v>11</v>
      </c>
      <c r="E285" s="51" t="b">
        <f t="shared" si="34"/>
        <v>0</v>
      </c>
      <c r="F285" s="4" t="str">
        <f>TEXT(Data!B285,"MMM-YYYY")</f>
        <v>Jan-2024</v>
      </c>
      <c r="G285" s="4" t="str">
        <f t="shared" si="35"/>
        <v>Q2-2025</v>
      </c>
      <c r="H285" t="s">
        <v>45</v>
      </c>
      <c r="I285" t="s">
        <v>60</v>
      </c>
      <c r="J285" t="s">
        <v>61</v>
      </c>
      <c r="K285" t="s">
        <v>19</v>
      </c>
      <c r="L285" t="s">
        <v>55</v>
      </c>
      <c r="M285" t="s">
        <v>56</v>
      </c>
      <c r="N285" t="s">
        <v>57</v>
      </c>
      <c r="O285" t="s">
        <v>669</v>
      </c>
      <c r="P285" s="4">
        <v>623.4</v>
      </c>
      <c r="Q285" s="8" t="str">
        <f t="shared" si="36"/>
        <v>High</v>
      </c>
      <c r="R285" s="4">
        <v>1100.0899999999999</v>
      </c>
      <c r="S285" s="4">
        <v>0.114</v>
      </c>
      <c r="T285" s="4">
        <v>12</v>
      </c>
      <c r="U285" s="4">
        <f t="shared" si="32"/>
        <v>8208.8608800000002</v>
      </c>
      <c r="V285">
        <f t="shared" si="33"/>
        <v>7480.7999999999993</v>
      </c>
      <c r="W285" s="4">
        <f t="shared" si="37"/>
        <v>728.06088000000091</v>
      </c>
      <c r="X285" s="4">
        <f t="shared" si="38"/>
        <v>8.8692071974790357E-2</v>
      </c>
    </row>
    <row r="286" spans="1:24" x14ac:dyDescent="0.3">
      <c r="A286" t="s">
        <v>670</v>
      </c>
      <c r="B286" s="7">
        <v>45304</v>
      </c>
      <c r="C286" s="2">
        <v>45327</v>
      </c>
      <c r="D286" s="4">
        <f t="shared" si="39"/>
        <v>23</v>
      </c>
      <c r="E286" s="51" t="b">
        <f t="shared" si="34"/>
        <v>0</v>
      </c>
      <c r="F286" s="4" t="str">
        <f>TEXT(Data!B286,"MMM-YYYY")</f>
        <v>Jun-2023</v>
      </c>
      <c r="G286" s="4" t="str">
        <f t="shared" si="35"/>
        <v>Q1-2024</v>
      </c>
      <c r="H286" t="s">
        <v>78</v>
      </c>
      <c r="I286" t="s">
        <v>79</v>
      </c>
      <c r="J286" t="s">
        <v>335</v>
      </c>
      <c r="K286" t="s">
        <v>27</v>
      </c>
      <c r="L286" t="s">
        <v>98</v>
      </c>
      <c r="M286" t="s">
        <v>56</v>
      </c>
      <c r="N286" t="s">
        <v>57</v>
      </c>
      <c r="O286" t="s">
        <v>671</v>
      </c>
      <c r="P286" s="4">
        <v>1017.93</v>
      </c>
      <c r="Q286" s="8" t="str">
        <f t="shared" si="36"/>
        <v>High</v>
      </c>
      <c r="R286" s="4">
        <v>1529.14</v>
      </c>
      <c r="S286" s="4">
        <v>0.155</v>
      </c>
      <c r="T286" s="4">
        <v>12</v>
      </c>
      <c r="U286" s="4">
        <f t="shared" si="32"/>
        <v>31932.989400000002</v>
      </c>
      <c r="V286">
        <f t="shared" si="33"/>
        <v>12215.16</v>
      </c>
      <c r="W286" s="4">
        <f t="shared" si="37"/>
        <v>19717.829400000002</v>
      </c>
      <c r="X286" s="4">
        <f t="shared" si="38"/>
        <v>0.61747521201381794</v>
      </c>
    </row>
    <row r="287" spans="1:24" x14ac:dyDescent="0.3">
      <c r="A287" t="s">
        <v>672</v>
      </c>
      <c r="B287" s="7">
        <v>45101</v>
      </c>
      <c r="C287" s="2">
        <v>45128</v>
      </c>
      <c r="D287" s="4">
        <f t="shared" si="39"/>
        <v>27</v>
      </c>
      <c r="E287" s="51" t="b">
        <f t="shared" si="34"/>
        <v>0</v>
      </c>
      <c r="F287" s="4" t="str">
        <f>TEXT(Data!B287,"MMM-YYYY")</f>
        <v>Apr-2025</v>
      </c>
      <c r="G287" s="4" t="str">
        <f t="shared" si="35"/>
        <v>Q2-2023</v>
      </c>
      <c r="H287" t="s">
        <v>45</v>
      </c>
      <c r="I287" t="s">
        <v>46</v>
      </c>
      <c r="J287" t="s">
        <v>231</v>
      </c>
      <c r="K287" t="s">
        <v>48</v>
      </c>
      <c r="L287" t="s">
        <v>40</v>
      </c>
      <c r="M287" t="s">
        <v>29</v>
      </c>
      <c r="N287" t="s">
        <v>42</v>
      </c>
      <c r="O287" t="s">
        <v>673</v>
      </c>
      <c r="P287" s="4">
        <v>554.76</v>
      </c>
      <c r="Q287" s="8" t="str">
        <f t="shared" si="36"/>
        <v>High</v>
      </c>
      <c r="R287" s="4">
        <v>728.69</v>
      </c>
      <c r="S287" s="4">
        <v>0.22</v>
      </c>
      <c r="T287" s="4">
        <v>7</v>
      </c>
      <c r="U287" s="4">
        <f t="shared" si="32"/>
        <v>314.11380000000003</v>
      </c>
      <c r="V287">
        <f t="shared" si="33"/>
        <v>3883.3199999999997</v>
      </c>
      <c r="W287" s="4">
        <f t="shared" si="37"/>
        <v>-3569.2061999999996</v>
      </c>
      <c r="X287" s="4">
        <f t="shared" si="38"/>
        <v>-11.362780622818862</v>
      </c>
    </row>
    <row r="288" spans="1:24" x14ac:dyDescent="0.3">
      <c r="A288" t="s">
        <v>674</v>
      </c>
      <c r="B288" s="7">
        <v>45751</v>
      </c>
      <c r="C288" s="2">
        <v>45760</v>
      </c>
      <c r="D288" s="4">
        <f t="shared" si="39"/>
        <v>9</v>
      </c>
      <c r="E288" s="51" t="b">
        <f t="shared" si="34"/>
        <v>0</v>
      </c>
      <c r="F288" s="4" t="str">
        <f>TEXT(Data!B288,"MMM-YYYY")</f>
        <v>Sept-2024</v>
      </c>
      <c r="G288" s="4" t="str">
        <f t="shared" si="35"/>
        <v>Q2-2025</v>
      </c>
      <c r="H288" t="s">
        <v>78</v>
      </c>
      <c r="I288" t="s">
        <v>79</v>
      </c>
      <c r="J288" t="s">
        <v>159</v>
      </c>
      <c r="K288" t="s">
        <v>48</v>
      </c>
      <c r="L288" t="s">
        <v>40</v>
      </c>
      <c r="M288" t="s">
        <v>84</v>
      </c>
      <c r="N288" t="s">
        <v>42</v>
      </c>
      <c r="O288" t="s">
        <v>675</v>
      </c>
      <c r="P288" s="4">
        <v>7.02</v>
      </c>
      <c r="Q288" s="8" t="str">
        <f t="shared" si="36"/>
        <v>Low</v>
      </c>
      <c r="R288" s="4">
        <v>6.28</v>
      </c>
      <c r="S288" s="4">
        <v>0.13400000000000001</v>
      </c>
      <c r="T288" s="4">
        <v>14</v>
      </c>
      <c r="U288" s="4">
        <f t="shared" si="32"/>
        <v>9999.9964400000008</v>
      </c>
      <c r="V288">
        <f t="shared" si="33"/>
        <v>98.28</v>
      </c>
      <c r="W288" s="4">
        <f t="shared" si="37"/>
        <v>9901.7164400000001</v>
      </c>
      <c r="X288" s="4">
        <f t="shared" si="38"/>
        <v>0.99017199650123067</v>
      </c>
    </row>
    <row r="289" spans="1:24" x14ac:dyDescent="0.3">
      <c r="A289" t="s">
        <v>676</v>
      </c>
      <c r="B289" s="7">
        <v>45542</v>
      </c>
      <c r="C289" s="2">
        <v>45542</v>
      </c>
      <c r="D289" s="4">
        <f t="shared" si="39"/>
        <v>0</v>
      </c>
      <c r="E289" s="51" t="str">
        <f t="shared" si="34"/>
        <v>Yes</v>
      </c>
      <c r="F289" s="4" t="str">
        <f>TEXT(Data!B289,"MMM-YYYY")</f>
        <v>Jan-2024</v>
      </c>
      <c r="G289" s="4" t="str">
        <f t="shared" si="35"/>
        <v>Q3-2024</v>
      </c>
      <c r="H289" t="s">
        <v>45</v>
      </c>
      <c r="I289" t="s">
        <v>60</v>
      </c>
      <c r="J289" t="s">
        <v>220</v>
      </c>
      <c r="K289" t="s">
        <v>27</v>
      </c>
      <c r="L289" t="s">
        <v>55</v>
      </c>
      <c r="M289" t="s">
        <v>56</v>
      </c>
      <c r="N289" t="s">
        <v>35</v>
      </c>
      <c r="O289" t="s">
        <v>677</v>
      </c>
      <c r="P289" s="4">
        <v>1066.6500000000001</v>
      </c>
      <c r="Q289" s="8" t="str">
        <f t="shared" si="36"/>
        <v>High</v>
      </c>
      <c r="R289" s="4">
        <v>2569.77</v>
      </c>
      <c r="S289" s="4">
        <v>0.13400000000000001</v>
      </c>
      <c r="T289" s="4">
        <v>9</v>
      </c>
      <c r="U289" s="4">
        <f t="shared" si="32"/>
        <v>11640.572819999999</v>
      </c>
      <c r="V289">
        <f t="shared" si="33"/>
        <v>9599.85</v>
      </c>
      <c r="W289" s="4">
        <f t="shared" si="37"/>
        <v>2040.722819999999</v>
      </c>
      <c r="X289" s="4">
        <f t="shared" si="38"/>
        <v>0.17531120259767416</v>
      </c>
    </row>
    <row r="290" spans="1:24" x14ac:dyDescent="0.3">
      <c r="A290" t="s">
        <v>678</v>
      </c>
      <c r="B290" s="7">
        <v>45319</v>
      </c>
      <c r="C290" s="2">
        <v>45321</v>
      </c>
      <c r="D290" s="4">
        <f t="shared" si="39"/>
        <v>2</v>
      </c>
      <c r="E290" s="51" t="str">
        <f t="shared" si="34"/>
        <v>Yes</v>
      </c>
      <c r="F290" s="4" t="str">
        <f>TEXT(Data!B290,"MMM-YYYY")</f>
        <v>Jul-2023</v>
      </c>
      <c r="G290" s="4" t="str">
        <f t="shared" si="35"/>
        <v>Q1-2024</v>
      </c>
      <c r="H290" t="s">
        <v>16</v>
      </c>
      <c r="I290" t="s">
        <v>148</v>
      </c>
      <c r="J290" t="s">
        <v>258</v>
      </c>
      <c r="K290" t="s">
        <v>48</v>
      </c>
      <c r="L290" t="s">
        <v>98</v>
      </c>
      <c r="M290" t="s">
        <v>84</v>
      </c>
      <c r="N290" t="s">
        <v>81</v>
      </c>
      <c r="O290" t="s">
        <v>679</v>
      </c>
      <c r="P290" s="4">
        <v>798.45</v>
      </c>
      <c r="Q290" s="8" t="str">
        <f t="shared" si="36"/>
        <v>High</v>
      </c>
      <c r="R290" s="4">
        <v>1592.02</v>
      </c>
      <c r="S290" s="4">
        <v>6.6000000000000003E-2</v>
      </c>
      <c r="T290" s="4">
        <v>18</v>
      </c>
      <c r="U290" s="4">
        <f t="shared" si="32"/>
        <v>12473.159039999999</v>
      </c>
      <c r="V290">
        <f t="shared" si="33"/>
        <v>14372.1</v>
      </c>
      <c r="W290" s="4">
        <f t="shared" si="37"/>
        <v>-1898.9409600000017</v>
      </c>
      <c r="X290" s="4">
        <f t="shared" si="38"/>
        <v>-0.15224218290733843</v>
      </c>
    </row>
    <row r="291" spans="1:24" x14ac:dyDescent="0.3">
      <c r="A291" t="s">
        <v>680</v>
      </c>
      <c r="B291" s="7">
        <v>45125</v>
      </c>
      <c r="C291" s="2">
        <v>45148</v>
      </c>
      <c r="D291" s="4">
        <f t="shared" si="39"/>
        <v>23</v>
      </c>
      <c r="E291" s="51" t="b">
        <f t="shared" si="34"/>
        <v>0</v>
      </c>
      <c r="F291" s="4" t="str">
        <f>TEXT(Data!B291,"MMM-YYYY")</f>
        <v>Aug-2025</v>
      </c>
      <c r="G291" s="4" t="str">
        <f t="shared" si="35"/>
        <v>Q3-2023</v>
      </c>
      <c r="H291" t="s">
        <v>16</v>
      </c>
      <c r="I291" t="s">
        <v>148</v>
      </c>
      <c r="J291" t="s">
        <v>149</v>
      </c>
      <c r="K291" t="s">
        <v>62</v>
      </c>
      <c r="L291" t="s">
        <v>20</v>
      </c>
      <c r="M291" t="s">
        <v>49</v>
      </c>
      <c r="N291" t="s">
        <v>22</v>
      </c>
      <c r="O291" t="s">
        <v>681</v>
      </c>
      <c r="P291" s="4">
        <v>1271.56</v>
      </c>
      <c r="Q291" s="8" t="str">
        <f t="shared" si="36"/>
        <v>High</v>
      </c>
      <c r="R291" s="4">
        <v>995.47</v>
      </c>
      <c r="S291" s="4">
        <v>0.192</v>
      </c>
      <c r="T291" s="4">
        <v>13</v>
      </c>
      <c r="U291" s="4">
        <f t="shared" si="32"/>
        <v>7796.3839200000002</v>
      </c>
      <c r="V291">
        <f t="shared" si="33"/>
        <v>16530.28</v>
      </c>
      <c r="W291" s="4">
        <f t="shared" si="37"/>
        <v>-8733.8960799999986</v>
      </c>
      <c r="X291" s="4">
        <f t="shared" si="38"/>
        <v>-1.1202496143878966</v>
      </c>
    </row>
    <row r="292" spans="1:24" x14ac:dyDescent="0.3">
      <c r="A292" t="s">
        <v>682</v>
      </c>
      <c r="B292" s="7">
        <v>45897</v>
      </c>
      <c r="C292" s="2">
        <v>45895</v>
      </c>
      <c r="D292" s="4">
        <f>DATEDIF(C292,B292, "MD")</f>
        <v>2</v>
      </c>
      <c r="E292" s="51" t="str">
        <f t="shared" si="34"/>
        <v>Yes</v>
      </c>
      <c r="F292" s="4" t="str">
        <f>TEXT(Data!B292,"MMM-YYYY")</f>
        <v>Mar-2025</v>
      </c>
      <c r="G292" s="4" t="str">
        <f t="shared" si="35"/>
        <v>Q3-2025</v>
      </c>
      <c r="H292" t="s">
        <v>16</v>
      </c>
      <c r="I292" t="s">
        <v>25</v>
      </c>
      <c r="J292" t="s">
        <v>26</v>
      </c>
      <c r="K292" t="s">
        <v>62</v>
      </c>
      <c r="L292" t="s">
        <v>20</v>
      </c>
      <c r="M292" t="s">
        <v>75</v>
      </c>
      <c r="N292" t="s">
        <v>81</v>
      </c>
      <c r="O292" t="s">
        <v>683</v>
      </c>
      <c r="P292" s="4">
        <v>521.05999999999995</v>
      </c>
      <c r="Q292" s="8" t="str">
        <f t="shared" si="36"/>
        <v>High</v>
      </c>
      <c r="R292" s="4">
        <v>1240.31</v>
      </c>
      <c r="S292" s="4">
        <v>0.14599999999999999</v>
      </c>
      <c r="T292" s="4">
        <v>18</v>
      </c>
      <c r="U292" s="4">
        <f t="shared" si="32"/>
        <v>7371.4888800000008</v>
      </c>
      <c r="V292">
        <f t="shared" si="33"/>
        <v>9379.0799999999981</v>
      </c>
      <c r="W292" s="4">
        <f t="shared" si="37"/>
        <v>-2007.5911199999973</v>
      </c>
      <c r="X292" s="4">
        <f t="shared" si="38"/>
        <v>-0.27234540439271437</v>
      </c>
    </row>
    <row r="293" spans="1:24" x14ac:dyDescent="0.3">
      <c r="A293" t="s">
        <v>684</v>
      </c>
      <c r="B293" s="7">
        <v>45746</v>
      </c>
      <c r="C293" s="2">
        <v>45754</v>
      </c>
      <c r="D293" s="4">
        <f t="shared" si="39"/>
        <v>8</v>
      </c>
      <c r="E293" s="51" t="b">
        <f t="shared" si="34"/>
        <v>0</v>
      </c>
      <c r="F293" s="4" t="str">
        <f>TEXT(Data!B293,"MMM-YYYY")</f>
        <v>Oct-2023</v>
      </c>
      <c r="G293" s="4" t="str">
        <f t="shared" si="35"/>
        <v>Q1-2025</v>
      </c>
      <c r="H293" t="s">
        <v>52</v>
      </c>
      <c r="I293" t="s">
        <v>73</v>
      </c>
      <c r="J293" t="s">
        <v>74</v>
      </c>
      <c r="K293" t="s">
        <v>39</v>
      </c>
      <c r="L293" t="s">
        <v>98</v>
      </c>
      <c r="M293" t="s">
        <v>49</v>
      </c>
      <c r="N293" t="s">
        <v>30</v>
      </c>
      <c r="O293" t="s">
        <v>685</v>
      </c>
      <c r="P293" s="4">
        <v>71.62</v>
      </c>
      <c r="Q293" s="8" t="str">
        <f t="shared" si="36"/>
        <v>Medium</v>
      </c>
      <c r="R293" s="4">
        <v>118.37</v>
      </c>
      <c r="S293" s="4">
        <v>0.156</v>
      </c>
      <c r="T293" s="4">
        <v>11</v>
      </c>
      <c r="U293" s="4">
        <f t="shared" si="32"/>
        <v>10911.020999999999</v>
      </c>
      <c r="V293">
        <f t="shared" si="33"/>
        <v>787.82</v>
      </c>
      <c r="W293" s="4">
        <f t="shared" si="37"/>
        <v>10123.200999999999</v>
      </c>
      <c r="X293" s="4">
        <f t="shared" si="38"/>
        <v>0.92779594136973986</v>
      </c>
    </row>
    <row r="294" spans="1:24" x14ac:dyDescent="0.3">
      <c r="A294" t="s">
        <v>686</v>
      </c>
      <c r="B294" s="7">
        <v>45220</v>
      </c>
      <c r="C294" s="2">
        <v>45239</v>
      </c>
      <c r="D294" s="4">
        <f t="shared" si="39"/>
        <v>19</v>
      </c>
      <c r="E294" s="51" t="b">
        <f t="shared" si="34"/>
        <v>0</v>
      </c>
      <c r="F294" s="4" t="str">
        <f>TEXT(Data!B294,"MMM-YYYY")</f>
        <v>Aug-2023</v>
      </c>
      <c r="G294" s="4" t="str">
        <f t="shared" si="35"/>
        <v>Q4-2023</v>
      </c>
      <c r="H294" t="s">
        <v>78</v>
      </c>
      <c r="I294" t="s">
        <v>108</v>
      </c>
      <c r="J294" t="s">
        <v>152</v>
      </c>
      <c r="K294" t="s">
        <v>39</v>
      </c>
      <c r="L294" t="s">
        <v>98</v>
      </c>
      <c r="M294" t="s">
        <v>75</v>
      </c>
      <c r="N294" t="s">
        <v>81</v>
      </c>
      <c r="O294" t="s">
        <v>687</v>
      </c>
      <c r="P294" s="4">
        <v>1142.48</v>
      </c>
      <c r="Q294" s="8" t="str">
        <f t="shared" si="36"/>
        <v>High</v>
      </c>
      <c r="R294" s="4">
        <v>2105.5300000000002</v>
      </c>
      <c r="S294" s="4">
        <v>0.20699999999999999</v>
      </c>
      <c r="T294" s="4">
        <v>14</v>
      </c>
      <c r="U294" s="4">
        <f t="shared" si="32"/>
        <v>2525.1498999999999</v>
      </c>
      <c r="V294">
        <f t="shared" si="33"/>
        <v>15994.720000000001</v>
      </c>
      <c r="W294" s="4">
        <f t="shared" si="37"/>
        <v>-13469.570100000001</v>
      </c>
      <c r="X294" s="4">
        <f t="shared" si="38"/>
        <v>-5.3341665379944381</v>
      </c>
    </row>
    <row r="295" spans="1:24" x14ac:dyDescent="0.3">
      <c r="A295" t="s">
        <v>688</v>
      </c>
      <c r="B295" s="7">
        <v>45161</v>
      </c>
      <c r="C295" s="2">
        <v>45191</v>
      </c>
      <c r="D295" s="4">
        <f t="shared" si="39"/>
        <v>30</v>
      </c>
      <c r="E295" s="51" t="b">
        <f t="shared" si="34"/>
        <v>0</v>
      </c>
      <c r="F295" s="4" t="str">
        <f>TEXT(Data!B295,"MMM-YYYY")</f>
        <v>Apr-2025</v>
      </c>
      <c r="G295" s="4" t="str">
        <f t="shared" si="35"/>
        <v>Q3-2023</v>
      </c>
      <c r="H295" t="s">
        <v>78</v>
      </c>
      <c r="I295" t="s">
        <v>108</v>
      </c>
      <c r="J295" t="s">
        <v>152</v>
      </c>
      <c r="K295" t="s">
        <v>48</v>
      </c>
      <c r="L295" t="s">
        <v>55</v>
      </c>
      <c r="M295" t="s">
        <v>68</v>
      </c>
      <c r="N295" t="s">
        <v>81</v>
      </c>
      <c r="O295" t="s">
        <v>689</v>
      </c>
      <c r="P295" s="4">
        <v>209.81</v>
      </c>
      <c r="Q295" s="8" t="str">
        <f t="shared" si="36"/>
        <v>High</v>
      </c>
      <c r="R295" s="4">
        <v>523</v>
      </c>
      <c r="S295" s="4">
        <v>5.8999999999999997E-2</v>
      </c>
      <c r="T295" s="4">
        <v>15</v>
      </c>
      <c r="U295" s="4">
        <f t="shared" si="32"/>
        <v>16636.221300000001</v>
      </c>
      <c r="V295">
        <f t="shared" si="33"/>
        <v>3147.15</v>
      </c>
      <c r="W295" s="4">
        <f t="shared" si="37"/>
        <v>13489.071300000001</v>
      </c>
      <c r="X295" s="4">
        <f t="shared" si="38"/>
        <v>0.81082543065233215</v>
      </c>
    </row>
    <row r="296" spans="1:24" x14ac:dyDescent="0.3">
      <c r="A296" t="s">
        <v>690</v>
      </c>
      <c r="B296" s="7">
        <v>45758</v>
      </c>
      <c r="C296" s="2">
        <v>45781</v>
      </c>
      <c r="D296" s="4">
        <f t="shared" si="39"/>
        <v>23</v>
      </c>
      <c r="E296" s="51" t="b">
        <f t="shared" si="34"/>
        <v>0</v>
      </c>
      <c r="F296" s="4" t="str">
        <f>TEXT(Data!B296,"MMM-YYYY")</f>
        <v>Jun-2025</v>
      </c>
      <c r="G296" s="4" t="str">
        <f t="shared" si="35"/>
        <v>Q2-2025</v>
      </c>
      <c r="H296" t="s">
        <v>45</v>
      </c>
      <c r="I296" t="s">
        <v>46</v>
      </c>
      <c r="J296" t="s">
        <v>47</v>
      </c>
      <c r="K296" t="s">
        <v>62</v>
      </c>
      <c r="L296" t="s">
        <v>28</v>
      </c>
      <c r="M296" t="s">
        <v>110</v>
      </c>
      <c r="N296" t="s">
        <v>22</v>
      </c>
      <c r="O296" t="s">
        <v>691</v>
      </c>
      <c r="P296" s="4">
        <v>786.2</v>
      </c>
      <c r="Q296" s="8" t="str">
        <f t="shared" si="36"/>
        <v>High</v>
      </c>
      <c r="R296" s="4">
        <v>1075.3</v>
      </c>
      <c r="S296" s="4">
        <v>0.08</v>
      </c>
      <c r="T296" s="4">
        <v>9</v>
      </c>
      <c r="U296" s="4">
        <f t="shared" si="32"/>
        <v>20054.987999999998</v>
      </c>
      <c r="V296">
        <f t="shared" si="33"/>
        <v>7075.8</v>
      </c>
      <c r="W296" s="4">
        <f t="shared" si="37"/>
        <v>12979.187999999998</v>
      </c>
      <c r="X296" s="4">
        <f t="shared" si="38"/>
        <v>0.64718004318925548</v>
      </c>
    </row>
    <row r="297" spans="1:24" x14ac:dyDescent="0.3">
      <c r="A297" t="s">
        <v>692</v>
      </c>
      <c r="B297" s="7">
        <v>45809</v>
      </c>
      <c r="C297" s="2">
        <v>45835</v>
      </c>
      <c r="D297" s="4">
        <f t="shared" si="39"/>
        <v>26</v>
      </c>
      <c r="E297" s="51" t="b">
        <f t="shared" si="34"/>
        <v>0</v>
      </c>
      <c r="F297" s="4" t="str">
        <f>TEXT(Data!B297,"MMM-YYYY")</f>
        <v>Mar-2024</v>
      </c>
      <c r="G297" s="4" t="str">
        <f t="shared" si="35"/>
        <v>Q2-2025</v>
      </c>
      <c r="H297" t="s">
        <v>78</v>
      </c>
      <c r="I297" t="s">
        <v>79</v>
      </c>
      <c r="J297" t="s">
        <v>159</v>
      </c>
      <c r="K297" t="s">
        <v>48</v>
      </c>
      <c r="L297" t="s">
        <v>55</v>
      </c>
      <c r="M297" t="s">
        <v>63</v>
      </c>
      <c r="N297" t="s">
        <v>57</v>
      </c>
      <c r="O297" t="s">
        <v>693</v>
      </c>
      <c r="P297" s="4">
        <v>1362.31</v>
      </c>
      <c r="Q297" s="8" t="str">
        <f t="shared" si="36"/>
        <v>High</v>
      </c>
      <c r="R297" s="4">
        <v>3294.57</v>
      </c>
      <c r="S297" s="4">
        <v>0.113</v>
      </c>
      <c r="T297" s="4">
        <v>7</v>
      </c>
      <c r="U297" s="4">
        <f t="shared" si="32"/>
        <v>2693.96092</v>
      </c>
      <c r="V297">
        <f t="shared" si="33"/>
        <v>9536.17</v>
      </c>
      <c r="W297" s="4">
        <f t="shared" si="37"/>
        <v>-6842.2090800000005</v>
      </c>
      <c r="X297" s="4">
        <f t="shared" si="38"/>
        <v>-2.5398323447097373</v>
      </c>
    </row>
    <row r="298" spans="1:24" x14ac:dyDescent="0.3">
      <c r="A298" t="s">
        <v>694</v>
      </c>
      <c r="B298" s="7">
        <v>45353</v>
      </c>
      <c r="C298" s="2">
        <v>45367</v>
      </c>
      <c r="D298" s="4">
        <f t="shared" si="39"/>
        <v>14</v>
      </c>
      <c r="E298" s="51" t="b">
        <f t="shared" si="34"/>
        <v>0</v>
      </c>
      <c r="F298" s="4" t="str">
        <f>TEXT(Data!B298,"MMM-YYYY")</f>
        <v>Jun-2023</v>
      </c>
      <c r="G298" s="4" t="str">
        <f t="shared" si="35"/>
        <v>Q1-2024</v>
      </c>
      <c r="H298" t="s">
        <v>52</v>
      </c>
      <c r="I298" t="s">
        <v>53</v>
      </c>
      <c r="J298" t="s">
        <v>179</v>
      </c>
      <c r="K298" t="s">
        <v>39</v>
      </c>
      <c r="L298" t="s">
        <v>98</v>
      </c>
      <c r="M298" t="s">
        <v>68</v>
      </c>
      <c r="N298" t="s">
        <v>30</v>
      </c>
      <c r="O298" t="s">
        <v>695</v>
      </c>
      <c r="P298" s="4">
        <v>248.24</v>
      </c>
      <c r="Q298" s="8" t="str">
        <f t="shared" si="36"/>
        <v>High</v>
      </c>
      <c r="R298" s="4">
        <v>464.05</v>
      </c>
      <c r="S298" s="4">
        <v>0.16900000000000001</v>
      </c>
      <c r="T298" s="4">
        <v>11</v>
      </c>
      <c r="U298" s="4">
        <f t="shared" si="32"/>
        <v>28786.197329999999</v>
      </c>
      <c r="V298">
        <f t="shared" si="33"/>
        <v>2730.6400000000003</v>
      </c>
      <c r="W298" s="4">
        <f t="shared" si="37"/>
        <v>26055.55733</v>
      </c>
      <c r="X298" s="4">
        <f t="shared" si="38"/>
        <v>0.90514064887777934</v>
      </c>
    </row>
    <row r="299" spans="1:24" x14ac:dyDescent="0.3">
      <c r="A299" t="s">
        <v>696</v>
      </c>
      <c r="B299" s="7">
        <v>45097</v>
      </c>
      <c r="C299" s="2">
        <v>45115</v>
      </c>
      <c r="D299" s="4">
        <f t="shared" si="39"/>
        <v>18</v>
      </c>
      <c r="E299" s="51" t="b">
        <f t="shared" si="34"/>
        <v>0</v>
      </c>
      <c r="F299" s="4" t="str">
        <f>TEXT(Data!B299,"MMM-YYYY")</f>
        <v>Mar-2024</v>
      </c>
      <c r="G299" s="4" t="str">
        <f t="shared" si="35"/>
        <v>Q2-2023</v>
      </c>
      <c r="H299" t="s">
        <v>52</v>
      </c>
      <c r="I299" t="s">
        <v>122</v>
      </c>
      <c r="J299" t="s">
        <v>326</v>
      </c>
      <c r="K299" t="s">
        <v>39</v>
      </c>
      <c r="L299" t="s">
        <v>98</v>
      </c>
      <c r="M299" t="s">
        <v>84</v>
      </c>
      <c r="N299" t="s">
        <v>64</v>
      </c>
      <c r="O299" t="s">
        <v>697</v>
      </c>
      <c r="P299" s="4">
        <v>337</v>
      </c>
      <c r="Q299" s="8" t="str">
        <f t="shared" si="36"/>
        <v>High</v>
      </c>
      <c r="R299" s="4">
        <v>511.03</v>
      </c>
      <c r="S299" s="4">
        <v>0.108</v>
      </c>
      <c r="T299" s="4">
        <v>7</v>
      </c>
      <c r="U299" s="4">
        <f t="shared" si="32"/>
        <v>409.91860000000008</v>
      </c>
      <c r="V299">
        <f t="shared" si="33"/>
        <v>2359</v>
      </c>
      <c r="W299" s="4">
        <f t="shared" si="37"/>
        <v>-1949.0814</v>
      </c>
      <c r="X299" s="4">
        <f t="shared" si="38"/>
        <v>-4.7548010751402829</v>
      </c>
    </row>
    <row r="300" spans="1:24" x14ac:dyDescent="0.3">
      <c r="A300" t="s">
        <v>698</v>
      </c>
      <c r="B300" s="7">
        <v>45377</v>
      </c>
      <c r="C300" s="2">
        <v>45387</v>
      </c>
      <c r="D300" s="4">
        <f t="shared" si="39"/>
        <v>10</v>
      </c>
      <c r="E300" s="51" t="b">
        <f t="shared" si="34"/>
        <v>0</v>
      </c>
      <c r="F300" s="4" t="str">
        <f>TEXT(Data!B300,"MMM-YYYY")</f>
        <v>Jan-2025</v>
      </c>
      <c r="G300" s="4" t="str">
        <f t="shared" si="35"/>
        <v>Q1-2024</v>
      </c>
      <c r="H300" t="s">
        <v>52</v>
      </c>
      <c r="I300" t="s">
        <v>122</v>
      </c>
      <c r="J300" t="s">
        <v>326</v>
      </c>
      <c r="K300" t="s">
        <v>48</v>
      </c>
      <c r="L300" t="s">
        <v>98</v>
      </c>
      <c r="M300" t="s">
        <v>29</v>
      </c>
      <c r="N300" t="s">
        <v>64</v>
      </c>
      <c r="O300" t="s">
        <v>699</v>
      </c>
      <c r="P300" s="4">
        <v>5.66</v>
      </c>
      <c r="Q300" s="8" t="str">
        <f t="shared" si="36"/>
        <v>Low</v>
      </c>
      <c r="R300" s="4">
        <v>4.22</v>
      </c>
      <c r="S300" s="4">
        <v>0.11899999999999999</v>
      </c>
      <c r="T300" s="4">
        <v>18</v>
      </c>
      <c r="U300" s="4">
        <f t="shared" si="32"/>
        <v>39520.356119999997</v>
      </c>
      <c r="V300">
        <f t="shared" si="33"/>
        <v>101.88</v>
      </c>
      <c r="W300" s="4">
        <f t="shared" si="37"/>
        <v>39418.476119999999</v>
      </c>
      <c r="X300" s="4">
        <f t="shared" si="38"/>
        <v>0.99742208800723742</v>
      </c>
    </row>
    <row r="301" spans="1:24" x14ac:dyDescent="0.3">
      <c r="A301" t="s">
        <v>700</v>
      </c>
      <c r="B301" s="7">
        <v>45679</v>
      </c>
      <c r="C301" s="2">
        <v>45679</v>
      </c>
      <c r="D301" s="4">
        <f t="shared" si="39"/>
        <v>0</v>
      </c>
      <c r="E301" s="51" t="str">
        <f t="shared" si="34"/>
        <v>Yes</v>
      </c>
      <c r="F301" s="4" t="str">
        <f>TEXT(Data!B301,"MMM-YYYY")</f>
        <v>May-2025</v>
      </c>
      <c r="G301" s="4" t="str">
        <f t="shared" si="35"/>
        <v>Q1-2025</v>
      </c>
      <c r="H301" t="s">
        <v>78</v>
      </c>
      <c r="I301" t="s">
        <v>90</v>
      </c>
      <c r="J301" t="s">
        <v>138</v>
      </c>
      <c r="K301" t="s">
        <v>62</v>
      </c>
      <c r="L301" t="s">
        <v>28</v>
      </c>
      <c r="M301" t="s">
        <v>56</v>
      </c>
      <c r="N301" t="s">
        <v>81</v>
      </c>
      <c r="O301" t="s">
        <v>701</v>
      </c>
      <c r="P301" s="4">
        <v>591.72</v>
      </c>
      <c r="Q301" s="8" t="str">
        <f t="shared" si="36"/>
        <v>High</v>
      </c>
      <c r="R301" s="4">
        <v>577.24</v>
      </c>
      <c r="S301" s="4">
        <v>0</v>
      </c>
      <c r="T301" s="4">
        <v>22</v>
      </c>
      <c r="U301" s="4">
        <f t="shared" si="32"/>
        <v>20500.48</v>
      </c>
      <c r="V301">
        <f t="shared" si="33"/>
        <v>13017.84</v>
      </c>
      <c r="W301" s="4">
        <f t="shared" si="37"/>
        <v>7482.6399999999994</v>
      </c>
      <c r="X301" s="4">
        <f t="shared" si="38"/>
        <v>0.36499828296703296</v>
      </c>
    </row>
    <row r="302" spans="1:24" x14ac:dyDescent="0.3">
      <c r="A302" t="s">
        <v>702</v>
      </c>
      <c r="B302" s="7">
        <v>45787</v>
      </c>
      <c r="C302" s="2">
        <v>45804</v>
      </c>
      <c r="D302" s="4">
        <f t="shared" si="39"/>
        <v>17</v>
      </c>
      <c r="E302" s="51" t="b">
        <f t="shared" si="34"/>
        <v>0</v>
      </c>
      <c r="F302" s="4" t="str">
        <f>TEXT(Data!B302,"MMM-YYYY")</f>
        <v>Oct-2023</v>
      </c>
      <c r="G302" s="4" t="str">
        <f t="shared" si="35"/>
        <v>Q2-2025</v>
      </c>
      <c r="H302" t="s">
        <v>52</v>
      </c>
      <c r="I302" t="s">
        <v>53</v>
      </c>
      <c r="J302" t="s">
        <v>179</v>
      </c>
      <c r="K302" t="s">
        <v>27</v>
      </c>
      <c r="L302" t="s">
        <v>98</v>
      </c>
      <c r="M302" t="s">
        <v>21</v>
      </c>
      <c r="N302" t="s">
        <v>22</v>
      </c>
      <c r="O302" t="s">
        <v>703</v>
      </c>
      <c r="P302" s="4">
        <v>862.89</v>
      </c>
      <c r="Q302" s="8" t="str">
        <f t="shared" si="36"/>
        <v>High</v>
      </c>
      <c r="R302" s="4">
        <v>1426.03</v>
      </c>
      <c r="S302" s="4">
        <v>5.6000000000000001E-2</v>
      </c>
      <c r="T302" s="4">
        <v>19</v>
      </c>
      <c r="U302" s="4">
        <f t="shared" si="32"/>
        <v>11111.531359999999</v>
      </c>
      <c r="V302">
        <f t="shared" si="33"/>
        <v>16394.91</v>
      </c>
      <c r="W302" s="4">
        <f t="shared" si="37"/>
        <v>-5283.3786400000008</v>
      </c>
      <c r="X302" s="4">
        <f t="shared" si="38"/>
        <v>-0.4754860935747745</v>
      </c>
    </row>
    <row r="303" spans="1:24" x14ac:dyDescent="0.3">
      <c r="A303" t="s">
        <v>704</v>
      </c>
      <c r="B303" s="7">
        <v>45204</v>
      </c>
      <c r="C303" s="2">
        <v>45230</v>
      </c>
      <c r="D303" s="4">
        <f t="shared" si="39"/>
        <v>26</v>
      </c>
      <c r="E303" s="51" t="b">
        <f t="shared" si="34"/>
        <v>0</v>
      </c>
      <c r="F303" s="4" t="str">
        <f>TEXT(Data!B303,"MMM-YYYY")</f>
        <v>Jul-2023</v>
      </c>
      <c r="G303" s="4" t="str">
        <f t="shared" si="35"/>
        <v>Q4-2023</v>
      </c>
      <c r="H303" t="s">
        <v>45</v>
      </c>
      <c r="I303" t="s">
        <v>116</v>
      </c>
      <c r="J303" t="s">
        <v>162</v>
      </c>
      <c r="K303" t="s">
        <v>48</v>
      </c>
      <c r="L303" t="s">
        <v>1364</v>
      </c>
      <c r="M303" t="s">
        <v>29</v>
      </c>
      <c r="N303" t="s">
        <v>30</v>
      </c>
      <c r="O303" t="s">
        <v>705</v>
      </c>
      <c r="P303" s="4">
        <v>649.91</v>
      </c>
      <c r="Q303" s="8" t="str">
        <f t="shared" si="36"/>
        <v>High</v>
      </c>
      <c r="R303" s="4">
        <v>1360.12</v>
      </c>
      <c r="S303" s="4">
        <v>0.19400000000000001</v>
      </c>
      <c r="T303" s="4">
        <v>9</v>
      </c>
      <c r="U303" s="4">
        <f t="shared" si="32"/>
        <v>10311.923699999999</v>
      </c>
      <c r="V303">
        <f t="shared" si="33"/>
        <v>5849.19</v>
      </c>
      <c r="W303" s="4">
        <f t="shared" si="37"/>
        <v>4462.7336999999998</v>
      </c>
      <c r="X303" s="4">
        <f t="shared" si="38"/>
        <v>0.43277411953697836</v>
      </c>
    </row>
    <row r="304" spans="1:24" x14ac:dyDescent="0.3">
      <c r="A304" t="s">
        <v>706</v>
      </c>
      <c r="B304" s="7">
        <v>45125</v>
      </c>
      <c r="C304" s="2">
        <v>45129</v>
      </c>
      <c r="D304" s="4">
        <f t="shared" si="39"/>
        <v>4</v>
      </c>
      <c r="E304" s="51" t="str">
        <f t="shared" si="34"/>
        <v>Yes</v>
      </c>
      <c r="F304" s="4" t="str">
        <f>TEXT(Data!B304,"MMM-YYYY")</f>
        <v>Jun-2025</v>
      </c>
      <c r="G304" s="4" t="str">
        <f t="shared" si="35"/>
        <v>Q3-2023</v>
      </c>
      <c r="H304" t="s">
        <v>52</v>
      </c>
      <c r="I304" t="s">
        <v>73</v>
      </c>
      <c r="J304" t="s">
        <v>74</v>
      </c>
      <c r="K304" t="s">
        <v>48</v>
      </c>
      <c r="L304" t="s">
        <v>98</v>
      </c>
      <c r="M304" t="s">
        <v>84</v>
      </c>
      <c r="N304" t="s">
        <v>35</v>
      </c>
      <c r="O304" t="s">
        <v>707</v>
      </c>
      <c r="P304" s="4">
        <v>1269.55</v>
      </c>
      <c r="Q304" s="8" t="str">
        <f t="shared" si="36"/>
        <v>High</v>
      </c>
      <c r="R304" s="4">
        <v>2071.1</v>
      </c>
      <c r="S304" s="4">
        <v>0.129</v>
      </c>
      <c r="T304" s="4">
        <v>22</v>
      </c>
      <c r="U304" s="4">
        <f t="shared" si="32"/>
        <v>18252.954719999998</v>
      </c>
      <c r="V304">
        <f t="shared" si="33"/>
        <v>27930.1</v>
      </c>
      <c r="W304" s="4">
        <f t="shared" si="37"/>
        <v>-9677.1452800000006</v>
      </c>
      <c r="X304" s="4">
        <f t="shared" si="38"/>
        <v>-0.53016870027057195</v>
      </c>
    </row>
    <row r="305" spans="1:24" x14ac:dyDescent="0.3">
      <c r="A305" t="s">
        <v>708</v>
      </c>
      <c r="B305" s="7">
        <v>45830</v>
      </c>
      <c r="C305" s="2">
        <v>45846</v>
      </c>
      <c r="D305" s="4">
        <f t="shared" si="39"/>
        <v>16</v>
      </c>
      <c r="E305" s="51" t="b">
        <f t="shared" si="34"/>
        <v>0</v>
      </c>
      <c r="F305" s="4" t="str">
        <f>TEXT(Data!B305,"MMM-YYYY")</f>
        <v>Jun-2024</v>
      </c>
      <c r="G305" s="4" t="str">
        <f t="shared" si="35"/>
        <v>Q2-2025</v>
      </c>
      <c r="H305" t="s">
        <v>78</v>
      </c>
      <c r="I305" t="s">
        <v>108</v>
      </c>
      <c r="J305" t="s">
        <v>152</v>
      </c>
      <c r="K305" t="s">
        <v>27</v>
      </c>
      <c r="L305" t="s">
        <v>98</v>
      </c>
      <c r="M305" t="s">
        <v>75</v>
      </c>
      <c r="N305" t="s">
        <v>42</v>
      </c>
      <c r="O305" t="s">
        <v>709</v>
      </c>
      <c r="P305" s="4">
        <v>892.73</v>
      </c>
      <c r="Q305" s="8" t="str">
        <f t="shared" si="36"/>
        <v>High</v>
      </c>
      <c r="R305" s="4">
        <v>979.84</v>
      </c>
      <c r="S305" s="4">
        <v>0.17399999999999999</v>
      </c>
      <c r="T305" s="4">
        <v>10</v>
      </c>
      <c r="U305" s="4">
        <f t="shared" si="32"/>
        <v>26053.196400000001</v>
      </c>
      <c r="V305">
        <f t="shared" si="33"/>
        <v>8927.2999999999993</v>
      </c>
      <c r="W305" s="4">
        <f t="shared" si="37"/>
        <v>17125.896400000001</v>
      </c>
      <c r="X305" s="4">
        <f t="shared" si="38"/>
        <v>0.65734338839129935</v>
      </c>
    </row>
    <row r="306" spans="1:24" x14ac:dyDescent="0.3">
      <c r="A306" t="s">
        <v>710</v>
      </c>
      <c r="B306" s="7">
        <v>45462</v>
      </c>
      <c r="C306" s="2">
        <v>45463</v>
      </c>
      <c r="D306" s="4">
        <f t="shared" si="39"/>
        <v>1</v>
      </c>
      <c r="E306" s="51" t="str">
        <f t="shared" si="34"/>
        <v>Yes</v>
      </c>
      <c r="F306" s="4" t="str">
        <f>TEXT(Data!B306,"MMM-YYYY")</f>
        <v>Apr-2025</v>
      </c>
      <c r="G306" s="4" t="str">
        <f t="shared" si="35"/>
        <v>Q2-2024</v>
      </c>
      <c r="H306" t="s">
        <v>16</v>
      </c>
      <c r="I306" t="s">
        <v>17</v>
      </c>
      <c r="J306" t="s">
        <v>18</v>
      </c>
      <c r="K306" t="s">
        <v>62</v>
      </c>
      <c r="L306" t="s">
        <v>98</v>
      </c>
      <c r="M306" t="s">
        <v>29</v>
      </c>
      <c r="N306" t="s">
        <v>57</v>
      </c>
      <c r="O306" t="s">
        <v>711</v>
      </c>
      <c r="P306" s="4">
        <v>231.63</v>
      </c>
      <c r="Q306" s="8" t="str">
        <f t="shared" si="36"/>
        <v>High</v>
      </c>
      <c r="R306" s="4">
        <v>537.39</v>
      </c>
      <c r="S306" s="4">
        <v>0.08</v>
      </c>
      <c r="T306" s="4">
        <v>12</v>
      </c>
      <c r="U306" s="4">
        <f t="shared" si="32"/>
        <v>2496.5855999999999</v>
      </c>
      <c r="V306">
        <f t="shared" si="33"/>
        <v>2779.56</v>
      </c>
      <c r="W306" s="4">
        <f t="shared" si="37"/>
        <v>-282.97440000000006</v>
      </c>
      <c r="X306" s="4">
        <f t="shared" si="38"/>
        <v>-0.11334456146827093</v>
      </c>
    </row>
    <row r="307" spans="1:24" x14ac:dyDescent="0.3">
      <c r="A307" t="s">
        <v>712</v>
      </c>
      <c r="B307" s="7">
        <v>45756</v>
      </c>
      <c r="C307" s="2">
        <v>45759</v>
      </c>
      <c r="D307" s="4">
        <f t="shared" si="39"/>
        <v>3</v>
      </c>
      <c r="E307" s="51" t="str">
        <f t="shared" si="34"/>
        <v>Yes</v>
      </c>
      <c r="F307" s="4" t="str">
        <f>TEXT(Data!B307,"MMM-YYYY")</f>
        <v>Mar-2025</v>
      </c>
      <c r="G307" s="4" t="str">
        <f t="shared" si="35"/>
        <v>Q2-2025</v>
      </c>
      <c r="H307" t="s">
        <v>78</v>
      </c>
      <c r="I307" t="s">
        <v>90</v>
      </c>
      <c r="J307" t="s">
        <v>138</v>
      </c>
      <c r="K307" t="s">
        <v>62</v>
      </c>
      <c r="L307" t="s">
        <v>55</v>
      </c>
      <c r="M307" t="s">
        <v>92</v>
      </c>
      <c r="N307" t="s">
        <v>64</v>
      </c>
      <c r="O307" t="s">
        <v>713</v>
      </c>
      <c r="P307" s="4">
        <v>86.68</v>
      </c>
      <c r="Q307" s="8" t="str">
        <f t="shared" si="36"/>
        <v>High</v>
      </c>
      <c r="R307" s="4">
        <v>213.32</v>
      </c>
      <c r="S307" s="4">
        <v>3.7999999999999999E-2</v>
      </c>
      <c r="T307" s="4">
        <v>8</v>
      </c>
      <c r="U307" s="4">
        <f t="shared" si="32"/>
        <v>6818.0403199999992</v>
      </c>
      <c r="V307">
        <f t="shared" si="33"/>
        <v>693.44</v>
      </c>
      <c r="W307" s="4">
        <f t="shared" si="37"/>
        <v>6124.6003199999996</v>
      </c>
      <c r="X307" s="4">
        <f t="shared" si="38"/>
        <v>0.89829335594190218</v>
      </c>
    </row>
    <row r="308" spans="1:24" x14ac:dyDescent="0.3">
      <c r="A308" t="s">
        <v>714</v>
      </c>
      <c r="B308" s="7">
        <v>45741</v>
      </c>
      <c r="C308" s="2">
        <v>45742</v>
      </c>
      <c r="D308" s="4">
        <f t="shared" si="39"/>
        <v>1</v>
      </c>
      <c r="E308" s="51" t="str">
        <f t="shared" si="34"/>
        <v>Yes</v>
      </c>
      <c r="F308" s="4" t="str">
        <f>TEXT(Data!B308,"MMM-YYYY")</f>
        <v>May-2025</v>
      </c>
      <c r="G308" s="4" t="str">
        <f t="shared" si="35"/>
        <v>Q1-2025</v>
      </c>
      <c r="H308" t="s">
        <v>16</v>
      </c>
      <c r="I308" t="s">
        <v>25</v>
      </c>
      <c r="J308" t="s">
        <v>38</v>
      </c>
      <c r="K308" t="s">
        <v>27</v>
      </c>
      <c r="L308" t="s">
        <v>55</v>
      </c>
      <c r="M308" t="s">
        <v>41</v>
      </c>
      <c r="N308" t="s">
        <v>81</v>
      </c>
      <c r="O308" t="s">
        <v>715</v>
      </c>
      <c r="P308" s="4">
        <v>1450.43</v>
      </c>
      <c r="Q308" s="8" t="str">
        <f t="shared" si="36"/>
        <v>High</v>
      </c>
      <c r="R308" s="4">
        <v>1994.67</v>
      </c>
      <c r="S308" s="4">
        <v>0.1</v>
      </c>
      <c r="T308" s="4">
        <v>24</v>
      </c>
      <c r="U308" s="4">
        <f t="shared" si="32"/>
        <v>52560.144000000008</v>
      </c>
      <c r="V308">
        <f t="shared" si="33"/>
        <v>34810.32</v>
      </c>
      <c r="W308" s="4">
        <f t="shared" si="37"/>
        <v>17749.824000000008</v>
      </c>
      <c r="X308" s="4">
        <f t="shared" si="38"/>
        <v>0.33770501085385163</v>
      </c>
    </row>
    <row r="309" spans="1:24" x14ac:dyDescent="0.3">
      <c r="A309" t="s">
        <v>716</v>
      </c>
      <c r="B309" s="7">
        <v>45795</v>
      </c>
      <c r="C309" s="2">
        <v>45817</v>
      </c>
      <c r="D309" s="4">
        <f t="shared" si="39"/>
        <v>22</v>
      </c>
      <c r="E309" s="51" t="b">
        <f t="shared" si="34"/>
        <v>0</v>
      </c>
      <c r="F309" s="4" t="str">
        <f>TEXT(Data!B309,"MMM-YYYY")</f>
        <v>Jan-2025</v>
      </c>
      <c r="G309" s="4" t="str">
        <f t="shared" si="35"/>
        <v>Q2-2025</v>
      </c>
      <c r="H309" t="s">
        <v>52</v>
      </c>
      <c r="I309" t="s">
        <v>122</v>
      </c>
      <c r="J309" t="s">
        <v>387</v>
      </c>
      <c r="K309" t="s">
        <v>48</v>
      </c>
      <c r="L309" t="s">
        <v>20</v>
      </c>
      <c r="M309" t="s">
        <v>92</v>
      </c>
      <c r="N309" t="s">
        <v>35</v>
      </c>
      <c r="O309" t="s">
        <v>717</v>
      </c>
      <c r="P309" s="4">
        <v>382.96</v>
      </c>
      <c r="Q309" s="8" t="str">
        <f t="shared" si="36"/>
        <v>High</v>
      </c>
      <c r="R309" s="4">
        <v>552.84</v>
      </c>
      <c r="S309" s="4">
        <v>0.17599999999999999</v>
      </c>
      <c r="T309" s="4">
        <v>8</v>
      </c>
      <c r="U309" s="4">
        <f t="shared" si="32"/>
        <v>7609.4092799999999</v>
      </c>
      <c r="V309">
        <f t="shared" si="33"/>
        <v>3063.68</v>
      </c>
      <c r="W309" s="4">
        <f t="shared" si="37"/>
        <v>4545.7292799999996</v>
      </c>
      <c r="X309" s="4">
        <f t="shared" si="38"/>
        <v>0.59738267620164065</v>
      </c>
    </row>
    <row r="310" spans="1:24" x14ac:dyDescent="0.3">
      <c r="A310" t="s">
        <v>718</v>
      </c>
      <c r="B310" s="7">
        <v>45679</v>
      </c>
      <c r="C310" s="2">
        <v>45692</v>
      </c>
      <c r="D310" s="4">
        <f t="shared" si="39"/>
        <v>13</v>
      </c>
      <c r="E310" s="51" t="b">
        <f t="shared" si="34"/>
        <v>0</v>
      </c>
      <c r="F310" s="4" t="str">
        <f>TEXT(Data!B310,"MMM-YYYY")</f>
        <v>Jan-2023</v>
      </c>
      <c r="G310" s="4" t="str">
        <f t="shared" si="35"/>
        <v>Q1-2025</v>
      </c>
      <c r="H310" t="s">
        <v>45</v>
      </c>
      <c r="I310" t="s">
        <v>46</v>
      </c>
      <c r="J310" t="s">
        <v>214</v>
      </c>
      <c r="K310" t="s">
        <v>62</v>
      </c>
      <c r="L310" t="s">
        <v>55</v>
      </c>
      <c r="M310" t="s">
        <v>49</v>
      </c>
      <c r="N310" t="s">
        <v>30</v>
      </c>
      <c r="O310" t="s">
        <v>719</v>
      </c>
      <c r="P310" s="4">
        <v>122.29</v>
      </c>
      <c r="Q310" s="8" t="str">
        <f t="shared" si="36"/>
        <v>High</v>
      </c>
      <c r="R310" s="4">
        <v>224.95</v>
      </c>
      <c r="S310" s="4">
        <v>0.153</v>
      </c>
      <c r="T310" s="4">
        <v>28</v>
      </c>
      <c r="U310" s="4">
        <f t="shared" si="32"/>
        <v>26941.13884</v>
      </c>
      <c r="V310">
        <f t="shared" si="33"/>
        <v>3424.1200000000003</v>
      </c>
      <c r="W310" s="4">
        <f t="shared" si="37"/>
        <v>23517.018840000001</v>
      </c>
      <c r="X310" s="4">
        <f t="shared" si="38"/>
        <v>0.8729036652705956</v>
      </c>
    </row>
    <row r="311" spans="1:24" x14ac:dyDescent="0.3">
      <c r="A311" t="s">
        <v>720</v>
      </c>
      <c r="B311" s="7">
        <v>44936</v>
      </c>
      <c r="C311" s="2">
        <v>44955</v>
      </c>
      <c r="D311" s="4">
        <f t="shared" si="39"/>
        <v>19</v>
      </c>
      <c r="E311" s="51" t="b">
        <f t="shared" si="34"/>
        <v>0</v>
      </c>
      <c r="F311" s="4" t="str">
        <f>TEXT(Data!B311,"MMM-YYYY")</f>
        <v>Dec-2024</v>
      </c>
      <c r="G311" s="4" t="str">
        <f t="shared" si="35"/>
        <v>Q1-2023</v>
      </c>
      <c r="H311" t="s">
        <v>78</v>
      </c>
      <c r="I311" t="s">
        <v>90</v>
      </c>
      <c r="J311" t="s">
        <v>138</v>
      </c>
      <c r="K311" t="s">
        <v>39</v>
      </c>
      <c r="L311" t="s">
        <v>98</v>
      </c>
      <c r="M311" t="s">
        <v>145</v>
      </c>
      <c r="N311" t="s">
        <v>57</v>
      </c>
      <c r="O311" t="s">
        <v>721</v>
      </c>
      <c r="P311" s="4">
        <v>401.66</v>
      </c>
      <c r="Q311" s="8" t="str">
        <f t="shared" si="36"/>
        <v>High</v>
      </c>
      <c r="R311" s="4">
        <v>772.09</v>
      </c>
      <c r="S311" s="4">
        <v>8.8999999999999996E-2</v>
      </c>
      <c r="T311" s="4">
        <v>14</v>
      </c>
      <c r="U311" s="4">
        <f t="shared" si="32"/>
        <v>35096.967360000002</v>
      </c>
      <c r="V311">
        <f t="shared" si="33"/>
        <v>5623.2400000000007</v>
      </c>
      <c r="W311" s="4">
        <f t="shared" si="37"/>
        <v>29473.727360000001</v>
      </c>
      <c r="X311" s="4">
        <f t="shared" si="38"/>
        <v>0.83977988917615698</v>
      </c>
    </row>
    <row r="312" spans="1:24" x14ac:dyDescent="0.3">
      <c r="A312" t="s">
        <v>722</v>
      </c>
      <c r="B312" s="7">
        <v>45655</v>
      </c>
      <c r="C312" s="2">
        <v>45669</v>
      </c>
      <c r="D312" s="4">
        <f t="shared" si="39"/>
        <v>14</v>
      </c>
      <c r="E312" s="51" t="b">
        <f t="shared" si="34"/>
        <v>0</v>
      </c>
      <c r="F312" s="4" t="str">
        <f>TEXT(Data!B312,"MMM-YYYY")</f>
        <v>May-2024</v>
      </c>
      <c r="G312" s="4" t="str">
        <f t="shared" si="35"/>
        <v>Q4-2024</v>
      </c>
      <c r="H312" t="s">
        <v>78</v>
      </c>
      <c r="I312" t="s">
        <v>108</v>
      </c>
      <c r="J312" t="s">
        <v>228</v>
      </c>
      <c r="K312" t="s">
        <v>19</v>
      </c>
      <c r="L312" t="s">
        <v>98</v>
      </c>
      <c r="M312" t="s">
        <v>56</v>
      </c>
      <c r="N312" t="s">
        <v>64</v>
      </c>
      <c r="O312" t="s">
        <v>723</v>
      </c>
      <c r="P312" s="4">
        <v>1399.72</v>
      </c>
      <c r="Q312" s="8" t="str">
        <f t="shared" si="36"/>
        <v>High</v>
      </c>
      <c r="R312" s="4">
        <v>3149.21</v>
      </c>
      <c r="S312" s="4">
        <v>0.185</v>
      </c>
      <c r="T312" s="4">
        <v>12</v>
      </c>
      <c r="U312" s="4">
        <f t="shared" si="32"/>
        <v>13444.761599999998</v>
      </c>
      <c r="V312">
        <f t="shared" si="33"/>
        <v>16796.64</v>
      </c>
      <c r="W312" s="4">
        <f t="shared" si="37"/>
        <v>-3351.8784000000014</v>
      </c>
      <c r="X312" s="4">
        <f t="shared" si="38"/>
        <v>-0.24930738823959525</v>
      </c>
    </row>
    <row r="313" spans="1:24" x14ac:dyDescent="0.3">
      <c r="A313" t="s">
        <v>724</v>
      </c>
      <c r="B313" s="7">
        <v>45435</v>
      </c>
      <c r="C313" s="2">
        <v>45449</v>
      </c>
      <c r="D313" s="4">
        <f t="shared" si="39"/>
        <v>14</v>
      </c>
      <c r="E313" s="51" t="b">
        <f t="shared" si="34"/>
        <v>0</v>
      </c>
      <c r="F313" s="4" t="str">
        <f>TEXT(Data!B313,"MMM-YYYY")</f>
        <v>Jun-2023</v>
      </c>
      <c r="G313" s="4" t="str">
        <f t="shared" si="35"/>
        <v>Q2-2024</v>
      </c>
      <c r="H313" t="s">
        <v>52</v>
      </c>
      <c r="I313" t="s">
        <v>73</v>
      </c>
      <c r="J313" t="s">
        <v>225</v>
      </c>
      <c r="K313" t="s">
        <v>39</v>
      </c>
      <c r="L313" t="s">
        <v>28</v>
      </c>
      <c r="M313" t="s">
        <v>34</v>
      </c>
      <c r="N313" t="s">
        <v>35</v>
      </c>
      <c r="O313" t="s">
        <v>725</v>
      </c>
      <c r="P313" s="4">
        <v>51.13</v>
      </c>
      <c r="Q313" s="8" t="str">
        <f t="shared" si="36"/>
        <v>Medium</v>
      </c>
      <c r="R313" s="4">
        <v>57.53</v>
      </c>
      <c r="S313" s="4">
        <v>4.4999999999999998E-2</v>
      </c>
      <c r="T313" s="4">
        <v>16</v>
      </c>
      <c r="U313" s="4">
        <f t="shared" si="32"/>
        <v>20144.693599999999</v>
      </c>
      <c r="V313">
        <f t="shared" si="33"/>
        <v>818.08</v>
      </c>
      <c r="W313" s="4">
        <f t="shared" si="37"/>
        <v>19326.613599999997</v>
      </c>
      <c r="X313" s="4">
        <f t="shared" si="38"/>
        <v>0.95938980178879452</v>
      </c>
    </row>
    <row r="314" spans="1:24" x14ac:dyDescent="0.3">
      <c r="A314" t="s">
        <v>726</v>
      </c>
      <c r="B314" s="7">
        <v>45101</v>
      </c>
      <c r="C314" s="2">
        <v>45099</v>
      </c>
      <c r="D314" s="4">
        <f>DATEDIF(C314,B314, "MD")</f>
        <v>2</v>
      </c>
      <c r="E314" s="51" t="str">
        <f t="shared" si="34"/>
        <v>Yes</v>
      </c>
      <c r="F314" s="4" t="str">
        <f>TEXT(Data!B314,"MMM-YYYY")</f>
        <v>Nov-2024</v>
      </c>
      <c r="G314" s="4" t="str">
        <f t="shared" si="35"/>
        <v>Q2-2023</v>
      </c>
      <c r="H314" t="s">
        <v>52</v>
      </c>
      <c r="I314" t="s">
        <v>53</v>
      </c>
      <c r="J314" t="s">
        <v>54</v>
      </c>
      <c r="K314" t="s">
        <v>39</v>
      </c>
      <c r="L314" t="s">
        <v>20</v>
      </c>
      <c r="M314" t="s">
        <v>110</v>
      </c>
      <c r="N314" t="s">
        <v>81</v>
      </c>
      <c r="O314" t="s">
        <v>727</v>
      </c>
      <c r="P314" s="4">
        <v>471.42</v>
      </c>
      <c r="Q314" s="8" t="str">
        <f t="shared" si="36"/>
        <v>High</v>
      </c>
      <c r="R314" s="4">
        <v>824.81</v>
      </c>
      <c r="S314" s="4">
        <v>8.7999999999999995E-2</v>
      </c>
      <c r="T314" s="4">
        <v>15</v>
      </c>
      <c r="U314" s="4">
        <f t="shared" si="32"/>
        <v>6043.0032000000001</v>
      </c>
      <c r="V314">
        <f t="shared" si="33"/>
        <v>7071.3</v>
      </c>
      <c r="W314" s="4">
        <f t="shared" si="37"/>
        <v>-1028.2968000000001</v>
      </c>
      <c r="X314" s="4">
        <f t="shared" si="38"/>
        <v>-0.17016320626803574</v>
      </c>
    </row>
    <row r="315" spans="1:24" x14ac:dyDescent="0.3">
      <c r="A315" t="s">
        <v>728</v>
      </c>
      <c r="B315" s="7">
        <v>45600</v>
      </c>
      <c r="C315" s="2">
        <v>45601</v>
      </c>
      <c r="D315" s="4">
        <f t="shared" si="39"/>
        <v>1</v>
      </c>
      <c r="E315" s="51" t="str">
        <f t="shared" si="34"/>
        <v>Yes</v>
      </c>
      <c r="F315" s="4" t="str">
        <f>TEXT(Data!B315,"MMM-YYYY")</f>
        <v>Jun-2024</v>
      </c>
      <c r="G315" s="4" t="str">
        <f t="shared" si="35"/>
        <v>Q4-2024</v>
      </c>
      <c r="H315" t="s">
        <v>78</v>
      </c>
      <c r="I315" t="s">
        <v>108</v>
      </c>
      <c r="J315" t="s">
        <v>152</v>
      </c>
      <c r="K315" t="s">
        <v>19</v>
      </c>
      <c r="L315" t="s">
        <v>20</v>
      </c>
      <c r="M315" t="s">
        <v>110</v>
      </c>
      <c r="N315" t="s">
        <v>30</v>
      </c>
      <c r="O315" t="s">
        <v>729</v>
      </c>
      <c r="P315" s="4">
        <v>840.68</v>
      </c>
      <c r="Q315" s="8" t="str">
        <f t="shared" si="36"/>
        <v>High</v>
      </c>
      <c r="R315" s="4">
        <v>1493.53</v>
      </c>
      <c r="S315" s="4">
        <v>0</v>
      </c>
      <c r="T315" s="4">
        <v>27</v>
      </c>
      <c r="U315" s="4">
        <f t="shared" si="32"/>
        <v>35911.89</v>
      </c>
      <c r="V315">
        <f t="shared" si="33"/>
        <v>22698.359999999997</v>
      </c>
      <c r="W315" s="4">
        <f t="shared" si="37"/>
        <v>13213.530000000002</v>
      </c>
      <c r="X315" s="4">
        <f t="shared" si="38"/>
        <v>0.36794304059184862</v>
      </c>
    </row>
    <row r="316" spans="1:24" x14ac:dyDescent="0.3">
      <c r="A316" t="s">
        <v>730</v>
      </c>
      <c r="B316" s="7">
        <v>45451</v>
      </c>
      <c r="C316" s="2">
        <v>45467</v>
      </c>
      <c r="D316" s="4">
        <f t="shared" si="39"/>
        <v>16</v>
      </c>
      <c r="E316" s="51" t="b">
        <f t="shared" si="34"/>
        <v>0</v>
      </c>
      <c r="F316" s="4" t="str">
        <f>TEXT(Data!B316,"MMM-YYYY")</f>
        <v>Jun-2025</v>
      </c>
      <c r="G316" s="4" t="str">
        <f t="shared" si="35"/>
        <v>Q2-2024</v>
      </c>
      <c r="H316" t="s">
        <v>16</v>
      </c>
      <c r="I316" t="s">
        <v>148</v>
      </c>
      <c r="J316" t="s">
        <v>172</v>
      </c>
      <c r="K316" t="s">
        <v>27</v>
      </c>
      <c r="L316" t="s">
        <v>55</v>
      </c>
      <c r="M316" t="s">
        <v>92</v>
      </c>
      <c r="N316" t="s">
        <v>64</v>
      </c>
      <c r="O316" t="s">
        <v>731</v>
      </c>
      <c r="P316" s="4">
        <v>597.85</v>
      </c>
      <c r="Q316" s="8" t="str">
        <f t="shared" si="36"/>
        <v>High</v>
      </c>
      <c r="R316" s="4">
        <v>741.92</v>
      </c>
      <c r="S316" s="4">
        <v>3.1E-2</v>
      </c>
      <c r="T316" s="4">
        <v>7</v>
      </c>
      <c r="U316" s="4">
        <f t="shared" si="32"/>
        <v>11089.255379999999</v>
      </c>
      <c r="V316">
        <f t="shared" si="33"/>
        <v>4184.95</v>
      </c>
      <c r="W316" s="4">
        <f t="shared" si="37"/>
        <v>6904.3053799999989</v>
      </c>
      <c r="X316" s="4">
        <f t="shared" si="38"/>
        <v>0.62261217217995024</v>
      </c>
    </row>
    <row r="317" spans="1:24" x14ac:dyDescent="0.3">
      <c r="A317" t="s">
        <v>732</v>
      </c>
      <c r="B317" s="7">
        <v>45809</v>
      </c>
      <c r="C317" s="2">
        <v>45814</v>
      </c>
      <c r="D317" s="4">
        <f t="shared" si="39"/>
        <v>5</v>
      </c>
      <c r="E317" s="51" t="str">
        <f t="shared" si="34"/>
        <v>Yes</v>
      </c>
      <c r="F317" s="4" t="str">
        <f>TEXT(Data!B317,"MMM-YYYY")</f>
        <v>May-2023</v>
      </c>
      <c r="G317" s="4" t="str">
        <f t="shared" si="35"/>
        <v>Q2-2025</v>
      </c>
      <c r="H317" t="s">
        <v>78</v>
      </c>
      <c r="I317" t="s">
        <v>90</v>
      </c>
      <c r="J317" t="s">
        <v>217</v>
      </c>
      <c r="K317" t="s">
        <v>48</v>
      </c>
      <c r="L317" t="s">
        <v>55</v>
      </c>
      <c r="M317" t="s">
        <v>41</v>
      </c>
      <c r="N317" t="s">
        <v>22</v>
      </c>
      <c r="O317" t="s">
        <v>733</v>
      </c>
      <c r="P317" s="4">
        <v>379.45</v>
      </c>
      <c r="Q317" s="8" t="str">
        <f t="shared" si="36"/>
        <v>High</v>
      </c>
      <c r="R317" s="4">
        <v>742.23</v>
      </c>
      <c r="S317" s="4">
        <v>0.09</v>
      </c>
      <c r="T317" s="4">
        <v>13</v>
      </c>
      <c r="U317" s="4">
        <f t="shared" si="32"/>
        <v>835.19799999999998</v>
      </c>
      <c r="V317">
        <f t="shared" si="33"/>
        <v>4932.8499999999995</v>
      </c>
      <c r="W317" s="4">
        <f t="shared" si="37"/>
        <v>-4097.6519999999991</v>
      </c>
      <c r="X317" s="4">
        <f t="shared" si="38"/>
        <v>-4.9062042773090919</v>
      </c>
    </row>
    <row r="318" spans="1:24" x14ac:dyDescent="0.3">
      <c r="A318" t="s">
        <v>734</v>
      </c>
      <c r="B318" s="7">
        <v>45052</v>
      </c>
      <c r="C318" s="2">
        <v>45060</v>
      </c>
      <c r="D318" s="4">
        <f t="shared" si="39"/>
        <v>8</v>
      </c>
      <c r="E318" s="51" t="b">
        <f t="shared" si="34"/>
        <v>0</v>
      </c>
      <c r="F318" s="4" t="str">
        <f>TEXT(Data!B318,"MMM-YYYY")</f>
        <v>Nov-2023</v>
      </c>
      <c r="G318" s="4" t="str">
        <f t="shared" si="35"/>
        <v>Q2-2023</v>
      </c>
      <c r="H318" t="s">
        <v>45</v>
      </c>
      <c r="I318" t="s">
        <v>46</v>
      </c>
      <c r="J318" t="s">
        <v>47</v>
      </c>
      <c r="K318" t="s">
        <v>105</v>
      </c>
      <c r="L318" t="s">
        <v>40</v>
      </c>
      <c r="M318" t="s">
        <v>56</v>
      </c>
      <c r="N318" t="s">
        <v>42</v>
      </c>
      <c r="O318" t="s">
        <v>735</v>
      </c>
      <c r="P318" s="4">
        <v>291.18</v>
      </c>
      <c r="Q318" s="8" t="str">
        <f t="shared" si="36"/>
        <v>High</v>
      </c>
      <c r="R318" s="4">
        <v>479.54</v>
      </c>
      <c r="S318" s="4">
        <v>0.14099999999999999</v>
      </c>
      <c r="T318" s="4">
        <v>22</v>
      </c>
      <c r="U318" s="4">
        <f t="shared" si="32"/>
        <v>34451.80992</v>
      </c>
      <c r="V318">
        <f t="shared" si="33"/>
        <v>6405.96</v>
      </c>
      <c r="W318" s="4">
        <f t="shared" si="37"/>
        <v>28045.849920000001</v>
      </c>
      <c r="X318" s="4">
        <f t="shared" si="38"/>
        <v>0.81406027680765747</v>
      </c>
    </row>
    <row r="319" spans="1:24" x14ac:dyDescent="0.3">
      <c r="A319" t="s">
        <v>736</v>
      </c>
      <c r="B319" s="7">
        <v>45244</v>
      </c>
      <c r="C319" s="2">
        <v>45260</v>
      </c>
      <c r="D319" s="4">
        <f t="shared" si="39"/>
        <v>16</v>
      </c>
      <c r="E319" s="51" t="b">
        <f t="shared" si="34"/>
        <v>0</v>
      </c>
      <c r="F319" s="4" t="str">
        <f>TEXT(Data!B319,"MMM-YYYY")</f>
        <v>Apr-2025</v>
      </c>
      <c r="G319" s="4" t="str">
        <f t="shared" si="35"/>
        <v>Q4-2023</v>
      </c>
      <c r="H319" t="s">
        <v>52</v>
      </c>
      <c r="I319" t="s">
        <v>73</v>
      </c>
      <c r="J319" t="s">
        <v>74</v>
      </c>
      <c r="K319" t="s">
        <v>105</v>
      </c>
      <c r="L319" t="s">
        <v>98</v>
      </c>
      <c r="M319" t="s">
        <v>95</v>
      </c>
      <c r="N319" t="s">
        <v>35</v>
      </c>
      <c r="O319" t="s">
        <v>737</v>
      </c>
      <c r="P319" s="4">
        <v>1017.92</v>
      </c>
      <c r="Q319" s="8" t="str">
        <f t="shared" si="36"/>
        <v>High</v>
      </c>
      <c r="R319" s="4">
        <v>1175.25</v>
      </c>
      <c r="S319" s="4">
        <v>7.4999999999999997E-2</v>
      </c>
      <c r="T319" s="4">
        <v>15</v>
      </c>
      <c r="U319" s="4">
        <f t="shared" si="32"/>
        <v>27971.861250000002</v>
      </c>
      <c r="V319">
        <f t="shared" si="33"/>
        <v>15268.8</v>
      </c>
      <c r="W319" s="4">
        <f t="shared" si="37"/>
        <v>12703.061250000002</v>
      </c>
      <c r="X319" s="4">
        <f t="shared" si="38"/>
        <v>0.45413714648681097</v>
      </c>
    </row>
    <row r="320" spans="1:24" x14ac:dyDescent="0.3">
      <c r="A320" t="s">
        <v>738</v>
      </c>
      <c r="B320" s="7">
        <v>45748</v>
      </c>
      <c r="C320" s="2">
        <v>45774</v>
      </c>
      <c r="D320" s="4">
        <f t="shared" si="39"/>
        <v>26</v>
      </c>
      <c r="E320" s="51" t="b">
        <f t="shared" si="34"/>
        <v>0</v>
      </c>
      <c r="F320" s="4" t="str">
        <f>TEXT(Data!B320,"MMM-YYYY")</f>
        <v>Mar-2023</v>
      </c>
      <c r="G320" s="4" t="str">
        <f t="shared" si="35"/>
        <v>Q2-2025</v>
      </c>
      <c r="H320" t="s">
        <v>52</v>
      </c>
      <c r="I320" t="s">
        <v>122</v>
      </c>
      <c r="J320" t="s">
        <v>167</v>
      </c>
      <c r="K320" t="s">
        <v>19</v>
      </c>
      <c r="L320" t="s">
        <v>98</v>
      </c>
      <c r="M320" t="s">
        <v>34</v>
      </c>
      <c r="N320" t="s">
        <v>64</v>
      </c>
      <c r="O320" t="s">
        <v>739</v>
      </c>
      <c r="P320" s="4">
        <v>156.55000000000001</v>
      </c>
      <c r="Q320" s="8" t="str">
        <f t="shared" si="36"/>
        <v>High</v>
      </c>
      <c r="R320" s="4">
        <v>227.45</v>
      </c>
      <c r="S320" s="4">
        <v>1.4E-2</v>
      </c>
      <c r="T320" s="4">
        <v>13</v>
      </c>
      <c r="U320" s="4">
        <f t="shared" si="32"/>
        <v>3129.2583399999999</v>
      </c>
      <c r="V320">
        <f t="shared" si="33"/>
        <v>2035.15</v>
      </c>
      <c r="W320" s="4">
        <f t="shared" si="37"/>
        <v>1094.1083399999998</v>
      </c>
      <c r="X320" s="4">
        <f t="shared" si="38"/>
        <v>0.34963822769583153</v>
      </c>
    </row>
    <row r="321" spans="1:24" x14ac:dyDescent="0.3">
      <c r="A321" t="s">
        <v>740</v>
      </c>
      <c r="B321" s="7">
        <v>45008</v>
      </c>
      <c r="C321" s="2">
        <v>45031</v>
      </c>
      <c r="D321" s="4">
        <f t="shared" si="39"/>
        <v>23</v>
      </c>
      <c r="E321" s="51" t="b">
        <f t="shared" si="34"/>
        <v>0</v>
      </c>
      <c r="F321" s="4" t="str">
        <f>TEXT(Data!B321,"MMM-YYYY")</f>
        <v>May-2024</v>
      </c>
      <c r="G321" s="4" t="str">
        <f t="shared" si="35"/>
        <v>Q1-2023</v>
      </c>
      <c r="H321" t="s">
        <v>16</v>
      </c>
      <c r="I321" t="s">
        <v>17</v>
      </c>
      <c r="J321" t="s">
        <v>113</v>
      </c>
      <c r="K321" t="s">
        <v>62</v>
      </c>
      <c r="L321" t="s">
        <v>20</v>
      </c>
      <c r="M321" t="s">
        <v>21</v>
      </c>
      <c r="N321" t="s">
        <v>81</v>
      </c>
      <c r="O321" t="s">
        <v>741</v>
      </c>
      <c r="P321" s="4">
        <v>875.36</v>
      </c>
      <c r="Q321" s="8" t="str">
        <f t="shared" si="36"/>
        <v>High</v>
      </c>
      <c r="R321" s="4">
        <v>1178.6199999999999</v>
      </c>
      <c r="S321" s="4">
        <v>0.151</v>
      </c>
      <c r="T321" s="4">
        <v>53</v>
      </c>
      <c r="U321" s="4">
        <f t="shared" si="32"/>
        <v>125232.05063999999</v>
      </c>
      <c r="V321">
        <f t="shared" si="33"/>
        <v>46394.080000000002</v>
      </c>
      <c r="W321" s="4">
        <f t="shared" si="37"/>
        <v>78837.970639999985</v>
      </c>
      <c r="X321" s="4">
        <f t="shared" si="38"/>
        <v>0.62953509295022747</v>
      </c>
    </row>
    <row r="322" spans="1:24" x14ac:dyDescent="0.3">
      <c r="A322" t="s">
        <v>742</v>
      </c>
      <c r="B322" s="7">
        <v>45440</v>
      </c>
      <c r="C322" s="2">
        <v>45461</v>
      </c>
      <c r="D322" s="4">
        <f t="shared" si="39"/>
        <v>21</v>
      </c>
      <c r="E322" s="51" t="b">
        <f t="shared" si="34"/>
        <v>0</v>
      </c>
      <c r="F322" s="4" t="str">
        <f>TEXT(Data!B322,"MMM-YYYY")</f>
        <v>Jan-2024</v>
      </c>
      <c r="G322" s="4" t="str">
        <f t="shared" si="35"/>
        <v>Q2-2024</v>
      </c>
      <c r="H322" t="s">
        <v>78</v>
      </c>
      <c r="I322" t="s">
        <v>79</v>
      </c>
      <c r="J322" t="s">
        <v>335</v>
      </c>
      <c r="K322" t="s">
        <v>62</v>
      </c>
      <c r="L322" t="s">
        <v>28</v>
      </c>
      <c r="M322" t="s">
        <v>63</v>
      </c>
      <c r="N322" t="s">
        <v>42</v>
      </c>
      <c r="O322" t="s">
        <v>743</v>
      </c>
      <c r="P322" s="4">
        <v>986.85</v>
      </c>
      <c r="Q322" s="8" t="str">
        <f t="shared" si="36"/>
        <v>High</v>
      </c>
      <c r="R322" s="4">
        <v>2422.1</v>
      </c>
      <c r="S322" s="4">
        <v>7.5999999999999998E-2</v>
      </c>
      <c r="T322" s="4">
        <v>10</v>
      </c>
      <c r="U322" s="4">
        <f t="shared" ref="U322:U385" si="40">(R348*T322)*(1-S322)</f>
        <v>18944.864399999999</v>
      </c>
      <c r="V322">
        <f t="shared" ref="V322:V385" si="41">(P322*T322)</f>
        <v>9868.5</v>
      </c>
      <c r="W322" s="4">
        <f t="shared" si="37"/>
        <v>9076.3643999999986</v>
      </c>
      <c r="X322" s="4">
        <f t="shared" si="38"/>
        <v>0.47909365875429538</v>
      </c>
    </row>
    <row r="323" spans="1:24" x14ac:dyDescent="0.3">
      <c r="A323" t="s">
        <v>744</v>
      </c>
      <c r="B323" s="7">
        <v>45293</v>
      </c>
      <c r="C323" s="2">
        <v>45292</v>
      </c>
      <c r="D323" s="4">
        <f>DATEDIF(C323,B323, "MD")</f>
        <v>1</v>
      </c>
      <c r="E323" s="51" t="str">
        <f t="shared" ref="E323:E386" si="42">IF(D323&lt;=7, "Yes")</f>
        <v>Yes</v>
      </c>
      <c r="F323" s="4" t="str">
        <f>TEXT(Data!B323,"MMM-YYYY")</f>
        <v>Feb-2023</v>
      </c>
      <c r="G323" s="4" t="str">
        <f t="shared" ref="G323:G386" si="43">"Q"&amp;ROUNDUP(MONTH(B323)/3,0)&amp;"-"&amp;YEAR(B323)</f>
        <v>Q1-2024</v>
      </c>
      <c r="H323" t="s">
        <v>52</v>
      </c>
      <c r="I323" t="s">
        <v>122</v>
      </c>
      <c r="J323" t="s">
        <v>123</v>
      </c>
      <c r="K323" t="s">
        <v>27</v>
      </c>
      <c r="L323" t="s">
        <v>40</v>
      </c>
      <c r="M323" t="s">
        <v>56</v>
      </c>
      <c r="N323" t="s">
        <v>35</v>
      </c>
      <c r="O323" t="s">
        <v>745</v>
      </c>
      <c r="P323" s="4">
        <v>404.77</v>
      </c>
      <c r="Q323" s="8" t="str">
        <f t="shared" ref="Q323:Q386" si="44">IF(R323&lt;50, "Low", IF(R323&lt;200, "Medium", "High"))</f>
        <v>High</v>
      </c>
      <c r="R323" s="4">
        <v>433.88</v>
      </c>
      <c r="S323" s="4">
        <v>0.215</v>
      </c>
      <c r="T323" s="4">
        <v>22</v>
      </c>
      <c r="U323" s="4">
        <f t="shared" si="40"/>
        <v>2540.7624000000005</v>
      </c>
      <c r="V323">
        <f t="shared" si="41"/>
        <v>8904.9399999999987</v>
      </c>
      <c r="W323" s="4">
        <f t="shared" ref="W323:W386" si="45">(U323-V323)</f>
        <v>-6364.1775999999982</v>
      </c>
      <c r="X323" s="4">
        <f t="shared" ref="X323:X386" si="46">IF(U323=0, 0, W323/U323)</f>
        <v>-2.504829888855407</v>
      </c>
    </row>
    <row r="324" spans="1:24" x14ac:dyDescent="0.3">
      <c r="A324" t="s">
        <v>746</v>
      </c>
      <c r="B324" s="7">
        <v>44985</v>
      </c>
      <c r="C324" s="2">
        <v>44984</v>
      </c>
      <c r="D324" s="4">
        <f>DATEDIF(C324,B324, "MD")</f>
        <v>1</v>
      </c>
      <c r="E324" s="51" t="str">
        <f t="shared" si="42"/>
        <v>Yes</v>
      </c>
      <c r="F324" s="4" t="str">
        <f>TEXT(Data!B324,"MMM-YYYY")</f>
        <v>Feb-2024</v>
      </c>
      <c r="G324" s="4" t="str">
        <f t="shared" si="43"/>
        <v>Q1-2023</v>
      </c>
      <c r="H324" t="s">
        <v>78</v>
      </c>
      <c r="I324" t="s">
        <v>90</v>
      </c>
      <c r="J324" t="s">
        <v>91</v>
      </c>
      <c r="K324" t="s">
        <v>19</v>
      </c>
      <c r="L324" t="s">
        <v>20</v>
      </c>
      <c r="M324" t="s">
        <v>95</v>
      </c>
      <c r="N324" t="s">
        <v>35</v>
      </c>
      <c r="O324" t="s">
        <v>747</v>
      </c>
      <c r="P324" s="4">
        <v>1299.81</v>
      </c>
      <c r="Q324" s="8" t="str">
        <f t="shared" si="44"/>
        <v>High</v>
      </c>
      <c r="R324" s="4">
        <v>3149.13</v>
      </c>
      <c r="S324" s="4">
        <v>0.10299999999999999</v>
      </c>
      <c r="T324" s="4">
        <v>14</v>
      </c>
      <c r="U324" s="4">
        <f t="shared" si="40"/>
        <v>24902.262840000003</v>
      </c>
      <c r="V324">
        <f t="shared" si="41"/>
        <v>18197.34</v>
      </c>
      <c r="W324" s="4">
        <f t="shared" si="45"/>
        <v>6704.9228400000029</v>
      </c>
      <c r="X324" s="4">
        <f t="shared" si="46"/>
        <v>0.26924954101881943</v>
      </c>
    </row>
    <row r="325" spans="1:24" x14ac:dyDescent="0.3">
      <c r="A325" t="s">
        <v>748</v>
      </c>
      <c r="B325" s="7">
        <v>45340</v>
      </c>
      <c r="C325" s="2">
        <v>45362</v>
      </c>
      <c r="D325" s="4">
        <f t="shared" ref="D325:D388" si="47">DATEDIF(B325,C325, "MD")</f>
        <v>22</v>
      </c>
      <c r="E325" s="51" t="b">
        <f t="shared" si="42"/>
        <v>0</v>
      </c>
      <c r="F325" s="4" t="str">
        <f>TEXT(Data!B325,"MMM-YYYY")</f>
        <v>Sept-2024</v>
      </c>
      <c r="G325" s="4" t="str">
        <f t="shared" si="43"/>
        <v>Q1-2024</v>
      </c>
      <c r="H325" t="s">
        <v>52</v>
      </c>
      <c r="I325" t="s">
        <v>73</v>
      </c>
      <c r="J325" t="s">
        <v>74</v>
      </c>
      <c r="K325" t="s">
        <v>48</v>
      </c>
      <c r="L325" t="s">
        <v>28</v>
      </c>
      <c r="M325" t="s">
        <v>75</v>
      </c>
      <c r="N325" t="s">
        <v>22</v>
      </c>
      <c r="O325" t="s">
        <v>749</v>
      </c>
      <c r="P325" s="4">
        <v>80.48</v>
      </c>
      <c r="Q325" s="8" t="str">
        <f t="shared" si="44"/>
        <v>Medium</v>
      </c>
      <c r="R325" s="4">
        <v>65.650000000000006</v>
      </c>
      <c r="S325" s="4">
        <v>0.17599999999999999</v>
      </c>
      <c r="T325" s="4">
        <v>13</v>
      </c>
      <c r="U325" s="4">
        <f t="shared" si="40"/>
        <v>24630.101600000002</v>
      </c>
      <c r="V325">
        <f t="shared" si="41"/>
        <v>1046.24</v>
      </c>
      <c r="W325" s="4">
        <f t="shared" si="45"/>
        <v>23583.8616</v>
      </c>
      <c r="X325" s="4">
        <f t="shared" si="46"/>
        <v>0.95752189670220433</v>
      </c>
    </row>
    <row r="326" spans="1:24" x14ac:dyDescent="0.3">
      <c r="A326" t="s">
        <v>750</v>
      </c>
      <c r="B326" s="7">
        <v>45544</v>
      </c>
      <c r="C326" s="2">
        <v>45573</v>
      </c>
      <c r="D326" s="4">
        <f t="shared" si="47"/>
        <v>29</v>
      </c>
      <c r="E326" s="51" t="b">
        <f t="shared" si="42"/>
        <v>0</v>
      </c>
      <c r="F326" s="4" t="str">
        <f>TEXT(Data!B326,"MMM-YYYY")</f>
        <v>May-2023</v>
      </c>
      <c r="G326" s="4" t="str">
        <f t="shared" si="43"/>
        <v>Q3-2024</v>
      </c>
      <c r="H326" t="s">
        <v>52</v>
      </c>
      <c r="I326" t="s">
        <v>73</v>
      </c>
      <c r="J326" t="s">
        <v>74</v>
      </c>
      <c r="K326" t="s">
        <v>27</v>
      </c>
      <c r="L326" t="s">
        <v>98</v>
      </c>
      <c r="M326" t="s">
        <v>29</v>
      </c>
      <c r="N326" t="s">
        <v>22</v>
      </c>
      <c r="O326" t="s">
        <v>751</v>
      </c>
      <c r="P326" s="4">
        <v>1010.33</v>
      </c>
      <c r="Q326" s="8" t="str">
        <f t="shared" si="44"/>
        <v>High</v>
      </c>
      <c r="R326" s="4">
        <v>2492.14</v>
      </c>
      <c r="S326" s="4">
        <v>5.0999999999999997E-2</v>
      </c>
      <c r="T326" s="4">
        <v>11</v>
      </c>
      <c r="U326" s="4">
        <f t="shared" si="40"/>
        <v>4829.1857899999995</v>
      </c>
      <c r="V326">
        <f t="shared" si="41"/>
        <v>11113.630000000001</v>
      </c>
      <c r="W326" s="4">
        <f t="shared" si="45"/>
        <v>-6284.4442100000015</v>
      </c>
      <c r="X326" s="4">
        <f t="shared" si="46"/>
        <v>-1.3013465381707756</v>
      </c>
    </row>
    <row r="327" spans="1:24" x14ac:dyDescent="0.3">
      <c r="A327" t="s">
        <v>752</v>
      </c>
      <c r="B327" s="7">
        <v>45053</v>
      </c>
      <c r="C327" s="2">
        <v>45075</v>
      </c>
      <c r="D327" s="4">
        <f t="shared" si="47"/>
        <v>22</v>
      </c>
      <c r="E327" s="51" t="b">
        <f t="shared" si="42"/>
        <v>0</v>
      </c>
      <c r="F327" s="4" t="str">
        <f>TEXT(Data!B327,"MMM-YYYY")</f>
        <v>Jan-2024</v>
      </c>
      <c r="G327" s="4" t="str">
        <f t="shared" si="43"/>
        <v>Q2-2023</v>
      </c>
      <c r="H327" t="s">
        <v>16</v>
      </c>
      <c r="I327" t="s">
        <v>148</v>
      </c>
      <c r="J327" t="s">
        <v>172</v>
      </c>
      <c r="K327" t="s">
        <v>27</v>
      </c>
      <c r="L327" t="s">
        <v>55</v>
      </c>
      <c r="M327" t="s">
        <v>95</v>
      </c>
      <c r="N327" t="s">
        <v>81</v>
      </c>
      <c r="O327" t="s">
        <v>753</v>
      </c>
      <c r="P327" s="4">
        <v>653.86</v>
      </c>
      <c r="Q327" s="8" t="str">
        <f t="shared" si="44"/>
        <v>High</v>
      </c>
      <c r="R327" s="4">
        <v>931.84</v>
      </c>
      <c r="S327" s="4">
        <v>0.121</v>
      </c>
      <c r="T327" s="4">
        <v>12</v>
      </c>
      <c r="U327" s="4">
        <f t="shared" si="40"/>
        <v>11533.077720000001</v>
      </c>
      <c r="V327">
        <f t="shared" si="41"/>
        <v>7846.32</v>
      </c>
      <c r="W327" s="4">
        <f t="shared" si="45"/>
        <v>3686.7577200000014</v>
      </c>
      <c r="X327" s="4">
        <f t="shared" si="46"/>
        <v>0.3196681587956906</v>
      </c>
    </row>
    <row r="328" spans="1:24" x14ac:dyDescent="0.3">
      <c r="A328" t="s">
        <v>754</v>
      </c>
      <c r="B328" s="7">
        <v>45303</v>
      </c>
      <c r="C328" s="2">
        <v>45320</v>
      </c>
      <c r="D328" s="4">
        <f t="shared" si="47"/>
        <v>17</v>
      </c>
      <c r="E328" s="51" t="b">
        <f t="shared" si="42"/>
        <v>0</v>
      </c>
      <c r="F328" s="4" t="str">
        <f>TEXT(Data!B328,"MMM-YYYY")</f>
        <v>Jun-2023</v>
      </c>
      <c r="G328" s="4" t="str">
        <f t="shared" si="43"/>
        <v>Q1-2024</v>
      </c>
      <c r="H328" t="s">
        <v>45</v>
      </c>
      <c r="I328" t="s">
        <v>60</v>
      </c>
      <c r="J328" t="s">
        <v>281</v>
      </c>
      <c r="K328" t="s">
        <v>62</v>
      </c>
      <c r="L328" t="s">
        <v>98</v>
      </c>
      <c r="M328" t="s">
        <v>56</v>
      </c>
      <c r="N328" t="s">
        <v>22</v>
      </c>
      <c r="O328" t="s">
        <v>755</v>
      </c>
      <c r="P328" s="4">
        <v>310.02</v>
      </c>
      <c r="Q328" s="8" t="str">
        <f t="shared" si="44"/>
        <v>High</v>
      </c>
      <c r="R328" s="4">
        <v>619.51</v>
      </c>
      <c r="S328" s="4">
        <v>4.2000000000000003E-2</v>
      </c>
      <c r="T328" s="4">
        <v>4</v>
      </c>
      <c r="U328" s="4">
        <f t="shared" si="40"/>
        <v>5572.5710399999998</v>
      </c>
      <c r="V328">
        <f t="shared" si="41"/>
        <v>1240.08</v>
      </c>
      <c r="W328" s="4">
        <f t="shared" si="45"/>
        <v>4332.4910399999999</v>
      </c>
      <c r="X328" s="4">
        <f t="shared" si="46"/>
        <v>0.77746717070115634</v>
      </c>
    </row>
    <row r="329" spans="1:24" x14ac:dyDescent="0.3">
      <c r="A329" t="s">
        <v>756</v>
      </c>
      <c r="B329" s="7">
        <v>45087</v>
      </c>
      <c r="C329" s="2">
        <v>45095</v>
      </c>
      <c r="D329" s="4">
        <f t="shared" si="47"/>
        <v>8</v>
      </c>
      <c r="E329" s="51" t="b">
        <f t="shared" si="42"/>
        <v>0</v>
      </c>
      <c r="F329" s="4" t="str">
        <f>TEXT(Data!B329,"MMM-YYYY")</f>
        <v>May-2025</v>
      </c>
      <c r="G329" s="4" t="str">
        <f t="shared" si="43"/>
        <v>Q2-2023</v>
      </c>
      <c r="H329" t="s">
        <v>16</v>
      </c>
      <c r="I329" t="s">
        <v>17</v>
      </c>
      <c r="J329" t="s">
        <v>135</v>
      </c>
      <c r="K329" t="s">
        <v>105</v>
      </c>
      <c r="L329" t="s">
        <v>98</v>
      </c>
      <c r="M329" t="s">
        <v>92</v>
      </c>
      <c r="N329" t="s">
        <v>42</v>
      </c>
      <c r="O329" t="s">
        <v>757</v>
      </c>
      <c r="P329" s="4">
        <v>894.23</v>
      </c>
      <c r="Q329" s="8" t="str">
        <f t="shared" si="44"/>
        <v>High</v>
      </c>
      <c r="R329" s="4">
        <v>1421.55</v>
      </c>
      <c r="S329" s="4">
        <v>0.109</v>
      </c>
      <c r="T329" s="4">
        <v>3</v>
      </c>
      <c r="U329" s="4">
        <f t="shared" si="40"/>
        <v>5667.829200000001</v>
      </c>
      <c r="V329">
        <f t="shared" si="41"/>
        <v>2682.69</v>
      </c>
      <c r="W329" s="4">
        <f t="shared" si="45"/>
        <v>2985.139200000001</v>
      </c>
      <c r="X329" s="4">
        <f t="shared" si="46"/>
        <v>0.52668122038681064</v>
      </c>
    </row>
    <row r="330" spans="1:24" x14ac:dyDescent="0.3">
      <c r="A330" t="s">
        <v>758</v>
      </c>
      <c r="B330" s="7">
        <v>45796</v>
      </c>
      <c r="C330" s="2">
        <v>45794</v>
      </c>
      <c r="D330" s="4">
        <f>DATEDIF(C330,B330, "MD")</f>
        <v>2</v>
      </c>
      <c r="E330" s="51" t="str">
        <f t="shared" si="42"/>
        <v>Yes</v>
      </c>
      <c r="F330" s="4" t="str">
        <f>TEXT(Data!B330,"MMM-YYYY")</f>
        <v>Oct-2023</v>
      </c>
      <c r="G330" s="4" t="str">
        <f t="shared" si="43"/>
        <v>Q2-2025</v>
      </c>
      <c r="H330" t="s">
        <v>52</v>
      </c>
      <c r="I330" t="s">
        <v>73</v>
      </c>
      <c r="J330" t="s">
        <v>74</v>
      </c>
      <c r="K330" t="s">
        <v>62</v>
      </c>
      <c r="L330" t="s">
        <v>55</v>
      </c>
      <c r="M330" t="s">
        <v>49</v>
      </c>
      <c r="N330" t="s">
        <v>64</v>
      </c>
      <c r="O330" t="s">
        <v>759</v>
      </c>
      <c r="P330" s="4">
        <v>383.77</v>
      </c>
      <c r="Q330" s="8" t="str">
        <f t="shared" si="44"/>
        <v>High</v>
      </c>
      <c r="R330" s="4">
        <v>952.56</v>
      </c>
      <c r="S330" s="4">
        <v>0.34599999999999997</v>
      </c>
      <c r="T330" s="4">
        <v>10</v>
      </c>
      <c r="U330" s="4">
        <f t="shared" si="40"/>
        <v>841.56720000000018</v>
      </c>
      <c r="V330">
        <f t="shared" si="41"/>
        <v>3837.7</v>
      </c>
      <c r="W330" s="4">
        <f t="shared" si="45"/>
        <v>-2996.1327999999994</v>
      </c>
      <c r="X330" s="4">
        <f t="shared" si="46"/>
        <v>-3.5601824785946965</v>
      </c>
    </row>
    <row r="331" spans="1:24" x14ac:dyDescent="0.3">
      <c r="A331" t="s">
        <v>760</v>
      </c>
      <c r="B331" s="7">
        <v>45221</v>
      </c>
      <c r="C331" s="2">
        <v>45246</v>
      </c>
      <c r="D331" s="4">
        <f t="shared" si="47"/>
        <v>25</v>
      </c>
      <c r="E331" s="51" t="b">
        <f t="shared" si="42"/>
        <v>0</v>
      </c>
      <c r="F331" s="4" t="str">
        <f>TEXT(Data!B331,"MMM-YYYY")</f>
        <v>Jan-2025</v>
      </c>
      <c r="G331" s="4" t="str">
        <f t="shared" si="43"/>
        <v>Q4-2023</v>
      </c>
      <c r="H331" t="s">
        <v>52</v>
      </c>
      <c r="I331" t="s">
        <v>53</v>
      </c>
      <c r="J331" t="s">
        <v>54</v>
      </c>
      <c r="K331" t="s">
        <v>62</v>
      </c>
      <c r="L331" t="s">
        <v>40</v>
      </c>
      <c r="M331" t="s">
        <v>34</v>
      </c>
      <c r="N331" t="s">
        <v>57</v>
      </c>
      <c r="O331" t="s">
        <v>761</v>
      </c>
      <c r="P331" s="4">
        <v>1373.31</v>
      </c>
      <c r="Q331" s="8" t="str">
        <f t="shared" si="44"/>
        <v>High</v>
      </c>
      <c r="R331" s="4">
        <v>3154.14</v>
      </c>
      <c r="S331" s="4">
        <v>0.2</v>
      </c>
      <c r="T331" s="4">
        <v>11</v>
      </c>
      <c r="U331" s="4">
        <f t="shared" si="40"/>
        <v>11668.448000000002</v>
      </c>
      <c r="V331">
        <f t="shared" si="41"/>
        <v>15106.41</v>
      </c>
      <c r="W331" s="4">
        <f t="shared" si="45"/>
        <v>-3437.9619999999977</v>
      </c>
      <c r="X331" s="4">
        <f t="shared" si="46"/>
        <v>-0.29463747021026249</v>
      </c>
    </row>
    <row r="332" spans="1:24" x14ac:dyDescent="0.3">
      <c r="A332" t="s">
        <v>762</v>
      </c>
      <c r="B332" s="7">
        <v>45668</v>
      </c>
      <c r="C332" s="2">
        <v>45680</v>
      </c>
      <c r="D332" s="4">
        <f t="shared" si="47"/>
        <v>12</v>
      </c>
      <c r="E332" s="51" t="b">
        <f t="shared" si="42"/>
        <v>0</v>
      </c>
      <c r="F332" s="4" t="str">
        <f>TEXT(Data!B332,"MMM-YYYY")</f>
        <v>Sept-2025</v>
      </c>
      <c r="G332" s="4" t="str">
        <f t="shared" si="43"/>
        <v>Q1-2025</v>
      </c>
      <c r="H332" t="s">
        <v>52</v>
      </c>
      <c r="I332" t="s">
        <v>122</v>
      </c>
      <c r="J332" t="s">
        <v>326</v>
      </c>
      <c r="K332" t="s">
        <v>48</v>
      </c>
      <c r="L332" t="s">
        <v>55</v>
      </c>
      <c r="M332" t="s">
        <v>92</v>
      </c>
      <c r="N332" t="s">
        <v>42</v>
      </c>
      <c r="O332" t="s">
        <v>763</v>
      </c>
      <c r="P332" s="4">
        <v>100.69</v>
      </c>
      <c r="Q332" s="8" t="str">
        <f t="shared" si="44"/>
        <v>High</v>
      </c>
      <c r="R332" s="4">
        <v>226.14</v>
      </c>
      <c r="S332" s="4">
        <v>6.5000000000000002E-2</v>
      </c>
      <c r="T332" s="4">
        <v>12</v>
      </c>
      <c r="U332" s="4">
        <f t="shared" si="40"/>
        <v>27369.282600000002</v>
      </c>
      <c r="V332">
        <f t="shared" si="41"/>
        <v>1208.28</v>
      </c>
      <c r="W332" s="4">
        <f t="shared" si="45"/>
        <v>26161.002600000003</v>
      </c>
      <c r="X332" s="4">
        <f t="shared" si="46"/>
        <v>0.95585269743241286</v>
      </c>
    </row>
    <row r="333" spans="1:24" x14ac:dyDescent="0.3">
      <c r="A333" t="s">
        <v>764</v>
      </c>
      <c r="B333" s="7">
        <v>45914</v>
      </c>
      <c r="C333" s="2">
        <v>45926</v>
      </c>
      <c r="D333" s="4">
        <f t="shared" si="47"/>
        <v>12</v>
      </c>
      <c r="E333" s="51" t="b">
        <f t="shared" si="42"/>
        <v>0</v>
      </c>
      <c r="F333" s="4" t="str">
        <f>TEXT(Data!B333,"MMM-YYYY")</f>
        <v>Aug-2023</v>
      </c>
      <c r="G333" s="4" t="str">
        <f t="shared" si="43"/>
        <v>Q3-2025</v>
      </c>
      <c r="H333" t="s">
        <v>78</v>
      </c>
      <c r="I333" t="s">
        <v>108</v>
      </c>
      <c r="J333" t="s">
        <v>152</v>
      </c>
      <c r="K333" t="s">
        <v>62</v>
      </c>
      <c r="L333" t="s">
        <v>98</v>
      </c>
      <c r="M333" t="s">
        <v>126</v>
      </c>
      <c r="N333" t="s">
        <v>35</v>
      </c>
      <c r="O333" t="s">
        <v>765</v>
      </c>
      <c r="P333" s="4">
        <v>425.15</v>
      </c>
      <c r="Q333" s="8" t="str">
        <f t="shared" si="44"/>
        <v>High</v>
      </c>
      <c r="R333" s="4">
        <v>885.92</v>
      </c>
      <c r="S333" s="4">
        <v>0.23899999999999999</v>
      </c>
      <c r="T333" s="4">
        <v>13</v>
      </c>
      <c r="U333" s="4">
        <f t="shared" si="40"/>
        <v>21779.835220000001</v>
      </c>
      <c r="V333">
        <f t="shared" si="41"/>
        <v>5526.95</v>
      </c>
      <c r="W333" s="4">
        <f t="shared" si="45"/>
        <v>16252.88522</v>
      </c>
      <c r="X333" s="4">
        <f t="shared" si="46"/>
        <v>0.74623545384196899</v>
      </c>
    </row>
    <row r="334" spans="1:24" x14ac:dyDescent="0.3">
      <c r="A334" t="s">
        <v>766</v>
      </c>
      <c r="B334" s="7">
        <v>45168</v>
      </c>
      <c r="C334" s="2">
        <v>45172</v>
      </c>
      <c r="D334" s="4">
        <f t="shared" si="47"/>
        <v>4</v>
      </c>
      <c r="E334" s="51" t="str">
        <f t="shared" si="42"/>
        <v>Yes</v>
      </c>
      <c r="F334" s="4" t="str">
        <f>TEXT(Data!B334,"MMM-YYYY")</f>
        <v>Nov-2023</v>
      </c>
      <c r="G334" s="4" t="str">
        <f t="shared" si="43"/>
        <v>Q3-2023</v>
      </c>
      <c r="H334" t="s">
        <v>45</v>
      </c>
      <c r="I334" t="s">
        <v>60</v>
      </c>
      <c r="J334" t="s">
        <v>141</v>
      </c>
      <c r="K334" t="s">
        <v>62</v>
      </c>
      <c r="L334" t="s">
        <v>40</v>
      </c>
      <c r="M334" t="s">
        <v>49</v>
      </c>
      <c r="N334" t="s">
        <v>81</v>
      </c>
      <c r="O334" t="s">
        <v>767</v>
      </c>
      <c r="P334" s="4">
        <v>1082.25</v>
      </c>
      <c r="Q334" s="8" t="str">
        <f t="shared" si="44"/>
        <v>High</v>
      </c>
      <c r="R334" s="4">
        <v>2433.34</v>
      </c>
      <c r="S334" s="4">
        <v>0.27</v>
      </c>
      <c r="T334" s="4">
        <v>4</v>
      </c>
      <c r="U334" s="4">
        <f t="shared" si="40"/>
        <v>2377.9312</v>
      </c>
      <c r="V334">
        <f t="shared" si="41"/>
        <v>4329</v>
      </c>
      <c r="W334" s="4">
        <f t="shared" si="45"/>
        <v>-1951.0688</v>
      </c>
      <c r="X334" s="4">
        <f t="shared" si="46"/>
        <v>-0.82049001249489473</v>
      </c>
    </row>
    <row r="335" spans="1:24" x14ac:dyDescent="0.3">
      <c r="A335" t="s">
        <v>768</v>
      </c>
      <c r="B335" s="7">
        <v>45245</v>
      </c>
      <c r="C335" s="2">
        <v>45266</v>
      </c>
      <c r="D335" s="4">
        <f t="shared" si="47"/>
        <v>21</v>
      </c>
      <c r="E335" s="51" t="b">
        <f t="shared" si="42"/>
        <v>0</v>
      </c>
      <c r="F335" s="4" t="str">
        <f>TEXT(Data!B335,"MMM-YYYY")</f>
        <v>Apr-2025</v>
      </c>
      <c r="G335" s="4" t="str">
        <f t="shared" si="43"/>
        <v>Q4-2023</v>
      </c>
      <c r="H335" t="s">
        <v>78</v>
      </c>
      <c r="I335" t="s">
        <v>108</v>
      </c>
      <c r="J335" t="s">
        <v>228</v>
      </c>
      <c r="K335" t="s">
        <v>27</v>
      </c>
      <c r="L335" t="s">
        <v>98</v>
      </c>
      <c r="M335" t="s">
        <v>92</v>
      </c>
      <c r="N335" t="s">
        <v>81</v>
      </c>
      <c r="O335" t="s">
        <v>769</v>
      </c>
      <c r="P335" s="4">
        <v>1184.99</v>
      </c>
      <c r="Q335" s="8" t="str">
        <f t="shared" si="44"/>
        <v>High</v>
      </c>
      <c r="R335" s="4">
        <v>1154.3399999999999</v>
      </c>
      <c r="S335" s="4">
        <v>2.8000000000000001E-2</v>
      </c>
      <c r="T335" s="4">
        <v>5</v>
      </c>
      <c r="U335" s="4">
        <f t="shared" si="40"/>
        <v>6720.9426000000003</v>
      </c>
      <c r="V335">
        <f t="shared" si="41"/>
        <v>5924.95</v>
      </c>
      <c r="W335" s="4">
        <f t="shared" si="45"/>
        <v>795.99260000000049</v>
      </c>
      <c r="X335" s="4">
        <f t="shared" si="46"/>
        <v>0.11843466718492737</v>
      </c>
    </row>
    <row r="336" spans="1:24" x14ac:dyDescent="0.3">
      <c r="A336" t="s">
        <v>770</v>
      </c>
      <c r="B336" s="7">
        <v>45774</v>
      </c>
      <c r="C336" s="2">
        <v>45804</v>
      </c>
      <c r="D336" s="4">
        <f t="shared" si="47"/>
        <v>0</v>
      </c>
      <c r="E336" s="51" t="str">
        <f t="shared" si="42"/>
        <v>Yes</v>
      </c>
      <c r="F336" s="4" t="str">
        <f>TEXT(Data!B336,"MMM-YYYY")</f>
        <v>Apr-2024</v>
      </c>
      <c r="G336" s="4" t="str">
        <f t="shared" si="43"/>
        <v>Q2-2025</v>
      </c>
      <c r="H336" t="s">
        <v>45</v>
      </c>
      <c r="I336" t="s">
        <v>60</v>
      </c>
      <c r="J336" t="s">
        <v>1364</v>
      </c>
      <c r="K336" t="s">
        <v>105</v>
      </c>
      <c r="L336" t="s">
        <v>40</v>
      </c>
      <c r="M336" t="s">
        <v>92</v>
      </c>
      <c r="N336" t="s">
        <v>42</v>
      </c>
      <c r="O336" t="s">
        <v>771</v>
      </c>
      <c r="P336" s="4">
        <v>481.32</v>
      </c>
      <c r="Q336" s="8" t="str">
        <f t="shared" si="44"/>
        <v>High</v>
      </c>
      <c r="R336" s="4">
        <v>1135.99</v>
      </c>
      <c r="S336" s="4">
        <v>0.14499999999999999</v>
      </c>
      <c r="T336" s="4">
        <v>5</v>
      </c>
      <c r="U336" s="4">
        <f t="shared" si="40"/>
        <v>7038.4882499999994</v>
      </c>
      <c r="V336">
        <f t="shared" si="41"/>
        <v>2406.6</v>
      </c>
      <c r="W336" s="4">
        <f t="shared" si="45"/>
        <v>4631.88825</v>
      </c>
      <c r="X336" s="4">
        <f t="shared" si="46"/>
        <v>0.65807998613906904</v>
      </c>
    </row>
    <row r="337" spans="1:24" x14ac:dyDescent="0.3">
      <c r="A337" t="s">
        <v>772</v>
      </c>
      <c r="B337" s="7">
        <v>45391</v>
      </c>
      <c r="C337" s="2">
        <v>45400</v>
      </c>
      <c r="D337" s="4">
        <f t="shared" si="47"/>
        <v>9</v>
      </c>
      <c r="E337" s="51" t="b">
        <f t="shared" si="42"/>
        <v>0</v>
      </c>
      <c r="F337" s="4" t="str">
        <f>TEXT(Data!B337,"MMM-YYYY")</f>
        <v>Jul-2024</v>
      </c>
      <c r="G337" s="4" t="str">
        <f t="shared" si="43"/>
        <v>Q2-2024</v>
      </c>
      <c r="H337" t="s">
        <v>78</v>
      </c>
      <c r="I337" t="s">
        <v>90</v>
      </c>
      <c r="J337" t="s">
        <v>138</v>
      </c>
      <c r="K337" t="s">
        <v>48</v>
      </c>
      <c r="L337" t="s">
        <v>28</v>
      </c>
      <c r="M337" t="s">
        <v>63</v>
      </c>
      <c r="N337" t="s">
        <v>30</v>
      </c>
      <c r="O337" t="s">
        <v>773</v>
      </c>
      <c r="P337" s="4">
        <v>1288.8499999999999</v>
      </c>
      <c r="Q337" s="8" t="str">
        <f t="shared" si="44"/>
        <v>High</v>
      </c>
      <c r="R337" s="4">
        <v>2751.84</v>
      </c>
      <c r="S337" s="4">
        <v>0.158</v>
      </c>
      <c r="T337" s="4">
        <v>7</v>
      </c>
      <c r="U337" s="4">
        <f t="shared" si="40"/>
        <v>2362.5509599999996</v>
      </c>
      <c r="V337">
        <f t="shared" si="41"/>
        <v>9021.9499999999989</v>
      </c>
      <c r="W337" s="4">
        <f t="shared" si="45"/>
        <v>-6659.3990399999993</v>
      </c>
      <c r="X337" s="4">
        <f t="shared" si="46"/>
        <v>-2.8187324433416667</v>
      </c>
    </row>
    <row r="338" spans="1:24" x14ac:dyDescent="0.3">
      <c r="A338" t="s">
        <v>774</v>
      </c>
      <c r="B338" s="7">
        <v>45484</v>
      </c>
      <c r="C338" s="2">
        <v>45504</v>
      </c>
      <c r="D338" s="4">
        <f t="shared" si="47"/>
        <v>20</v>
      </c>
      <c r="E338" s="51" t="b">
        <f t="shared" si="42"/>
        <v>0</v>
      </c>
      <c r="F338" s="4" t="str">
        <f>TEXT(Data!B338,"MMM-YYYY")</f>
        <v>Feb-2024</v>
      </c>
      <c r="G338" s="4" t="str">
        <f t="shared" si="43"/>
        <v>Q3-2024</v>
      </c>
      <c r="H338" t="s">
        <v>45</v>
      </c>
      <c r="I338" t="s">
        <v>116</v>
      </c>
      <c r="J338" t="s">
        <v>117</v>
      </c>
      <c r="K338" t="s">
        <v>48</v>
      </c>
      <c r="L338" t="s">
        <v>28</v>
      </c>
      <c r="M338" t="s">
        <v>41</v>
      </c>
      <c r="N338" t="s">
        <v>42</v>
      </c>
      <c r="O338" t="s">
        <v>775</v>
      </c>
      <c r="P338" s="4">
        <v>647.26</v>
      </c>
      <c r="Q338" s="8" t="str">
        <f t="shared" si="44"/>
        <v>High</v>
      </c>
      <c r="R338" s="4">
        <v>1374.72</v>
      </c>
      <c r="S338" s="4">
        <v>6.6000000000000003E-2</v>
      </c>
      <c r="T338" s="4">
        <v>22</v>
      </c>
      <c r="U338" s="4">
        <f t="shared" si="40"/>
        <v>36586.946879999996</v>
      </c>
      <c r="V338">
        <f t="shared" si="41"/>
        <v>14239.72</v>
      </c>
      <c r="W338" s="4">
        <f t="shared" si="45"/>
        <v>22347.226879999995</v>
      </c>
      <c r="X338" s="4">
        <f t="shared" si="46"/>
        <v>0.6107978059305067</v>
      </c>
    </row>
    <row r="339" spans="1:24" x14ac:dyDescent="0.3">
      <c r="A339" t="s">
        <v>776</v>
      </c>
      <c r="B339" s="7">
        <v>45340</v>
      </c>
      <c r="C339" s="2">
        <v>45354</v>
      </c>
      <c r="D339" s="4">
        <f t="shared" si="47"/>
        <v>14</v>
      </c>
      <c r="E339" s="51" t="b">
        <f t="shared" si="42"/>
        <v>0</v>
      </c>
      <c r="F339" s="4" t="str">
        <f>TEXT(Data!B339,"MMM-YYYY")</f>
        <v>Jul-2023</v>
      </c>
      <c r="G339" s="4" t="str">
        <f t="shared" si="43"/>
        <v>Q1-2024</v>
      </c>
      <c r="H339" t="s">
        <v>52</v>
      </c>
      <c r="I339" t="s">
        <v>73</v>
      </c>
      <c r="J339" t="s">
        <v>1364</v>
      </c>
      <c r="K339" t="s">
        <v>105</v>
      </c>
      <c r="L339" t="s">
        <v>55</v>
      </c>
      <c r="M339" t="s">
        <v>75</v>
      </c>
      <c r="N339" t="s">
        <v>30</v>
      </c>
      <c r="O339" t="s">
        <v>777</v>
      </c>
      <c r="P339" s="4">
        <v>624.23</v>
      </c>
      <c r="Q339" s="8" t="str">
        <f t="shared" si="44"/>
        <v>High</v>
      </c>
      <c r="R339" s="4">
        <v>1318.37</v>
      </c>
      <c r="S339" s="4">
        <v>0.21</v>
      </c>
      <c r="T339" s="4">
        <v>37</v>
      </c>
      <c r="U339" s="4">
        <f t="shared" si="40"/>
        <v>32691.708900000005</v>
      </c>
      <c r="V339">
        <f t="shared" si="41"/>
        <v>23096.510000000002</v>
      </c>
      <c r="W339" s="4">
        <f t="shared" si="45"/>
        <v>9595.1989000000031</v>
      </c>
      <c r="X339" s="4">
        <f t="shared" si="46"/>
        <v>0.29350557749521627</v>
      </c>
    </row>
    <row r="340" spans="1:24" x14ac:dyDescent="0.3">
      <c r="A340" t="s">
        <v>778</v>
      </c>
      <c r="B340" s="7">
        <v>45132</v>
      </c>
      <c r="C340" s="2">
        <v>45148</v>
      </c>
      <c r="D340" s="4">
        <f t="shared" si="47"/>
        <v>16</v>
      </c>
      <c r="E340" s="51" t="b">
        <f t="shared" si="42"/>
        <v>0</v>
      </c>
      <c r="F340" s="4" t="str">
        <f>TEXT(Data!B340,"MMM-YYYY")</f>
        <v>Jul-2023</v>
      </c>
      <c r="G340" s="4" t="str">
        <f t="shared" si="43"/>
        <v>Q3-2023</v>
      </c>
      <c r="H340" t="s">
        <v>16</v>
      </c>
      <c r="I340" t="s">
        <v>25</v>
      </c>
      <c r="J340" t="s">
        <v>26</v>
      </c>
      <c r="K340" t="s">
        <v>19</v>
      </c>
      <c r="L340" t="s">
        <v>55</v>
      </c>
      <c r="M340" t="s">
        <v>34</v>
      </c>
      <c r="N340" t="s">
        <v>81</v>
      </c>
      <c r="O340" t="s">
        <v>779</v>
      </c>
      <c r="P340" s="4">
        <v>506.83</v>
      </c>
      <c r="Q340" s="8" t="str">
        <f t="shared" si="44"/>
        <v>High</v>
      </c>
      <c r="R340" s="4">
        <v>441.74</v>
      </c>
      <c r="S340" s="4">
        <v>0.24</v>
      </c>
      <c r="T340" s="4">
        <v>9</v>
      </c>
      <c r="U340" s="4">
        <f t="shared" si="40"/>
        <v>5274.4607999999998</v>
      </c>
      <c r="V340">
        <f t="shared" si="41"/>
        <v>4561.47</v>
      </c>
      <c r="W340" s="4">
        <f t="shared" si="45"/>
        <v>712.99079999999958</v>
      </c>
      <c r="X340" s="4">
        <f t="shared" si="46"/>
        <v>0.1351779503224291</v>
      </c>
    </row>
    <row r="341" spans="1:24" x14ac:dyDescent="0.3">
      <c r="A341" t="s">
        <v>780</v>
      </c>
      <c r="B341" s="7">
        <v>45121</v>
      </c>
      <c r="C341" s="2">
        <v>45128</v>
      </c>
      <c r="D341" s="4">
        <f t="shared" si="47"/>
        <v>7</v>
      </c>
      <c r="E341" s="51" t="str">
        <f t="shared" si="42"/>
        <v>Yes</v>
      </c>
      <c r="F341" s="4" t="str">
        <f>TEXT(Data!B341,"MMM-YYYY")</f>
        <v>Jul-2023</v>
      </c>
      <c r="G341" s="4" t="str">
        <f t="shared" si="43"/>
        <v>Q3-2023</v>
      </c>
      <c r="H341" t="s">
        <v>16</v>
      </c>
      <c r="I341" t="s">
        <v>148</v>
      </c>
      <c r="J341" t="s">
        <v>172</v>
      </c>
      <c r="K341" t="s">
        <v>105</v>
      </c>
      <c r="L341" t="s">
        <v>40</v>
      </c>
      <c r="M341" t="s">
        <v>1364</v>
      </c>
      <c r="N341" t="s">
        <v>64</v>
      </c>
      <c r="O341" t="s">
        <v>781</v>
      </c>
      <c r="P341" s="4">
        <v>620.74</v>
      </c>
      <c r="Q341" s="8" t="str">
        <f t="shared" si="44"/>
        <v>High</v>
      </c>
      <c r="R341" s="4">
        <v>1330.07</v>
      </c>
      <c r="S341" s="4">
        <v>0.29899999999999999</v>
      </c>
      <c r="T341" s="4">
        <v>28</v>
      </c>
      <c r="U341" s="4">
        <f t="shared" si="40"/>
        <v>23750.665119999998</v>
      </c>
      <c r="V341">
        <f t="shared" si="41"/>
        <v>17380.72</v>
      </c>
      <c r="W341" s="4">
        <f t="shared" si="45"/>
        <v>6369.9451199999967</v>
      </c>
      <c r="X341" s="4">
        <f t="shared" si="46"/>
        <v>0.26820070460409901</v>
      </c>
    </row>
    <row r="342" spans="1:24" x14ac:dyDescent="0.3">
      <c r="A342" t="s">
        <v>782</v>
      </c>
      <c r="B342" s="7">
        <v>45131</v>
      </c>
      <c r="C342" s="2">
        <v>45157</v>
      </c>
      <c r="D342" s="4">
        <f t="shared" si="47"/>
        <v>26</v>
      </c>
      <c r="E342" s="51" t="b">
        <f t="shared" si="42"/>
        <v>0</v>
      </c>
      <c r="F342" s="4" t="str">
        <f>TEXT(Data!B342,"MMM-YYYY")</f>
        <v>Apr-2023</v>
      </c>
      <c r="G342" s="4" t="str">
        <f t="shared" si="43"/>
        <v>Q3-2023</v>
      </c>
      <c r="H342" t="s">
        <v>16</v>
      </c>
      <c r="I342" t="s">
        <v>17</v>
      </c>
      <c r="J342" t="s">
        <v>33</v>
      </c>
      <c r="K342" t="s">
        <v>105</v>
      </c>
      <c r="L342" t="s">
        <v>55</v>
      </c>
      <c r="M342" t="s">
        <v>110</v>
      </c>
      <c r="N342" t="s">
        <v>81</v>
      </c>
      <c r="O342" t="s">
        <v>783</v>
      </c>
      <c r="P342" s="4">
        <v>661.45</v>
      </c>
      <c r="Q342" s="8" t="str">
        <f t="shared" si="44"/>
        <v>High</v>
      </c>
      <c r="R342" s="4">
        <v>1634.86</v>
      </c>
      <c r="S342" s="4">
        <v>0.56499999999999995</v>
      </c>
      <c r="T342" s="4">
        <v>24</v>
      </c>
      <c r="U342" s="4">
        <f t="shared" si="40"/>
        <v>31570.873200000005</v>
      </c>
      <c r="V342">
        <f t="shared" si="41"/>
        <v>15874.800000000001</v>
      </c>
      <c r="W342" s="4">
        <f t="shared" si="45"/>
        <v>15696.073200000004</v>
      </c>
      <c r="X342" s="4">
        <f t="shared" si="46"/>
        <v>0.49716943527555019</v>
      </c>
    </row>
    <row r="343" spans="1:24" x14ac:dyDescent="0.3">
      <c r="A343" t="s">
        <v>784</v>
      </c>
      <c r="B343" s="7">
        <v>45029</v>
      </c>
      <c r="C343" s="2">
        <v>45027</v>
      </c>
      <c r="D343" s="4">
        <f>DATEDIF(C343,B343, "MD")</f>
        <v>2</v>
      </c>
      <c r="E343" s="51" t="str">
        <f t="shared" si="42"/>
        <v>Yes</v>
      </c>
      <c r="F343" s="4" t="str">
        <f>TEXT(Data!B343,"MMM-YYYY")</f>
        <v>Oct-2024</v>
      </c>
      <c r="G343" s="4" t="str">
        <f t="shared" si="43"/>
        <v>Q2-2023</v>
      </c>
      <c r="H343" t="s">
        <v>52</v>
      </c>
      <c r="I343" t="s">
        <v>122</v>
      </c>
      <c r="J343" t="s">
        <v>167</v>
      </c>
      <c r="K343" t="s">
        <v>27</v>
      </c>
      <c r="L343" t="s">
        <v>40</v>
      </c>
      <c r="M343" t="s">
        <v>41</v>
      </c>
      <c r="N343" t="s">
        <v>35</v>
      </c>
      <c r="O343" t="s">
        <v>785</v>
      </c>
      <c r="P343" s="4">
        <v>32.1</v>
      </c>
      <c r="Q343" s="8" t="str">
        <f t="shared" si="44"/>
        <v>Medium</v>
      </c>
      <c r="R343" s="4">
        <v>70.599999999999994</v>
      </c>
      <c r="S343" s="4">
        <v>0.28199999999999997</v>
      </c>
      <c r="T343" s="4">
        <v>22</v>
      </c>
      <c r="U343" s="4">
        <f t="shared" si="40"/>
        <v>36385.454160000001</v>
      </c>
      <c r="V343">
        <f t="shared" si="41"/>
        <v>706.2</v>
      </c>
      <c r="W343" s="4">
        <f t="shared" si="45"/>
        <v>35679.254160000004</v>
      </c>
      <c r="X343" s="4">
        <f t="shared" si="46"/>
        <v>0.98059114510720191</v>
      </c>
    </row>
    <row r="344" spans="1:24" x14ac:dyDescent="0.3">
      <c r="A344" t="s">
        <v>786</v>
      </c>
      <c r="B344" s="7">
        <v>45594</v>
      </c>
      <c r="C344" s="2">
        <v>45600</v>
      </c>
      <c r="D344" s="4">
        <f t="shared" si="47"/>
        <v>6</v>
      </c>
      <c r="E344" s="51" t="str">
        <f t="shared" si="42"/>
        <v>Yes</v>
      </c>
      <c r="F344" s="4" t="str">
        <f>TEXT(Data!B344,"MMM-YYYY")</f>
        <v>Feb-2024</v>
      </c>
      <c r="G344" s="4" t="str">
        <f t="shared" si="43"/>
        <v>Q4-2024</v>
      </c>
      <c r="H344" t="s">
        <v>16</v>
      </c>
      <c r="I344" t="s">
        <v>17</v>
      </c>
      <c r="J344" t="s">
        <v>33</v>
      </c>
      <c r="K344" t="s">
        <v>19</v>
      </c>
      <c r="L344" t="s">
        <v>55</v>
      </c>
      <c r="M344" t="s">
        <v>110</v>
      </c>
      <c r="N344" t="s">
        <v>30</v>
      </c>
      <c r="O344" t="s">
        <v>787</v>
      </c>
      <c r="P344" s="4">
        <v>805.81</v>
      </c>
      <c r="Q344" s="8" t="str">
        <f t="shared" si="44"/>
        <v>High</v>
      </c>
      <c r="R344" s="4">
        <v>1823.04</v>
      </c>
      <c r="S344" s="4">
        <v>0</v>
      </c>
      <c r="T344" s="4">
        <v>11</v>
      </c>
      <c r="U344" s="4">
        <f t="shared" si="40"/>
        <v>33921.800000000003</v>
      </c>
      <c r="V344">
        <f t="shared" si="41"/>
        <v>8863.91</v>
      </c>
      <c r="W344" s="4">
        <f t="shared" si="45"/>
        <v>25057.890000000003</v>
      </c>
      <c r="X344" s="4">
        <f t="shared" si="46"/>
        <v>0.73869576496530254</v>
      </c>
    </row>
    <row r="345" spans="1:24" x14ac:dyDescent="0.3">
      <c r="A345" t="s">
        <v>788</v>
      </c>
      <c r="B345" s="7">
        <v>45339</v>
      </c>
      <c r="C345" s="2">
        <v>45355</v>
      </c>
      <c r="D345" s="4">
        <f t="shared" si="47"/>
        <v>16</v>
      </c>
      <c r="E345" s="51" t="b">
        <f t="shared" si="42"/>
        <v>0</v>
      </c>
      <c r="F345" s="4" t="str">
        <f>TEXT(Data!B345,"MMM-YYYY")</f>
        <v>Jul-2024</v>
      </c>
      <c r="G345" s="4" t="str">
        <f t="shared" si="43"/>
        <v>Q1-2024</v>
      </c>
      <c r="H345" t="s">
        <v>45</v>
      </c>
      <c r="I345" t="s">
        <v>60</v>
      </c>
      <c r="J345" t="s">
        <v>141</v>
      </c>
      <c r="K345" t="s">
        <v>62</v>
      </c>
      <c r="L345" t="s">
        <v>40</v>
      </c>
      <c r="M345" t="s">
        <v>84</v>
      </c>
      <c r="N345" t="s">
        <v>42</v>
      </c>
      <c r="O345" t="s">
        <v>789</v>
      </c>
      <c r="P345" s="4">
        <v>1231.8</v>
      </c>
      <c r="Q345" s="8" t="str">
        <f t="shared" si="44"/>
        <v>High</v>
      </c>
      <c r="R345" s="4">
        <v>2015.99</v>
      </c>
      <c r="S345" s="4">
        <v>0.26100000000000001</v>
      </c>
      <c r="T345" s="4">
        <v>6</v>
      </c>
      <c r="U345" s="4">
        <f t="shared" si="40"/>
        <v>1430.8961399999998</v>
      </c>
      <c r="V345">
        <f t="shared" si="41"/>
        <v>7390.7999999999993</v>
      </c>
      <c r="W345" s="4">
        <f t="shared" si="45"/>
        <v>-5959.9038599999994</v>
      </c>
      <c r="X345" s="4">
        <f t="shared" si="46"/>
        <v>-4.1651547539991265</v>
      </c>
    </row>
    <row r="346" spans="1:24" x14ac:dyDescent="0.3">
      <c r="A346" t="s">
        <v>790</v>
      </c>
      <c r="B346" s="7">
        <v>45486</v>
      </c>
      <c r="C346" s="2">
        <v>45485</v>
      </c>
      <c r="D346" s="4">
        <f>DATEDIF(C346,B346, "MD")</f>
        <v>1</v>
      </c>
      <c r="E346" s="51" t="str">
        <f t="shared" si="42"/>
        <v>Yes</v>
      </c>
      <c r="F346" s="4" t="str">
        <f>TEXT(Data!B346,"MMM-YYYY")</f>
        <v>Dec-2023</v>
      </c>
      <c r="G346" s="4" t="str">
        <f t="shared" si="43"/>
        <v>Q3-2024</v>
      </c>
      <c r="H346" t="s">
        <v>45</v>
      </c>
      <c r="I346" t="s">
        <v>46</v>
      </c>
      <c r="J346" t="s">
        <v>231</v>
      </c>
      <c r="K346" t="s">
        <v>62</v>
      </c>
      <c r="L346" t="s">
        <v>40</v>
      </c>
      <c r="M346" t="s">
        <v>84</v>
      </c>
      <c r="N346" t="s">
        <v>35</v>
      </c>
      <c r="O346" t="s">
        <v>791</v>
      </c>
      <c r="P346" s="4">
        <v>105.13</v>
      </c>
      <c r="Q346" s="8" t="str">
        <f t="shared" si="44"/>
        <v>High</v>
      </c>
      <c r="R346" s="4">
        <v>244.13</v>
      </c>
      <c r="S346" s="4">
        <v>7.0999999999999994E-2</v>
      </c>
      <c r="T346" s="4">
        <v>14</v>
      </c>
      <c r="U346" s="4">
        <f t="shared" si="40"/>
        <v>9511.1577400000006</v>
      </c>
      <c r="V346">
        <f t="shared" si="41"/>
        <v>1471.82</v>
      </c>
      <c r="W346" s="4">
        <f t="shared" si="45"/>
        <v>8039.3377400000008</v>
      </c>
      <c r="X346" s="4">
        <f t="shared" si="46"/>
        <v>0.84525332874986048</v>
      </c>
    </row>
    <row r="347" spans="1:24" x14ac:dyDescent="0.3">
      <c r="A347" t="s">
        <v>792</v>
      </c>
      <c r="B347" s="7">
        <v>45261</v>
      </c>
      <c r="C347" s="2">
        <v>45278</v>
      </c>
      <c r="D347" s="4">
        <f t="shared" si="47"/>
        <v>17</v>
      </c>
      <c r="E347" s="51" t="b">
        <f t="shared" si="42"/>
        <v>0</v>
      </c>
      <c r="F347" s="4" t="str">
        <f>TEXT(Data!B347,"MMM-YYYY")</f>
        <v>Jul-2024</v>
      </c>
      <c r="G347" s="4" t="str">
        <f t="shared" si="43"/>
        <v>Q4-2023</v>
      </c>
      <c r="H347" t="s">
        <v>45</v>
      </c>
      <c r="I347" t="s">
        <v>46</v>
      </c>
      <c r="J347" t="s">
        <v>231</v>
      </c>
      <c r="K347" t="s">
        <v>62</v>
      </c>
      <c r="L347" t="s">
        <v>98</v>
      </c>
      <c r="M347" t="s">
        <v>126</v>
      </c>
      <c r="N347" t="s">
        <v>57</v>
      </c>
      <c r="O347" t="s">
        <v>793</v>
      </c>
      <c r="P347" s="4">
        <v>1495.79</v>
      </c>
      <c r="Q347" s="8" t="str">
        <f t="shared" si="44"/>
        <v>High</v>
      </c>
      <c r="R347" s="4">
        <v>2783.12</v>
      </c>
      <c r="S347" s="4">
        <v>0.02</v>
      </c>
      <c r="T347" s="4">
        <v>5</v>
      </c>
      <c r="U347" s="4">
        <f t="shared" si="40"/>
        <v>7516.3549999999996</v>
      </c>
      <c r="V347">
        <f t="shared" si="41"/>
        <v>7478.95</v>
      </c>
      <c r="W347" s="4">
        <f t="shared" si="45"/>
        <v>37.404999999999745</v>
      </c>
      <c r="X347" s="4">
        <f t="shared" si="46"/>
        <v>4.9764812864745937E-3</v>
      </c>
    </row>
    <row r="348" spans="1:24" x14ac:dyDescent="0.3">
      <c r="A348" t="s">
        <v>794</v>
      </c>
      <c r="B348" s="7">
        <v>45498</v>
      </c>
      <c r="C348" s="2">
        <v>45506</v>
      </c>
      <c r="D348" s="4">
        <f t="shared" si="47"/>
        <v>8</v>
      </c>
      <c r="E348" s="51" t="b">
        <f t="shared" si="42"/>
        <v>0</v>
      </c>
      <c r="F348" s="4" t="str">
        <f>TEXT(Data!B348,"MMM-YYYY")</f>
        <v>May-2023</v>
      </c>
      <c r="G348" s="4" t="str">
        <f t="shared" si="43"/>
        <v>Q3-2024</v>
      </c>
      <c r="H348" t="s">
        <v>52</v>
      </c>
      <c r="I348" t="s">
        <v>53</v>
      </c>
      <c r="J348" t="s">
        <v>144</v>
      </c>
      <c r="K348" t="s">
        <v>48</v>
      </c>
      <c r="L348" t="s">
        <v>98</v>
      </c>
      <c r="M348" t="s">
        <v>29</v>
      </c>
      <c r="N348" t="s">
        <v>81</v>
      </c>
      <c r="O348" t="s">
        <v>795</v>
      </c>
      <c r="P348" s="4">
        <v>986.81</v>
      </c>
      <c r="Q348" s="8" t="str">
        <f t="shared" si="44"/>
        <v>High</v>
      </c>
      <c r="R348" s="4">
        <v>2050.31</v>
      </c>
      <c r="S348" s="4">
        <v>0.10299999999999999</v>
      </c>
      <c r="T348" s="4">
        <v>43</v>
      </c>
      <c r="U348" s="4">
        <f t="shared" si="40"/>
        <v>60620.497860000003</v>
      </c>
      <c r="V348">
        <f t="shared" si="41"/>
        <v>42432.829999999994</v>
      </c>
      <c r="W348" s="4">
        <f t="shared" si="45"/>
        <v>18187.667860000009</v>
      </c>
      <c r="X348" s="4">
        <f t="shared" si="46"/>
        <v>0.30002504931588508</v>
      </c>
    </row>
    <row r="349" spans="1:24" x14ac:dyDescent="0.3">
      <c r="A349" t="s">
        <v>796</v>
      </c>
      <c r="B349" s="7">
        <v>45050</v>
      </c>
      <c r="C349" s="2">
        <v>45062</v>
      </c>
      <c r="D349" s="4">
        <f t="shared" si="47"/>
        <v>12</v>
      </c>
      <c r="E349" s="51" t="b">
        <f t="shared" si="42"/>
        <v>0</v>
      </c>
      <c r="F349" s="4" t="str">
        <f>TEXT(Data!B349,"MMM-YYYY")</f>
        <v>Dec-2023</v>
      </c>
      <c r="G349" s="4" t="str">
        <f t="shared" si="43"/>
        <v>Q2-2023</v>
      </c>
      <c r="H349" t="s">
        <v>16</v>
      </c>
      <c r="I349" t="s">
        <v>25</v>
      </c>
      <c r="J349" t="s">
        <v>67</v>
      </c>
      <c r="K349" t="s">
        <v>62</v>
      </c>
      <c r="L349" t="s">
        <v>40</v>
      </c>
      <c r="M349" t="s">
        <v>29</v>
      </c>
      <c r="N349" t="s">
        <v>42</v>
      </c>
      <c r="O349" t="s">
        <v>797</v>
      </c>
      <c r="P349" s="4">
        <v>77.739999999999995</v>
      </c>
      <c r="Q349" s="8" t="str">
        <f t="shared" si="44"/>
        <v>Medium</v>
      </c>
      <c r="R349" s="4">
        <v>147.12</v>
      </c>
      <c r="S349" s="4">
        <v>0</v>
      </c>
      <c r="T349" s="4">
        <v>15</v>
      </c>
      <c r="U349" s="4">
        <f t="shared" si="40"/>
        <v>3760.95</v>
      </c>
      <c r="V349">
        <f t="shared" si="41"/>
        <v>1166.0999999999999</v>
      </c>
      <c r="W349" s="4">
        <f t="shared" si="45"/>
        <v>2594.85</v>
      </c>
      <c r="X349" s="4">
        <f t="shared" si="46"/>
        <v>0.68994535955011371</v>
      </c>
    </row>
    <row r="350" spans="1:24" x14ac:dyDescent="0.3">
      <c r="A350" t="s">
        <v>798</v>
      </c>
      <c r="B350" s="7">
        <v>45281</v>
      </c>
      <c r="C350" s="2">
        <v>45297</v>
      </c>
      <c r="D350" s="4">
        <f t="shared" si="47"/>
        <v>16</v>
      </c>
      <c r="E350" s="51" t="b">
        <f t="shared" si="42"/>
        <v>0</v>
      </c>
      <c r="F350" s="4" t="str">
        <f>TEXT(Data!B350,"MMM-YYYY")</f>
        <v>Jun-2025</v>
      </c>
      <c r="G350" s="4" t="str">
        <f t="shared" si="43"/>
        <v>Q4-2023</v>
      </c>
      <c r="H350" t="s">
        <v>16</v>
      </c>
      <c r="I350" t="s">
        <v>25</v>
      </c>
      <c r="J350" t="s">
        <v>1364</v>
      </c>
      <c r="K350" t="s">
        <v>19</v>
      </c>
      <c r="L350" t="s">
        <v>40</v>
      </c>
      <c r="M350" t="s">
        <v>95</v>
      </c>
      <c r="N350" t="s">
        <v>22</v>
      </c>
      <c r="O350" t="s">
        <v>799</v>
      </c>
      <c r="P350" s="4">
        <v>932.61</v>
      </c>
      <c r="Q350" s="8" t="str">
        <f t="shared" si="44"/>
        <v>High</v>
      </c>
      <c r="R350" s="4">
        <v>1982.98</v>
      </c>
      <c r="S350" s="4">
        <v>0.14399999999999999</v>
      </c>
      <c r="T350" s="4">
        <v>16</v>
      </c>
      <c r="U350" s="4">
        <f t="shared" si="40"/>
        <v>47563.605759999999</v>
      </c>
      <c r="V350">
        <f t="shared" si="41"/>
        <v>14921.76</v>
      </c>
      <c r="W350" s="4">
        <f t="shared" si="45"/>
        <v>32641.845759999997</v>
      </c>
      <c r="X350" s="4">
        <f t="shared" si="46"/>
        <v>0.68627777979463256</v>
      </c>
    </row>
    <row r="351" spans="1:24" x14ac:dyDescent="0.3">
      <c r="A351" t="s">
        <v>800</v>
      </c>
      <c r="B351" s="7">
        <v>45825</v>
      </c>
      <c r="C351" s="2">
        <v>45843</v>
      </c>
      <c r="D351" s="4">
        <f t="shared" si="47"/>
        <v>18</v>
      </c>
      <c r="E351" s="51" t="b">
        <f t="shared" si="42"/>
        <v>0</v>
      </c>
      <c r="F351" s="4" t="str">
        <f>TEXT(Data!B351,"MMM-YYYY")</f>
        <v>Feb-2023</v>
      </c>
      <c r="G351" s="4" t="str">
        <f t="shared" si="43"/>
        <v>Q2-2025</v>
      </c>
      <c r="H351" t="s">
        <v>45</v>
      </c>
      <c r="I351" t="s">
        <v>60</v>
      </c>
      <c r="J351" t="s">
        <v>141</v>
      </c>
      <c r="K351" t="s">
        <v>48</v>
      </c>
      <c r="L351" t="s">
        <v>40</v>
      </c>
      <c r="M351" t="s">
        <v>49</v>
      </c>
      <c r="N351" t="s">
        <v>57</v>
      </c>
      <c r="O351" t="s">
        <v>801</v>
      </c>
      <c r="P351" s="4">
        <v>982.93</v>
      </c>
      <c r="Q351" s="8" t="str">
        <f t="shared" si="44"/>
        <v>High</v>
      </c>
      <c r="R351" s="4">
        <v>2299.3000000000002</v>
      </c>
      <c r="S351" s="4">
        <v>0.113</v>
      </c>
      <c r="T351" s="4">
        <v>6</v>
      </c>
      <c r="U351" s="4">
        <f t="shared" si="40"/>
        <v>6418.5448799999995</v>
      </c>
      <c r="V351">
        <f t="shared" si="41"/>
        <v>5897.58</v>
      </c>
      <c r="W351" s="4">
        <f t="shared" si="45"/>
        <v>520.96487999999954</v>
      </c>
      <c r="X351" s="4">
        <f t="shared" si="46"/>
        <v>8.1165574088811171E-2</v>
      </c>
    </row>
    <row r="352" spans="1:24" x14ac:dyDescent="0.3">
      <c r="A352" t="s">
        <v>802</v>
      </c>
      <c r="B352" s="7">
        <v>44980</v>
      </c>
      <c r="C352" s="2">
        <v>44993</v>
      </c>
      <c r="D352" s="4">
        <f t="shared" si="47"/>
        <v>13</v>
      </c>
      <c r="E352" s="51" t="b">
        <f t="shared" si="42"/>
        <v>0</v>
      </c>
      <c r="F352" s="4" t="str">
        <f>TEXT(Data!B352,"MMM-YYYY")</f>
        <v>Dec-2023</v>
      </c>
      <c r="G352" s="4" t="str">
        <f t="shared" si="43"/>
        <v>Q1-2023</v>
      </c>
      <c r="H352" t="s">
        <v>78</v>
      </c>
      <c r="I352" t="s">
        <v>108</v>
      </c>
      <c r="J352" t="s">
        <v>228</v>
      </c>
      <c r="K352" t="s">
        <v>62</v>
      </c>
      <c r="L352" t="s">
        <v>98</v>
      </c>
      <c r="M352" t="s">
        <v>21</v>
      </c>
      <c r="N352" t="s">
        <v>30</v>
      </c>
      <c r="O352" t="s">
        <v>803</v>
      </c>
      <c r="P352" s="4">
        <v>307.37</v>
      </c>
      <c r="Q352" s="8" t="str">
        <f t="shared" si="44"/>
        <v>High</v>
      </c>
      <c r="R352" s="4">
        <v>462.61</v>
      </c>
      <c r="S352" s="4">
        <v>0.188</v>
      </c>
      <c r="T352" s="4">
        <v>11</v>
      </c>
      <c r="U352" s="4">
        <f t="shared" si="40"/>
        <v>19625.658360000001</v>
      </c>
      <c r="V352">
        <f t="shared" si="41"/>
        <v>3381.07</v>
      </c>
      <c r="W352" s="4">
        <f t="shared" si="45"/>
        <v>16244.588360000002</v>
      </c>
      <c r="X352" s="4">
        <f t="shared" si="46"/>
        <v>0.82772195775652957</v>
      </c>
    </row>
    <row r="353" spans="1:24" x14ac:dyDescent="0.3">
      <c r="A353" t="s">
        <v>804</v>
      </c>
      <c r="B353" s="7">
        <v>45262</v>
      </c>
      <c r="C353" s="2">
        <v>45276</v>
      </c>
      <c r="D353" s="4">
        <f t="shared" si="47"/>
        <v>14</v>
      </c>
      <c r="E353" s="51" t="b">
        <f t="shared" si="42"/>
        <v>0</v>
      </c>
      <c r="F353" s="4" t="str">
        <f>TEXT(Data!B353,"MMM-YYYY")</f>
        <v>Jul-2023</v>
      </c>
      <c r="G353" s="4" t="str">
        <f t="shared" si="43"/>
        <v>Q4-2023</v>
      </c>
      <c r="H353" t="s">
        <v>78</v>
      </c>
      <c r="I353" t="s">
        <v>79</v>
      </c>
      <c r="J353" t="s">
        <v>335</v>
      </c>
      <c r="K353" t="s">
        <v>27</v>
      </c>
      <c r="L353" t="s">
        <v>98</v>
      </c>
      <c r="M353" t="s">
        <v>126</v>
      </c>
      <c r="N353" t="s">
        <v>64</v>
      </c>
      <c r="O353" t="s">
        <v>805</v>
      </c>
      <c r="P353" s="4">
        <v>879.08</v>
      </c>
      <c r="Q353" s="8" t="str">
        <f t="shared" si="44"/>
        <v>High</v>
      </c>
      <c r="R353" s="4">
        <v>1093.3900000000001</v>
      </c>
      <c r="S353" s="4">
        <v>0.113</v>
      </c>
      <c r="T353" s="4">
        <v>17</v>
      </c>
      <c r="U353" s="4">
        <f t="shared" si="40"/>
        <v>24437.027399999999</v>
      </c>
      <c r="V353">
        <f t="shared" si="41"/>
        <v>14944.36</v>
      </c>
      <c r="W353" s="4">
        <f t="shared" si="45"/>
        <v>9492.6673999999985</v>
      </c>
      <c r="X353" s="4">
        <f t="shared" si="46"/>
        <v>0.38845426019369272</v>
      </c>
    </row>
    <row r="354" spans="1:24" x14ac:dyDescent="0.3">
      <c r="A354" t="s">
        <v>806</v>
      </c>
      <c r="B354" s="7">
        <v>45121</v>
      </c>
      <c r="C354" s="2">
        <v>45121</v>
      </c>
      <c r="D354" s="4">
        <f t="shared" si="47"/>
        <v>0</v>
      </c>
      <c r="E354" s="51" t="str">
        <f t="shared" si="42"/>
        <v>Yes</v>
      </c>
      <c r="F354" s="4" t="str">
        <f>TEXT(Data!B354,"MMM-YYYY")</f>
        <v>Aug-2024</v>
      </c>
      <c r="G354" s="4" t="str">
        <f t="shared" si="43"/>
        <v>Q3-2023</v>
      </c>
      <c r="H354" t="s">
        <v>16</v>
      </c>
      <c r="I354" t="s">
        <v>25</v>
      </c>
      <c r="J354" t="s">
        <v>38</v>
      </c>
      <c r="K354" t="s">
        <v>27</v>
      </c>
      <c r="L354" t="s">
        <v>20</v>
      </c>
      <c r="M354" t="s">
        <v>34</v>
      </c>
      <c r="N354" t="s">
        <v>81</v>
      </c>
      <c r="O354" t="s">
        <v>807</v>
      </c>
      <c r="P354" s="4">
        <v>956.38</v>
      </c>
      <c r="Q354" s="8" t="str">
        <f t="shared" si="44"/>
        <v>High</v>
      </c>
      <c r="R354" s="4">
        <v>1454.22</v>
      </c>
      <c r="S354" s="4">
        <v>3.9E-2</v>
      </c>
      <c r="T354" s="4">
        <v>19</v>
      </c>
      <c r="U354" s="4">
        <f t="shared" si="40"/>
        <v>18891.856940000001</v>
      </c>
      <c r="V354">
        <f t="shared" si="41"/>
        <v>18171.22</v>
      </c>
      <c r="W354" s="4">
        <f t="shared" si="45"/>
        <v>720.63694000000032</v>
      </c>
      <c r="X354" s="4">
        <f t="shared" si="46"/>
        <v>3.8145373548440616E-2</v>
      </c>
    </row>
    <row r="355" spans="1:24" x14ac:dyDescent="0.3">
      <c r="A355" t="s">
        <v>808</v>
      </c>
      <c r="B355" s="7">
        <v>45512</v>
      </c>
      <c r="C355" s="2">
        <v>45524</v>
      </c>
      <c r="D355" s="4">
        <f t="shared" si="47"/>
        <v>12</v>
      </c>
      <c r="E355" s="51" t="b">
        <f t="shared" si="42"/>
        <v>0</v>
      </c>
      <c r="F355" s="4" t="str">
        <f>TEXT(Data!B355,"MMM-YYYY")</f>
        <v>Nov-2024</v>
      </c>
      <c r="G355" s="4" t="str">
        <f t="shared" si="43"/>
        <v>Q3-2024</v>
      </c>
      <c r="H355" t="s">
        <v>45</v>
      </c>
      <c r="I355" t="s">
        <v>46</v>
      </c>
      <c r="J355" t="s">
        <v>47</v>
      </c>
      <c r="K355" t="s">
        <v>62</v>
      </c>
      <c r="L355" t="s">
        <v>20</v>
      </c>
      <c r="M355" t="s">
        <v>92</v>
      </c>
      <c r="N355" t="s">
        <v>35</v>
      </c>
      <c r="O355" t="s">
        <v>809</v>
      </c>
      <c r="P355" s="4">
        <v>1233.3599999999999</v>
      </c>
      <c r="Q355" s="8" t="str">
        <f t="shared" si="44"/>
        <v>High</v>
      </c>
      <c r="R355" s="4">
        <v>2120.4</v>
      </c>
      <c r="S355" s="4">
        <v>0.17899999999999999</v>
      </c>
      <c r="T355" s="4">
        <v>20</v>
      </c>
      <c r="U355" s="4">
        <f t="shared" si="40"/>
        <v>31286.9964</v>
      </c>
      <c r="V355">
        <f t="shared" si="41"/>
        <v>24667.199999999997</v>
      </c>
      <c r="W355" s="4">
        <f t="shared" si="45"/>
        <v>6619.7964000000029</v>
      </c>
      <c r="X355" s="4">
        <f t="shared" si="46"/>
        <v>0.21158299490838958</v>
      </c>
    </row>
    <row r="356" spans="1:24" x14ac:dyDescent="0.3">
      <c r="A356" t="s">
        <v>810</v>
      </c>
      <c r="B356" s="7">
        <v>45603</v>
      </c>
      <c r="C356" s="2">
        <v>45622</v>
      </c>
      <c r="D356" s="4">
        <f t="shared" si="47"/>
        <v>19</v>
      </c>
      <c r="E356" s="51" t="b">
        <f t="shared" si="42"/>
        <v>0</v>
      </c>
      <c r="F356" s="4" t="str">
        <f>TEXT(Data!B356,"MMM-YYYY")</f>
        <v>Jan-2024</v>
      </c>
      <c r="G356" s="4" t="str">
        <f t="shared" si="43"/>
        <v>Q4-2024</v>
      </c>
      <c r="H356" t="s">
        <v>52</v>
      </c>
      <c r="I356" t="s">
        <v>73</v>
      </c>
      <c r="J356" t="s">
        <v>225</v>
      </c>
      <c r="K356" t="s">
        <v>39</v>
      </c>
      <c r="L356" t="s">
        <v>55</v>
      </c>
      <c r="M356" t="s">
        <v>29</v>
      </c>
      <c r="N356" t="s">
        <v>30</v>
      </c>
      <c r="O356" t="s">
        <v>811</v>
      </c>
      <c r="P356" s="4">
        <v>55.35</v>
      </c>
      <c r="Q356" s="8" t="str">
        <f t="shared" si="44"/>
        <v>Medium</v>
      </c>
      <c r="R356" s="4">
        <v>128.68</v>
      </c>
      <c r="S356" s="4">
        <v>0.128</v>
      </c>
      <c r="T356" s="4">
        <v>10</v>
      </c>
      <c r="U356" s="4">
        <f t="shared" si="40"/>
        <v>4722.4031999999997</v>
      </c>
      <c r="V356">
        <f t="shared" si="41"/>
        <v>553.5</v>
      </c>
      <c r="W356" s="4">
        <f t="shared" si="45"/>
        <v>4168.9031999999997</v>
      </c>
      <c r="X356" s="4">
        <f t="shared" si="46"/>
        <v>0.88279272722837387</v>
      </c>
    </row>
    <row r="357" spans="1:24" x14ac:dyDescent="0.3">
      <c r="A357" t="s">
        <v>812</v>
      </c>
      <c r="B357" s="7">
        <v>45292</v>
      </c>
      <c r="C357" s="2">
        <v>45318</v>
      </c>
      <c r="D357" s="4">
        <f t="shared" si="47"/>
        <v>26</v>
      </c>
      <c r="E357" s="51" t="b">
        <f t="shared" si="42"/>
        <v>0</v>
      </c>
      <c r="F357" s="4" t="str">
        <f>TEXT(Data!B357,"MMM-YYYY")</f>
        <v>Aug-2025</v>
      </c>
      <c r="G357" s="4" t="str">
        <f t="shared" si="43"/>
        <v>Q1-2024</v>
      </c>
      <c r="H357" t="s">
        <v>78</v>
      </c>
      <c r="I357" t="s">
        <v>108</v>
      </c>
      <c r="J357" t="s">
        <v>228</v>
      </c>
      <c r="K357" t="s">
        <v>27</v>
      </c>
      <c r="L357" t="s">
        <v>55</v>
      </c>
      <c r="M357" t="s">
        <v>145</v>
      </c>
      <c r="N357" t="s">
        <v>81</v>
      </c>
      <c r="O357" t="s">
        <v>813</v>
      </c>
      <c r="P357" s="4">
        <v>657.45</v>
      </c>
      <c r="Q357" s="8" t="str">
        <f t="shared" si="44"/>
        <v>High</v>
      </c>
      <c r="R357" s="4">
        <v>1325.96</v>
      </c>
      <c r="S357" s="4">
        <v>0.16700000000000001</v>
      </c>
      <c r="T357" s="4">
        <v>21</v>
      </c>
      <c r="U357" s="4">
        <f t="shared" si="40"/>
        <v>19532.683799999999</v>
      </c>
      <c r="V357">
        <f t="shared" si="41"/>
        <v>13806.45</v>
      </c>
      <c r="W357" s="4">
        <f t="shared" si="45"/>
        <v>5726.2337999999982</v>
      </c>
      <c r="X357" s="4">
        <f t="shared" si="46"/>
        <v>0.29316164939914702</v>
      </c>
    </row>
    <row r="358" spans="1:24" x14ac:dyDescent="0.3">
      <c r="A358" t="s">
        <v>814</v>
      </c>
      <c r="B358" s="7">
        <v>45883</v>
      </c>
      <c r="C358" s="2">
        <v>45911</v>
      </c>
      <c r="D358" s="4">
        <f t="shared" si="47"/>
        <v>28</v>
      </c>
      <c r="E358" s="51" t="b">
        <f t="shared" si="42"/>
        <v>0</v>
      </c>
      <c r="F358" s="4" t="str">
        <f>TEXT(Data!B358,"MMM-YYYY")</f>
        <v>Apr-2024</v>
      </c>
      <c r="G358" s="4" t="str">
        <f t="shared" si="43"/>
        <v>Q3-2025</v>
      </c>
      <c r="H358" t="s">
        <v>52</v>
      </c>
      <c r="I358" t="s">
        <v>73</v>
      </c>
      <c r="J358" t="s">
        <v>74</v>
      </c>
      <c r="K358" t="s">
        <v>39</v>
      </c>
      <c r="L358" t="s">
        <v>98</v>
      </c>
      <c r="M358" t="s">
        <v>84</v>
      </c>
      <c r="N358" t="s">
        <v>30</v>
      </c>
      <c r="O358" t="s">
        <v>815</v>
      </c>
      <c r="P358" s="4">
        <v>1203.02</v>
      </c>
      <c r="Q358" s="8" t="str">
        <f t="shared" si="44"/>
        <v>High</v>
      </c>
      <c r="R358" s="4">
        <v>2439.33</v>
      </c>
      <c r="S358" s="4">
        <v>0</v>
      </c>
      <c r="T358" s="4">
        <v>18</v>
      </c>
      <c r="U358" s="4">
        <f t="shared" si="40"/>
        <v>26190</v>
      </c>
      <c r="V358">
        <f t="shared" si="41"/>
        <v>21654.36</v>
      </c>
      <c r="W358" s="4">
        <f t="shared" si="45"/>
        <v>4535.6399999999994</v>
      </c>
      <c r="X358" s="4">
        <f t="shared" si="46"/>
        <v>0.17318213058419241</v>
      </c>
    </row>
    <row r="359" spans="1:24" x14ac:dyDescent="0.3">
      <c r="A359" t="s">
        <v>816</v>
      </c>
      <c r="B359" s="7">
        <v>45385</v>
      </c>
      <c r="C359" s="2">
        <v>45403</v>
      </c>
      <c r="D359" s="4">
        <f t="shared" si="47"/>
        <v>18</v>
      </c>
      <c r="E359" s="51" t="b">
        <f t="shared" si="42"/>
        <v>0</v>
      </c>
      <c r="F359" s="4" t="str">
        <f>TEXT(Data!B359,"MMM-YYYY")</f>
        <v>Nov-2024</v>
      </c>
      <c r="G359" s="4" t="str">
        <f t="shared" si="43"/>
        <v>Q2-2024</v>
      </c>
      <c r="H359" t="s">
        <v>52</v>
      </c>
      <c r="I359" t="s">
        <v>73</v>
      </c>
      <c r="J359" t="s">
        <v>87</v>
      </c>
      <c r="K359" t="s">
        <v>62</v>
      </c>
      <c r="L359" t="s">
        <v>55</v>
      </c>
      <c r="M359" t="s">
        <v>56</v>
      </c>
      <c r="N359" t="s">
        <v>35</v>
      </c>
      <c r="O359" t="s">
        <v>817</v>
      </c>
      <c r="P359" s="4">
        <v>1176.69</v>
      </c>
      <c r="Q359" s="8" t="str">
        <f t="shared" si="44"/>
        <v>High</v>
      </c>
      <c r="R359" s="4">
        <v>2201.54</v>
      </c>
      <c r="S359" s="4">
        <v>0.17</v>
      </c>
      <c r="T359" s="4">
        <v>27</v>
      </c>
      <c r="U359" s="4">
        <f t="shared" si="40"/>
        <v>28646.702999999998</v>
      </c>
      <c r="V359">
        <f t="shared" si="41"/>
        <v>31770.63</v>
      </c>
      <c r="W359" s="4">
        <f t="shared" si="45"/>
        <v>-3123.9270000000033</v>
      </c>
      <c r="X359" s="4">
        <f t="shared" si="46"/>
        <v>-0.1090501409533936</v>
      </c>
    </row>
    <row r="360" spans="1:24" x14ac:dyDescent="0.3">
      <c r="A360" t="s">
        <v>818</v>
      </c>
      <c r="B360" s="7">
        <v>45621</v>
      </c>
      <c r="C360" s="2">
        <v>45633</v>
      </c>
      <c r="D360" s="4">
        <f t="shared" si="47"/>
        <v>12</v>
      </c>
      <c r="E360" s="51" t="b">
        <f t="shared" si="42"/>
        <v>0</v>
      </c>
      <c r="F360" s="4" t="str">
        <f>TEXT(Data!B360,"MMM-YYYY")</f>
        <v>Jan-2024</v>
      </c>
      <c r="G360" s="4" t="str">
        <f t="shared" si="43"/>
        <v>Q4-2024</v>
      </c>
      <c r="H360" t="s">
        <v>45</v>
      </c>
      <c r="I360" t="s">
        <v>116</v>
      </c>
      <c r="J360" t="s">
        <v>162</v>
      </c>
      <c r="K360" t="s">
        <v>19</v>
      </c>
      <c r="L360" t="s">
        <v>55</v>
      </c>
      <c r="M360" t="s">
        <v>75</v>
      </c>
      <c r="N360" t="s">
        <v>81</v>
      </c>
      <c r="O360" t="s">
        <v>819</v>
      </c>
      <c r="P360" s="4">
        <v>769.9</v>
      </c>
      <c r="Q360" s="8" t="str">
        <f t="shared" si="44"/>
        <v>High</v>
      </c>
      <c r="R360" s="4">
        <v>814.36</v>
      </c>
      <c r="S360" s="4">
        <v>0</v>
      </c>
      <c r="T360" s="4">
        <v>5</v>
      </c>
      <c r="U360" s="4">
        <f t="shared" si="40"/>
        <v>4499.1500000000005</v>
      </c>
      <c r="V360">
        <f t="shared" si="41"/>
        <v>3849.5</v>
      </c>
      <c r="W360" s="4">
        <f t="shared" si="45"/>
        <v>649.65000000000055</v>
      </c>
      <c r="X360" s="4">
        <f t="shared" si="46"/>
        <v>0.14439394107775924</v>
      </c>
    </row>
    <row r="361" spans="1:24" x14ac:dyDescent="0.3">
      <c r="A361" t="s">
        <v>820</v>
      </c>
      <c r="B361" s="7">
        <v>45309</v>
      </c>
      <c r="C361" s="2">
        <v>45325</v>
      </c>
      <c r="D361" s="4">
        <f t="shared" si="47"/>
        <v>16</v>
      </c>
      <c r="E361" s="51" t="b">
        <f t="shared" si="42"/>
        <v>0</v>
      </c>
      <c r="F361" s="4" t="str">
        <f>TEXT(Data!B361,"MMM-YYYY")</f>
        <v>Jun-2024</v>
      </c>
      <c r="G361" s="4" t="str">
        <f t="shared" si="43"/>
        <v>Q1-2024</v>
      </c>
      <c r="H361" t="s">
        <v>16</v>
      </c>
      <c r="I361" t="s">
        <v>148</v>
      </c>
      <c r="J361" t="s">
        <v>258</v>
      </c>
      <c r="K361" t="s">
        <v>39</v>
      </c>
      <c r="L361" t="s">
        <v>55</v>
      </c>
      <c r="M361" t="s">
        <v>49</v>
      </c>
      <c r="N361" t="s">
        <v>30</v>
      </c>
      <c r="O361" t="s">
        <v>821</v>
      </c>
      <c r="P361" s="4">
        <v>666.23</v>
      </c>
      <c r="Q361" s="8" t="str">
        <f t="shared" si="44"/>
        <v>High</v>
      </c>
      <c r="R361" s="4">
        <v>1382.91</v>
      </c>
      <c r="S361" s="4">
        <v>0.17599999999999999</v>
      </c>
      <c r="T361" s="4">
        <v>13</v>
      </c>
      <c r="U361" s="4">
        <f t="shared" si="40"/>
        <v>9412.9557600000007</v>
      </c>
      <c r="V361">
        <f t="shared" si="41"/>
        <v>8660.99</v>
      </c>
      <c r="W361" s="4">
        <f t="shared" si="45"/>
        <v>751.96576000000096</v>
      </c>
      <c r="X361" s="4">
        <f t="shared" si="46"/>
        <v>7.9886252434697616E-2</v>
      </c>
    </row>
    <row r="362" spans="1:24" x14ac:dyDescent="0.3">
      <c r="A362" t="s">
        <v>822</v>
      </c>
      <c r="B362" s="7">
        <v>45466</v>
      </c>
      <c r="C362" s="2">
        <v>45468</v>
      </c>
      <c r="D362" s="4">
        <f t="shared" si="47"/>
        <v>2</v>
      </c>
      <c r="E362" s="51" t="str">
        <f t="shared" si="42"/>
        <v>Yes</v>
      </c>
      <c r="F362" s="4" t="str">
        <f>TEXT(Data!B362,"MMM-YYYY")</f>
        <v>Jun-2025</v>
      </c>
      <c r="G362" s="4" t="str">
        <f t="shared" si="43"/>
        <v>Q2-2024</v>
      </c>
      <c r="H362" t="s">
        <v>78</v>
      </c>
      <c r="I362" t="s">
        <v>108</v>
      </c>
      <c r="J362" t="s">
        <v>109</v>
      </c>
      <c r="K362" t="s">
        <v>62</v>
      </c>
      <c r="L362" t="s">
        <v>40</v>
      </c>
      <c r="M362" t="s">
        <v>49</v>
      </c>
      <c r="N362" t="s">
        <v>81</v>
      </c>
      <c r="O362" t="s">
        <v>823</v>
      </c>
      <c r="P362" s="4">
        <v>951.44</v>
      </c>
      <c r="Q362" s="8" t="str">
        <f t="shared" si="44"/>
        <v>High</v>
      </c>
      <c r="R362" s="4">
        <v>1646.43</v>
      </c>
      <c r="S362" s="4">
        <v>0.11</v>
      </c>
      <c r="T362" s="4">
        <v>24</v>
      </c>
      <c r="U362" s="4">
        <f t="shared" si="40"/>
        <v>12696.811199999998</v>
      </c>
      <c r="V362">
        <f t="shared" si="41"/>
        <v>22834.560000000001</v>
      </c>
      <c r="W362" s="4">
        <f t="shared" si="45"/>
        <v>-10137.748800000003</v>
      </c>
      <c r="X362" s="4">
        <f t="shared" si="46"/>
        <v>-0.79844841671741995</v>
      </c>
    </row>
    <row r="363" spans="1:24" x14ac:dyDescent="0.3">
      <c r="A363" t="s">
        <v>824</v>
      </c>
      <c r="B363" s="7">
        <v>45833</v>
      </c>
      <c r="C363" s="2">
        <v>45848</v>
      </c>
      <c r="D363" s="4">
        <f t="shared" si="47"/>
        <v>15</v>
      </c>
      <c r="E363" s="51" t="b">
        <f t="shared" si="42"/>
        <v>0</v>
      </c>
      <c r="F363" s="4" t="str">
        <f>TEXT(Data!B363,"MMM-YYYY")</f>
        <v>Jul-2023</v>
      </c>
      <c r="G363" s="4" t="str">
        <f t="shared" si="43"/>
        <v>Q2-2025</v>
      </c>
      <c r="H363" t="s">
        <v>78</v>
      </c>
      <c r="I363" t="s">
        <v>108</v>
      </c>
      <c r="J363" t="s">
        <v>109</v>
      </c>
      <c r="K363" t="s">
        <v>39</v>
      </c>
      <c r="L363" t="s">
        <v>40</v>
      </c>
      <c r="M363" t="s">
        <v>145</v>
      </c>
      <c r="N363" t="s">
        <v>42</v>
      </c>
      <c r="O363" t="s">
        <v>825</v>
      </c>
      <c r="P363" s="4">
        <v>546.83000000000004</v>
      </c>
      <c r="Q363" s="8" t="str">
        <f t="shared" si="44"/>
        <v>High</v>
      </c>
      <c r="R363" s="4">
        <v>400.84</v>
      </c>
      <c r="S363" s="4">
        <v>7.8E-2</v>
      </c>
      <c r="T363" s="4">
        <v>13</v>
      </c>
      <c r="U363" s="4">
        <f t="shared" si="40"/>
        <v>19391.5501</v>
      </c>
      <c r="V363">
        <f t="shared" si="41"/>
        <v>7108.7900000000009</v>
      </c>
      <c r="W363" s="4">
        <f t="shared" si="45"/>
        <v>12282.7601</v>
      </c>
      <c r="X363" s="4">
        <f t="shared" si="46"/>
        <v>0.63340785221703344</v>
      </c>
    </row>
    <row r="364" spans="1:24" x14ac:dyDescent="0.3">
      <c r="A364" t="s">
        <v>826</v>
      </c>
      <c r="B364" s="7">
        <v>45108</v>
      </c>
      <c r="C364" s="2">
        <v>45115</v>
      </c>
      <c r="D364" s="4">
        <f t="shared" si="47"/>
        <v>7</v>
      </c>
      <c r="E364" s="51" t="str">
        <f t="shared" si="42"/>
        <v>Yes</v>
      </c>
      <c r="F364" s="4" t="str">
        <f>TEXT(Data!B364,"MMM-YYYY")</f>
        <v>Mar-2024</v>
      </c>
      <c r="G364" s="4" t="str">
        <f t="shared" si="43"/>
        <v>Q3-2023</v>
      </c>
      <c r="H364" t="s">
        <v>16</v>
      </c>
      <c r="I364" t="s">
        <v>25</v>
      </c>
      <c r="J364" t="s">
        <v>26</v>
      </c>
      <c r="K364" t="s">
        <v>19</v>
      </c>
      <c r="L364" t="s">
        <v>20</v>
      </c>
      <c r="M364" t="s">
        <v>75</v>
      </c>
      <c r="N364" t="s">
        <v>57</v>
      </c>
      <c r="O364" t="s">
        <v>827</v>
      </c>
      <c r="P364" s="4">
        <v>834.26</v>
      </c>
      <c r="Q364" s="8" t="str">
        <f t="shared" si="44"/>
        <v>High</v>
      </c>
      <c r="R364" s="4">
        <v>1780.56</v>
      </c>
      <c r="S364" s="4">
        <v>1.4E-2</v>
      </c>
      <c r="T364" s="4">
        <v>47</v>
      </c>
      <c r="U364" s="4">
        <f t="shared" si="40"/>
        <v>45086.595219999996</v>
      </c>
      <c r="V364">
        <f t="shared" si="41"/>
        <v>39210.22</v>
      </c>
      <c r="W364" s="4">
        <f t="shared" si="45"/>
        <v>5876.3752199999944</v>
      </c>
      <c r="X364" s="4">
        <f t="shared" si="46"/>
        <v>0.13033530678744376</v>
      </c>
    </row>
    <row r="365" spans="1:24" x14ac:dyDescent="0.3">
      <c r="A365" t="s">
        <v>828</v>
      </c>
      <c r="B365" s="7">
        <v>45360</v>
      </c>
      <c r="C365" s="2">
        <v>45377</v>
      </c>
      <c r="D365" s="4">
        <f t="shared" si="47"/>
        <v>17</v>
      </c>
      <c r="E365" s="51" t="b">
        <f t="shared" si="42"/>
        <v>0</v>
      </c>
      <c r="F365" s="4" t="str">
        <f>TEXT(Data!B365,"MMM-YYYY")</f>
        <v>Jun-2023</v>
      </c>
      <c r="G365" s="4" t="str">
        <f t="shared" si="43"/>
        <v>Q1-2024</v>
      </c>
      <c r="H365" t="s">
        <v>45</v>
      </c>
      <c r="I365" t="s">
        <v>116</v>
      </c>
      <c r="J365" t="s">
        <v>117</v>
      </c>
      <c r="K365" t="s">
        <v>105</v>
      </c>
      <c r="L365" t="s">
        <v>28</v>
      </c>
      <c r="M365" t="s">
        <v>95</v>
      </c>
      <c r="N365" t="s">
        <v>64</v>
      </c>
      <c r="O365" t="s">
        <v>829</v>
      </c>
      <c r="P365" s="4">
        <v>1029.67</v>
      </c>
      <c r="Q365" s="8" t="str">
        <f t="shared" si="44"/>
        <v>High</v>
      </c>
      <c r="R365" s="4">
        <v>1118.43</v>
      </c>
      <c r="S365" s="4">
        <v>0.27200000000000002</v>
      </c>
      <c r="T365" s="4">
        <v>9</v>
      </c>
      <c r="U365" s="4">
        <f t="shared" si="40"/>
        <v>278.85311999999999</v>
      </c>
      <c r="V365">
        <f t="shared" si="41"/>
        <v>9267.0300000000007</v>
      </c>
      <c r="W365" s="4">
        <f t="shared" si="45"/>
        <v>-8988.1768800000009</v>
      </c>
      <c r="X365" s="4">
        <f t="shared" si="46"/>
        <v>-32.232656676030743</v>
      </c>
    </row>
    <row r="366" spans="1:24" x14ac:dyDescent="0.3">
      <c r="A366" t="s">
        <v>830</v>
      </c>
      <c r="B366" s="7">
        <v>45082</v>
      </c>
      <c r="C366" s="2">
        <v>45105</v>
      </c>
      <c r="D366" s="4">
        <f t="shared" si="47"/>
        <v>23</v>
      </c>
      <c r="E366" s="51" t="b">
        <f t="shared" si="42"/>
        <v>0</v>
      </c>
      <c r="F366" s="4" t="str">
        <f>TEXT(Data!B366,"MMM-YYYY")</f>
        <v>Mar-2025</v>
      </c>
      <c r="G366" s="4" t="str">
        <f t="shared" si="43"/>
        <v>Q2-2023</v>
      </c>
      <c r="H366" t="s">
        <v>78</v>
      </c>
      <c r="I366" t="s">
        <v>108</v>
      </c>
      <c r="J366" t="s">
        <v>109</v>
      </c>
      <c r="K366" t="s">
        <v>19</v>
      </c>
      <c r="L366" t="s">
        <v>98</v>
      </c>
      <c r="M366" t="s">
        <v>95</v>
      </c>
      <c r="N366" t="s">
        <v>30</v>
      </c>
      <c r="O366" t="s">
        <v>831</v>
      </c>
      <c r="P366" s="4">
        <v>605.82000000000005</v>
      </c>
      <c r="Q366" s="8" t="str">
        <f t="shared" si="44"/>
        <v>High</v>
      </c>
      <c r="R366" s="4">
        <v>771.12</v>
      </c>
      <c r="S366" s="4">
        <v>0.13200000000000001</v>
      </c>
      <c r="T366" s="4">
        <v>19</v>
      </c>
      <c r="U366" s="4">
        <f t="shared" si="40"/>
        <v>24421.848359999996</v>
      </c>
      <c r="V366">
        <f t="shared" si="41"/>
        <v>11510.580000000002</v>
      </c>
      <c r="W366" s="4">
        <f t="shared" si="45"/>
        <v>12911.268359999995</v>
      </c>
      <c r="X366" s="4">
        <f t="shared" si="46"/>
        <v>0.52867695227962652</v>
      </c>
    </row>
    <row r="367" spans="1:24" x14ac:dyDescent="0.3">
      <c r="A367" t="s">
        <v>832</v>
      </c>
      <c r="B367" s="7">
        <v>45737</v>
      </c>
      <c r="C367" s="2">
        <v>45756</v>
      </c>
      <c r="D367" s="4">
        <f t="shared" si="47"/>
        <v>19</v>
      </c>
      <c r="E367" s="51" t="b">
        <f t="shared" si="42"/>
        <v>0</v>
      </c>
      <c r="F367" s="4" t="str">
        <f>TEXT(Data!B367,"MMM-YYYY")</f>
        <v>Jun-2024</v>
      </c>
      <c r="G367" s="4" t="str">
        <f t="shared" si="43"/>
        <v>Q1-2025</v>
      </c>
      <c r="H367" t="s">
        <v>45</v>
      </c>
      <c r="I367" t="s">
        <v>46</v>
      </c>
      <c r="J367" t="s">
        <v>214</v>
      </c>
      <c r="K367" t="s">
        <v>62</v>
      </c>
      <c r="L367" t="s">
        <v>55</v>
      </c>
      <c r="M367" t="s">
        <v>63</v>
      </c>
      <c r="N367" t="s">
        <v>22</v>
      </c>
      <c r="O367" t="s">
        <v>833</v>
      </c>
      <c r="P367" s="4">
        <v>1055.45</v>
      </c>
      <c r="Q367" s="8" t="str">
        <f t="shared" si="44"/>
        <v>High</v>
      </c>
      <c r="R367" s="4">
        <v>1210.04</v>
      </c>
      <c r="S367" s="4">
        <v>8.9999999999999993E-3</v>
      </c>
      <c r="T367" s="4">
        <v>18</v>
      </c>
      <c r="U367" s="4">
        <f t="shared" si="40"/>
        <v>10065.26988</v>
      </c>
      <c r="V367">
        <f t="shared" si="41"/>
        <v>18998.100000000002</v>
      </c>
      <c r="W367" s="4">
        <f t="shared" si="45"/>
        <v>-8932.8301200000024</v>
      </c>
      <c r="X367" s="4">
        <f t="shared" si="46"/>
        <v>-0.887490372985409</v>
      </c>
    </row>
    <row r="368" spans="1:24" x14ac:dyDescent="0.3">
      <c r="A368" t="s">
        <v>834</v>
      </c>
      <c r="B368" s="7">
        <v>45445</v>
      </c>
      <c r="C368" s="2">
        <v>45458</v>
      </c>
      <c r="D368" s="4">
        <f t="shared" si="47"/>
        <v>13</v>
      </c>
      <c r="E368" s="51" t="b">
        <f t="shared" si="42"/>
        <v>0</v>
      </c>
      <c r="F368" s="4" t="str">
        <f>TEXT(Data!B368,"MMM-YYYY")</f>
        <v>Mar-2025</v>
      </c>
      <c r="G368" s="4" t="str">
        <f t="shared" si="43"/>
        <v>Q2-2024</v>
      </c>
      <c r="H368" t="s">
        <v>16</v>
      </c>
      <c r="I368" t="s">
        <v>17</v>
      </c>
      <c r="J368" t="s">
        <v>113</v>
      </c>
      <c r="K368" t="s">
        <v>27</v>
      </c>
      <c r="L368" t="s">
        <v>28</v>
      </c>
      <c r="M368" t="s">
        <v>68</v>
      </c>
      <c r="N368" t="s">
        <v>42</v>
      </c>
      <c r="O368" t="s">
        <v>835</v>
      </c>
      <c r="P368" s="4">
        <v>1295.18</v>
      </c>
      <c r="Q368" s="8" t="str">
        <f t="shared" si="44"/>
        <v>High</v>
      </c>
      <c r="R368" s="4">
        <v>3024.03</v>
      </c>
      <c r="S368" s="4">
        <v>0.192</v>
      </c>
      <c r="T368" s="4">
        <v>8</v>
      </c>
      <c r="U368" s="4">
        <f t="shared" si="40"/>
        <v>13814.925440000001</v>
      </c>
      <c r="V368">
        <f t="shared" si="41"/>
        <v>10361.44</v>
      </c>
      <c r="W368" s="4">
        <f t="shared" si="45"/>
        <v>3453.4854400000004</v>
      </c>
      <c r="X368" s="4">
        <f t="shared" si="46"/>
        <v>0.24998219896292109</v>
      </c>
    </row>
    <row r="369" spans="1:24" x14ac:dyDescent="0.3">
      <c r="A369" t="s">
        <v>836</v>
      </c>
      <c r="B369" s="7">
        <v>45731</v>
      </c>
      <c r="C369" s="2">
        <v>45745</v>
      </c>
      <c r="D369" s="4">
        <f t="shared" si="47"/>
        <v>14</v>
      </c>
      <c r="E369" s="51" t="b">
        <f t="shared" si="42"/>
        <v>0</v>
      </c>
      <c r="F369" s="4" t="str">
        <f>TEXT(Data!B369,"MMM-YYYY")</f>
        <v>Sept-2023</v>
      </c>
      <c r="G369" s="4" t="str">
        <f t="shared" si="43"/>
        <v>Q1-2025</v>
      </c>
      <c r="H369" t="s">
        <v>45</v>
      </c>
      <c r="I369" t="s">
        <v>60</v>
      </c>
      <c r="J369" t="s">
        <v>220</v>
      </c>
      <c r="K369" t="s">
        <v>105</v>
      </c>
      <c r="L369" t="s">
        <v>98</v>
      </c>
      <c r="M369" t="s">
        <v>21</v>
      </c>
      <c r="N369" t="s">
        <v>22</v>
      </c>
      <c r="O369" t="s">
        <v>837</v>
      </c>
      <c r="P369" s="4">
        <v>935.83</v>
      </c>
      <c r="Q369" s="8" t="str">
        <f t="shared" si="44"/>
        <v>High</v>
      </c>
      <c r="R369" s="4">
        <v>2303.46</v>
      </c>
      <c r="S369" s="4">
        <v>0.105</v>
      </c>
      <c r="T369" s="4">
        <v>9</v>
      </c>
      <c r="U369" s="4">
        <f t="shared" si="40"/>
        <v>13539.891150000001</v>
      </c>
      <c r="V369">
        <f t="shared" si="41"/>
        <v>8422.4700000000012</v>
      </c>
      <c r="W369" s="4">
        <f t="shared" si="45"/>
        <v>5117.4211500000001</v>
      </c>
      <c r="X369" s="4">
        <f t="shared" si="46"/>
        <v>0.37795142466858012</v>
      </c>
    </row>
    <row r="370" spans="1:24" x14ac:dyDescent="0.3">
      <c r="A370" t="s">
        <v>838</v>
      </c>
      <c r="B370" s="7">
        <v>45194</v>
      </c>
      <c r="C370" s="2">
        <v>45208</v>
      </c>
      <c r="D370" s="4">
        <f t="shared" si="47"/>
        <v>14</v>
      </c>
      <c r="E370" s="51" t="b">
        <f t="shared" si="42"/>
        <v>0</v>
      </c>
      <c r="F370" s="4" t="str">
        <f>TEXT(Data!B370,"MMM-YYYY")</f>
        <v>Jun-2025</v>
      </c>
      <c r="G370" s="4" t="str">
        <f t="shared" si="43"/>
        <v>Q3-2023</v>
      </c>
      <c r="H370" t="s">
        <v>52</v>
      </c>
      <c r="I370" t="s">
        <v>122</v>
      </c>
      <c r="J370" t="s">
        <v>387</v>
      </c>
      <c r="K370" t="s">
        <v>62</v>
      </c>
      <c r="L370" t="s">
        <v>40</v>
      </c>
      <c r="M370" t="s">
        <v>29</v>
      </c>
      <c r="N370" t="s">
        <v>57</v>
      </c>
      <c r="O370" t="s">
        <v>839</v>
      </c>
      <c r="P370" s="4">
        <v>1279.56</v>
      </c>
      <c r="Q370" s="8" t="str">
        <f t="shared" si="44"/>
        <v>High</v>
      </c>
      <c r="R370" s="4">
        <v>3083.8</v>
      </c>
      <c r="S370" s="4">
        <v>0.106</v>
      </c>
      <c r="T370" s="4">
        <v>5</v>
      </c>
      <c r="U370" s="4">
        <f t="shared" si="40"/>
        <v>12985.618199999999</v>
      </c>
      <c r="V370">
        <f t="shared" si="41"/>
        <v>6397.7999999999993</v>
      </c>
      <c r="W370" s="4">
        <f t="shared" si="45"/>
        <v>6587.8181999999997</v>
      </c>
      <c r="X370" s="4">
        <f t="shared" si="46"/>
        <v>0.50731648648040495</v>
      </c>
    </row>
    <row r="371" spans="1:24" x14ac:dyDescent="0.3">
      <c r="A371" t="s">
        <v>840</v>
      </c>
      <c r="B371" s="7">
        <v>45832</v>
      </c>
      <c r="C371" s="2">
        <v>45861</v>
      </c>
      <c r="D371" s="4">
        <f t="shared" si="47"/>
        <v>29</v>
      </c>
      <c r="E371" s="51" t="b">
        <f t="shared" si="42"/>
        <v>0</v>
      </c>
      <c r="F371" s="4" t="str">
        <f>TEXT(Data!B371,"MMM-YYYY")</f>
        <v>Dec-2023</v>
      </c>
      <c r="G371" s="4" t="str">
        <f t="shared" si="43"/>
        <v>Q2-2025</v>
      </c>
      <c r="H371" t="s">
        <v>52</v>
      </c>
      <c r="I371" t="s">
        <v>53</v>
      </c>
      <c r="J371" t="s">
        <v>179</v>
      </c>
      <c r="K371" t="s">
        <v>39</v>
      </c>
      <c r="L371" t="s">
        <v>40</v>
      </c>
      <c r="M371" t="s">
        <v>34</v>
      </c>
      <c r="N371" t="s">
        <v>30</v>
      </c>
      <c r="O371" t="s">
        <v>841</v>
      </c>
      <c r="P371" s="4">
        <v>255.4</v>
      </c>
      <c r="Q371" s="8" t="str">
        <f t="shared" si="44"/>
        <v>High</v>
      </c>
      <c r="R371" s="4">
        <v>322.70999999999998</v>
      </c>
      <c r="S371" s="4">
        <v>0.115</v>
      </c>
      <c r="T371" s="4">
        <v>16</v>
      </c>
      <c r="U371" s="4">
        <f t="shared" si="40"/>
        <v>11923.994400000001</v>
      </c>
      <c r="V371">
        <f t="shared" si="41"/>
        <v>4086.4</v>
      </c>
      <c r="W371" s="4">
        <f t="shared" si="45"/>
        <v>7837.5944000000018</v>
      </c>
      <c r="X371" s="4">
        <f t="shared" si="46"/>
        <v>0.65729604837788258</v>
      </c>
    </row>
    <row r="372" spans="1:24" x14ac:dyDescent="0.3">
      <c r="A372" t="s">
        <v>842</v>
      </c>
      <c r="B372" s="7">
        <v>45286</v>
      </c>
      <c r="C372" s="2">
        <v>45294</v>
      </c>
      <c r="D372" s="4">
        <f t="shared" si="47"/>
        <v>8</v>
      </c>
      <c r="E372" s="51" t="b">
        <f t="shared" si="42"/>
        <v>0</v>
      </c>
      <c r="F372" s="4" t="str">
        <f>TEXT(Data!B372,"MMM-YYYY")</f>
        <v>Feb-2023</v>
      </c>
      <c r="G372" s="4" t="str">
        <f t="shared" si="43"/>
        <v>Q4-2023</v>
      </c>
      <c r="H372" t="s">
        <v>78</v>
      </c>
      <c r="I372" t="s">
        <v>90</v>
      </c>
      <c r="J372" t="s">
        <v>138</v>
      </c>
      <c r="K372" t="s">
        <v>62</v>
      </c>
      <c r="L372" t="s">
        <v>20</v>
      </c>
      <c r="M372" t="s">
        <v>110</v>
      </c>
      <c r="N372" t="s">
        <v>57</v>
      </c>
      <c r="O372" t="s">
        <v>843</v>
      </c>
      <c r="P372" s="4">
        <v>492.75</v>
      </c>
      <c r="Q372" s="8" t="str">
        <f t="shared" si="44"/>
        <v>High</v>
      </c>
      <c r="R372" s="4">
        <v>731.29</v>
      </c>
      <c r="S372" s="4">
        <v>5.8000000000000003E-2</v>
      </c>
      <c r="T372" s="4">
        <v>6</v>
      </c>
      <c r="U372" s="4">
        <f t="shared" si="40"/>
        <v>17698.503240000002</v>
      </c>
      <c r="V372">
        <f t="shared" si="41"/>
        <v>2956.5</v>
      </c>
      <c r="W372" s="4">
        <f t="shared" si="45"/>
        <v>14742.003240000002</v>
      </c>
      <c r="X372" s="4">
        <f t="shared" si="46"/>
        <v>0.83295197566096557</v>
      </c>
    </row>
    <row r="373" spans="1:24" x14ac:dyDescent="0.3">
      <c r="A373" t="s">
        <v>844</v>
      </c>
      <c r="B373" s="7">
        <v>44962</v>
      </c>
      <c r="C373" s="2">
        <v>44985</v>
      </c>
      <c r="D373" s="4">
        <f t="shared" si="47"/>
        <v>23</v>
      </c>
      <c r="E373" s="51" t="b">
        <f t="shared" si="42"/>
        <v>0</v>
      </c>
      <c r="F373" s="4" t="str">
        <f>TEXT(Data!B373,"MMM-YYYY")</f>
        <v>Apr-2023</v>
      </c>
      <c r="G373" s="4" t="str">
        <f t="shared" si="43"/>
        <v>Q1-2023</v>
      </c>
      <c r="H373" t="s">
        <v>52</v>
      </c>
      <c r="I373" t="s">
        <v>122</v>
      </c>
      <c r="J373" t="s">
        <v>326</v>
      </c>
      <c r="K373" t="s">
        <v>39</v>
      </c>
      <c r="L373" t="s">
        <v>55</v>
      </c>
      <c r="M373" t="s">
        <v>49</v>
      </c>
      <c r="N373" t="s">
        <v>42</v>
      </c>
      <c r="O373" t="s">
        <v>845</v>
      </c>
      <c r="P373" s="4">
        <v>1214.49</v>
      </c>
      <c r="Q373" s="8" t="str">
        <f t="shared" si="44"/>
        <v>High</v>
      </c>
      <c r="R373" s="4">
        <v>1533.95</v>
      </c>
      <c r="S373" s="4">
        <v>0</v>
      </c>
      <c r="T373" s="4">
        <v>11</v>
      </c>
      <c r="U373" s="4">
        <f t="shared" si="40"/>
        <v>15891.92</v>
      </c>
      <c r="V373">
        <f t="shared" si="41"/>
        <v>13359.39</v>
      </c>
      <c r="W373" s="4">
        <f t="shared" si="45"/>
        <v>2532.5300000000007</v>
      </c>
      <c r="X373" s="4">
        <f t="shared" si="46"/>
        <v>0.15935959909186559</v>
      </c>
    </row>
    <row r="374" spans="1:24" x14ac:dyDescent="0.3">
      <c r="A374" t="s">
        <v>846</v>
      </c>
      <c r="B374" s="7">
        <v>45022</v>
      </c>
      <c r="C374" s="2">
        <v>45024</v>
      </c>
      <c r="D374" s="4">
        <f t="shared" si="47"/>
        <v>2</v>
      </c>
      <c r="E374" s="51" t="str">
        <f t="shared" si="42"/>
        <v>Yes</v>
      </c>
      <c r="F374" s="4" t="str">
        <f>TEXT(Data!B374,"MMM-YYYY")</f>
        <v>Apr-2025</v>
      </c>
      <c r="G374" s="4" t="str">
        <f t="shared" si="43"/>
        <v>Q2-2023</v>
      </c>
      <c r="H374" t="s">
        <v>16</v>
      </c>
      <c r="I374" t="s">
        <v>25</v>
      </c>
      <c r="J374" t="s">
        <v>67</v>
      </c>
      <c r="K374" t="s">
        <v>62</v>
      </c>
      <c r="L374" t="s">
        <v>40</v>
      </c>
      <c r="M374" t="s">
        <v>95</v>
      </c>
      <c r="N374" t="s">
        <v>64</v>
      </c>
      <c r="O374" t="s">
        <v>847</v>
      </c>
      <c r="P374" s="4">
        <v>720.35</v>
      </c>
      <c r="Q374" s="8" t="str">
        <f t="shared" si="44"/>
        <v>High</v>
      </c>
      <c r="R374" s="4">
        <v>1571.66</v>
      </c>
      <c r="S374" s="4">
        <v>0.107</v>
      </c>
      <c r="T374" s="4">
        <v>23</v>
      </c>
      <c r="U374" s="4">
        <f t="shared" si="40"/>
        <v>59066.056200000006</v>
      </c>
      <c r="V374">
        <f t="shared" si="41"/>
        <v>16568.05</v>
      </c>
      <c r="W374" s="4">
        <f t="shared" si="45"/>
        <v>42498.006200000003</v>
      </c>
      <c r="X374" s="4">
        <f t="shared" si="46"/>
        <v>0.71949964047201787</v>
      </c>
    </row>
    <row r="375" spans="1:24" x14ac:dyDescent="0.3">
      <c r="A375" t="s">
        <v>848</v>
      </c>
      <c r="B375" s="7">
        <v>45751</v>
      </c>
      <c r="C375" s="2">
        <v>45757</v>
      </c>
      <c r="D375" s="4">
        <f t="shared" si="47"/>
        <v>6</v>
      </c>
      <c r="E375" s="51" t="str">
        <f t="shared" si="42"/>
        <v>Yes</v>
      </c>
      <c r="F375" s="4" t="str">
        <f>TEXT(Data!B375,"MMM-YYYY")</f>
        <v>May-2024</v>
      </c>
      <c r="G375" s="4" t="str">
        <f t="shared" si="43"/>
        <v>Q2-2025</v>
      </c>
      <c r="H375" t="s">
        <v>78</v>
      </c>
      <c r="I375" t="s">
        <v>108</v>
      </c>
      <c r="J375" t="s">
        <v>109</v>
      </c>
      <c r="K375" t="s">
        <v>39</v>
      </c>
      <c r="L375" t="s">
        <v>98</v>
      </c>
      <c r="M375" t="s">
        <v>126</v>
      </c>
      <c r="N375" t="s">
        <v>30</v>
      </c>
      <c r="O375" t="s">
        <v>849</v>
      </c>
      <c r="P375" s="4">
        <v>290.14</v>
      </c>
      <c r="Q375" s="8" t="str">
        <f t="shared" si="44"/>
        <v>High</v>
      </c>
      <c r="R375" s="4">
        <v>250.73</v>
      </c>
      <c r="S375" s="4">
        <v>3.4000000000000002E-2</v>
      </c>
      <c r="T375" s="4">
        <v>17</v>
      </c>
      <c r="U375" s="4">
        <f t="shared" si="40"/>
        <v>26958.519419999997</v>
      </c>
      <c r="V375">
        <f t="shared" si="41"/>
        <v>4932.38</v>
      </c>
      <c r="W375" s="4">
        <f t="shared" si="45"/>
        <v>22026.139419999996</v>
      </c>
      <c r="X375" s="4">
        <f t="shared" si="46"/>
        <v>0.81703817174986382</v>
      </c>
    </row>
    <row r="376" spans="1:24" x14ac:dyDescent="0.3">
      <c r="A376" t="s">
        <v>850</v>
      </c>
      <c r="B376" s="7">
        <v>45429</v>
      </c>
      <c r="C376" s="2">
        <v>45439</v>
      </c>
      <c r="D376" s="4">
        <f t="shared" si="47"/>
        <v>10</v>
      </c>
      <c r="E376" s="51" t="b">
        <f t="shared" si="42"/>
        <v>0</v>
      </c>
      <c r="F376" s="4" t="str">
        <f>TEXT(Data!B376,"MMM-YYYY")</f>
        <v>Mar-2024</v>
      </c>
      <c r="G376" s="4" t="str">
        <f t="shared" si="43"/>
        <v>Q2-2024</v>
      </c>
      <c r="H376" t="s">
        <v>52</v>
      </c>
      <c r="I376" t="s">
        <v>122</v>
      </c>
      <c r="J376" t="s">
        <v>326</v>
      </c>
      <c r="K376" t="s">
        <v>39</v>
      </c>
      <c r="L376" t="s">
        <v>28</v>
      </c>
      <c r="M376" t="s">
        <v>21</v>
      </c>
      <c r="N376" t="s">
        <v>42</v>
      </c>
      <c r="O376" t="s">
        <v>851</v>
      </c>
      <c r="P376" s="4">
        <v>1484.23</v>
      </c>
      <c r="Q376" s="8" t="str">
        <f t="shared" si="44"/>
        <v>High</v>
      </c>
      <c r="R376" s="4">
        <v>3472.81</v>
      </c>
      <c r="S376" s="4">
        <v>0.25600000000000001</v>
      </c>
      <c r="T376" s="4">
        <v>12</v>
      </c>
      <c r="U376" s="4">
        <f t="shared" si="40"/>
        <v>11597.65056</v>
      </c>
      <c r="V376">
        <f t="shared" si="41"/>
        <v>17810.760000000002</v>
      </c>
      <c r="W376" s="4">
        <f t="shared" si="45"/>
        <v>-6213.109440000002</v>
      </c>
      <c r="X376" s="4">
        <f t="shared" si="46"/>
        <v>-0.53572138665988589</v>
      </c>
    </row>
    <row r="377" spans="1:24" x14ac:dyDescent="0.3">
      <c r="A377" t="s">
        <v>852</v>
      </c>
      <c r="B377" s="7">
        <v>45354</v>
      </c>
      <c r="C377" s="2">
        <v>45370</v>
      </c>
      <c r="D377" s="4">
        <f t="shared" si="47"/>
        <v>16</v>
      </c>
      <c r="E377" s="51" t="b">
        <f t="shared" si="42"/>
        <v>0</v>
      </c>
      <c r="F377" s="4" t="str">
        <f>TEXT(Data!B377,"MMM-YYYY")</f>
        <v>Jun-2025</v>
      </c>
      <c r="G377" s="4" t="str">
        <f t="shared" si="43"/>
        <v>Q1-2024</v>
      </c>
      <c r="H377" t="s">
        <v>45</v>
      </c>
      <c r="I377" t="s">
        <v>116</v>
      </c>
      <c r="J377" t="s">
        <v>338</v>
      </c>
      <c r="K377" t="s">
        <v>48</v>
      </c>
      <c r="L377" t="s">
        <v>55</v>
      </c>
      <c r="M377" t="s">
        <v>41</v>
      </c>
      <c r="N377" t="s">
        <v>42</v>
      </c>
      <c r="O377" t="s">
        <v>853</v>
      </c>
      <c r="P377" s="4">
        <v>988.83</v>
      </c>
      <c r="Q377" s="8" t="str">
        <f t="shared" si="44"/>
        <v>High</v>
      </c>
      <c r="R377" s="4">
        <v>1206.04</v>
      </c>
      <c r="S377" s="4">
        <v>6.3E-2</v>
      </c>
      <c r="T377" s="4">
        <v>34</v>
      </c>
      <c r="U377" s="4">
        <f t="shared" si="40"/>
        <v>35635.084480000005</v>
      </c>
      <c r="V377">
        <f t="shared" si="41"/>
        <v>33620.22</v>
      </c>
      <c r="W377" s="4">
        <f t="shared" si="45"/>
        <v>2014.8644800000038</v>
      </c>
      <c r="X377" s="4">
        <f t="shared" si="46"/>
        <v>5.6541594033005182E-2</v>
      </c>
    </row>
    <row r="378" spans="1:24" x14ac:dyDescent="0.3">
      <c r="A378" t="s">
        <v>854</v>
      </c>
      <c r="B378" s="7">
        <v>45835</v>
      </c>
      <c r="C378" s="2">
        <v>45849</v>
      </c>
      <c r="D378" s="4">
        <f t="shared" si="47"/>
        <v>14</v>
      </c>
      <c r="E378" s="51" t="b">
        <f t="shared" si="42"/>
        <v>0</v>
      </c>
      <c r="F378" s="4" t="str">
        <f>TEXT(Data!B378,"MMM-YYYY")</f>
        <v>Mar-2023</v>
      </c>
      <c r="G378" s="4" t="str">
        <f t="shared" si="43"/>
        <v>Q2-2025</v>
      </c>
      <c r="H378" t="s">
        <v>45</v>
      </c>
      <c r="I378" t="s">
        <v>116</v>
      </c>
      <c r="J378" t="s">
        <v>162</v>
      </c>
      <c r="K378" t="s">
        <v>62</v>
      </c>
      <c r="L378" t="s">
        <v>40</v>
      </c>
      <c r="M378" t="s">
        <v>49</v>
      </c>
      <c r="N378" t="s">
        <v>35</v>
      </c>
      <c r="O378" t="s">
        <v>855</v>
      </c>
      <c r="P378" s="4">
        <v>1227.7</v>
      </c>
      <c r="Q378" s="8" t="str">
        <f t="shared" si="44"/>
        <v>High</v>
      </c>
      <c r="R378" s="4">
        <v>2197.23</v>
      </c>
      <c r="S378" s="4">
        <v>9.9000000000000005E-2</v>
      </c>
      <c r="T378" s="4">
        <v>22</v>
      </c>
      <c r="U378" s="4">
        <f t="shared" si="40"/>
        <v>23483.321620000002</v>
      </c>
      <c r="V378">
        <f t="shared" si="41"/>
        <v>27009.4</v>
      </c>
      <c r="W378" s="4">
        <f t="shared" si="45"/>
        <v>-3526.078379999999</v>
      </c>
      <c r="X378" s="4">
        <f t="shared" si="46"/>
        <v>-0.15015245445503542</v>
      </c>
    </row>
    <row r="379" spans="1:24" x14ac:dyDescent="0.3">
      <c r="A379" t="s">
        <v>856</v>
      </c>
      <c r="B379" s="7">
        <v>44998</v>
      </c>
      <c r="C379" s="2">
        <v>45020</v>
      </c>
      <c r="D379" s="4">
        <f t="shared" si="47"/>
        <v>22</v>
      </c>
      <c r="E379" s="51" t="b">
        <f t="shared" si="42"/>
        <v>0</v>
      </c>
      <c r="F379" s="4" t="str">
        <f>TEXT(Data!B379,"MMM-YYYY")</f>
        <v>Jan-2025</v>
      </c>
      <c r="G379" s="4" t="str">
        <f t="shared" si="43"/>
        <v>Q1-2023</v>
      </c>
      <c r="H379" t="s">
        <v>16</v>
      </c>
      <c r="I379" t="s">
        <v>148</v>
      </c>
      <c r="J379" t="s">
        <v>172</v>
      </c>
      <c r="K379" t="s">
        <v>62</v>
      </c>
      <c r="L379" t="s">
        <v>20</v>
      </c>
      <c r="M379" t="s">
        <v>75</v>
      </c>
      <c r="N379" t="s">
        <v>22</v>
      </c>
      <c r="O379" t="s">
        <v>857</v>
      </c>
      <c r="P379" s="4">
        <v>1113.7</v>
      </c>
      <c r="Q379" s="8" t="str">
        <f t="shared" si="44"/>
        <v>High</v>
      </c>
      <c r="R379" s="4">
        <v>1620.6</v>
      </c>
      <c r="S379" s="4">
        <v>0.13900000000000001</v>
      </c>
      <c r="T379" s="4">
        <v>11</v>
      </c>
      <c r="U379" s="4">
        <f t="shared" si="40"/>
        <v>11379.122369999999</v>
      </c>
      <c r="V379">
        <f t="shared" si="41"/>
        <v>12250.7</v>
      </c>
      <c r="W379" s="4">
        <f t="shared" si="45"/>
        <v>-871.57763000000159</v>
      </c>
      <c r="X379" s="4">
        <f t="shared" si="46"/>
        <v>-7.6594450930401736E-2</v>
      </c>
    </row>
    <row r="380" spans="1:24" x14ac:dyDescent="0.3">
      <c r="A380" t="s">
        <v>858</v>
      </c>
      <c r="B380" s="7">
        <v>45664</v>
      </c>
      <c r="C380" s="2">
        <v>45677</v>
      </c>
      <c r="D380" s="4">
        <f t="shared" si="47"/>
        <v>13</v>
      </c>
      <c r="E380" s="51" t="b">
        <f t="shared" si="42"/>
        <v>0</v>
      </c>
      <c r="F380" s="4" t="str">
        <f>TEXT(Data!B380,"MMM-YYYY")</f>
        <v>Feb-2025</v>
      </c>
      <c r="G380" s="4" t="str">
        <f t="shared" si="43"/>
        <v>Q1-2025</v>
      </c>
      <c r="H380" t="s">
        <v>16</v>
      </c>
      <c r="I380" t="s">
        <v>148</v>
      </c>
      <c r="J380" t="s">
        <v>258</v>
      </c>
      <c r="K380" t="s">
        <v>19</v>
      </c>
      <c r="L380" t="s">
        <v>98</v>
      </c>
      <c r="M380" t="s">
        <v>95</v>
      </c>
      <c r="N380" t="s">
        <v>35</v>
      </c>
      <c r="O380" t="s">
        <v>859</v>
      </c>
      <c r="P380" s="4">
        <v>432.13</v>
      </c>
      <c r="Q380" s="8" t="str">
        <f t="shared" si="44"/>
        <v>High</v>
      </c>
      <c r="R380" s="4">
        <v>1034.6600000000001</v>
      </c>
      <c r="S380" s="4">
        <v>9.1999999999999998E-2</v>
      </c>
      <c r="T380" s="4">
        <v>7</v>
      </c>
      <c r="U380" s="4">
        <f t="shared" si="40"/>
        <v>5599.5724400000008</v>
      </c>
      <c r="V380">
        <f t="shared" si="41"/>
        <v>3024.91</v>
      </c>
      <c r="W380" s="4">
        <f t="shared" si="45"/>
        <v>2574.662440000001</v>
      </c>
      <c r="X380" s="4">
        <f t="shared" si="46"/>
        <v>0.45979625544410324</v>
      </c>
    </row>
    <row r="381" spans="1:24" x14ac:dyDescent="0.3">
      <c r="A381" t="s">
        <v>860</v>
      </c>
      <c r="B381" s="7">
        <v>45694</v>
      </c>
      <c r="C381" s="2">
        <v>45703</v>
      </c>
      <c r="D381" s="4">
        <f t="shared" si="47"/>
        <v>9</v>
      </c>
      <c r="E381" s="51" t="b">
        <f t="shared" si="42"/>
        <v>0</v>
      </c>
      <c r="F381" s="4" t="str">
        <f>TEXT(Data!B381,"MMM-YYYY")</f>
        <v>Jan-2025</v>
      </c>
      <c r="G381" s="4" t="str">
        <f t="shared" si="43"/>
        <v>Q1-2025</v>
      </c>
      <c r="H381" t="s">
        <v>52</v>
      </c>
      <c r="I381" t="s">
        <v>73</v>
      </c>
      <c r="J381" t="s">
        <v>74</v>
      </c>
      <c r="K381" t="s">
        <v>39</v>
      </c>
      <c r="L381" t="s">
        <v>55</v>
      </c>
      <c r="M381" t="s">
        <v>84</v>
      </c>
      <c r="N381" t="s">
        <v>35</v>
      </c>
      <c r="O381" t="s">
        <v>861</v>
      </c>
      <c r="P381" s="4">
        <v>837.39</v>
      </c>
      <c r="Q381" s="8" t="str">
        <f t="shared" si="44"/>
        <v>High</v>
      </c>
      <c r="R381" s="4">
        <v>1905.42</v>
      </c>
      <c r="S381" s="4">
        <v>3.2000000000000001E-2</v>
      </c>
      <c r="T381" s="4">
        <v>18</v>
      </c>
      <c r="U381" s="4">
        <f t="shared" si="40"/>
        <v>35734.358879999992</v>
      </c>
      <c r="V381">
        <f t="shared" si="41"/>
        <v>15073.02</v>
      </c>
      <c r="W381" s="4">
        <f t="shared" si="45"/>
        <v>20661.338879999992</v>
      </c>
      <c r="X381" s="4">
        <f t="shared" si="46"/>
        <v>0.57819251632254265</v>
      </c>
    </row>
    <row r="382" spans="1:24" x14ac:dyDescent="0.3">
      <c r="A382" t="s">
        <v>862</v>
      </c>
      <c r="B382" s="7">
        <v>45688</v>
      </c>
      <c r="C382" s="2">
        <v>45705</v>
      </c>
      <c r="D382" s="4">
        <f t="shared" si="47"/>
        <v>17</v>
      </c>
      <c r="E382" s="51" t="b">
        <f t="shared" si="42"/>
        <v>0</v>
      </c>
      <c r="F382" s="4" t="str">
        <f>TEXT(Data!B382,"MMM-YYYY")</f>
        <v>Aug-2025</v>
      </c>
      <c r="G382" s="4" t="str">
        <f t="shared" si="43"/>
        <v>Q1-2025</v>
      </c>
      <c r="H382" t="s">
        <v>78</v>
      </c>
      <c r="I382" t="s">
        <v>108</v>
      </c>
      <c r="J382" t="s">
        <v>152</v>
      </c>
      <c r="K382" t="s">
        <v>105</v>
      </c>
      <c r="L382" t="s">
        <v>20</v>
      </c>
      <c r="M382" t="s">
        <v>92</v>
      </c>
      <c r="N382" t="s">
        <v>22</v>
      </c>
      <c r="O382" t="s">
        <v>254</v>
      </c>
      <c r="P382" s="4">
        <v>378.26</v>
      </c>
      <c r="Q382" s="8" t="str">
        <f t="shared" si="44"/>
        <v>High</v>
      </c>
      <c r="R382" s="4">
        <v>541.55999999999995</v>
      </c>
      <c r="S382" s="4">
        <v>0.16300000000000001</v>
      </c>
      <c r="T382" s="4">
        <v>25</v>
      </c>
      <c r="U382" s="4">
        <f t="shared" si="40"/>
        <v>36365.557499999995</v>
      </c>
      <c r="V382">
        <f t="shared" si="41"/>
        <v>9456.5</v>
      </c>
      <c r="W382" s="4">
        <f t="shared" si="45"/>
        <v>26909.057499999995</v>
      </c>
      <c r="X382" s="4">
        <f t="shared" si="46"/>
        <v>0.73995998823887132</v>
      </c>
    </row>
    <row r="383" spans="1:24" x14ac:dyDescent="0.3">
      <c r="A383" t="s">
        <v>863</v>
      </c>
      <c r="B383" s="7">
        <v>45876</v>
      </c>
      <c r="C383" s="2">
        <v>45906</v>
      </c>
      <c r="D383" s="4">
        <f t="shared" si="47"/>
        <v>30</v>
      </c>
      <c r="E383" s="51" t="b">
        <f t="shared" si="42"/>
        <v>0</v>
      </c>
      <c r="F383" s="4" t="str">
        <f>TEXT(Data!B383,"MMM-YYYY")</f>
        <v>Jul-2025</v>
      </c>
      <c r="G383" s="4" t="str">
        <f t="shared" si="43"/>
        <v>Q3-2025</v>
      </c>
      <c r="H383" t="s">
        <v>52</v>
      </c>
      <c r="I383" t="s">
        <v>53</v>
      </c>
      <c r="J383" t="s">
        <v>144</v>
      </c>
      <c r="K383" t="s">
        <v>27</v>
      </c>
      <c r="L383" t="s">
        <v>98</v>
      </c>
      <c r="M383" t="s">
        <v>110</v>
      </c>
      <c r="N383" t="s">
        <v>35</v>
      </c>
      <c r="O383" t="s">
        <v>864</v>
      </c>
      <c r="P383" s="4">
        <v>833.73</v>
      </c>
      <c r="Q383" s="8" t="str">
        <f t="shared" si="44"/>
        <v>High</v>
      </c>
      <c r="R383" s="4">
        <v>1116.5999999999999</v>
      </c>
      <c r="S383" s="4">
        <v>0.17599999999999999</v>
      </c>
      <c r="T383" s="4">
        <v>14</v>
      </c>
      <c r="U383" s="4">
        <f t="shared" si="40"/>
        <v>16015.544160000001</v>
      </c>
      <c r="V383">
        <f t="shared" si="41"/>
        <v>11672.220000000001</v>
      </c>
      <c r="W383" s="4">
        <f t="shared" si="45"/>
        <v>4343.3241600000001</v>
      </c>
      <c r="X383" s="4">
        <f t="shared" si="46"/>
        <v>0.27119429203334666</v>
      </c>
    </row>
    <row r="384" spans="1:24" x14ac:dyDescent="0.3">
      <c r="A384" t="s">
        <v>865</v>
      </c>
      <c r="B384" s="7">
        <v>45861</v>
      </c>
      <c r="C384" s="2">
        <v>45886</v>
      </c>
      <c r="D384" s="4">
        <f t="shared" si="47"/>
        <v>25</v>
      </c>
      <c r="E384" s="51" t="b">
        <f t="shared" si="42"/>
        <v>0</v>
      </c>
      <c r="F384" s="4" t="str">
        <f>TEXT(Data!B384,"MMM-YYYY")</f>
        <v>Jun-2023</v>
      </c>
      <c r="G384" s="4" t="str">
        <f t="shared" si="43"/>
        <v>Q3-2025</v>
      </c>
      <c r="H384" t="s">
        <v>78</v>
      </c>
      <c r="I384" t="s">
        <v>108</v>
      </c>
      <c r="J384" t="s">
        <v>109</v>
      </c>
      <c r="K384" t="s">
        <v>27</v>
      </c>
      <c r="L384" t="s">
        <v>28</v>
      </c>
      <c r="M384" t="s">
        <v>34</v>
      </c>
      <c r="N384" t="s">
        <v>30</v>
      </c>
      <c r="O384" t="s">
        <v>866</v>
      </c>
      <c r="P384" s="4">
        <v>1142.06</v>
      </c>
      <c r="Q384" s="8" t="str">
        <f t="shared" si="44"/>
        <v>High</v>
      </c>
      <c r="R384" s="4">
        <v>1455</v>
      </c>
      <c r="S384" s="4">
        <v>7.8E-2</v>
      </c>
      <c r="T384" s="4">
        <v>28</v>
      </c>
      <c r="U384" s="4">
        <f t="shared" si="40"/>
        <v>13660.278240000001</v>
      </c>
      <c r="V384">
        <f t="shared" si="41"/>
        <v>31977.68</v>
      </c>
      <c r="W384" s="4">
        <f t="shared" si="45"/>
        <v>-18317.401760000001</v>
      </c>
      <c r="X384" s="4">
        <f t="shared" si="46"/>
        <v>-1.3409244993533893</v>
      </c>
    </row>
    <row r="385" spans="1:24" x14ac:dyDescent="0.3">
      <c r="A385" t="s">
        <v>867</v>
      </c>
      <c r="B385" s="7">
        <v>45097</v>
      </c>
      <c r="C385" s="2">
        <v>45115</v>
      </c>
      <c r="D385" s="4">
        <f t="shared" si="47"/>
        <v>18</v>
      </c>
      <c r="E385" s="51" t="b">
        <f t="shared" si="42"/>
        <v>0</v>
      </c>
      <c r="F385" s="4" t="str">
        <f>TEXT(Data!B385,"MMM-YYYY")</f>
        <v>Jul-2024</v>
      </c>
      <c r="G385" s="4" t="str">
        <f t="shared" si="43"/>
        <v>Q2-2023</v>
      </c>
      <c r="H385" t="s">
        <v>52</v>
      </c>
      <c r="I385" t="s">
        <v>122</v>
      </c>
      <c r="J385" t="s">
        <v>387</v>
      </c>
      <c r="K385" t="s">
        <v>48</v>
      </c>
      <c r="L385" t="s">
        <v>40</v>
      </c>
      <c r="M385" t="s">
        <v>68</v>
      </c>
      <c r="N385" t="s">
        <v>35</v>
      </c>
      <c r="O385" t="s">
        <v>868</v>
      </c>
      <c r="P385" s="4">
        <v>1145.53</v>
      </c>
      <c r="Q385" s="8" t="str">
        <f t="shared" si="44"/>
        <v>High</v>
      </c>
      <c r="R385" s="4">
        <v>1278.3</v>
      </c>
      <c r="S385" s="4">
        <v>0.09</v>
      </c>
      <c r="T385" s="4">
        <v>41</v>
      </c>
      <c r="U385" s="4">
        <f t="shared" si="40"/>
        <v>73589.497799999997</v>
      </c>
      <c r="V385">
        <f t="shared" si="41"/>
        <v>46966.729999999996</v>
      </c>
      <c r="W385" s="4">
        <f t="shared" si="45"/>
        <v>26622.767800000001</v>
      </c>
      <c r="X385" s="4">
        <f t="shared" si="46"/>
        <v>0.36177401118234026</v>
      </c>
    </row>
    <row r="386" spans="1:24" x14ac:dyDescent="0.3">
      <c r="A386" t="s">
        <v>869</v>
      </c>
      <c r="B386" s="7">
        <v>45491</v>
      </c>
      <c r="C386" s="2">
        <v>45511</v>
      </c>
      <c r="D386" s="4">
        <f t="shared" si="47"/>
        <v>20</v>
      </c>
      <c r="E386" s="51" t="b">
        <f t="shared" si="42"/>
        <v>0</v>
      </c>
      <c r="F386" s="4" t="str">
        <f>TEXT(Data!B386,"MMM-YYYY")</f>
        <v>May-2023</v>
      </c>
      <c r="G386" s="4" t="str">
        <f t="shared" si="43"/>
        <v>Q3-2024</v>
      </c>
      <c r="H386" t="s">
        <v>78</v>
      </c>
      <c r="I386" t="s">
        <v>90</v>
      </c>
      <c r="J386" t="s">
        <v>91</v>
      </c>
      <c r="K386" t="s">
        <v>19</v>
      </c>
      <c r="L386" t="s">
        <v>20</v>
      </c>
      <c r="M386" t="s">
        <v>84</v>
      </c>
      <c r="N386" t="s">
        <v>64</v>
      </c>
      <c r="O386" t="s">
        <v>870</v>
      </c>
      <c r="P386" s="4">
        <v>941.35</v>
      </c>
      <c r="Q386" s="8" t="str">
        <f t="shared" si="44"/>
        <v>High</v>
      </c>
      <c r="R386" s="4">
        <v>899.83</v>
      </c>
      <c r="S386" s="4">
        <v>5.8000000000000003E-2</v>
      </c>
      <c r="T386" s="4">
        <v>18</v>
      </c>
      <c r="U386" s="4">
        <f t="shared" ref="U386:U449" si="48">(R412*T386)*(1-S386)</f>
        <v>14867.190359999997</v>
      </c>
      <c r="V386">
        <f t="shared" ref="V386:V449" si="49">(P386*T386)</f>
        <v>16944.3</v>
      </c>
      <c r="W386" s="4">
        <f t="shared" si="45"/>
        <v>-2077.1096400000024</v>
      </c>
      <c r="X386" s="4">
        <f t="shared" si="46"/>
        <v>-0.13971097360725546</v>
      </c>
    </row>
    <row r="387" spans="1:24" x14ac:dyDescent="0.3">
      <c r="A387" t="s">
        <v>871</v>
      </c>
      <c r="B387" s="7">
        <v>45066</v>
      </c>
      <c r="C387" s="2">
        <v>45096</v>
      </c>
      <c r="D387" s="4">
        <f t="shared" si="47"/>
        <v>30</v>
      </c>
      <c r="E387" s="51" t="b">
        <f t="shared" ref="E387:E450" si="50">IF(D387&lt;=7, "Yes")</f>
        <v>0</v>
      </c>
      <c r="F387" s="4" t="str">
        <f>TEXT(Data!B387,"MMM-YYYY")</f>
        <v>May-2025</v>
      </c>
      <c r="G387" s="4" t="str">
        <f t="shared" ref="G387:G450" si="51">"Q"&amp;ROUNDUP(MONTH(B387)/3,0)&amp;"-"&amp;YEAR(B387)</f>
        <v>Q2-2023</v>
      </c>
      <c r="H387" t="s">
        <v>45</v>
      </c>
      <c r="I387" t="s">
        <v>60</v>
      </c>
      <c r="J387" t="s">
        <v>141</v>
      </c>
      <c r="K387" t="s">
        <v>39</v>
      </c>
      <c r="L387" t="s">
        <v>40</v>
      </c>
      <c r="M387" t="s">
        <v>92</v>
      </c>
      <c r="N387" t="s">
        <v>57</v>
      </c>
      <c r="O387" t="s">
        <v>872</v>
      </c>
      <c r="P387" s="4">
        <v>1161.2</v>
      </c>
      <c r="Q387" s="8" t="str">
        <f t="shared" ref="Q387:Q450" si="52">IF(R387&lt;50, "Low", IF(R387&lt;200, "Medium", "High"))</f>
        <v>High</v>
      </c>
      <c r="R387" s="4">
        <v>878.73</v>
      </c>
      <c r="S387" s="4">
        <v>0.19</v>
      </c>
      <c r="T387" s="4">
        <v>31</v>
      </c>
      <c r="U387" s="4">
        <f t="shared" si="48"/>
        <v>20697.168600000001</v>
      </c>
      <c r="V387">
        <f t="shared" si="49"/>
        <v>35997.200000000004</v>
      </c>
      <c r="W387" s="4">
        <f t="shared" ref="W387:W450" si="53">(U387-V387)</f>
        <v>-15300.031400000003</v>
      </c>
      <c r="X387" s="4">
        <f t="shared" ref="X387:X450" si="54">IF(U387=0, 0, W387/U387)</f>
        <v>-0.73923306591801174</v>
      </c>
    </row>
    <row r="388" spans="1:24" x14ac:dyDescent="0.3">
      <c r="A388" t="s">
        <v>873</v>
      </c>
      <c r="B388" s="7">
        <v>45789</v>
      </c>
      <c r="C388" s="2">
        <v>45803</v>
      </c>
      <c r="D388" s="4">
        <f t="shared" si="47"/>
        <v>14</v>
      </c>
      <c r="E388" s="51" t="b">
        <f t="shared" si="50"/>
        <v>0</v>
      </c>
      <c r="F388" s="4" t="str">
        <f>TEXT(Data!B388,"MMM-YYYY")</f>
        <v>May-2024</v>
      </c>
      <c r="G388" s="4" t="str">
        <f t="shared" si="51"/>
        <v>Q2-2025</v>
      </c>
      <c r="H388" t="s">
        <v>45</v>
      </c>
      <c r="I388" t="s">
        <v>60</v>
      </c>
      <c r="J388" t="s">
        <v>281</v>
      </c>
      <c r="K388" t="s">
        <v>19</v>
      </c>
      <c r="L388" t="s">
        <v>40</v>
      </c>
      <c r="M388" t="s">
        <v>41</v>
      </c>
      <c r="N388" t="s">
        <v>30</v>
      </c>
      <c r="O388" t="s">
        <v>874</v>
      </c>
      <c r="P388" s="4">
        <v>320.12</v>
      </c>
      <c r="Q388" s="8" t="str">
        <f t="shared" si="52"/>
        <v>High</v>
      </c>
      <c r="R388" s="4">
        <v>594.41999999999996</v>
      </c>
      <c r="S388" s="4">
        <v>0.104</v>
      </c>
      <c r="T388" s="4">
        <v>18</v>
      </c>
      <c r="U388" s="4">
        <f t="shared" si="48"/>
        <v>18697.996800000001</v>
      </c>
      <c r="V388">
        <f t="shared" si="49"/>
        <v>5762.16</v>
      </c>
      <c r="W388" s="4">
        <f t="shared" si="53"/>
        <v>12935.836800000001</v>
      </c>
      <c r="X388" s="4">
        <f t="shared" si="54"/>
        <v>0.69183008952060576</v>
      </c>
    </row>
    <row r="389" spans="1:24" x14ac:dyDescent="0.3">
      <c r="A389" t="s">
        <v>875</v>
      </c>
      <c r="B389" s="7">
        <v>45419</v>
      </c>
      <c r="C389" s="2">
        <v>45424</v>
      </c>
      <c r="D389" s="4">
        <f t="shared" ref="D389:D451" si="55">DATEDIF(B389,C389, "MD")</f>
        <v>5</v>
      </c>
      <c r="E389" s="51" t="str">
        <f t="shared" si="50"/>
        <v>Yes</v>
      </c>
      <c r="F389" s="4" t="str">
        <f>TEXT(Data!B389,"MMM-YYYY")</f>
        <v>Sept-2023</v>
      </c>
      <c r="G389" s="4" t="str">
        <f t="shared" si="51"/>
        <v>Q2-2024</v>
      </c>
      <c r="H389" t="s">
        <v>16</v>
      </c>
      <c r="I389" t="s">
        <v>25</v>
      </c>
      <c r="J389" t="s">
        <v>67</v>
      </c>
      <c r="K389" t="s">
        <v>39</v>
      </c>
      <c r="L389" t="s">
        <v>55</v>
      </c>
      <c r="M389" t="s">
        <v>49</v>
      </c>
      <c r="N389" t="s">
        <v>57</v>
      </c>
      <c r="O389" t="s">
        <v>876</v>
      </c>
      <c r="P389" s="4">
        <v>1163.99</v>
      </c>
      <c r="Q389" s="8" t="str">
        <f t="shared" si="52"/>
        <v>High</v>
      </c>
      <c r="R389" s="4">
        <v>1617.85</v>
      </c>
      <c r="S389" s="4">
        <v>0.127</v>
      </c>
      <c r="T389" s="4">
        <v>14</v>
      </c>
      <c r="U389" s="4">
        <f t="shared" si="48"/>
        <v>30720.11922</v>
      </c>
      <c r="V389">
        <f t="shared" si="49"/>
        <v>16295.86</v>
      </c>
      <c r="W389" s="4">
        <f t="shared" si="53"/>
        <v>14424.25922</v>
      </c>
      <c r="X389" s="4">
        <f t="shared" si="54"/>
        <v>0.4695378659406127</v>
      </c>
    </row>
    <row r="390" spans="1:24" x14ac:dyDescent="0.3">
      <c r="A390" t="s">
        <v>877</v>
      </c>
      <c r="B390" s="7">
        <v>45199</v>
      </c>
      <c r="C390" s="2">
        <v>45202</v>
      </c>
      <c r="D390" s="4">
        <f t="shared" si="55"/>
        <v>3</v>
      </c>
      <c r="E390" s="51" t="str">
        <f t="shared" si="50"/>
        <v>Yes</v>
      </c>
      <c r="F390" s="4" t="str">
        <f>TEXT(Data!B390,"MMM-YYYY")</f>
        <v>Oct-2023</v>
      </c>
      <c r="G390" s="4" t="str">
        <f t="shared" si="51"/>
        <v>Q3-2023</v>
      </c>
      <c r="H390" t="s">
        <v>45</v>
      </c>
      <c r="I390" t="s">
        <v>116</v>
      </c>
      <c r="J390" t="s">
        <v>338</v>
      </c>
      <c r="K390" t="s">
        <v>39</v>
      </c>
      <c r="L390" t="s">
        <v>20</v>
      </c>
      <c r="M390" t="s">
        <v>29</v>
      </c>
      <c r="N390" t="s">
        <v>57</v>
      </c>
      <c r="O390" t="s">
        <v>878</v>
      </c>
      <c r="P390" s="4">
        <v>1019.36</v>
      </c>
      <c r="Q390" s="8" t="str">
        <f t="shared" si="52"/>
        <v>High</v>
      </c>
      <c r="R390" s="4">
        <v>972.91</v>
      </c>
      <c r="S390" s="4">
        <v>0.14699999999999999</v>
      </c>
      <c r="T390" s="4">
        <v>17</v>
      </c>
      <c r="U390" s="4">
        <f t="shared" si="48"/>
        <v>44766.472129999995</v>
      </c>
      <c r="V390">
        <f t="shared" si="49"/>
        <v>17329.12</v>
      </c>
      <c r="W390" s="4">
        <f t="shared" si="53"/>
        <v>27437.352129999996</v>
      </c>
      <c r="X390" s="4">
        <f t="shared" si="54"/>
        <v>0.61289958365097552</v>
      </c>
    </row>
    <row r="391" spans="1:24" x14ac:dyDescent="0.3">
      <c r="A391" t="s">
        <v>879</v>
      </c>
      <c r="B391" s="7">
        <v>45225</v>
      </c>
      <c r="C391" s="2">
        <v>45235</v>
      </c>
      <c r="D391" s="4">
        <f t="shared" si="55"/>
        <v>10</v>
      </c>
      <c r="E391" s="51" t="b">
        <f t="shared" si="50"/>
        <v>0</v>
      </c>
      <c r="F391" s="4" t="str">
        <f>TEXT(Data!B391,"MMM-YYYY")</f>
        <v>Jun-2025</v>
      </c>
      <c r="G391" s="4" t="str">
        <f t="shared" si="51"/>
        <v>Q4-2023</v>
      </c>
      <c r="H391" t="s">
        <v>16</v>
      </c>
      <c r="I391" t="s">
        <v>148</v>
      </c>
      <c r="J391" t="s">
        <v>258</v>
      </c>
      <c r="K391" t="s">
        <v>39</v>
      </c>
      <c r="L391" t="s">
        <v>28</v>
      </c>
      <c r="M391" t="s">
        <v>34</v>
      </c>
      <c r="N391" t="s">
        <v>57</v>
      </c>
      <c r="O391" t="s">
        <v>880</v>
      </c>
      <c r="P391" s="4">
        <v>20.38</v>
      </c>
      <c r="Q391" s="8" t="str">
        <f t="shared" si="52"/>
        <v>Low</v>
      </c>
      <c r="R391" s="4">
        <v>42.56</v>
      </c>
      <c r="S391" s="4">
        <v>7.1999999999999995E-2</v>
      </c>
      <c r="T391" s="4">
        <v>11</v>
      </c>
      <c r="U391" s="4">
        <f t="shared" si="48"/>
        <v>27736.667200000004</v>
      </c>
      <c r="V391">
        <f t="shared" si="49"/>
        <v>224.17999999999998</v>
      </c>
      <c r="W391" s="4">
        <f t="shared" si="53"/>
        <v>27512.487200000003</v>
      </c>
      <c r="X391" s="4">
        <f t="shared" si="54"/>
        <v>0.99191755814123195</v>
      </c>
    </row>
    <row r="392" spans="1:24" x14ac:dyDescent="0.3">
      <c r="A392" t="s">
        <v>881</v>
      </c>
      <c r="B392" s="7">
        <v>45823</v>
      </c>
      <c r="C392" s="2">
        <v>45838</v>
      </c>
      <c r="D392" s="4">
        <f t="shared" si="55"/>
        <v>15</v>
      </c>
      <c r="E392" s="51" t="b">
        <f t="shared" si="50"/>
        <v>0</v>
      </c>
      <c r="F392" s="4" t="str">
        <f>TEXT(Data!B392,"MMM-YYYY")</f>
        <v>Aug-2024</v>
      </c>
      <c r="G392" s="4" t="str">
        <f t="shared" si="51"/>
        <v>Q2-2025</v>
      </c>
      <c r="H392" t="s">
        <v>16</v>
      </c>
      <c r="I392" t="s">
        <v>148</v>
      </c>
      <c r="J392" t="s">
        <v>149</v>
      </c>
      <c r="K392" t="s">
        <v>62</v>
      </c>
      <c r="L392" t="s">
        <v>98</v>
      </c>
      <c r="M392" t="s">
        <v>21</v>
      </c>
      <c r="N392" t="s">
        <v>64</v>
      </c>
      <c r="O392" t="s">
        <v>882</v>
      </c>
      <c r="P392" s="4">
        <v>1487.59</v>
      </c>
      <c r="Q392" s="8" t="str">
        <f t="shared" si="52"/>
        <v>High</v>
      </c>
      <c r="R392" s="4">
        <v>1480.83</v>
      </c>
      <c r="S392" s="4">
        <v>8.9999999999999993E-3</v>
      </c>
      <c r="T392" s="4">
        <v>11</v>
      </c>
      <c r="U392" s="4">
        <f t="shared" si="48"/>
        <v>9830.4127899999985</v>
      </c>
      <c r="V392">
        <f t="shared" si="49"/>
        <v>16363.49</v>
      </c>
      <c r="W392" s="4">
        <f t="shared" si="53"/>
        <v>-6533.0772100000013</v>
      </c>
      <c r="X392" s="4">
        <f t="shared" si="54"/>
        <v>-0.66457811584939586</v>
      </c>
    </row>
    <row r="393" spans="1:24" x14ac:dyDescent="0.3">
      <c r="A393" t="s">
        <v>883</v>
      </c>
      <c r="B393" s="7">
        <v>45514</v>
      </c>
      <c r="C393" s="2">
        <v>45542</v>
      </c>
      <c r="D393" s="4">
        <f t="shared" si="55"/>
        <v>28</v>
      </c>
      <c r="E393" s="51" t="b">
        <f t="shared" si="50"/>
        <v>0</v>
      </c>
      <c r="F393" s="4" t="str">
        <f>TEXT(Data!B393,"MMM-YYYY")</f>
        <v>Oct-2023</v>
      </c>
      <c r="G393" s="4" t="str">
        <f t="shared" si="51"/>
        <v>Q3-2024</v>
      </c>
      <c r="H393" t="s">
        <v>78</v>
      </c>
      <c r="I393" t="s">
        <v>90</v>
      </c>
      <c r="J393" t="s">
        <v>91</v>
      </c>
      <c r="K393" t="s">
        <v>39</v>
      </c>
      <c r="L393" t="s">
        <v>98</v>
      </c>
      <c r="M393" t="s">
        <v>84</v>
      </c>
      <c r="N393" t="s">
        <v>30</v>
      </c>
      <c r="O393" t="s">
        <v>884</v>
      </c>
      <c r="P393" s="4">
        <v>229.96</v>
      </c>
      <c r="Q393" s="8" t="str">
        <f t="shared" si="52"/>
        <v>High</v>
      </c>
      <c r="R393" s="4">
        <v>564.26</v>
      </c>
      <c r="S393" s="4">
        <v>0.105</v>
      </c>
      <c r="T393" s="4">
        <v>5</v>
      </c>
      <c r="U393" s="4">
        <f t="shared" si="48"/>
        <v>3562.7712500000002</v>
      </c>
      <c r="V393">
        <f t="shared" si="49"/>
        <v>1149.8</v>
      </c>
      <c r="W393" s="4">
        <f t="shared" si="53"/>
        <v>2412.9712500000005</v>
      </c>
      <c r="X393" s="4">
        <f t="shared" si="54"/>
        <v>0.67727369530109471</v>
      </c>
    </row>
    <row r="394" spans="1:24" x14ac:dyDescent="0.3">
      <c r="A394" t="s">
        <v>885</v>
      </c>
      <c r="B394" s="7">
        <v>45208</v>
      </c>
      <c r="C394" s="2">
        <v>45225</v>
      </c>
      <c r="D394" s="4">
        <f t="shared" si="55"/>
        <v>17</v>
      </c>
      <c r="E394" s="51" t="b">
        <f t="shared" si="50"/>
        <v>0</v>
      </c>
      <c r="F394" s="4" t="str">
        <f>TEXT(Data!B394,"MMM-YYYY")</f>
        <v>Mar-2024</v>
      </c>
      <c r="G394" s="4" t="str">
        <f t="shared" si="51"/>
        <v>Q4-2023</v>
      </c>
      <c r="H394" t="s">
        <v>45</v>
      </c>
      <c r="I394" t="s">
        <v>116</v>
      </c>
      <c r="J394" t="s">
        <v>162</v>
      </c>
      <c r="K394" t="s">
        <v>48</v>
      </c>
      <c r="L394" t="s">
        <v>40</v>
      </c>
      <c r="M394" t="s">
        <v>21</v>
      </c>
      <c r="N394" t="s">
        <v>22</v>
      </c>
      <c r="O394" t="s">
        <v>886</v>
      </c>
      <c r="P394" s="4">
        <v>1132.03</v>
      </c>
      <c r="Q394" s="8" t="str">
        <f t="shared" si="52"/>
        <v>High</v>
      </c>
      <c r="R394" s="4">
        <v>2137.21</v>
      </c>
      <c r="S394" s="4">
        <v>0.35699999999999998</v>
      </c>
      <c r="T394" s="4">
        <v>35</v>
      </c>
      <c r="U394" s="4">
        <f t="shared" si="48"/>
        <v>3551.7390999999998</v>
      </c>
      <c r="V394">
        <f t="shared" si="49"/>
        <v>39621.049999999996</v>
      </c>
      <c r="W394" s="4">
        <f t="shared" si="53"/>
        <v>-36069.310899999997</v>
      </c>
      <c r="X394" s="4">
        <f t="shared" si="54"/>
        <v>-10.155394268683755</v>
      </c>
    </row>
    <row r="395" spans="1:24" x14ac:dyDescent="0.3">
      <c r="A395" t="s">
        <v>887</v>
      </c>
      <c r="B395" s="7">
        <v>45360</v>
      </c>
      <c r="C395" s="2">
        <v>45377</v>
      </c>
      <c r="D395" s="4">
        <f t="shared" si="55"/>
        <v>17</v>
      </c>
      <c r="E395" s="51" t="b">
        <f t="shared" si="50"/>
        <v>0</v>
      </c>
      <c r="F395" s="4" t="str">
        <f>TEXT(Data!B395,"MMM-YYYY")</f>
        <v>May-2023</v>
      </c>
      <c r="G395" s="4" t="str">
        <f t="shared" si="51"/>
        <v>Q1-2024</v>
      </c>
      <c r="H395" t="s">
        <v>52</v>
      </c>
      <c r="I395" t="s">
        <v>122</v>
      </c>
      <c r="J395" t="s">
        <v>167</v>
      </c>
      <c r="K395" t="s">
        <v>27</v>
      </c>
      <c r="L395" t="s">
        <v>98</v>
      </c>
      <c r="M395" t="s">
        <v>34</v>
      </c>
      <c r="N395" t="s">
        <v>42</v>
      </c>
      <c r="O395" t="s">
        <v>888</v>
      </c>
      <c r="P395" s="4">
        <v>1137.4100000000001</v>
      </c>
      <c r="Q395" s="8" t="str">
        <f t="shared" si="52"/>
        <v>High</v>
      </c>
      <c r="R395" s="4">
        <v>1680.93</v>
      </c>
      <c r="S395" s="4">
        <v>0.254</v>
      </c>
      <c r="T395" s="4">
        <v>9</v>
      </c>
      <c r="U395" s="4">
        <f t="shared" si="48"/>
        <v>5499.1688399999994</v>
      </c>
      <c r="V395">
        <f t="shared" si="49"/>
        <v>10236.69</v>
      </c>
      <c r="W395" s="4">
        <f t="shared" si="53"/>
        <v>-4737.5211600000011</v>
      </c>
      <c r="X395" s="4">
        <f t="shared" si="54"/>
        <v>-0.86149767316473258</v>
      </c>
    </row>
    <row r="396" spans="1:24" x14ac:dyDescent="0.3">
      <c r="A396" t="s">
        <v>889</v>
      </c>
      <c r="B396" s="7">
        <v>45075</v>
      </c>
      <c r="C396" s="2">
        <v>45097</v>
      </c>
      <c r="D396" s="4">
        <f t="shared" si="55"/>
        <v>22</v>
      </c>
      <c r="E396" s="51" t="b">
        <f t="shared" si="50"/>
        <v>0</v>
      </c>
      <c r="F396" s="4" t="str">
        <f>TEXT(Data!B396,"MMM-YYYY")</f>
        <v>May-2025</v>
      </c>
      <c r="G396" s="4" t="str">
        <f t="shared" si="51"/>
        <v>Q2-2023</v>
      </c>
      <c r="H396" t="s">
        <v>78</v>
      </c>
      <c r="I396" t="s">
        <v>108</v>
      </c>
      <c r="J396" t="s">
        <v>152</v>
      </c>
      <c r="K396" t="s">
        <v>62</v>
      </c>
      <c r="L396" t="s">
        <v>98</v>
      </c>
      <c r="M396" t="s">
        <v>95</v>
      </c>
      <c r="N396" t="s">
        <v>22</v>
      </c>
      <c r="O396" t="s">
        <v>890</v>
      </c>
      <c r="P396" s="4">
        <v>1295.3900000000001</v>
      </c>
      <c r="Q396" s="8" t="str">
        <f t="shared" si="52"/>
        <v>High</v>
      </c>
      <c r="R396" s="4">
        <v>2905.06</v>
      </c>
      <c r="S396" s="4">
        <v>0.14799999999999999</v>
      </c>
      <c r="T396" s="4">
        <v>8</v>
      </c>
      <c r="U396" s="4">
        <f t="shared" si="48"/>
        <v>11663.26656</v>
      </c>
      <c r="V396">
        <f t="shared" si="49"/>
        <v>10363.120000000001</v>
      </c>
      <c r="W396" s="4">
        <f t="shared" si="53"/>
        <v>1300.1465599999992</v>
      </c>
      <c r="X396" s="4">
        <f t="shared" si="54"/>
        <v>0.11147362133168971</v>
      </c>
    </row>
    <row r="397" spans="1:24" x14ac:dyDescent="0.3">
      <c r="A397" t="s">
        <v>891</v>
      </c>
      <c r="B397" s="7">
        <v>45804</v>
      </c>
      <c r="C397" s="2">
        <v>45816</v>
      </c>
      <c r="D397" s="4">
        <f t="shared" si="55"/>
        <v>12</v>
      </c>
      <c r="E397" s="51" t="b">
        <f t="shared" si="50"/>
        <v>0</v>
      </c>
      <c r="F397" s="4" t="str">
        <f>TEXT(Data!B397,"MMM-YYYY")</f>
        <v>Aug-2025</v>
      </c>
      <c r="G397" s="4" t="str">
        <f t="shared" si="51"/>
        <v>Q2-2025</v>
      </c>
      <c r="H397" t="s">
        <v>45</v>
      </c>
      <c r="I397" t="s">
        <v>46</v>
      </c>
      <c r="J397" t="s">
        <v>47</v>
      </c>
      <c r="K397" t="s">
        <v>19</v>
      </c>
      <c r="L397" t="s">
        <v>20</v>
      </c>
      <c r="M397" t="s">
        <v>92</v>
      </c>
      <c r="N397" t="s">
        <v>81</v>
      </c>
      <c r="O397" t="s">
        <v>892</v>
      </c>
      <c r="P397" s="4">
        <v>653.6</v>
      </c>
      <c r="Q397" s="8" t="str">
        <f t="shared" si="52"/>
        <v>High</v>
      </c>
      <c r="R397" s="4">
        <v>842.09</v>
      </c>
      <c r="S397" s="4">
        <v>9.8000000000000004E-2</v>
      </c>
      <c r="T397" s="4">
        <v>19</v>
      </c>
      <c r="U397" s="4">
        <f t="shared" si="48"/>
        <v>29072.046299999998</v>
      </c>
      <c r="V397">
        <f t="shared" si="49"/>
        <v>12418.4</v>
      </c>
      <c r="W397" s="4">
        <f t="shared" si="53"/>
        <v>16653.6463</v>
      </c>
      <c r="X397" s="4">
        <f t="shared" si="54"/>
        <v>0.5728405261930255</v>
      </c>
    </row>
    <row r="398" spans="1:24" x14ac:dyDescent="0.3">
      <c r="A398" t="s">
        <v>893</v>
      </c>
      <c r="B398" s="7">
        <v>45890</v>
      </c>
      <c r="C398" s="2">
        <v>45914</v>
      </c>
      <c r="D398" s="4">
        <f t="shared" si="55"/>
        <v>24</v>
      </c>
      <c r="E398" s="51" t="b">
        <f t="shared" si="50"/>
        <v>0</v>
      </c>
      <c r="F398" s="4" t="str">
        <f>TEXT(Data!B398,"MMM-YYYY")</f>
        <v>Dec-2024</v>
      </c>
      <c r="G398" s="4" t="str">
        <f t="shared" si="51"/>
        <v>Q3-2025</v>
      </c>
      <c r="H398" t="s">
        <v>78</v>
      </c>
      <c r="I398" t="s">
        <v>79</v>
      </c>
      <c r="J398" t="s">
        <v>80</v>
      </c>
      <c r="K398" t="s">
        <v>39</v>
      </c>
      <c r="L398" t="s">
        <v>28</v>
      </c>
      <c r="M398" t="s">
        <v>75</v>
      </c>
      <c r="N398" t="s">
        <v>64</v>
      </c>
      <c r="O398" t="s">
        <v>894</v>
      </c>
      <c r="P398" s="4">
        <v>1397.67</v>
      </c>
      <c r="Q398" s="8" t="str">
        <f t="shared" si="52"/>
        <v>High</v>
      </c>
      <c r="R398" s="4">
        <v>3131.37</v>
      </c>
      <c r="S398" s="4">
        <v>0.10299999999999999</v>
      </c>
      <c r="T398" s="4">
        <v>20</v>
      </c>
      <c r="U398" s="4">
        <f t="shared" si="48"/>
        <v>51745.059600000001</v>
      </c>
      <c r="V398">
        <f t="shared" si="49"/>
        <v>27953.4</v>
      </c>
      <c r="W398" s="4">
        <f t="shared" si="53"/>
        <v>23791.659599999999</v>
      </c>
      <c r="X398" s="4">
        <f t="shared" si="54"/>
        <v>0.45978610873993464</v>
      </c>
    </row>
    <row r="399" spans="1:24" x14ac:dyDescent="0.3">
      <c r="A399" t="s">
        <v>895</v>
      </c>
      <c r="B399" s="7">
        <v>45638</v>
      </c>
      <c r="C399" s="2">
        <v>45646</v>
      </c>
      <c r="D399" s="4">
        <f t="shared" si="55"/>
        <v>8</v>
      </c>
      <c r="E399" s="51" t="b">
        <f t="shared" si="50"/>
        <v>0</v>
      </c>
      <c r="F399" s="4" t="str">
        <f>TEXT(Data!B399,"MMM-YYYY")</f>
        <v>Sept-2025</v>
      </c>
      <c r="G399" s="4" t="str">
        <f t="shared" si="51"/>
        <v>Q4-2024</v>
      </c>
      <c r="H399" t="s">
        <v>45</v>
      </c>
      <c r="I399" t="s">
        <v>46</v>
      </c>
      <c r="J399" t="s">
        <v>214</v>
      </c>
      <c r="K399" t="s">
        <v>19</v>
      </c>
      <c r="L399" t="s">
        <v>20</v>
      </c>
      <c r="M399" t="s">
        <v>56</v>
      </c>
      <c r="N399" t="s">
        <v>57</v>
      </c>
      <c r="O399" t="s">
        <v>896</v>
      </c>
      <c r="P399" s="4">
        <v>1202.47</v>
      </c>
      <c r="Q399" s="8" t="str">
        <f t="shared" si="52"/>
        <v>High</v>
      </c>
      <c r="R399" s="4">
        <v>1444.72</v>
      </c>
      <c r="S399" s="4">
        <v>0.24099999999999999</v>
      </c>
      <c r="T399" s="4">
        <v>17</v>
      </c>
      <c r="U399" s="4">
        <f t="shared" si="48"/>
        <v>19144.697220000002</v>
      </c>
      <c r="V399">
        <f t="shared" si="49"/>
        <v>20441.990000000002</v>
      </c>
      <c r="W399" s="4">
        <f t="shared" si="53"/>
        <v>-1297.2927799999998</v>
      </c>
      <c r="X399" s="4">
        <f t="shared" si="54"/>
        <v>-6.7762512255599913E-2</v>
      </c>
    </row>
    <row r="400" spans="1:24" x14ac:dyDescent="0.3">
      <c r="A400" t="s">
        <v>897</v>
      </c>
      <c r="B400" s="7">
        <v>45914</v>
      </c>
      <c r="C400" s="2">
        <v>45923</v>
      </c>
      <c r="D400" s="4">
        <f t="shared" si="55"/>
        <v>9</v>
      </c>
      <c r="E400" s="51" t="b">
        <f t="shared" si="50"/>
        <v>0</v>
      </c>
      <c r="F400" s="4" t="str">
        <f>TEXT(Data!B400,"MMM-YYYY")</f>
        <v>Sept-2024</v>
      </c>
      <c r="G400" s="4" t="str">
        <f t="shared" si="51"/>
        <v>Q3-2025</v>
      </c>
      <c r="H400" t="s">
        <v>16</v>
      </c>
      <c r="I400" t="s">
        <v>148</v>
      </c>
      <c r="J400" t="s">
        <v>172</v>
      </c>
      <c r="K400" t="s">
        <v>39</v>
      </c>
      <c r="L400" t="s">
        <v>28</v>
      </c>
      <c r="M400" t="s">
        <v>145</v>
      </c>
      <c r="N400" t="s">
        <v>22</v>
      </c>
      <c r="O400" t="s">
        <v>898</v>
      </c>
      <c r="P400" s="4">
        <v>1310.3</v>
      </c>
      <c r="Q400" s="8" t="str">
        <f t="shared" si="52"/>
        <v>High</v>
      </c>
      <c r="R400" s="4">
        <v>2875.8</v>
      </c>
      <c r="S400" s="4">
        <v>8.3000000000000004E-2</v>
      </c>
      <c r="T400" s="4">
        <v>5</v>
      </c>
      <c r="U400" s="4">
        <f t="shared" si="48"/>
        <v>14660.399949999999</v>
      </c>
      <c r="V400">
        <f t="shared" si="49"/>
        <v>6551.5</v>
      </c>
      <c r="W400" s="4">
        <f t="shared" si="53"/>
        <v>8108.8999499999991</v>
      </c>
      <c r="X400" s="4">
        <f t="shared" si="54"/>
        <v>0.55311587525959682</v>
      </c>
    </row>
    <row r="401" spans="1:24" x14ac:dyDescent="0.3">
      <c r="A401" t="s">
        <v>899</v>
      </c>
      <c r="B401" s="7">
        <v>45541</v>
      </c>
      <c r="C401" s="2">
        <v>45569</v>
      </c>
      <c r="D401" s="4">
        <f t="shared" si="55"/>
        <v>28</v>
      </c>
      <c r="E401" s="51" t="b">
        <f t="shared" si="50"/>
        <v>0</v>
      </c>
      <c r="F401" s="4" t="str">
        <f>TEXT(Data!B401,"MMM-YYYY")</f>
        <v>Apr-2025</v>
      </c>
      <c r="G401" s="4" t="str">
        <f t="shared" si="51"/>
        <v>Q3-2024</v>
      </c>
      <c r="H401" t="s">
        <v>16</v>
      </c>
      <c r="I401" t="s">
        <v>148</v>
      </c>
      <c r="J401" t="s">
        <v>258</v>
      </c>
      <c r="K401" t="s">
        <v>19</v>
      </c>
      <c r="L401" t="s">
        <v>40</v>
      </c>
      <c r="M401" t="s">
        <v>145</v>
      </c>
      <c r="N401" t="s">
        <v>64</v>
      </c>
      <c r="O401" t="s">
        <v>900</v>
      </c>
      <c r="P401" s="4">
        <v>1174.17</v>
      </c>
      <c r="Q401" s="8" t="str">
        <f t="shared" si="52"/>
        <v>High</v>
      </c>
      <c r="R401" s="4">
        <v>1641.61</v>
      </c>
      <c r="S401" s="4">
        <v>0.122</v>
      </c>
      <c r="T401" s="4">
        <v>9</v>
      </c>
      <c r="U401" s="4">
        <f t="shared" si="48"/>
        <v>18353.975399999999</v>
      </c>
      <c r="V401">
        <f t="shared" si="49"/>
        <v>10567.53</v>
      </c>
      <c r="W401" s="4">
        <f t="shared" si="53"/>
        <v>7786.4453999999987</v>
      </c>
      <c r="X401" s="4">
        <f t="shared" si="54"/>
        <v>0.42423754147561943</v>
      </c>
    </row>
    <row r="402" spans="1:24" x14ac:dyDescent="0.3">
      <c r="A402" t="s">
        <v>901</v>
      </c>
      <c r="B402" s="7">
        <v>45759</v>
      </c>
      <c r="C402" s="2">
        <v>45777</v>
      </c>
      <c r="D402" s="4">
        <f t="shared" si="55"/>
        <v>18</v>
      </c>
      <c r="E402" s="51" t="b">
        <f t="shared" si="50"/>
        <v>0</v>
      </c>
      <c r="F402" s="4" t="str">
        <f>TEXT(Data!B402,"MMM-YYYY")</f>
        <v>Aug-2024</v>
      </c>
      <c r="G402" s="4" t="str">
        <f t="shared" si="51"/>
        <v>Q2-2025</v>
      </c>
      <c r="H402" t="s">
        <v>16</v>
      </c>
      <c r="I402" t="s">
        <v>17</v>
      </c>
      <c r="J402" t="s">
        <v>18</v>
      </c>
      <c r="K402" t="s">
        <v>19</v>
      </c>
      <c r="L402" t="s">
        <v>40</v>
      </c>
      <c r="M402" t="s">
        <v>84</v>
      </c>
      <c r="N402" t="s">
        <v>35</v>
      </c>
      <c r="O402" t="s">
        <v>902</v>
      </c>
      <c r="P402" s="4">
        <v>1119.04</v>
      </c>
      <c r="Q402" s="8" t="str">
        <f t="shared" si="52"/>
        <v>High</v>
      </c>
      <c r="R402" s="4">
        <v>1299.02</v>
      </c>
      <c r="S402" s="4">
        <v>2.5000000000000001E-2</v>
      </c>
      <c r="T402" s="4">
        <v>14</v>
      </c>
      <c r="U402" s="4">
        <f t="shared" si="48"/>
        <v>26377.532999999999</v>
      </c>
      <c r="V402">
        <f t="shared" si="49"/>
        <v>15666.56</v>
      </c>
      <c r="W402" s="4">
        <f t="shared" si="53"/>
        <v>10710.973</v>
      </c>
      <c r="X402" s="4">
        <f t="shared" si="54"/>
        <v>0.40606424414292269</v>
      </c>
    </row>
    <row r="403" spans="1:24" x14ac:dyDescent="0.3">
      <c r="A403" t="s">
        <v>903</v>
      </c>
      <c r="B403" s="7">
        <v>45516</v>
      </c>
      <c r="C403" s="2">
        <v>45519</v>
      </c>
      <c r="D403" s="4">
        <f t="shared" si="55"/>
        <v>3</v>
      </c>
      <c r="E403" s="51" t="str">
        <f t="shared" si="50"/>
        <v>Yes</v>
      </c>
      <c r="F403" s="4" t="str">
        <f>TEXT(Data!B403,"MMM-YYYY")</f>
        <v>Nov-2024</v>
      </c>
      <c r="G403" s="4" t="str">
        <f t="shared" si="51"/>
        <v>Q3-2024</v>
      </c>
      <c r="H403" t="s">
        <v>52</v>
      </c>
      <c r="I403" t="s">
        <v>122</v>
      </c>
      <c r="J403" t="s">
        <v>123</v>
      </c>
      <c r="K403" t="s">
        <v>19</v>
      </c>
      <c r="L403" t="s">
        <v>40</v>
      </c>
      <c r="M403" t="s">
        <v>145</v>
      </c>
      <c r="N403" t="s">
        <v>30</v>
      </c>
      <c r="O403" t="s">
        <v>904</v>
      </c>
      <c r="P403" s="4">
        <v>850.7</v>
      </c>
      <c r="Q403" s="8" t="str">
        <f t="shared" si="52"/>
        <v>High</v>
      </c>
      <c r="R403" s="4">
        <v>1118.56</v>
      </c>
      <c r="S403" s="4">
        <v>0.18</v>
      </c>
      <c r="T403" s="4">
        <v>19</v>
      </c>
      <c r="U403" s="4">
        <f t="shared" si="48"/>
        <v>24777.808799999999</v>
      </c>
      <c r="V403">
        <f t="shared" si="49"/>
        <v>16163.300000000001</v>
      </c>
      <c r="W403" s="4">
        <f t="shared" si="53"/>
        <v>8614.5087999999978</v>
      </c>
      <c r="X403" s="4">
        <f t="shared" si="54"/>
        <v>0.34767032345491333</v>
      </c>
    </row>
    <row r="404" spans="1:24" x14ac:dyDescent="0.3">
      <c r="A404" t="s">
        <v>905</v>
      </c>
      <c r="B404" s="7">
        <v>45601</v>
      </c>
      <c r="C404" s="2">
        <v>45604</v>
      </c>
      <c r="D404" s="4">
        <f t="shared" si="55"/>
        <v>3</v>
      </c>
      <c r="E404" s="51" t="str">
        <f t="shared" si="50"/>
        <v>Yes</v>
      </c>
      <c r="F404" s="4" t="str">
        <f>TEXT(Data!B404,"MMM-YYYY")</f>
        <v>Jul-2024</v>
      </c>
      <c r="G404" s="4" t="str">
        <f t="shared" si="51"/>
        <v>Q4-2024</v>
      </c>
      <c r="H404" t="s">
        <v>52</v>
      </c>
      <c r="I404" t="s">
        <v>53</v>
      </c>
      <c r="J404" t="s">
        <v>54</v>
      </c>
      <c r="K404" t="s">
        <v>27</v>
      </c>
      <c r="L404" t="s">
        <v>40</v>
      </c>
      <c r="M404" t="s">
        <v>68</v>
      </c>
      <c r="N404" t="s">
        <v>22</v>
      </c>
      <c r="O404" t="s">
        <v>906</v>
      </c>
      <c r="P404" s="4">
        <v>1020.4</v>
      </c>
      <c r="Q404" s="8" t="str">
        <f t="shared" si="52"/>
        <v>High</v>
      </c>
      <c r="R404" s="4">
        <v>1184.71</v>
      </c>
      <c r="S404" s="4">
        <v>0.106</v>
      </c>
      <c r="T404" s="4">
        <v>16</v>
      </c>
      <c r="U404" s="4">
        <f t="shared" si="48"/>
        <v>5658.8054400000001</v>
      </c>
      <c r="V404">
        <f t="shared" si="49"/>
        <v>16326.4</v>
      </c>
      <c r="W404" s="4">
        <f t="shared" si="53"/>
        <v>-10667.59456</v>
      </c>
      <c r="X404" s="4">
        <f t="shared" si="54"/>
        <v>-1.8851318839475772</v>
      </c>
    </row>
    <row r="405" spans="1:24" x14ac:dyDescent="0.3">
      <c r="A405" t="s">
        <v>907</v>
      </c>
      <c r="B405" s="7">
        <v>45497</v>
      </c>
      <c r="C405" s="2">
        <v>45512</v>
      </c>
      <c r="D405" s="4">
        <f t="shared" si="55"/>
        <v>15</v>
      </c>
      <c r="E405" s="51" t="b">
        <f t="shared" si="50"/>
        <v>0</v>
      </c>
      <c r="F405" s="4" t="str">
        <f>TEXT(Data!B405,"MMM-YYYY")</f>
        <v>Jan-2025</v>
      </c>
      <c r="G405" s="4" t="str">
        <f t="shared" si="51"/>
        <v>Q3-2024</v>
      </c>
      <c r="H405" t="s">
        <v>78</v>
      </c>
      <c r="I405" t="s">
        <v>90</v>
      </c>
      <c r="J405" t="s">
        <v>91</v>
      </c>
      <c r="K405" t="s">
        <v>105</v>
      </c>
      <c r="L405" t="s">
        <v>40</v>
      </c>
      <c r="M405" t="s">
        <v>92</v>
      </c>
      <c r="N405" t="s">
        <v>57</v>
      </c>
      <c r="O405" t="s">
        <v>908</v>
      </c>
      <c r="P405" s="4">
        <v>501.5</v>
      </c>
      <c r="Q405" s="8" t="str">
        <f t="shared" si="52"/>
        <v>High</v>
      </c>
      <c r="R405" s="4">
        <v>1201.47</v>
      </c>
      <c r="S405" s="4">
        <v>0.126</v>
      </c>
      <c r="T405" s="4">
        <v>5</v>
      </c>
      <c r="U405" s="4">
        <f t="shared" si="48"/>
        <v>9079.5053000000007</v>
      </c>
      <c r="V405">
        <f t="shared" si="49"/>
        <v>2507.5</v>
      </c>
      <c r="W405" s="4">
        <f t="shared" si="53"/>
        <v>6572.0053000000007</v>
      </c>
      <c r="X405" s="4">
        <f t="shared" si="54"/>
        <v>0.72382856585809807</v>
      </c>
    </row>
    <row r="406" spans="1:24" x14ac:dyDescent="0.3">
      <c r="A406" t="s">
        <v>909</v>
      </c>
      <c r="B406" s="7">
        <v>45677</v>
      </c>
      <c r="C406" s="2">
        <v>45691</v>
      </c>
      <c r="D406" s="4">
        <f t="shared" si="55"/>
        <v>14</v>
      </c>
      <c r="E406" s="51" t="b">
        <f t="shared" si="50"/>
        <v>0</v>
      </c>
      <c r="F406" s="4" t="str">
        <f>TEXT(Data!B406,"MMM-YYYY")</f>
        <v>Mar-2023</v>
      </c>
      <c r="G406" s="4" t="str">
        <f t="shared" si="51"/>
        <v>Q1-2025</v>
      </c>
      <c r="H406" t="s">
        <v>52</v>
      </c>
      <c r="I406" t="s">
        <v>73</v>
      </c>
      <c r="J406" t="s">
        <v>87</v>
      </c>
      <c r="K406" t="s">
        <v>105</v>
      </c>
      <c r="L406" t="s">
        <v>40</v>
      </c>
      <c r="M406" t="s">
        <v>84</v>
      </c>
      <c r="N406" t="s">
        <v>22</v>
      </c>
      <c r="O406" t="s">
        <v>910</v>
      </c>
      <c r="P406" s="4">
        <v>974.11</v>
      </c>
      <c r="Q406" s="8" t="str">
        <f t="shared" si="52"/>
        <v>High</v>
      </c>
      <c r="R406" s="4">
        <v>880.99</v>
      </c>
      <c r="S406" s="4">
        <v>0.111</v>
      </c>
      <c r="T406" s="4">
        <v>10</v>
      </c>
      <c r="U406" s="4">
        <f t="shared" si="48"/>
        <v>11831.2565</v>
      </c>
      <c r="V406">
        <f t="shared" si="49"/>
        <v>9741.1</v>
      </c>
      <c r="W406" s="4">
        <f t="shared" si="53"/>
        <v>2090.1564999999991</v>
      </c>
      <c r="X406" s="4">
        <f t="shared" si="54"/>
        <v>0.17666394942920891</v>
      </c>
    </row>
    <row r="407" spans="1:24" x14ac:dyDescent="0.3">
      <c r="A407" t="s">
        <v>911</v>
      </c>
      <c r="B407" s="7">
        <v>44991</v>
      </c>
      <c r="C407" s="2">
        <v>45020</v>
      </c>
      <c r="D407" s="4">
        <f t="shared" si="55"/>
        <v>29</v>
      </c>
      <c r="E407" s="51" t="b">
        <f t="shared" si="50"/>
        <v>0</v>
      </c>
      <c r="F407" s="4" t="str">
        <f>TEXT(Data!B407,"MMM-YYYY")</f>
        <v>Dec-2024</v>
      </c>
      <c r="G407" s="4" t="str">
        <f t="shared" si="51"/>
        <v>Q1-2023</v>
      </c>
      <c r="H407" t="s">
        <v>45</v>
      </c>
      <c r="I407" t="s">
        <v>116</v>
      </c>
      <c r="J407" t="s">
        <v>338</v>
      </c>
      <c r="K407" t="s">
        <v>62</v>
      </c>
      <c r="L407" t="s">
        <v>98</v>
      </c>
      <c r="M407" t="s">
        <v>21</v>
      </c>
      <c r="N407" t="s">
        <v>64</v>
      </c>
      <c r="O407" t="s">
        <v>912</v>
      </c>
      <c r="P407" s="4">
        <v>1126.29</v>
      </c>
      <c r="Q407" s="8" t="str">
        <f t="shared" si="52"/>
        <v>High</v>
      </c>
      <c r="R407" s="4">
        <v>2050.87</v>
      </c>
      <c r="S407" s="4">
        <v>6.4000000000000001E-2</v>
      </c>
      <c r="T407" s="4">
        <v>7</v>
      </c>
      <c r="U407" s="4">
        <f t="shared" si="48"/>
        <v>18113.986799999999</v>
      </c>
      <c r="V407">
        <f t="shared" si="49"/>
        <v>7884.03</v>
      </c>
      <c r="W407" s="4">
        <f t="shared" si="53"/>
        <v>10229.9568</v>
      </c>
      <c r="X407" s="4">
        <f t="shared" si="54"/>
        <v>0.56475456855251771</v>
      </c>
    </row>
    <row r="408" spans="1:24" x14ac:dyDescent="0.3">
      <c r="A408" t="s">
        <v>913</v>
      </c>
      <c r="B408" s="7">
        <v>45646</v>
      </c>
      <c r="C408" s="2">
        <v>45671</v>
      </c>
      <c r="D408" s="4">
        <f t="shared" si="55"/>
        <v>25</v>
      </c>
      <c r="E408" s="51" t="b">
        <f t="shared" si="50"/>
        <v>0</v>
      </c>
      <c r="F408" s="4" t="str">
        <f>TEXT(Data!B408,"MMM-YYYY")</f>
        <v>Feb-2025</v>
      </c>
      <c r="G408" s="4" t="str">
        <f t="shared" si="51"/>
        <v>Q4-2024</v>
      </c>
      <c r="H408" t="s">
        <v>45</v>
      </c>
      <c r="I408" t="s">
        <v>60</v>
      </c>
      <c r="J408" t="s">
        <v>141</v>
      </c>
      <c r="K408" t="s">
        <v>62</v>
      </c>
      <c r="L408" t="s">
        <v>20</v>
      </c>
      <c r="M408" t="s">
        <v>110</v>
      </c>
      <c r="N408" t="s">
        <v>30</v>
      </c>
      <c r="O408" t="s">
        <v>914</v>
      </c>
      <c r="P408" s="4">
        <v>1361.34</v>
      </c>
      <c r="Q408" s="8" t="str">
        <f t="shared" si="52"/>
        <v>High</v>
      </c>
      <c r="R408" s="4">
        <v>1737.9</v>
      </c>
      <c r="S408" s="4">
        <v>7.6999999999999999E-2</v>
      </c>
      <c r="T408" s="4">
        <v>14</v>
      </c>
      <c r="U408" s="4">
        <f t="shared" si="48"/>
        <v>3596.8387000000007</v>
      </c>
      <c r="V408">
        <f t="shared" si="49"/>
        <v>19058.759999999998</v>
      </c>
      <c r="W408" s="4">
        <f t="shared" si="53"/>
        <v>-15461.921299999998</v>
      </c>
      <c r="X408" s="4">
        <f t="shared" si="54"/>
        <v>-4.2987530411080135</v>
      </c>
    </row>
    <row r="409" spans="1:24" x14ac:dyDescent="0.3">
      <c r="A409" t="s">
        <v>915</v>
      </c>
      <c r="B409" s="7">
        <v>45709</v>
      </c>
      <c r="C409" s="2">
        <v>45737</v>
      </c>
      <c r="D409" s="4">
        <f t="shared" si="55"/>
        <v>0</v>
      </c>
      <c r="E409" s="51" t="str">
        <f t="shared" si="50"/>
        <v>Yes</v>
      </c>
      <c r="F409" s="4" t="str">
        <f>TEXT(Data!B409,"MMM-YYYY")</f>
        <v>Mar-2025</v>
      </c>
      <c r="G409" s="4" t="str">
        <f t="shared" si="51"/>
        <v>Q1-2025</v>
      </c>
      <c r="H409" t="s">
        <v>16</v>
      </c>
      <c r="I409" t="s">
        <v>25</v>
      </c>
      <c r="J409" t="s">
        <v>67</v>
      </c>
      <c r="K409" t="s">
        <v>105</v>
      </c>
      <c r="L409" t="s">
        <v>40</v>
      </c>
      <c r="M409" t="s">
        <v>34</v>
      </c>
      <c r="N409" t="s">
        <v>42</v>
      </c>
      <c r="O409" t="s">
        <v>916</v>
      </c>
      <c r="P409" s="4">
        <v>1437.39</v>
      </c>
      <c r="Q409" s="8" t="str">
        <f t="shared" si="52"/>
        <v>High</v>
      </c>
      <c r="R409" s="4">
        <v>1388.31</v>
      </c>
      <c r="S409" s="4">
        <v>0.13800000000000001</v>
      </c>
      <c r="T409" s="4">
        <v>18</v>
      </c>
      <c r="U409" s="4">
        <f t="shared" si="48"/>
        <v>15273.329759999999</v>
      </c>
      <c r="V409">
        <f t="shared" si="49"/>
        <v>25873.02</v>
      </c>
      <c r="W409" s="4">
        <f t="shared" si="53"/>
        <v>-10599.690240000002</v>
      </c>
      <c r="X409" s="4">
        <f t="shared" si="54"/>
        <v>-0.69399995983587026</v>
      </c>
    </row>
    <row r="410" spans="1:24" x14ac:dyDescent="0.3">
      <c r="A410" t="s">
        <v>917</v>
      </c>
      <c r="B410" s="7">
        <v>45724</v>
      </c>
      <c r="C410" s="2">
        <v>45731</v>
      </c>
      <c r="D410" s="4">
        <f t="shared" si="55"/>
        <v>7</v>
      </c>
      <c r="E410" s="51" t="str">
        <f t="shared" si="50"/>
        <v>Yes</v>
      </c>
      <c r="F410" s="4" t="str">
        <f>TEXT(Data!B410,"MMM-YYYY")</f>
        <v>Dec-2023</v>
      </c>
      <c r="G410" s="4" t="str">
        <f t="shared" si="51"/>
        <v>Q1-2025</v>
      </c>
      <c r="H410" t="s">
        <v>45</v>
      </c>
      <c r="I410" t="s">
        <v>60</v>
      </c>
      <c r="J410" t="s">
        <v>61</v>
      </c>
      <c r="K410" t="s">
        <v>19</v>
      </c>
      <c r="L410" t="s">
        <v>55</v>
      </c>
      <c r="M410" t="s">
        <v>95</v>
      </c>
      <c r="N410" t="s">
        <v>57</v>
      </c>
      <c r="O410" t="s">
        <v>918</v>
      </c>
      <c r="P410" s="4">
        <v>475.66</v>
      </c>
      <c r="Q410" s="8" t="str">
        <f t="shared" si="52"/>
        <v>High</v>
      </c>
      <c r="R410" s="4">
        <v>529.14</v>
      </c>
      <c r="S410" s="4">
        <v>0.19600000000000001</v>
      </c>
      <c r="T410" s="4">
        <v>11</v>
      </c>
      <c r="U410" s="4">
        <f t="shared" si="48"/>
        <v>1687.7889600000003</v>
      </c>
      <c r="V410">
        <f t="shared" si="49"/>
        <v>5232.26</v>
      </c>
      <c r="W410" s="4">
        <f t="shared" si="53"/>
        <v>-3544.4710399999999</v>
      </c>
      <c r="X410" s="4">
        <f t="shared" si="54"/>
        <v>-2.1000676767076372</v>
      </c>
    </row>
    <row r="411" spans="1:24" x14ac:dyDescent="0.3">
      <c r="A411" t="s">
        <v>919</v>
      </c>
      <c r="B411" s="7">
        <v>45276</v>
      </c>
      <c r="C411" s="2">
        <v>45279</v>
      </c>
      <c r="D411" s="4">
        <f t="shared" si="55"/>
        <v>3</v>
      </c>
      <c r="E411" s="51" t="str">
        <f t="shared" si="50"/>
        <v>Yes</v>
      </c>
      <c r="F411" s="4" t="str">
        <f>TEXT(Data!B411,"MMM-YYYY")</f>
        <v>Aug-2024</v>
      </c>
      <c r="G411" s="4" t="str">
        <f t="shared" si="51"/>
        <v>Q4-2023</v>
      </c>
      <c r="H411" t="s">
        <v>45</v>
      </c>
      <c r="I411" t="s">
        <v>116</v>
      </c>
      <c r="J411" t="s">
        <v>338</v>
      </c>
      <c r="K411" t="s">
        <v>27</v>
      </c>
      <c r="L411" t="s">
        <v>20</v>
      </c>
      <c r="M411" t="s">
        <v>75</v>
      </c>
      <c r="N411" t="s">
        <v>81</v>
      </c>
      <c r="O411" t="s">
        <v>920</v>
      </c>
      <c r="P411" s="4">
        <v>1415.05</v>
      </c>
      <c r="Q411" s="8" t="str">
        <f t="shared" si="52"/>
        <v>High</v>
      </c>
      <c r="R411" s="4">
        <v>1972.38</v>
      </c>
      <c r="S411" s="4">
        <v>0</v>
      </c>
      <c r="T411" s="4">
        <v>12</v>
      </c>
      <c r="U411" s="4">
        <f t="shared" si="48"/>
        <v>10899.599999999999</v>
      </c>
      <c r="V411">
        <f t="shared" si="49"/>
        <v>16980.599999999999</v>
      </c>
      <c r="W411" s="4">
        <f t="shared" si="53"/>
        <v>-6081</v>
      </c>
      <c r="X411" s="4">
        <f t="shared" si="54"/>
        <v>-0.5579103820323682</v>
      </c>
    </row>
    <row r="412" spans="1:24" x14ac:dyDescent="0.3">
      <c r="A412" t="s">
        <v>921</v>
      </c>
      <c r="B412" s="7">
        <v>45534</v>
      </c>
      <c r="C412" s="2">
        <v>45540</v>
      </c>
      <c r="D412" s="4">
        <f t="shared" si="55"/>
        <v>6</v>
      </c>
      <c r="E412" s="51" t="str">
        <f t="shared" si="50"/>
        <v>Yes</v>
      </c>
      <c r="F412" s="4" t="str">
        <f>TEXT(Data!B412,"MMM-YYYY")</f>
        <v>May-2024</v>
      </c>
      <c r="G412" s="4" t="str">
        <f t="shared" si="51"/>
        <v>Q3-2024</v>
      </c>
      <c r="H412" t="s">
        <v>45</v>
      </c>
      <c r="I412" t="s">
        <v>46</v>
      </c>
      <c r="J412" t="s">
        <v>231</v>
      </c>
      <c r="K412" t="s">
        <v>27</v>
      </c>
      <c r="L412" t="s">
        <v>28</v>
      </c>
      <c r="M412" t="s">
        <v>126</v>
      </c>
      <c r="N412" t="s">
        <v>57</v>
      </c>
      <c r="O412" t="s">
        <v>922</v>
      </c>
      <c r="P412" s="4">
        <v>466.16</v>
      </c>
      <c r="Q412" s="8" t="str">
        <f t="shared" si="52"/>
        <v>High</v>
      </c>
      <c r="R412" s="4">
        <v>876.81</v>
      </c>
      <c r="S412" s="4">
        <v>0.24099999999999999</v>
      </c>
      <c r="T412" s="4">
        <v>8</v>
      </c>
      <c r="U412" s="4">
        <f t="shared" si="48"/>
        <v>1725.8445600000002</v>
      </c>
      <c r="V412">
        <f t="shared" si="49"/>
        <v>3729.28</v>
      </c>
      <c r="W412" s="4">
        <f t="shared" si="53"/>
        <v>-2003.43544</v>
      </c>
      <c r="X412" s="4">
        <f t="shared" si="54"/>
        <v>-1.1608435002976165</v>
      </c>
    </row>
    <row r="413" spans="1:24" x14ac:dyDescent="0.3">
      <c r="A413" t="s">
        <v>923</v>
      </c>
      <c r="B413" s="7">
        <v>45430</v>
      </c>
      <c r="C413" s="2">
        <v>45433</v>
      </c>
      <c r="D413" s="4">
        <f t="shared" si="55"/>
        <v>3</v>
      </c>
      <c r="E413" s="51" t="str">
        <f t="shared" si="50"/>
        <v>Yes</v>
      </c>
      <c r="F413" s="4" t="str">
        <f>TEXT(Data!B413,"MMM-YYYY")</f>
        <v>Mar-2023</v>
      </c>
      <c r="G413" s="4" t="str">
        <f t="shared" si="51"/>
        <v>Q2-2024</v>
      </c>
      <c r="H413" t="s">
        <v>78</v>
      </c>
      <c r="I413" t="s">
        <v>90</v>
      </c>
      <c r="J413" t="s">
        <v>91</v>
      </c>
      <c r="K413" t="s">
        <v>39</v>
      </c>
      <c r="L413" t="s">
        <v>40</v>
      </c>
      <c r="M413" t="s">
        <v>145</v>
      </c>
      <c r="N413" t="s">
        <v>30</v>
      </c>
      <c r="O413" t="s">
        <v>924</v>
      </c>
      <c r="P413" s="4">
        <v>663.66</v>
      </c>
      <c r="Q413" s="8" t="str">
        <f t="shared" si="52"/>
        <v>High</v>
      </c>
      <c r="R413" s="4">
        <v>824.26</v>
      </c>
      <c r="S413" s="4">
        <v>0.23899999999999999</v>
      </c>
      <c r="T413" s="4">
        <v>11</v>
      </c>
      <c r="U413" s="4">
        <f t="shared" si="48"/>
        <v>10290.80514</v>
      </c>
      <c r="V413">
        <f t="shared" si="49"/>
        <v>7300.2599999999993</v>
      </c>
      <c r="W413" s="4">
        <f t="shared" si="53"/>
        <v>2990.5451400000011</v>
      </c>
      <c r="X413" s="4">
        <f t="shared" si="54"/>
        <v>0.29060361160429093</v>
      </c>
    </row>
    <row r="414" spans="1:24" x14ac:dyDescent="0.3">
      <c r="A414" t="s">
        <v>925</v>
      </c>
      <c r="B414" s="7">
        <v>45002</v>
      </c>
      <c r="C414" s="2">
        <v>45022</v>
      </c>
      <c r="D414" s="4">
        <f t="shared" si="55"/>
        <v>20</v>
      </c>
      <c r="E414" s="51" t="b">
        <f t="shared" si="50"/>
        <v>0</v>
      </c>
      <c r="F414" s="4" t="str">
        <f>TEXT(Data!B414,"MMM-YYYY")</f>
        <v>Aug-2023</v>
      </c>
      <c r="G414" s="4" t="str">
        <f t="shared" si="51"/>
        <v>Q1-2023</v>
      </c>
      <c r="H414" t="s">
        <v>78</v>
      </c>
      <c r="I414" t="s">
        <v>79</v>
      </c>
      <c r="J414" t="s">
        <v>159</v>
      </c>
      <c r="K414" t="s">
        <v>48</v>
      </c>
      <c r="L414" t="s">
        <v>20</v>
      </c>
      <c r="M414" t="s">
        <v>68</v>
      </c>
      <c r="N414" t="s">
        <v>42</v>
      </c>
      <c r="O414" t="s">
        <v>926</v>
      </c>
      <c r="P414" s="4">
        <v>692.18</v>
      </c>
      <c r="Q414" s="8" t="str">
        <f t="shared" si="52"/>
        <v>High</v>
      </c>
      <c r="R414" s="4">
        <v>1159.3499999999999</v>
      </c>
      <c r="S414" s="4">
        <v>0.112</v>
      </c>
      <c r="T414" s="4">
        <v>2</v>
      </c>
      <c r="U414" s="4">
        <f t="shared" si="48"/>
        <v>2175.1027199999999</v>
      </c>
      <c r="V414">
        <f t="shared" si="49"/>
        <v>1384.36</v>
      </c>
      <c r="W414" s="4">
        <f t="shared" si="53"/>
        <v>790.74271999999996</v>
      </c>
      <c r="X414" s="4">
        <f t="shared" si="54"/>
        <v>0.36354270202006828</v>
      </c>
    </row>
    <row r="415" spans="1:24" x14ac:dyDescent="0.3">
      <c r="A415" t="s">
        <v>927</v>
      </c>
      <c r="B415" s="7">
        <v>45163</v>
      </c>
      <c r="C415" s="2">
        <v>45185</v>
      </c>
      <c r="D415" s="4">
        <f t="shared" si="55"/>
        <v>22</v>
      </c>
      <c r="E415" s="51" t="b">
        <f t="shared" si="50"/>
        <v>0</v>
      </c>
      <c r="F415" s="4" t="str">
        <f>TEXT(Data!B415,"MMM-YYYY")</f>
        <v>Jun-2024</v>
      </c>
      <c r="G415" s="4" t="str">
        <f t="shared" si="51"/>
        <v>Q3-2023</v>
      </c>
      <c r="H415" t="s">
        <v>16</v>
      </c>
      <c r="I415" t="s">
        <v>25</v>
      </c>
      <c r="J415" t="s">
        <v>67</v>
      </c>
      <c r="K415" t="s">
        <v>19</v>
      </c>
      <c r="L415" t="s">
        <v>40</v>
      </c>
      <c r="M415" t="s">
        <v>49</v>
      </c>
      <c r="N415" t="s">
        <v>42</v>
      </c>
      <c r="O415" t="s">
        <v>928</v>
      </c>
      <c r="P415" s="4">
        <v>1196.83</v>
      </c>
      <c r="Q415" s="8" t="str">
        <f t="shared" si="52"/>
        <v>High</v>
      </c>
      <c r="R415" s="4">
        <v>2513.5100000000002</v>
      </c>
      <c r="S415" s="4">
        <v>8.3000000000000004E-2</v>
      </c>
      <c r="T415" s="4">
        <v>7</v>
      </c>
      <c r="U415" s="4">
        <f t="shared" si="48"/>
        <v>3118.7353400000002</v>
      </c>
      <c r="V415">
        <f t="shared" si="49"/>
        <v>8377.81</v>
      </c>
      <c r="W415" s="4">
        <f t="shared" si="53"/>
        <v>-5259.0746599999993</v>
      </c>
      <c r="X415" s="4">
        <f t="shared" si="54"/>
        <v>-1.6862843706385162</v>
      </c>
    </row>
    <row r="416" spans="1:24" x14ac:dyDescent="0.3">
      <c r="A416" t="s">
        <v>929</v>
      </c>
      <c r="B416" s="7">
        <v>45449</v>
      </c>
      <c r="C416" s="2">
        <v>45467</v>
      </c>
      <c r="D416" s="4">
        <f t="shared" si="55"/>
        <v>18</v>
      </c>
      <c r="E416" s="51" t="b">
        <f t="shared" si="50"/>
        <v>0</v>
      </c>
      <c r="F416" s="4" t="str">
        <f>TEXT(Data!B416,"MMM-YYYY")</f>
        <v>Aug-2023</v>
      </c>
      <c r="G416" s="4" t="str">
        <f t="shared" si="51"/>
        <v>Q2-2024</v>
      </c>
      <c r="H416" t="s">
        <v>45</v>
      </c>
      <c r="I416" t="s">
        <v>60</v>
      </c>
      <c r="J416" t="s">
        <v>61</v>
      </c>
      <c r="K416" t="s">
        <v>62</v>
      </c>
      <c r="L416" t="s">
        <v>98</v>
      </c>
      <c r="M416" t="s">
        <v>92</v>
      </c>
      <c r="N416" t="s">
        <v>35</v>
      </c>
      <c r="O416" t="s">
        <v>930</v>
      </c>
      <c r="P416" s="4">
        <v>1253.25</v>
      </c>
      <c r="Q416" s="8" t="str">
        <f t="shared" si="52"/>
        <v>High</v>
      </c>
      <c r="R416" s="4">
        <v>3087.13</v>
      </c>
      <c r="S416" s="4">
        <v>7.1999999999999995E-2</v>
      </c>
      <c r="T416" s="4">
        <v>11</v>
      </c>
      <c r="U416" s="4">
        <f t="shared" si="48"/>
        <v>22569.275520000003</v>
      </c>
      <c r="V416">
        <f t="shared" si="49"/>
        <v>13785.75</v>
      </c>
      <c r="W416" s="4">
        <f t="shared" si="53"/>
        <v>8783.5255200000029</v>
      </c>
      <c r="X416" s="4">
        <f t="shared" si="54"/>
        <v>0.38918065899884063</v>
      </c>
    </row>
    <row r="417" spans="1:24" x14ac:dyDescent="0.3">
      <c r="A417" t="s">
        <v>931</v>
      </c>
      <c r="B417" s="7">
        <v>45167</v>
      </c>
      <c r="C417" s="2">
        <v>45182</v>
      </c>
      <c r="D417" s="4">
        <f t="shared" si="55"/>
        <v>15</v>
      </c>
      <c r="E417" s="51" t="b">
        <f t="shared" si="50"/>
        <v>0</v>
      </c>
      <c r="F417" s="4" t="str">
        <f>TEXT(Data!B417,"MMM-YYYY")</f>
        <v>Nov-2024</v>
      </c>
      <c r="G417" s="4" t="str">
        <f t="shared" si="51"/>
        <v>Q3-2023</v>
      </c>
      <c r="H417" t="s">
        <v>52</v>
      </c>
      <c r="I417" t="s">
        <v>53</v>
      </c>
      <c r="J417" t="s">
        <v>179</v>
      </c>
      <c r="K417" t="s">
        <v>62</v>
      </c>
      <c r="L417" t="s">
        <v>40</v>
      </c>
      <c r="M417" t="s">
        <v>68</v>
      </c>
      <c r="N417" t="s">
        <v>30</v>
      </c>
      <c r="O417" t="s">
        <v>932</v>
      </c>
      <c r="P417" s="4">
        <v>1287.6400000000001</v>
      </c>
      <c r="Q417" s="8" t="str">
        <f t="shared" si="52"/>
        <v>High</v>
      </c>
      <c r="R417" s="4">
        <v>2717.15</v>
      </c>
      <c r="S417" s="4">
        <v>3.2000000000000001E-2</v>
      </c>
      <c r="T417" s="4">
        <v>7</v>
      </c>
      <c r="U417" s="4">
        <f t="shared" si="48"/>
        <v>3875.12664</v>
      </c>
      <c r="V417">
        <f t="shared" si="49"/>
        <v>9013.4800000000014</v>
      </c>
      <c r="W417" s="4">
        <f t="shared" si="53"/>
        <v>-5138.353360000001</v>
      </c>
      <c r="X417" s="4">
        <f t="shared" si="54"/>
        <v>-1.3259833387019324</v>
      </c>
    </row>
    <row r="418" spans="1:24" x14ac:dyDescent="0.3">
      <c r="A418" t="s">
        <v>933</v>
      </c>
      <c r="B418" s="7">
        <v>45626</v>
      </c>
      <c r="C418" s="2">
        <v>45636</v>
      </c>
      <c r="D418" s="4">
        <f t="shared" si="55"/>
        <v>10</v>
      </c>
      <c r="E418" s="51" t="b">
        <f t="shared" si="50"/>
        <v>0</v>
      </c>
      <c r="F418" s="4" t="str">
        <f>TEXT(Data!B418,"MMM-YYYY")</f>
        <v>Jun-2025</v>
      </c>
      <c r="G418" s="4" t="str">
        <f t="shared" si="51"/>
        <v>Q4-2024</v>
      </c>
      <c r="H418" t="s">
        <v>45</v>
      </c>
      <c r="I418" t="s">
        <v>60</v>
      </c>
      <c r="J418" t="s">
        <v>281</v>
      </c>
      <c r="K418" t="s">
        <v>62</v>
      </c>
      <c r="L418" t="s">
        <v>20</v>
      </c>
      <c r="M418" t="s">
        <v>84</v>
      </c>
      <c r="N418" t="s">
        <v>81</v>
      </c>
      <c r="O418" t="s">
        <v>934</v>
      </c>
      <c r="P418" s="4">
        <v>851.49</v>
      </c>
      <c r="Q418" s="8" t="str">
        <f t="shared" si="52"/>
        <v>High</v>
      </c>
      <c r="R418" s="4">
        <v>901.79</v>
      </c>
      <c r="S418" s="4">
        <v>0.245</v>
      </c>
      <c r="T418" s="4">
        <v>16</v>
      </c>
      <c r="U418" s="4">
        <f t="shared" si="48"/>
        <v>41052.309600000001</v>
      </c>
      <c r="V418">
        <f t="shared" si="49"/>
        <v>13623.84</v>
      </c>
      <c r="W418" s="4">
        <f t="shared" si="53"/>
        <v>27428.4696</v>
      </c>
      <c r="X418" s="4">
        <f t="shared" si="54"/>
        <v>0.66813462792358946</v>
      </c>
    </row>
    <row r="419" spans="1:24" x14ac:dyDescent="0.3">
      <c r="A419" t="s">
        <v>935</v>
      </c>
      <c r="B419" s="7">
        <v>45813</v>
      </c>
      <c r="C419" s="2">
        <v>45822</v>
      </c>
      <c r="D419" s="4">
        <f t="shared" si="55"/>
        <v>9</v>
      </c>
      <c r="E419" s="51" t="b">
        <f t="shared" si="50"/>
        <v>0</v>
      </c>
      <c r="F419" s="4" t="str">
        <f>TEXT(Data!B419,"MMM-YYYY")</f>
        <v>Mar-2025</v>
      </c>
      <c r="G419" s="4" t="str">
        <f t="shared" si="51"/>
        <v>Q2-2025</v>
      </c>
      <c r="H419" t="s">
        <v>45</v>
      </c>
      <c r="I419" t="s">
        <v>60</v>
      </c>
      <c r="J419" t="s">
        <v>141</v>
      </c>
      <c r="K419" t="s">
        <v>39</v>
      </c>
      <c r="L419" t="s">
        <v>20</v>
      </c>
      <c r="M419" t="s">
        <v>75</v>
      </c>
      <c r="N419" t="s">
        <v>81</v>
      </c>
      <c r="O419" t="s">
        <v>936</v>
      </c>
      <c r="P419" s="4">
        <v>618.69000000000005</v>
      </c>
      <c r="Q419" s="8" t="str">
        <f t="shared" si="52"/>
        <v>High</v>
      </c>
      <c r="R419" s="4">
        <v>796.15</v>
      </c>
      <c r="S419" s="4">
        <v>0.09</v>
      </c>
      <c r="T419" s="4">
        <v>11</v>
      </c>
      <c r="U419" s="4">
        <f t="shared" si="48"/>
        <v>1948.1462000000001</v>
      </c>
      <c r="V419">
        <f t="shared" si="49"/>
        <v>6805.59</v>
      </c>
      <c r="W419" s="4">
        <f t="shared" si="53"/>
        <v>-4857.4438</v>
      </c>
      <c r="X419" s="4">
        <f t="shared" si="54"/>
        <v>-2.4933671815801093</v>
      </c>
    </row>
    <row r="420" spans="1:24" x14ac:dyDescent="0.3">
      <c r="A420" t="s">
        <v>937</v>
      </c>
      <c r="B420" s="7">
        <v>45730</v>
      </c>
      <c r="C420" s="2">
        <v>45755</v>
      </c>
      <c r="D420" s="4">
        <f t="shared" si="55"/>
        <v>25</v>
      </c>
      <c r="E420" s="51" t="b">
        <f t="shared" si="50"/>
        <v>0</v>
      </c>
      <c r="F420" s="4" t="str">
        <f>TEXT(Data!B420,"MMM-YYYY")</f>
        <v>Jan-2024</v>
      </c>
      <c r="G420" s="4" t="str">
        <f t="shared" si="51"/>
        <v>Q1-2025</v>
      </c>
      <c r="H420" t="s">
        <v>45</v>
      </c>
      <c r="I420" t="s">
        <v>116</v>
      </c>
      <c r="J420" t="s">
        <v>1364</v>
      </c>
      <c r="K420" t="s">
        <v>19</v>
      </c>
      <c r="L420" t="s">
        <v>55</v>
      </c>
      <c r="M420" t="s">
        <v>145</v>
      </c>
      <c r="N420" t="s">
        <v>30</v>
      </c>
      <c r="O420" t="s">
        <v>938</v>
      </c>
      <c r="P420" s="4">
        <v>80.59</v>
      </c>
      <c r="Q420" s="8" t="str">
        <f t="shared" si="52"/>
        <v>Medium</v>
      </c>
      <c r="R420" s="4">
        <v>157.82</v>
      </c>
      <c r="S420" s="4">
        <v>0.217</v>
      </c>
      <c r="T420" s="4">
        <v>6</v>
      </c>
      <c r="U420" s="4">
        <f t="shared" si="48"/>
        <v>4846.6447200000002</v>
      </c>
      <c r="V420">
        <f t="shared" si="49"/>
        <v>483.54</v>
      </c>
      <c r="W420" s="4">
        <f t="shared" si="53"/>
        <v>4363.1047200000003</v>
      </c>
      <c r="X420" s="4">
        <f t="shared" si="54"/>
        <v>0.90023201040409662</v>
      </c>
    </row>
    <row r="421" spans="1:24" x14ac:dyDescent="0.3">
      <c r="A421" t="s">
        <v>939</v>
      </c>
      <c r="B421" s="7">
        <v>45307</v>
      </c>
      <c r="C421" s="2">
        <v>45333</v>
      </c>
      <c r="D421" s="4">
        <f t="shared" si="55"/>
        <v>26</v>
      </c>
      <c r="E421" s="51" t="b">
        <f t="shared" si="50"/>
        <v>0</v>
      </c>
      <c r="F421" s="4" t="str">
        <f>TEXT(Data!B421,"MMM-YYYY")</f>
        <v>Oct-2023</v>
      </c>
      <c r="G421" s="4" t="str">
        <f t="shared" si="51"/>
        <v>Q1-2024</v>
      </c>
      <c r="H421" t="s">
        <v>78</v>
      </c>
      <c r="I421" t="s">
        <v>79</v>
      </c>
      <c r="J421" t="s">
        <v>335</v>
      </c>
      <c r="K421" t="s">
        <v>39</v>
      </c>
      <c r="L421" t="s">
        <v>55</v>
      </c>
      <c r="M421" t="s">
        <v>63</v>
      </c>
      <c r="N421" t="s">
        <v>64</v>
      </c>
      <c r="O421" t="s">
        <v>940</v>
      </c>
      <c r="P421" s="4">
        <v>504.93</v>
      </c>
      <c r="Q421" s="8" t="str">
        <f t="shared" si="52"/>
        <v>High</v>
      </c>
      <c r="R421" s="4">
        <v>819.06</v>
      </c>
      <c r="S421" s="4">
        <v>0.22600000000000001</v>
      </c>
      <c r="T421" s="4">
        <v>15</v>
      </c>
      <c r="U421" s="4">
        <f t="shared" si="48"/>
        <v>5749.1559000000007</v>
      </c>
      <c r="V421">
        <f t="shared" si="49"/>
        <v>7573.95</v>
      </c>
      <c r="W421" s="4">
        <f t="shared" si="53"/>
        <v>-1824.7940999999992</v>
      </c>
      <c r="X421" s="4">
        <f t="shared" si="54"/>
        <v>-0.31740209027902672</v>
      </c>
    </row>
    <row r="422" spans="1:24" x14ac:dyDescent="0.3">
      <c r="A422" t="s">
        <v>941</v>
      </c>
      <c r="B422" s="7">
        <v>45211</v>
      </c>
      <c r="C422" s="2">
        <v>45228</v>
      </c>
      <c r="D422" s="4">
        <f t="shared" si="55"/>
        <v>17</v>
      </c>
      <c r="E422" s="51" t="b">
        <f t="shared" si="50"/>
        <v>0</v>
      </c>
      <c r="F422" s="4" t="str">
        <f>TEXT(Data!B422,"MMM-YYYY")</f>
        <v>Feb-2025</v>
      </c>
      <c r="G422" s="4" t="str">
        <f t="shared" si="51"/>
        <v>Q4-2023</v>
      </c>
      <c r="H422" t="s">
        <v>45</v>
      </c>
      <c r="I422" t="s">
        <v>46</v>
      </c>
      <c r="J422" t="s">
        <v>231</v>
      </c>
      <c r="K422" t="s">
        <v>39</v>
      </c>
      <c r="L422" t="s">
        <v>98</v>
      </c>
      <c r="M422" t="s">
        <v>92</v>
      </c>
      <c r="N422" t="s">
        <v>42</v>
      </c>
      <c r="O422" t="s">
        <v>942</v>
      </c>
      <c r="P422" s="4">
        <v>1102.19</v>
      </c>
      <c r="Q422" s="8" t="str">
        <f t="shared" si="52"/>
        <v>High</v>
      </c>
      <c r="R422" s="4">
        <v>1711.16</v>
      </c>
      <c r="S422" s="4">
        <v>0.151</v>
      </c>
      <c r="T422" s="4">
        <v>10</v>
      </c>
      <c r="U422" s="4">
        <f t="shared" si="48"/>
        <v>11198.649599999999</v>
      </c>
      <c r="V422">
        <f t="shared" si="49"/>
        <v>11021.900000000001</v>
      </c>
      <c r="W422" s="4">
        <f t="shared" si="53"/>
        <v>176.74959999999737</v>
      </c>
      <c r="X422" s="4">
        <f t="shared" si="54"/>
        <v>1.5783117278711657E-2</v>
      </c>
    </row>
    <row r="423" spans="1:24" x14ac:dyDescent="0.3">
      <c r="A423" t="s">
        <v>943</v>
      </c>
      <c r="B423" s="7">
        <v>45713</v>
      </c>
      <c r="C423" s="2">
        <v>45733</v>
      </c>
      <c r="D423" s="4">
        <f t="shared" si="55"/>
        <v>20</v>
      </c>
      <c r="E423" s="51" t="b">
        <f t="shared" si="50"/>
        <v>0</v>
      </c>
      <c r="F423" s="4" t="str">
        <f>TEXT(Data!B423,"MMM-YYYY")</f>
        <v>Jul-2025</v>
      </c>
      <c r="G423" s="4" t="str">
        <f t="shared" si="51"/>
        <v>Q1-2025</v>
      </c>
      <c r="H423" t="s">
        <v>52</v>
      </c>
      <c r="I423" t="s">
        <v>122</v>
      </c>
      <c r="J423" t="s">
        <v>167</v>
      </c>
      <c r="K423" t="s">
        <v>39</v>
      </c>
      <c r="L423" t="s">
        <v>40</v>
      </c>
      <c r="M423" t="s">
        <v>92</v>
      </c>
      <c r="N423" t="s">
        <v>42</v>
      </c>
      <c r="O423" t="s">
        <v>944</v>
      </c>
      <c r="P423" s="4">
        <v>1205.26</v>
      </c>
      <c r="Q423" s="8" t="str">
        <f t="shared" si="52"/>
        <v>High</v>
      </c>
      <c r="R423" s="4">
        <v>1696.35</v>
      </c>
      <c r="S423" s="4">
        <v>1.9E-2</v>
      </c>
      <c r="T423" s="4">
        <v>6</v>
      </c>
      <c r="U423" s="4">
        <f t="shared" si="48"/>
        <v>1853.32482</v>
      </c>
      <c r="V423">
        <f t="shared" si="49"/>
        <v>7231.5599999999995</v>
      </c>
      <c r="W423" s="4">
        <f t="shared" si="53"/>
        <v>-5378.2351799999997</v>
      </c>
      <c r="X423" s="4">
        <f t="shared" si="54"/>
        <v>-2.9019387869634206</v>
      </c>
    </row>
    <row r="424" spans="1:24" x14ac:dyDescent="0.3">
      <c r="A424" t="s">
        <v>945</v>
      </c>
      <c r="B424" s="7">
        <v>45841</v>
      </c>
      <c r="C424" s="2">
        <v>45844</v>
      </c>
      <c r="D424" s="4">
        <f t="shared" si="55"/>
        <v>3</v>
      </c>
      <c r="E424" s="51" t="str">
        <f t="shared" si="50"/>
        <v>Yes</v>
      </c>
      <c r="F424" s="4" t="str">
        <f>TEXT(Data!B424,"MMM-YYYY")</f>
        <v>Sept-2025</v>
      </c>
      <c r="G424" s="4" t="str">
        <f t="shared" si="51"/>
        <v>Q3-2025</v>
      </c>
      <c r="H424" t="s">
        <v>16</v>
      </c>
      <c r="I424" t="s">
        <v>25</v>
      </c>
      <c r="J424" t="s">
        <v>38</v>
      </c>
      <c r="K424" t="s">
        <v>48</v>
      </c>
      <c r="L424" t="s">
        <v>28</v>
      </c>
      <c r="M424" t="s">
        <v>1364</v>
      </c>
      <c r="N424" t="s">
        <v>57</v>
      </c>
      <c r="O424" t="s">
        <v>946</v>
      </c>
      <c r="P424" s="4">
        <v>1313.3</v>
      </c>
      <c r="Q424" s="8" t="str">
        <f t="shared" si="52"/>
        <v>High</v>
      </c>
      <c r="R424" s="4">
        <v>2884.34</v>
      </c>
      <c r="S424" s="4">
        <v>0.157</v>
      </c>
      <c r="T424" s="4">
        <v>42</v>
      </c>
      <c r="U424" s="4">
        <f t="shared" si="48"/>
        <v>78253.279020000002</v>
      </c>
      <c r="V424">
        <f t="shared" si="49"/>
        <v>55158.6</v>
      </c>
      <c r="W424" s="4">
        <f t="shared" si="53"/>
        <v>23094.679020000003</v>
      </c>
      <c r="X424" s="4">
        <f t="shared" si="54"/>
        <v>0.29512730085211453</v>
      </c>
    </row>
    <row r="425" spans="1:24" x14ac:dyDescent="0.3">
      <c r="A425" t="s">
        <v>947</v>
      </c>
      <c r="B425" s="7">
        <v>45915</v>
      </c>
      <c r="C425" s="2">
        <v>45925</v>
      </c>
      <c r="D425" s="4">
        <f t="shared" si="55"/>
        <v>10</v>
      </c>
      <c r="E425" s="51" t="b">
        <f t="shared" si="50"/>
        <v>0</v>
      </c>
      <c r="F425" s="4" t="str">
        <f>TEXT(Data!B425,"MMM-YYYY")</f>
        <v>Feb-2024</v>
      </c>
      <c r="G425" s="4" t="str">
        <f t="shared" si="51"/>
        <v>Q3-2025</v>
      </c>
      <c r="H425" t="s">
        <v>45</v>
      </c>
      <c r="I425" t="s">
        <v>60</v>
      </c>
      <c r="J425" t="s">
        <v>141</v>
      </c>
      <c r="K425" t="s">
        <v>48</v>
      </c>
      <c r="L425" t="s">
        <v>20</v>
      </c>
      <c r="M425" t="s">
        <v>75</v>
      </c>
      <c r="N425" t="s">
        <v>42</v>
      </c>
      <c r="O425" t="s">
        <v>948</v>
      </c>
      <c r="P425" s="4">
        <v>1488.91</v>
      </c>
      <c r="Q425" s="8" t="str">
        <f t="shared" si="52"/>
        <v>High</v>
      </c>
      <c r="R425" s="4">
        <v>1483.74</v>
      </c>
      <c r="S425" s="4">
        <v>0.16800000000000001</v>
      </c>
      <c r="T425" s="4">
        <v>24</v>
      </c>
      <c r="U425" s="4">
        <f t="shared" si="48"/>
        <v>20866.559999999998</v>
      </c>
      <c r="V425">
        <f t="shared" si="49"/>
        <v>35733.840000000004</v>
      </c>
      <c r="W425" s="4">
        <f t="shared" si="53"/>
        <v>-14867.280000000006</v>
      </c>
      <c r="X425" s="4">
        <f t="shared" si="54"/>
        <v>-0.71249309900625724</v>
      </c>
    </row>
    <row r="426" spans="1:24" x14ac:dyDescent="0.3">
      <c r="A426" t="s">
        <v>949</v>
      </c>
      <c r="B426" s="7">
        <v>45341</v>
      </c>
      <c r="C426" s="2">
        <v>45357</v>
      </c>
      <c r="D426" s="4">
        <f t="shared" si="55"/>
        <v>16</v>
      </c>
      <c r="E426" s="51" t="b">
        <f t="shared" si="50"/>
        <v>0</v>
      </c>
      <c r="F426" s="4" t="str">
        <f>TEXT(Data!B426,"MMM-YYYY")</f>
        <v>Feb-2024</v>
      </c>
      <c r="G426" s="4" t="str">
        <f t="shared" si="51"/>
        <v>Q1-2024</v>
      </c>
      <c r="H426" t="s">
        <v>45</v>
      </c>
      <c r="I426" t="s">
        <v>116</v>
      </c>
      <c r="J426" t="s">
        <v>338</v>
      </c>
      <c r="K426" t="s">
        <v>27</v>
      </c>
      <c r="L426" t="s">
        <v>40</v>
      </c>
      <c r="M426" t="s">
        <v>68</v>
      </c>
      <c r="N426" t="s">
        <v>30</v>
      </c>
      <c r="O426" t="s">
        <v>950</v>
      </c>
      <c r="P426" s="4">
        <v>1477.84</v>
      </c>
      <c r="Q426" s="8" t="str">
        <f t="shared" si="52"/>
        <v>High</v>
      </c>
      <c r="R426" s="4">
        <v>3197.47</v>
      </c>
      <c r="S426" s="4">
        <v>0.24299999999999999</v>
      </c>
      <c r="T426" s="4">
        <v>24</v>
      </c>
      <c r="U426" s="4">
        <f t="shared" si="48"/>
        <v>38737.627919999999</v>
      </c>
      <c r="V426">
        <f t="shared" si="49"/>
        <v>35468.159999999996</v>
      </c>
      <c r="W426" s="4">
        <f t="shared" si="53"/>
        <v>3269.4679200000028</v>
      </c>
      <c r="X426" s="4">
        <f t="shared" si="54"/>
        <v>8.4400312965781696E-2</v>
      </c>
    </row>
    <row r="427" spans="1:24" x14ac:dyDescent="0.3">
      <c r="A427" t="s">
        <v>951</v>
      </c>
      <c r="B427" s="7">
        <v>45349</v>
      </c>
      <c r="C427" s="2">
        <v>45377</v>
      </c>
      <c r="D427" s="4">
        <f t="shared" si="55"/>
        <v>28</v>
      </c>
      <c r="E427" s="51" t="b">
        <f t="shared" si="50"/>
        <v>0</v>
      </c>
      <c r="F427" s="4" t="str">
        <f>TEXT(Data!B427,"MMM-YYYY")</f>
        <v>Aug-2025</v>
      </c>
      <c r="G427" s="4" t="str">
        <f t="shared" si="51"/>
        <v>Q1-2024</v>
      </c>
      <c r="H427" t="s">
        <v>45</v>
      </c>
      <c r="I427" t="s">
        <v>60</v>
      </c>
      <c r="J427" t="s">
        <v>220</v>
      </c>
      <c r="K427" t="s">
        <v>27</v>
      </c>
      <c r="L427" t="s">
        <v>40</v>
      </c>
      <c r="M427" t="s">
        <v>41</v>
      </c>
      <c r="N427" t="s">
        <v>57</v>
      </c>
      <c r="O427" t="s">
        <v>952</v>
      </c>
      <c r="P427" s="4">
        <v>1035.19</v>
      </c>
      <c r="Q427" s="8" t="str">
        <f t="shared" si="52"/>
        <v>High</v>
      </c>
      <c r="R427" s="4">
        <v>2322.6999999999998</v>
      </c>
      <c r="S427" s="4">
        <v>0.17299999999999999</v>
      </c>
      <c r="T427" s="4">
        <v>8</v>
      </c>
      <c r="U427" s="4">
        <f t="shared" si="48"/>
        <v>13903.854800000001</v>
      </c>
      <c r="V427">
        <f t="shared" si="49"/>
        <v>8281.52</v>
      </c>
      <c r="W427" s="4">
        <f t="shared" si="53"/>
        <v>5622.3348000000005</v>
      </c>
      <c r="X427" s="4">
        <f t="shared" si="54"/>
        <v>0.40437237592555986</v>
      </c>
    </row>
    <row r="428" spans="1:24" x14ac:dyDescent="0.3">
      <c r="A428" t="s">
        <v>953</v>
      </c>
      <c r="B428" s="7">
        <v>45897</v>
      </c>
      <c r="C428" s="2">
        <v>45905</v>
      </c>
      <c r="D428" s="4">
        <f t="shared" si="55"/>
        <v>8</v>
      </c>
      <c r="E428" s="51" t="b">
        <f t="shared" si="50"/>
        <v>0</v>
      </c>
      <c r="F428" s="4" t="str">
        <f>TEXT(Data!B428,"MMM-YYYY")</f>
        <v>Aug-2024</v>
      </c>
      <c r="G428" s="4" t="str">
        <f t="shared" si="51"/>
        <v>Q3-2025</v>
      </c>
      <c r="H428" t="s">
        <v>16</v>
      </c>
      <c r="I428" t="s">
        <v>25</v>
      </c>
      <c r="J428" t="s">
        <v>26</v>
      </c>
      <c r="K428" t="s">
        <v>62</v>
      </c>
      <c r="L428" t="s">
        <v>40</v>
      </c>
      <c r="M428" t="s">
        <v>63</v>
      </c>
      <c r="N428" t="s">
        <v>57</v>
      </c>
      <c r="O428" t="s">
        <v>954</v>
      </c>
      <c r="P428" s="4">
        <v>1271.0999999999999</v>
      </c>
      <c r="Q428" s="8" t="str">
        <f t="shared" si="52"/>
        <v>High</v>
      </c>
      <c r="R428" s="4">
        <v>1932.42</v>
      </c>
      <c r="S428" s="4">
        <v>0.25</v>
      </c>
      <c r="T428" s="4">
        <v>21</v>
      </c>
      <c r="U428" s="4">
        <f t="shared" si="48"/>
        <v>33475.68</v>
      </c>
      <c r="V428">
        <f t="shared" si="49"/>
        <v>26693.1</v>
      </c>
      <c r="W428" s="4">
        <f t="shared" si="53"/>
        <v>6782.5800000000017</v>
      </c>
      <c r="X428" s="4">
        <f t="shared" si="54"/>
        <v>0.20261216501053905</v>
      </c>
    </row>
    <row r="429" spans="1:24" x14ac:dyDescent="0.3">
      <c r="A429" t="s">
        <v>955</v>
      </c>
      <c r="B429" s="7">
        <v>45522</v>
      </c>
      <c r="C429" s="2">
        <v>45547</v>
      </c>
      <c r="D429" s="4">
        <f t="shared" si="55"/>
        <v>25</v>
      </c>
      <c r="E429" s="51" t="b">
        <f t="shared" si="50"/>
        <v>0</v>
      </c>
      <c r="F429" s="4" t="str">
        <f>TEXT(Data!B429,"MMM-YYYY")</f>
        <v>Feb-2024</v>
      </c>
      <c r="G429" s="4" t="str">
        <f t="shared" si="51"/>
        <v>Q3-2024</v>
      </c>
      <c r="H429" t="s">
        <v>45</v>
      </c>
      <c r="I429" t="s">
        <v>60</v>
      </c>
      <c r="J429" t="s">
        <v>220</v>
      </c>
      <c r="K429" t="s">
        <v>48</v>
      </c>
      <c r="L429" t="s">
        <v>40</v>
      </c>
      <c r="M429" t="s">
        <v>21</v>
      </c>
      <c r="N429" t="s">
        <v>42</v>
      </c>
      <c r="O429" t="s">
        <v>956</v>
      </c>
      <c r="P429" s="4">
        <v>1154.03</v>
      </c>
      <c r="Q429" s="8" t="str">
        <f t="shared" si="52"/>
        <v>High</v>
      </c>
      <c r="R429" s="4">
        <v>1590.36</v>
      </c>
      <c r="S429" s="4">
        <v>0.314</v>
      </c>
      <c r="T429" s="4">
        <v>18</v>
      </c>
      <c r="U429" s="4">
        <f t="shared" si="48"/>
        <v>8801.0369999999984</v>
      </c>
      <c r="V429">
        <f t="shared" si="49"/>
        <v>20772.54</v>
      </c>
      <c r="W429" s="4">
        <f t="shared" si="53"/>
        <v>-11971.503000000002</v>
      </c>
      <c r="X429" s="4">
        <f t="shared" si="54"/>
        <v>-1.360237776525653</v>
      </c>
    </row>
    <row r="430" spans="1:24" x14ac:dyDescent="0.3">
      <c r="A430" t="s">
        <v>957</v>
      </c>
      <c r="B430" s="7">
        <v>45347</v>
      </c>
      <c r="C430" s="2">
        <v>45360</v>
      </c>
      <c r="D430" s="4">
        <f t="shared" si="55"/>
        <v>13</v>
      </c>
      <c r="E430" s="51" t="b">
        <f t="shared" si="50"/>
        <v>0</v>
      </c>
      <c r="F430" s="4" t="str">
        <f>TEXT(Data!B430,"MMM-YYYY")</f>
        <v>May-2025</v>
      </c>
      <c r="G430" s="4" t="str">
        <f t="shared" si="51"/>
        <v>Q1-2024</v>
      </c>
      <c r="H430" t="s">
        <v>78</v>
      </c>
      <c r="I430" t="s">
        <v>90</v>
      </c>
      <c r="J430" t="s">
        <v>91</v>
      </c>
      <c r="K430" t="s">
        <v>62</v>
      </c>
      <c r="L430" t="s">
        <v>55</v>
      </c>
      <c r="M430" t="s">
        <v>63</v>
      </c>
      <c r="N430" t="s">
        <v>64</v>
      </c>
      <c r="O430" t="s">
        <v>958</v>
      </c>
      <c r="P430" s="4">
        <v>322.44</v>
      </c>
      <c r="Q430" s="8" t="str">
        <f t="shared" si="52"/>
        <v>High</v>
      </c>
      <c r="R430" s="4">
        <v>395.61</v>
      </c>
      <c r="S430" s="4">
        <v>0</v>
      </c>
      <c r="T430" s="4">
        <v>34</v>
      </c>
      <c r="U430" s="4">
        <f t="shared" si="48"/>
        <v>53340.22</v>
      </c>
      <c r="V430">
        <f t="shared" si="49"/>
        <v>10962.96</v>
      </c>
      <c r="W430" s="4">
        <f t="shared" si="53"/>
        <v>42377.26</v>
      </c>
      <c r="X430" s="4">
        <f t="shared" si="54"/>
        <v>0.79447103892709858</v>
      </c>
    </row>
    <row r="431" spans="1:24" x14ac:dyDescent="0.3">
      <c r="A431" t="s">
        <v>959</v>
      </c>
      <c r="B431" s="7">
        <v>45784</v>
      </c>
      <c r="C431" s="2">
        <v>45790</v>
      </c>
      <c r="D431" s="4">
        <f t="shared" si="55"/>
        <v>6</v>
      </c>
      <c r="E431" s="51" t="str">
        <f t="shared" si="50"/>
        <v>Yes</v>
      </c>
      <c r="F431" s="4" t="str">
        <f>TEXT(Data!B431,"MMM-YYYY")</f>
        <v>Nov-2024</v>
      </c>
      <c r="G431" s="4" t="str">
        <f t="shared" si="51"/>
        <v>Q2-2025</v>
      </c>
      <c r="H431" t="s">
        <v>45</v>
      </c>
      <c r="I431" t="s">
        <v>60</v>
      </c>
      <c r="J431" t="s">
        <v>61</v>
      </c>
      <c r="K431" t="s">
        <v>105</v>
      </c>
      <c r="L431" t="s">
        <v>98</v>
      </c>
      <c r="M431" t="s">
        <v>29</v>
      </c>
      <c r="N431" t="s">
        <v>42</v>
      </c>
      <c r="O431" t="s">
        <v>960</v>
      </c>
      <c r="P431" s="4">
        <v>935.98</v>
      </c>
      <c r="Q431" s="8" t="str">
        <f t="shared" si="52"/>
        <v>High</v>
      </c>
      <c r="R431" s="4">
        <v>2077.69</v>
      </c>
      <c r="S431" s="4">
        <v>0.17499999999999999</v>
      </c>
      <c r="T431" s="4">
        <v>24</v>
      </c>
      <c r="U431" s="4">
        <f t="shared" si="48"/>
        <v>41071.932000000001</v>
      </c>
      <c r="V431">
        <f t="shared" si="49"/>
        <v>22463.52</v>
      </c>
      <c r="W431" s="4">
        <f t="shared" si="53"/>
        <v>18608.412</v>
      </c>
      <c r="X431" s="4">
        <f t="shared" si="54"/>
        <v>0.4530688256885505</v>
      </c>
    </row>
    <row r="432" spans="1:24" x14ac:dyDescent="0.3">
      <c r="A432" t="s">
        <v>961</v>
      </c>
      <c r="B432" s="7">
        <v>45597</v>
      </c>
      <c r="C432" s="2">
        <v>45608</v>
      </c>
      <c r="D432" s="4">
        <f t="shared" si="55"/>
        <v>11</v>
      </c>
      <c r="E432" s="51" t="b">
        <f t="shared" si="50"/>
        <v>0</v>
      </c>
      <c r="F432" s="4" t="str">
        <f>TEXT(Data!B432,"MMM-YYYY")</f>
        <v>Dec-2024</v>
      </c>
      <c r="G432" s="4" t="str">
        <f t="shared" si="51"/>
        <v>Q4-2024</v>
      </c>
      <c r="H432" t="s">
        <v>78</v>
      </c>
      <c r="I432" t="s">
        <v>79</v>
      </c>
      <c r="J432" t="s">
        <v>335</v>
      </c>
      <c r="K432" t="s">
        <v>48</v>
      </c>
      <c r="L432" t="s">
        <v>28</v>
      </c>
      <c r="M432" t="s">
        <v>56</v>
      </c>
      <c r="N432" t="s">
        <v>30</v>
      </c>
      <c r="O432" t="s">
        <v>962</v>
      </c>
      <c r="P432" s="4">
        <v>599.84</v>
      </c>
      <c r="Q432" s="8" t="str">
        <f t="shared" si="52"/>
        <v>High</v>
      </c>
      <c r="R432" s="4">
        <v>1330.85</v>
      </c>
      <c r="S432" s="4">
        <v>0.115</v>
      </c>
      <c r="T432" s="4">
        <v>11</v>
      </c>
      <c r="U432" s="4">
        <f t="shared" si="48"/>
        <v>4820.6746499999999</v>
      </c>
      <c r="V432">
        <f t="shared" si="49"/>
        <v>6598.2400000000007</v>
      </c>
      <c r="W432" s="4">
        <f t="shared" si="53"/>
        <v>-1777.5653500000008</v>
      </c>
      <c r="X432" s="4">
        <f t="shared" si="54"/>
        <v>-0.36873787987330792</v>
      </c>
    </row>
    <row r="433" spans="1:24" x14ac:dyDescent="0.3">
      <c r="A433" t="s">
        <v>963</v>
      </c>
      <c r="B433" s="7">
        <v>45654</v>
      </c>
      <c r="C433" s="2">
        <v>45665</v>
      </c>
      <c r="D433" s="4">
        <f t="shared" si="55"/>
        <v>11</v>
      </c>
      <c r="E433" s="51" t="b">
        <f t="shared" si="50"/>
        <v>0</v>
      </c>
      <c r="F433" s="4" t="str">
        <f>TEXT(Data!B433,"MMM-YYYY")</f>
        <v>Oct-2023</v>
      </c>
      <c r="G433" s="4" t="str">
        <f t="shared" si="51"/>
        <v>Q4-2024</v>
      </c>
      <c r="H433" t="s">
        <v>45</v>
      </c>
      <c r="I433" t="s">
        <v>116</v>
      </c>
      <c r="J433" t="s">
        <v>117</v>
      </c>
      <c r="K433" t="s">
        <v>105</v>
      </c>
      <c r="L433" t="s">
        <v>28</v>
      </c>
      <c r="M433" t="s">
        <v>95</v>
      </c>
      <c r="N433" t="s">
        <v>57</v>
      </c>
      <c r="O433" t="s">
        <v>964</v>
      </c>
      <c r="P433" s="4">
        <v>1201.31</v>
      </c>
      <c r="Q433" s="8" t="str">
        <f t="shared" si="52"/>
        <v>High</v>
      </c>
      <c r="R433" s="4">
        <v>2764.65</v>
      </c>
      <c r="S433" s="4">
        <v>0</v>
      </c>
      <c r="T433" s="4">
        <v>21</v>
      </c>
      <c r="U433" s="4">
        <f t="shared" si="48"/>
        <v>15909.390000000001</v>
      </c>
      <c r="V433">
        <f t="shared" si="49"/>
        <v>25227.51</v>
      </c>
      <c r="W433" s="4">
        <f t="shared" si="53"/>
        <v>-9318.1199999999972</v>
      </c>
      <c r="X433" s="4">
        <f t="shared" si="54"/>
        <v>-0.58569938885148942</v>
      </c>
    </row>
    <row r="434" spans="1:24" x14ac:dyDescent="0.3">
      <c r="A434" t="s">
        <v>965</v>
      </c>
      <c r="B434" s="7">
        <v>45220</v>
      </c>
      <c r="C434" s="2">
        <v>45220</v>
      </c>
      <c r="D434" s="4">
        <f t="shared" si="55"/>
        <v>0</v>
      </c>
      <c r="E434" s="51" t="str">
        <f t="shared" si="50"/>
        <v>Yes</v>
      </c>
      <c r="F434" s="4" t="str">
        <f>TEXT(Data!B434,"MMM-YYYY")</f>
        <v>Dec-2024</v>
      </c>
      <c r="G434" s="4" t="str">
        <f t="shared" si="51"/>
        <v>Q4-2023</v>
      </c>
      <c r="H434" t="s">
        <v>78</v>
      </c>
      <c r="I434" t="s">
        <v>108</v>
      </c>
      <c r="J434" t="s">
        <v>228</v>
      </c>
      <c r="K434" t="s">
        <v>105</v>
      </c>
      <c r="L434" t="s">
        <v>55</v>
      </c>
      <c r="M434" t="s">
        <v>29</v>
      </c>
      <c r="N434" t="s">
        <v>64</v>
      </c>
      <c r="O434" t="s">
        <v>966</v>
      </c>
      <c r="P434" s="4">
        <v>384.19</v>
      </c>
      <c r="Q434" s="8" t="str">
        <f t="shared" si="52"/>
        <v>High</v>
      </c>
      <c r="R434" s="4">
        <v>278.35000000000002</v>
      </c>
      <c r="S434" s="4">
        <v>5.6000000000000001E-2</v>
      </c>
      <c r="T434" s="4">
        <v>10</v>
      </c>
      <c r="U434" s="4">
        <f t="shared" si="48"/>
        <v>3926.6623999999993</v>
      </c>
      <c r="V434">
        <f t="shared" si="49"/>
        <v>3841.9</v>
      </c>
      <c r="W434" s="4">
        <f t="shared" si="53"/>
        <v>84.762399999999161</v>
      </c>
      <c r="X434" s="4">
        <f t="shared" si="54"/>
        <v>2.1586373200812775E-2</v>
      </c>
    </row>
    <row r="435" spans="1:24" x14ac:dyDescent="0.3">
      <c r="A435" t="s">
        <v>967</v>
      </c>
      <c r="B435" s="7">
        <v>45636</v>
      </c>
      <c r="C435" s="2">
        <v>45645</v>
      </c>
      <c r="D435" s="4">
        <f t="shared" si="55"/>
        <v>9</v>
      </c>
      <c r="E435" s="51" t="b">
        <f t="shared" si="50"/>
        <v>0</v>
      </c>
      <c r="F435" s="4" t="str">
        <f>TEXT(Data!B435,"MMM-YYYY")</f>
        <v>Sept-2024</v>
      </c>
      <c r="G435" s="4" t="str">
        <f t="shared" si="51"/>
        <v>Q4-2024</v>
      </c>
      <c r="H435" t="s">
        <v>16</v>
      </c>
      <c r="I435" t="s">
        <v>25</v>
      </c>
      <c r="J435" t="s">
        <v>38</v>
      </c>
      <c r="K435" t="s">
        <v>19</v>
      </c>
      <c r="L435" t="s">
        <v>20</v>
      </c>
      <c r="M435" t="s">
        <v>68</v>
      </c>
      <c r="N435" t="s">
        <v>64</v>
      </c>
      <c r="O435" t="s">
        <v>968</v>
      </c>
      <c r="P435" s="4">
        <v>488.68</v>
      </c>
      <c r="Q435" s="8" t="str">
        <f t="shared" si="52"/>
        <v>High</v>
      </c>
      <c r="R435" s="4">
        <v>984.36</v>
      </c>
      <c r="S435" s="4">
        <v>5.8999999999999997E-2</v>
      </c>
      <c r="T435" s="4">
        <v>14</v>
      </c>
      <c r="U435" s="4">
        <f t="shared" si="48"/>
        <v>24647.104860000003</v>
      </c>
      <c r="V435">
        <f t="shared" si="49"/>
        <v>6841.52</v>
      </c>
      <c r="W435" s="4">
        <f t="shared" si="53"/>
        <v>17805.584860000003</v>
      </c>
      <c r="X435" s="4">
        <f t="shared" si="54"/>
        <v>0.72242094806424251</v>
      </c>
    </row>
    <row r="436" spans="1:24" x14ac:dyDescent="0.3">
      <c r="A436" t="s">
        <v>969</v>
      </c>
      <c r="B436" s="7">
        <v>45542</v>
      </c>
      <c r="C436" s="2">
        <v>45553</v>
      </c>
      <c r="D436" s="4">
        <f t="shared" si="55"/>
        <v>11</v>
      </c>
      <c r="E436" s="51" t="b">
        <f t="shared" si="50"/>
        <v>0</v>
      </c>
      <c r="F436" s="4" t="str">
        <f>TEXT(Data!B436,"MMM-YYYY")</f>
        <v>Oct-2023</v>
      </c>
      <c r="G436" s="4" t="str">
        <f t="shared" si="51"/>
        <v>Q3-2024</v>
      </c>
      <c r="H436" t="s">
        <v>45</v>
      </c>
      <c r="I436" t="s">
        <v>116</v>
      </c>
      <c r="J436" t="s">
        <v>338</v>
      </c>
      <c r="K436" t="s">
        <v>48</v>
      </c>
      <c r="L436" t="s">
        <v>55</v>
      </c>
      <c r="M436" t="s">
        <v>68</v>
      </c>
      <c r="N436" t="s">
        <v>35</v>
      </c>
      <c r="O436" t="s">
        <v>970</v>
      </c>
      <c r="P436" s="4">
        <v>181.74</v>
      </c>
      <c r="Q436" s="8" t="str">
        <f t="shared" si="52"/>
        <v>Medium</v>
      </c>
      <c r="R436" s="4">
        <v>190.84</v>
      </c>
      <c r="S436" s="4">
        <v>0.214</v>
      </c>
      <c r="T436" s="4">
        <v>13</v>
      </c>
      <c r="U436" s="4">
        <f t="shared" si="48"/>
        <v>2113.89984</v>
      </c>
      <c r="V436">
        <f t="shared" si="49"/>
        <v>2362.62</v>
      </c>
      <c r="W436" s="4">
        <f t="shared" si="53"/>
        <v>-248.72015999999985</v>
      </c>
      <c r="X436" s="4">
        <f t="shared" si="54"/>
        <v>-0.11765938730569177</v>
      </c>
    </row>
    <row r="437" spans="1:24" x14ac:dyDescent="0.3">
      <c r="A437" t="s">
        <v>971</v>
      </c>
      <c r="B437" s="7">
        <v>45217</v>
      </c>
      <c r="C437" s="2">
        <v>45219</v>
      </c>
      <c r="D437" s="4">
        <f t="shared" si="55"/>
        <v>2</v>
      </c>
      <c r="E437" s="51" t="str">
        <f t="shared" si="50"/>
        <v>Yes</v>
      </c>
      <c r="F437" s="4" t="str">
        <f>TEXT(Data!B437,"MMM-YYYY")</f>
        <v>Dec-2024</v>
      </c>
      <c r="G437" s="4" t="str">
        <f t="shared" si="51"/>
        <v>Q4-2023</v>
      </c>
      <c r="H437" t="s">
        <v>16</v>
      </c>
      <c r="I437" t="s">
        <v>17</v>
      </c>
      <c r="J437" t="s">
        <v>18</v>
      </c>
      <c r="K437" t="s">
        <v>48</v>
      </c>
      <c r="L437" t="s">
        <v>20</v>
      </c>
      <c r="M437" t="s">
        <v>29</v>
      </c>
      <c r="N437" t="s">
        <v>42</v>
      </c>
      <c r="O437" t="s">
        <v>972</v>
      </c>
      <c r="P437" s="4">
        <v>774.12</v>
      </c>
      <c r="Q437" s="8" t="str">
        <f t="shared" si="52"/>
        <v>High</v>
      </c>
      <c r="R437" s="4">
        <v>908.3</v>
      </c>
      <c r="S437" s="4">
        <v>0</v>
      </c>
      <c r="T437" s="4">
        <v>30</v>
      </c>
      <c r="U437" s="4">
        <f t="shared" si="48"/>
        <v>1884.6</v>
      </c>
      <c r="V437">
        <f t="shared" si="49"/>
        <v>23223.599999999999</v>
      </c>
      <c r="W437" s="4">
        <f t="shared" si="53"/>
        <v>-21339</v>
      </c>
      <c r="X437" s="4">
        <f t="shared" si="54"/>
        <v>-11.322827125119389</v>
      </c>
    </row>
    <row r="438" spans="1:24" x14ac:dyDescent="0.3">
      <c r="A438" t="s">
        <v>973</v>
      </c>
      <c r="B438" s="7">
        <v>45650</v>
      </c>
      <c r="C438" s="2">
        <v>45670</v>
      </c>
      <c r="D438" s="4">
        <f t="shared" si="55"/>
        <v>20</v>
      </c>
      <c r="E438" s="51" t="b">
        <f t="shared" si="50"/>
        <v>0</v>
      </c>
      <c r="F438" s="4" t="str">
        <f>TEXT(Data!B438,"MMM-YYYY")</f>
        <v>Apr-2023</v>
      </c>
      <c r="G438" s="4" t="str">
        <f t="shared" si="51"/>
        <v>Q4-2024</v>
      </c>
      <c r="H438" t="s">
        <v>45</v>
      </c>
      <c r="I438" t="s">
        <v>60</v>
      </c>
      <c r="J438" t="s">
        <v>61</v>
      </c>
      <c r="K438" t="s">
        <v>19</v>
      </c>
      <c r="L438" t="s">
        <v>40</v>
      </c>
      <c r="M438" t="s">
        <v>145</v>
      </c>
      <c r="N438" t="s">
        <v>35</v>
      </c>
      <c r="O438" t="s">
        <v>974</v>
      </c>
      <c r="P438" s="4">
        <v>126.15</v>
      </c>
      <c r="Q438" s="8" t="str">
        <f t="shared" si="52"/>
        <v>High</v>
      </c>
      <c r="R438" s="4">
        <v>284.23</v>
      </c>
      <c r="S438" s="4">
        <v>0.113</v>
      </c>
      <c r="T438" s="4">
        <v>22</v>
      </c>
      <c r="U438" s="4">
        <f t="shared" si="48"/>
        <v>18664.94586</v>
      </c>
      <c r="V438">
        <f t="shared" si="49"/>
        <v>2775.3</v>
      </c>
      <c r="W438" s="4">
        <f t="shared" si="53"/>
        <v>15889.645860000001</v>
      </c>
      <c r="X438" s="4">
        <f t="shared" si="54"/>
        <v>0.85130950709331443</v>
      </c>
    </row>
    <row r="439" spans="1:24" x14ac:dyDescent="0.3">
      <c r="A439" t="s">
        <v>975</v>
      </c>
      <c r="B439" s="7">
        <v>45037</v>
      </c>
      <c r="C439" s="2">
        <v>45035</v>
      </c>
      <c r="D439" s="4">
        <f>DATEDIF(C439,B439, "MD")</f>
        <v>2</v>
      </c>
      <c r="E439" s="51" t="str">
        <f t="shared" si="50"/>
        <v>Yes</v>
      </c>
      <c r="F439" s="4" t="str">
        <f>TEXT(Data!B439,"MMM-YYYY")</f>
        <v>Dec-2023</v>
      </c>
      <c r="G439" s="4" t="str">
        <f t="shared" si="51"/>
        <v>Q2-2023</v>
      </c>
      <c r="H439" t="s">
        <v>45</v>
      </c>
      <c r="I439" t="s">
        <v>46</v>
      </c>
      <c r="J439" t="s">
        <v>231</v>
      </c>
      <c r="K439" t="s">
        <v>62</v>
      </c>
      <c r="L439" t="s">
        <v>98</v>
      </c>
      <c r="M439" t="s">
        <v>110</v>
      </c>
      <c r="N439" t="s">
        <v>22</v>
      </c>
      <c r="O439" t="s">
        <v>976</v>
      </c>
      <c r="P439" s="4">
        <v>607.04</v>
      </c>
      <c r="Q439" s="8" t="str">
        <f t="shared" si="52"/>
        <v>High</v>
      </c>
      <c r="R439" s="4">
        <v>1229.3399999999999</v>
      </c>
      <c r="S439" s="4">
        <v>0.14699999999999999</v>
      </c>
      <c r="T439" s="4">
        <v>7</v>
      </c>
      <c r="U439" s="4">
        <f t="shared" si="48"/>
        <v>989.39469999999983</v>
      </c>
      <c r="V439">
        <f t="shared" si="49"/>
        <v>4249.28</v>
      </c>
      <c r="W439" s="4">
        <f t="shared" si="53"/>
        <v>-3259.8852999999999</v>
      </c>
      <c r="X439" s="4">
        <f t="shared" si="54"/>
        <v>-3.2948279387387061</v>
      </c>
    </row>
    <row r="440" spans="1:24" x14ac:dyDescent="0.3">
      <c r="A440" t="s">
        <v>977</v>
      </c>
      <c r="B440" s="7">
        <v>45290</v>
      </c>
      <c r="C440" s="2">
        <v>45299</v>
      </c>
      <c r="D440" s="4">
        <f t="shared" si="55"/>
        <v>9</v>
      </c>
      <c r="E440" s="51" t="b">
        <f t="shared" si="50"/>
        <v>0</v>
      </c>
      <c r="F440" s="4" t="str">
        <f>TEXT(Data!B440,"MMM-YYYY")</f>
        <v>Feb-2023</v>
      </c>
      <c r="G440" s="4" t="str">
        <f t="shared" si="51"/>
        <v>Q4-2023</v>
      </c>
      <c r="H440" t="s">
        <v>78</v>
      </c>
      <c r="I440" t="s">
        <v>90</v>
      </c>
      <c r="J440" t="s">
        <v>91</v>
      </c>
      <c r="K440" t="s">
        <v>48</v>
      </c>
      <c r="L440" t="s">
        <v>40</v>
      </c>
      <c r="M440" t="s">
        <v>49</v>
      </c>
      <c r="N440" t="s">
        <v>81</v>
      </c>
      <c r="O440" t="s">
        <v>978</v>
      </c>
      <c r="P440" s="4">
        <v>861.1</v>
      </c>
      <c r="Q440" s="8" t="str">
        <f t="shared" si="52"/>
        <v>High</v>
      </c>
      <c r="R440" s="4">
        <v>1224.72</v>
      </c>
      <c r="S440" s="4">
        <v>0.17399999999999999</v>
      </c>
      <c r="T440" s="4">
        <v>24</v>
      </c>
      <c r="U440" s="4">
        <f t="shared" si="48"/>
        <v>12060.128640000001</v>
      </c>
      <c r="V440">
        <f t="shared" si="49"/>
        <v>20666.400000000001</v>
      </c>
      <c r="W440" s="4">
        <f t="shared" si="53"/>
        <v>-8606.2713600000006</v>
      </c>
      <c r="X440" s="4">
        <f t="shared" si="54"/>
        <v>-0.71361356225135586</v>
      </c>
    </row>
    <row r="441" spans="1:24" x14ac:dyDescent="0.3">
      <c r="A441" t="s">
        <v>979</v>
      </c>
      <c r="B441" s="7">
        <v>44978</v>
      </c>
      <c r="C441" s="2">
        <v>44997</v>
      </c>
      <c r="D441" s="4">
        <f t="shared" si="55"/>
        <v>19</v>
      </c>
      <c r="E441" s="51" t="b">
        <f t="shared" si="50"/>
        <v>0</v>
      </c>
      <c r="F441" s="4" t="str">
        <f>TEXT(Data!B441,"MMM-YYYY")</f>
        <v>May-2023</v>
      </c>
      <c r="G441" s="4" t="str">
        <f t="shared" si="51"/>
        <v>Q1-2023</v>
      </c>
      <c r="H441" t="s">
        <v>16</v>
      </c>
      <c r="I441" t="s">
        <v>17</v>
      </c>
      <c r="J441" t="s">
        <v>135</v>
      </c>
      <c r="K441" t="s">
        <v>19</v>
      </c>
      <c r="L441" t="s">
        <v>28</v>
      </c>
      <c r="M441" t="s">
        <v>84</v>
      </c>
      <c r="N441" t="s">
        <v>35</v>
      </c>
      <c r="O441" t="s">
        <v>980</v>
      </c>
      <c r="P441" s="4">
        <v>352.65</v>
      </c>
      <c r="Q441" s="8" t="str">
        <f t="shared" si="52"/>
        <v>High</v>
      </c>
      <c r="R441" s="4">
        <v>485.86</v>
      </c>
      <c r="S441" s="4">
        <v>4.1000000000000002E-2</v>
      </c>
      <c r="T441" s="4">
        <v>6</v>
      </c>
      <c r="U441" s="4">
        <f t="shared" si="48"/>
        <v>15339.646139999999</v>
      </c>
      <c r="V441">
        <f t="shared" si="49"/>
        <v>2115.8999999999996</v>
      </c>
      <c r="W441" s="4">
        <f t="shared" si="53"/>
        <v>13223.746139999999</v>
      </c>
      <c r="X441" s="4">
        <f t="shared" si="54"/>
        <v>0.86206331093371624</v>
      </c>
    </row>
    <row r="442" spans="1:24" x14ac:dyDescent="0.3">
      <c r="A442" t="s">
        <v>981</v>
      </c>
      <c r="B442" s="7">
        <v>45063</v>
      </c>
      <c r="C442" s="2">
        <v>45080</v>
      </c>
      <c r="D442" s="4">
        <f t="shared" si="55"/>
        <v>17</v>
      </c>
      <c r="E442" s="51" t="b">
        <f t="shared" si="50"/>
        <v>0</v>
      </c>
      <c r="F442" s="4" t="str">
        <f>TEXT(Data!B442,"MMM-YYYY")</f>
        <v>Mar-2024</v>
      </c>
      <c r="G442" s="4" t="str">
        <f t="shared" si="51"/>
        <v>Q2-2023</v>
      </c>
      <c r="H442" t="s">
        <v>45</v>
      </c>
      <c r="I442" t="s">
        <v>116</v>
      </c>
      <c r="J442" t="s">
        <v>338</v>
      </c>
      <c r="K442" t="s">
        <v>39</v>
      </c>
      <c r="L442" t="s">
        <v>55</v>
      </c>
      <c r="M442" t="s">
        <v>110</v>
      </c>
      <c r="N442" t="s">
        <v>30</v>
      </c>
      <c r="O442" t="s">
        <v>982</v>
      </c>
      <c r="P442" s="4">
        <v>979.59</v>
      </c>
      <c r="Q442" s="8" t="str">
        <f t="shared" si="52"/>
        <v>High</v>
      </c>
      <c r="R442" s="4">
        <v>2210.94</v>
      </c>
      <c r="S442" s="4">
        <v>0.15</v>
      </c>
      <c r="T442" s="4">
        <v>11</v>
      </c>
      <c r="U442" s="4">
        <f t="shared" si="48"/>
        <v>5497.3325000000004</v>
      </c>
      <c r="V442">
        <f t="shared" si="49"/>
        <v>10775.49</v>
      </c>
      <c r="W442" s="4">
        <f t="shared" si="53"/>
        <v>-5278.1574999999993</v>
      </c>
      <c r="X442" s="4">
        <f t="shared" si="54"/>
        <v>-0.96013066337173514</v>
      </c>
    </row>
    <row r="443" spans="1:24" x14ac:dyDescent="0.3">
      <c r="A443" t="s">
        <v>983</v>
      </c>
      <c r="B443" s="7">
        <v>45374</v>
      </c>
      <c r="C443" s="2">
        <v>45377</v>
      </c>
      <c r="D443" s="4">
        <f t="shared" si="55"/>
        <v>3</v>
      </c>
      <c r="E443" s="51" t="str">
        <f t="shared" si="50"/>
        <v>Yes</v>
      </c>
      <c r="F443" s="4" t="str">
        <f>TEXT(Data!B443,"MMM-YYYY")</f>
        <v>Sept-2023</v>
      </c>
      <c r="G443" s="4" t="str">
        <f t="shared" si="51"/>
        <v>Q1-2024</v>
      </c>
      <c r="H443" t="s">
        <v>45</v>
      </c>
      <c r="I443" t="s">
        <v>60</v>
      </c>
      <c r="J443" t="s">
        <v>61</v>
      </c>
      <c r="K443" t="s">
        <v>27</v>
      </c>
      <c r="L443" t="s">
        <v>98</v>
      </c>
      <c r="M443" t="s">
        <v>41</v>
      </c>
      <c r="N443" t="s">
        <v>42</v>
      </c>
      <c r="O443" t="s">
        <v>984</v>
      </c>
      <c r="P443" s="4">
        <v>382.21</v>
      </c>
      <c r="Q443" s="8" t="str">
        <f t="shared" si="52"/>
        <v>High</v>
      </c>
      <c r="R443" s="4">
        <v>571.89</v>
      </c>
      <c r="S443" s="4">
        <v>0.14799999999999999</v>
      </c>
      <c r="T443" s="4">
        <v>26</v>
      </c>
      <c r="U443" s="4">
        <f t="shared" si="48"/>
        <v>48582.215760000006</v>
      </c>
      <c r="V443">
        <f t="shared" si="49"/>
        <v>9937.4599999999991</v>
      </c>
      <c r="W443" s="4">
        <f t="shared" si="53"/>
        <v>38644.755760000007</v>
      </c>
      <c r="X443" s="4">
        <f t="shared" si="54"/>
        <v>0.79545066348781124</v>
      </c>
    </row>
    <row r="444" spans="1:24" x14ac:dyDescent="0.3">
      <c r="A444" t="s">
        <v>985</v>
      </c>
      <c r="B444" s="7">
        <v>45189</v>
      </c>
      <c r="C444" s="2">
        <v>45197</v>
      </c>
      <c r="D444" s="4">
        <f t="shared" si="55"/>
        <v>8</v>
      </c>
      <c r="E444" s="51" t="b">
        <f t="shared" si="50"/>
        <v>0</v>
      </c>
      <c r="F444" s="4" t="str">
        <f>TEXT(Data!B444,"MMM-YYYY")</f>
        <v>Aug-2024</v>
      </c>
      <c r="G444" s="4" t="str">
        <f t="shared" si="51"/>
        <v>Q3-2023</v>
      </c>
      <c r="H444" t="s">
        <v>45</v>
      </c>
      <c r="I444" t="s">
        <v>60</v>
      </c>
      <c r="J444" t="s">
        <v>1364</v>
      </c>
      <c r="K444" t="s">
        <v>19</v>
      </c>
      <c r="L444" t="s">
        <v>1364</v>
      </c>
      <c r="M444" t="s">
        <v>56</v>
      </c>
      <c r="N444" t="s">
        <v>81</v>
      </c>
      <c r="O444" t="s">
        <v>986</v>
      </c>
      <c r="P444" s="4">
        <v>1362.06</v>
      </c>
      <c r="Q444" s="8" t="str">
        <f t="shared" si="52"/>
        <v>High</v>
      </c>
      <c r="R444" s="4">
        <v>3398.37</v>
      </c>
      <c r="S444" s="4">
        <v>0.157</v>
      </c>
      <c r="T444" s="4">
        <v>11</v>
      </c>
      <c r="U444" s="4">
        <f t="shared" si="48"/>
        <v>20287.469400000002</v>
      </c>
      <c r="V444">
        <f t="shared" si="49"/>
        <v>14982.66</v>
      </c>
      <c r="W444" s="4">
        <f t="shared" si="53"/>
        <v>5304.8094000000019</v>
      </c>
      <c r="X444" s="4">
        <f t="shared" si="54"/>
        <v>0.26148206537775487</v>
      </c>
    </row>
    <row r="445" spans="1:24" x14ac:dyDescent="0.3">
      <c r="A445" t="s">
        <v>987</v>
      </c>
      <c r="B445" s="7">
        <v>45526</v>
      </c>
      <c r="C445" s="2">
        <v>45539</v>
      </c>
      <c r="D445" s="4">
        <f t="shared" si="55"/>
        <v>13</v>
      </c>
      <c r="E445" s="51" t="b">
        <f t="shared" si="50"/>
        <v>0</v>
      </c>
      <c r="F445" s="4" t="str">
        <f>TEXT(Data!B445,"MMM-YYYY")</f>
        <v>Sept-2024</v>
      </c>
      <c r="G445" s="4" t="str">
        <f t="shared" si="51"/>
        <v>Q3-2024</v>
      </c>
      <c r="H445" t="s">
        <v>78</v>
      </c>
      <c r="I445" t="s">
        <v>79</v>
      </c>
      <c r="J445" t="s">
        <v>335</v>
      </c>
      <c r="K445" t="s">
        <v>39</v>
      </c>
      <c r="L445" t="s">
        <v>20</v>
      </c>
      <c r="M445" t="s">
        <v>49</v>
      </c>
      <c r="N445" t="s">
        <v>30</v>
      </c>
      <c r="O445" t="s">
        <v>988</v>
      </c>
      <c r="P445" s="4">
        <v>90.04</v>
      </c>
      <c r="Q445" s="8" t="str">
        <f t="shared" si="52"/>
        <v>Medium</v>
      </c>
      <c r="R445" s="4">
        <v>194.62</v>
      </c>
      <c r="S445" s="4">
        <v>4.2999999999999997E-2</v>
      </c>
      <c r="T445" s="4">
        <v>32</v>
      </c>
      <c r="U445" s="4">
        <f t="shared" si="48"/>
        <v>30688.61664</v>
      </c>
      <c r="V445">
        <f t="shared" si="49"/>
        <v>2881.28</v>
      </c>
      <c r="W445" s="4">
        <f t="shared" si="53"/>
        <v>27807.336640000001</v>
      </c>
      <c r="X445" s="4">
        <f t="shared" si="54"/>
        <v>0.90611241836673417</v>
      </c>
    </row>
    <row r="446" spans="1:24" x14ac:dyDescent="0.3">
      <c r="A446" t="s">
        <v>989</v>
      </c>
      <c r="B446" s="7">
        <v>45560</v>
      </c>
      <c r="C446" s="2">
        <v>45568</v>
      </c>
      <c r="D446" s="4">
        <f t="shared" si="55"/>
        <v>8</v>
      </c>
      <c r="E446" s="51" t="b">
        <f t="shared" si="50"/>
        <v>0</v>
      </c>
      <c r="F446" s="4" t="str">
        <f>TEXT(Data!B446,"MMM-YYYY")</f>
        <v>Jun-2023</v>
      </c>
      <c r="G446" s="4" t="str">
        <f t="shared" si="51"/>
        <v>Q3-2024</v>
      </c>
      <c r="H446" t="s">
        <v>52</v>
      </c>
      <c r="I446" t="s">
        <v>53</v>
      </c>
      <c r="J446" t="s">
        <v>54</v>
      </c>
      <c r="K446" t="s">
        <v>48</v>
      </c>
      <c r="L446" t="s">
        <v>28</v>
      </c>
      <c r="M446" t="s">
        <v>63</v>
      </c>
      <c r="N446" t="s">
        <v>30</v>
      </c>
      <c r="O446" t="s">
        <v>990</v>
      </c>
      <c r="P446" s="4">
        <v>558.19000000000005</v>
      </c>
      <c r="Q446" s="8" t="str">
        <f t="shared" si="52"/>
        <v>High</v>
      </c>
      <c r="R446" s="4">
        <v>1031.6400000000001</v>
      </c>
      <c r="S446" s="4">
        <v>0</v>
      </c>
      <c r="T446" s="4">
        <v>21</v>
      </c>
      <c r="U446" s="4">
        <f t="shared" si="48"/>
        <v>19189.38</v>
      </c>
      <c r="V446">
        <f t="shared" si="49"/>
        <v>11721.990000000002</v>
      </c>
      <c r="W446" s="4">
        <f t="shared" si="53"/>
        <v>7467.3899999999994</v>
      </c>
      <c r="X446" s="4">
        <f t="shared" si="54"/>
        <v>0.3891418065617544</v>
      </c>
    </row>
    <row r="447" spans="1:24" x14ac:dyDescent="0.3">
      <c r="A447" t="s">
        <v>991</v>
      </c>
      <c r="B447" s="7">
        <v>45090</v>
      </c>
      <c r="C447" s="2">
        <v>45101</v>
      </c>
      <c r="D447" s="4">
        <f t="shared" si="55"/>
        <v>11</v>
      </c>
      <c r="E447" s="51" t="b">
        <f t="shared" si="50"/>
        <v>0</v>
      </c>
      <c r="F447" s="4" t="str">
        <f>TEXT(Data!B447,"MMM-YYYY")</f>
        <v>Dec-2023</v>
      </c>
      <c r="G447" s="4" t="str">
        <f t="shared" si="51"/>
        <v>Q2-2023</v>
      </c>
      <c r="H447" t="s">
        <v>52</v>
      </c>
      <c r="I447" t="s">
        <v>53</v>
      </c>
      <c r="J447" t="s">
        <v>54</v>
      </c>
      <c r="K447" t="s">
        <v>19</v>
      </c>
      <c r="L447" t="s">
        <v>28</v>
      </c>
      <c r="M447" t="s">
        <v>21</v>
      </c>
      <c r="N447" t="s">
        <v>30</v>
      </c>
      <c r="O447" t="s">
        <v>992</v>
      </c>
      <c r="P447" s="4">
        <v>247.07</v>
      </c>
      <c r="Q447" s="8" t="str">
        <f t="shared" si="52"/>
        <v>High</v>
      </c>
      <c r="R447" s="4">
        <v>495.19</v>
      </c>
      <c r="S447" s="4">
        <v>2.8000000000000001E-2</v>
      </c>
      <c r="T447" s="4">
        <v>4</v>
      </c>
      <c r="U447" s="4">
        <f t="shared" si="48"/>
        <v>7167.5668799999994</v>
      </c>
      <c r="V447">
        <f t="shared" si="49"/>
        <v>988.28</v>
      </c>
      <c r="W447" s="4">
        <f t="shared" si="53"/>
        <v>6179.2868799999997</v>
      </c>
      <c r="X447" s="4">
        <f t="shared" si="54"/>
        <v>0.86211778466167588</v>
      </c>
    </row>
    <row r="448" spans="1:24" x14ac:dyDescent="0.3">
      <c r="A448" t="s">
        <v>993</v>
      </c>
      <c r="B448" s="7">
        <v>45284</v>
      </c>
      <c r="C448" s="2">
        <v>45304</v>
      </c>
      <c r="D448" s="4">
        <f t="shared" si="55"/>
        <v>20</v>
      </c>
      <c r="E448" s="51" t="b">
        <f t="shared" si="50"/>
        <v>0</v>
      </c>
      <c r="F448" s="4" t="str">
        <f>TEXT(Data!B448,"MMM-YYYY")</f>
        <v>Mar-2025</v>
      </c>
      <c r="G448" s="4" t="str">
        <f t="shared" si="51"/>
        <v>Q4-2023</v>
      </c>
      <c r="H448" t="s">
        <v>45</v>
      </c>
      <c r="I448" t="s">
        <v>46</v>
      </c>
      <c r="J448" t="s">
        <v>231</v>
      </c>
      <c r="K448" t="s">
        <v>27</v>
      </c>
      <c r="L448" t="s">
        <v>98</v>
      </c>
      <c r="M448" t="s">
        <v>56</v>
      </c>
      <c r="N448" t="s">
        <v>57</v>
      </c>
      <c r="O448" t="s">
        <v>994</v>
      </c>
      <c r="P448" s="4">
        <v>625.37</v>
      </c>
      <c r="Q448" s="8" t="str">
        <f t="shared" si="52"/>
        <v>High</v>
      </c>
      <c r="R448" s="4">
        <v>1319.04</v>
      </c>
      <c r="S448" s="4">
        <v>7.3999999999999996E-2</v>
      </c>
      <c r="T448" s="4">
        <v>8</v>
      </c>
      <c r="U448" s="4">
        <f t="shared" si="48"/>
        <v>10249.7088</v>
      </c>
      <c r="V448">
        <f t="shared" si="49"/>
        <v>5002.96</v>
      </c>
      <c r="W448" s="4">
        <f t="shared" si="53"/>
        <v>5246.7488000000003</v>
      </c>
      <c r="X448" s="4">
        <f t="shared" si="54"/>
        <v>0.51189247444766428</v>
      </c>
    </row>
    <row r="449" spans="1:24" x14ac:dyDescent="0.3">
      <c r="A449" t="s">
        <v>995</v>
      </c>
      <c r="B449" s="7">
        <v>45746</v>
      </c>
      <c r="C449" s="2">
        <v>45776</v>
      </c>
      <c r="D449" s="4">
        <f t="shared" si="55"/>
        <v>30</v>
      </c>
      <c r="E449" s="51" t="b">
        <f t="shared" si="50"/>
        <v>0</v>
      </c>
      <c r="F449" s="4" t="str">
        <f>TEXT(Data!B449,"MMM-YYYY")</f>
        <v>Jun-2024</v>
      </c>
      <c r="G449" s="4" t="str">
        <f t="shared" si="51"/>
        <v>Q1-2025</v>
      </c>
      <c r="H449" t="s">
        <v>16</v>
      </c>
      <c r="I449" t="s">
        <v>148</v>
      </c>
      <c r="J449" t="s">
        <v>172</v>
      </c>
      <c r="K449" t="s">
        <v>48</v>
      </c>
      <c r="L449" t="s">
        <v>40</v>
      </c>
      <c r="M449" t="s">
        <v>29</v>
      </c>
      <c r="N449" t="s">
        <v>64</v>
      </c>
      <c r="O449" t="s">
        <v>996</v>
      </c>
      <c r="P449" s="4">
        <v>194.6</v>
      </c>
      <c r="Q449" s="8" t="str">
        <f t="shared" si="52"/>
        <v>High</v>
      </c>
      <c r="R449" s="4">
        <v>314.87</v>
      </c>
      <c r="S449" s="4">
        <v>0.29299999999999998</v>
      </c>
      <c r="T449" s="4">
        <v>25</v>
      </c>
      <c r="U449" s="4">
        <f t="shared" si="48"/>
        <v>28077.267750000003</v>
      </c>
      <c r="V449">
        <f t="shared" si="49"/>
        <v>4865</v>
      </c>
      <c r="W449" s="4">
        <f t="shared" si="53"/>
        <v>23212.267750000003</v>
      </c>
      <c r="X449" s="4">
        <f t="shared" si="54"/>
        <v>0.82672815448718295</v>
      </c>
    </row>
    <row r="450" spans="1:24" x14ac:dyDescent="0.3">
      <c r="A450" t="s">
        <v>997</v>
      </c>
      <c r="B450" s="7">
        <v>45446</v>
      </c>
      <c r="C450" s="2">
        <v>45467</v>
      </c>
      <c r="D450" s="4">
        <f t="shared" si="55"/>
        <v>21</v>
      </c>
      <c r="E450" s="51" t="b">
        <f t="shared" si="50"/>
        <v>0</v>
      </c>
      <c r="F450" s="4" t="str">
        <f>TEXT(Data!B450,"MMM-YYYY")</f>
        <v>Jun-2024</v>
      </c>
      <c r="G450" s="4" t="str">
        <f t="shared" si="51"/>
        <v>Q2-2024</v>
      </c>
      <c r="H450" t="s">
        <v>52</v>
      </c>
      <c r="I450" t="s">
        <v>53</v>
      </c>
      <c r="J450" t="s">
        <v>54</v>
      </c>
      <c r="K450" t="s">
        <v>62</v>
      </c>
      <c r="L450" t="s">
        <v>98</v>
      </c>
      <c r="M450" t="s">
        <v>41</v>
      </c>
      <c r="N450" t="s">
        <v>64</v>
      </c>
      <c r="O450" t="s">
        <v>998</v>
      </c>
      <c r="P450" s="4">
        <v>1205.5</v>
      </c>
      <c r="Q450" s="8" t="str">
        <f t="shared" si="52"/>
        <v>High</v>
      </c>
      <c r="R450" s="4">
        <v>2210.17</v>
      </c>
      <c r="S450" s="4">
        <v>0.104</v>
      </c>
      <c r="T450" s="4">
        <v>23</v>
      </c>
      <c r="U450" s="4">
        <f t="shared" ref="U450:U513" si="56">(R476*T450)*(1-S450)</f>
        <v>27698.182399999998</v>
      </c>
      <c r="V450">
        <f t="shared" ref="V450:V513" si="57">(P450*T450)</f>
        <v>27726.5</v>
      </c>
      <c r="W450" s="4">
        <f t="shared" si="53"/>
        <v>-28.31760000000213</v>
      </c>
      <c r="X450" s="4">
        <f t="shared" si="54"/>
        <v>-1.0223631136172362E-3</v>
      </c>
    </row>
    <row r="451" spans="1:24" x14ac:dyDescent="0.3">
      <c r="A451" t="s">
        <v>999</v>
      </c>
      <c r="B451" s="7">
        <v>45454</v>
      </c>
      <c r="C451" s="2">
        <v>45482</v>
      </c>
      <c r="D451" s="4">
        <f t="shared" si="55"/>
        <v>28</v>
      </c>
      <c r="E451" s="51" t="b">
        <f t="shared" ref="E451:E514" si="58">IF(D451&lt;=7, "Yes")</f>
        <v>0</v>
      </c>
      <c r="F451" s="4" t="str">
        <f>TEXT(Data!B451,"MMM-YYYY")</f>
        <v>Jul-2023</v>
      </c>
      <c r="G451" s="4" t="str">
        <f t="shared" ref="G451:G514" si="59">"Q"&amp;ROUNDUP(MONTH(B451)/3,0)&amp;"-"&amp;YEAR(B451)</f>
        <v>Q2-2024</v>
      </c>
      <c r="H451" t="s">
        <v>16</v>
      </c>
      <c r="I451" t="s">
        <v>25</v>
      </c>
      <c r="J451" t="s">
        <v>26</v>
      </c>
      <c r="K451" t="s">
        <v>19</v>
      </c>
      <c r="L451" t="s">
        <v>40</v>
      </c>
      <c r="M451" t="s">
        <v>34</v>
      </c>
      <c r="N451" t="s">
        <v>42</v>
      </c>
      <c r="O451" t="s">
        <v>1000</v>
      </c>
      <c r="P451" s="4">
        <v>895.54</v>
      </c>
      <c r="Q451" s="8" t="str">
        <f t="shared" ref="Q451:Q514" si="60">IF(R451&lt;50, "Low", IF(R451&lt;200, "Medium", "High"))</f>
        <v>High</v>
      </c>
      <c r="R451" s="4">
        <v>1045</v>
      </c>
      <c r="S451" s="4">
        <v>0.216</v>
      </c>
      <c r="T451" s="4">
        <v>15</v>
      </c>
      <c r="U451" s="4">
        <f t="shared" si="56"/>
        <v>15173.8104</v>
      </c>
      <c r="V451">
        <f t="shared" si="57"/>
        <v>13433.099999999999</v>
      </c>
      <c r="W451" s="4">
        <f t="shared" ref="W451:W514" si="61">(U451-V451)</f>
        <v>1740.7104000000018</v>
      </c>
      <c r="X451" s="4">
        <f t="shared" ref="X451:X514" si="62">IF(U451=0, 0, W451/U451)</f>
        <v>0.11471808030499721</v>
      </c>
    </row>
    <row r="452" spans="1:24" x14ac:dyDescent="0.3">
      <c r="A452" t="s">
        <v>1001</v>
      </c>
      <c r="B452" s="7">
        <v>45129</v>
      </c>
      <c r="C452" s="2">
        <v>45128</v>
      </c>
      <c r="D452" s="4">
        <f>DATEDIF(C452,B452, "MD")</f>
        <v>1</v>
      </c>
      <c r="E452" s="51" t="str">
        <f t="shared" si="58"/>
        <v>Yes</v>
      </c>
      <c r="F452" s="4" t="str">
        <f>TEXT(Data!B452,"MMM-YYYY")</f>
        <v>Jan-2023</v>
      </c>
      <c r="G452" s="4" t="str">
        <f t="shared" si="59"/>
        <v>Q3-2023</v>
      </c>
      <c r="H452" t="s">
        <v>45</v>
      </c>
      <c r="I452" t="s">
        <v>60</v>
      </c>
      <c r="J452" t="s">
        <v>141</v>
      </c>
      <c r="K452" t="s">
        <v>62</v>
      </c>
      <c r="L452" t="s">
        <v>55</v>
      </c>
      <c r="M452" t="s">
        <v>63</v>
      </c>
      <c r="N452" t="s">
        <v>30</v>
      </c>
      <c r="O452" t="s">
        <v>1002</v>
      </c>
      <c r="P452" s="4">
        <v>946.99</v>
      </c>
      <c r="Q452" s="8" t="str">
        <f t="shared" si="60"/>
        <v>High</v>
      </c>
      <c r="R452" s="4">
        <v>2132.19</v>
      </c>
      <c r="S452" s="4">
        <v>0.16500000000000001</v>
      </c>
      <c r="T452" s="4">
        <v>7</v>
      </c>
      <c r="U452" s="4">
        <f t="shared" si="56"/>
        <v>1295.1351000000002</v>
      </c>
      <c r="V452">
        <f t="shared" si="57"/>
        <v>6628.93</v>
      </c>
      <c r="W452" s="4">
        <f t="shared" si="61"/>
        <v>-5333.7948999999999</v>
      </c>
      <c r="X452" s="4">
        <f t="shared" si="62"/>
        <v>-4.1183308984522151</v>
      </c>
    </row>
    <row r="453" spans="1:24" x14ac:dyDescent="0.3">
      <c r="A453" t="s">
        <v>1003</v>
      </c>
      <c r="B453" s="7">
        <v>44945</v>
      </c>
      <c r="C453" s="2">
        <v>44960</v>
      </c>
      <c r="D453" s="4">
        <f t="shared" ref="D453:D516" si="63">DATEDIF(B453,C453, "MD")</f>
        <v>15</v>
      </c>
      <c r="E453" s="51" t="b">
        <f t="shared" si="58"/>
        <v>0</v>
      </c>
      <c r="F453" s="4" t="str">
        <f>TEXT(Data!B453,"MMM-YYYY")</f>
        <v>May-2024</v>
      </c>
      <c r="G453" s="4" t="str">
        <f t="shared" si="59"/>
        <v>Q1-2023</v>
      </c>
      <c r="H453" t="s">
        <v>78</v>
      </c>
      <c r="I453" t="s">
        <v>108</v>
      </c>
      <c r="J453" t="s">
        <v>152</v>
      </c>
      <c r="K453" t="s">
        <v>105</v>
      </c>
      <c r="L453" t="s">
        <v>55</v>
      </c>
      <c r="M453" t="s">
        <v>41</v>
      </c>
      <c r="N453" t="s">
        <v>81</v>
      </c>
      <c r="O453" t="s">
        <v>1004</v>
      </c>
      <c r="P453" s="4">
        <v>873.06</v>
      </c>
      <c r="Q453" s="8" t="str">
        <f t="shared" si="60"/>
        <v>High</v>
      </c>
      <c r="R453" s="4">
        <v>2101.5500000000002</v>
      </c>
      <c r="S453" s="4">
        <v>6.6000000000000003E-2</v>
      </c>
      <c r="T453" s="4">
        <v>10</v>
      </c>
      <c r="U453" s="4">
        <f t="shared" si="56"/>
        <v>3365.5755999999997</v>
      </c>
      <c r="V453">
        <f t="shared" si="57"/>
        <v>8730.5999999999985</v>
      </c>
      <c r="W453" s="4">
        <f t="shared" si="61"/>
        <v>-5365.0243999999984</v>
      </c>
      <c r="X453" s="4">
        <f t="shared" si="62"/>
        <v>-1.5940882148064062</v>
      </c>
    </row>
    <row r="454" spans="1:24" x14ac:dyDescent="0.3">
      <c r="A454" t="s">
        <v>1005</v>
      </c>
      <c r="B454" s="7">
        <v>45413</v>
      </c>
      <c r="C454" s="2">
        <v>45428</v>
      </c>
      <c r="D454" s="4">
        <f t="shared" si="63"/>
        <v>15</v>
      </c>
      <c r="E454" s="51" t="b">
        <f t="shared" si="58"/>
        <v>0</v>
      </c>
      <c r="F454" s="4" t="str">
        <f>TEXT(Data!B454,"MMM-YYYY")</f>
        <v>Jun-2025</v>
      </c>
      <c r="G454" s="4" t="str">
        <f t="shared" si="59"/>
        <v>Q2-2024</v>
      </c>
      <c r="H454" t="s">
        <v>45</v>
      </c>
      <c r="I454" t="s">
        <v>60</v>
      </c>
      <c r="J454" t="s">
        <v>61</v>
      </c>
      <c r="K454" t="s">
        <v>62</v>
      </c>
      <c r="L454" t="s">
        <v>20</v>
      </c>
      <c r="M454" t="s">
        <v>49</v>
      </c>
      <c r="N454" t="s">
        <v>22</v>
      </c>
      <c r="O454" t="s">
        <v>1006</v>
      </c>
      <c r="P454" s="4">
        <v>901.19</v>
      </c>
      <c r="Q454" s="8" t="str">
        <f t="shared" si="60"/>
        <v>High</v>
      </c>
      <c r="R454" s="4">
        <v>2125.44</v>
      </c>
      <c r="S454" s="4">
        <v>7.0999999999999994E-2</v>
      </c>
      <c r="T454" s="4">
        <v>12</v>
      </c>
      <c r="U454" s="4">
        <f t="shared" si="56"/>
        <v>28380.689880000002</v>
      </c>
      <c r="V454">
        <f t="shared" si="57"/>
        <v>10814.28</v>
      </c>
      <c r="W454" s="4">
        <f t="shared" si="61"/>
        <v>17566.409879999999</v>
      </c>
      <c r="X454" s="4">
        <f t="shared" si="62"/>
        <v>0.61895640853956568</v>
      </c>
    </row>
    <row r="455" spans="1:24" x14ac:dyDescent="0.3">
      <c r="A455" t="s">
        <v>1007</v>
      </c>
      <c r="B455" s="7">
        <v>45817</v>
      </c>
      <c r="C455" s="2">
        <v>45832</v>
      </c>
      <c r="D455" s="4">
        <f t="shared" si="63"/>
        <v>15</v>
      </c>
      <c r="E455" s="51" t="b">
        <f t="shared" si="58"/>
        <v>0</v>
      </c>
      <c r="F455" s="4" t="str">
        <f>TEXT(Data!B455,"MMM-YYYY")</f>
        <v>May-2023</v>
      </c>
      <c r="G455" s="4" t="str">
        <f t="shared" si="59"/>
        <v>Q2-2025</v>
      </c>
      <c r="H455" t="s">
        <v>45</v>
      </c>
      <c r="I455" t="s">
        <v>46</v>
      </c>
      <c r="J455" t="s">
        <v>231</v>
      </c>
      <c r="K455" t="s">
        <v>19</v>
      </c>
      <c r="L455" t="s">
        <v>98</v>
      </c>
      <c r="M455" t="s">
        <v>56</v>
      </c>
      <c r="N455" t="s">
        <v>42</v>
      </c>
      <c r="O455" t="s">
        <v>1008</v>
      </c>
      <c r="P455" s="4">
        <v>400.39</v>
      </c>
      <c r="Q455" s="8" t="str">
        <f t="shared" si="60"/>
        <v>High</v>
      </c>
      <c r="R455" s="4">
        <v>712.75</v>
      </c>
      <c r="S455" s="4">
        <v>0.115</v>
      </c>
      <c r="T455" s="4">
        <v>19</v>
      </c>
      <c r="U455" s="4">
        <f t="shared" si="56"/>
        <v>11761.58805</v>
      </c>
      <c r="V455">
        <f t="shared" si="57"/>
        <v>7607.41</v>
      </c>
      <c r="W455" s="4">
        <f t="shared" si="61"/>
        <v>4154.1780500000004</v>
      </c>
      <c r="X455" s="4">
        <f t="shared" si="62"/>
        <v>0.35319873747831187</v>
      </c>
    </row>
    <row r="456" spans="1:24" x14ac:dyDescent="0.3">
      <c r="A456" t="s">
        <v>1009</v>
      </c>
      <c r="B456" s="7">
        <v>45070</v>
      </c>
      <c r="C456" s="2">
        <v>45098</v>
      </c>
      <c r="D456" s="4">
        <f t="shared" si="63"/>
        <v>28</v>
      </c>
      <c r="E456" s="51" t="b">
        <f t="shared" si="58"/>
        <v>0</v>
      </c>
      <c r="F456" s="4" t="str">
        <f>TEXT(Data!B456,"MMM-YYYY")</f>
        <v>Dec-2024</v>
      </c>
      <c r="G456" s="4" t="str">
        <f t="shared" si="59"/>
        <v>Q2-2023</v>
      </c>
      <c r="H456" t="s">
        <v>52</v>
      </c>
      <c r="I456" t="s">
        <v>122</v>
      </c>
      <c r="J456" t="s">
        <v>326</v>
      </c>
      <c r="K456" t="s">
        <v>62</v>
      </c>
      <c r="L456" t="s">
        <v>40</v>
      </c>
      <c r="M456" t="s">
        <v>41</v>
      </c>
      <c r="N456" t="s">
        <v>64</v>
      </c>
      <c r="O456" t="s">
        <v>1010</v>
      </c>
      <c r="P456" s="4">
        <v>813.97</v>
      </c>
      <c r="Q456" s="8" t="str">
        <f t="shared" si="60"/>
        <v>High</v>
      </c>
      <c r="R456" s="4">
        <v>1568.83</v>
      </c>
      <c r="S456" s="4">
        <v>1.7000000000000001E-2</v>
      </c>
      <c r="T456" s="4">
        <v>15</v>
      </c>
      <c r="U456" s="4">
        <f t="shared" si="56"/>
        <v>40381.984049999999</v>
      </c>
      <c r="V456">
        <f t="shared" si="57"/>
        <v>12209.550000000001</v>
      </c>
      <c r="W456" s="4">
        <f t="shared" si="61"/>
        <v>28172.434049999996</v>
      </c>
      <c r="X456" s="4">
        <f t="shared" si="62"/>
        <v>0.69764858544636066</v>
      </c>
    </row>
    <row r="457" spans="1:24" x14ac:dyDescent="0.3">
      <c r="A457" t="s">
        <v>1011</v>
      </c>
      <c r="B457" s="7">
        <v>45653</v>
      </c>
      <c r="C457" s="2">
        <v>45655</v>
      </c>
      <c r="D457" s="4">
        <f t="shared" si="63"/>
        <v>2</v>
      </c>
      <c r="E457" s="51" t="str">
        <f t="shared" si="58"/>
        <v>Yes</v>
      </c>
      <c r="F457" s="4" t="str">
        <f>TEXT(Data!B457,"MMM-YYYY")</f>
        <v>Dec-2023</v>
      </c>
      <c r="G457" s="4" t="str">
        <f t="shared" si="59"/>
        <v>Q4-2024</v>
      </c>
      <c r="H457" t="s">
        <v>52</v>
      </c>
      <c r="I457" t="s">
        <v>53</v>
      </c>
      <c r="J457" t="s">
        <v>179</v>
      </c>
      <c r="K457" t="s">
        <v>105</v>
      </c>
      <c r="L457" t="s">
        <v>40</v>
      </c>
      <c r="M457" t="s">
        <v>21</v>
      </c>
      <c r="N457" t="s">
        <v>81</v>
      </c>
      <c r="O457" t="s">
        <v>1012</v>
      </c>
      <c r="P457" s="4">
        <v>1146.72</v>
      </c>
      <c r="Q457" s="8" t="str">
        <f t="shared" si="60"/>
        <v>High</v>
      </c>
      <c r="R457" s="4">
        <v>2074.34</v>
      </c>
      <c r="S457" s="4">
        <v>0.111</v>
      </c>
      <c r="T457" s="4">
        <v>8</v>
      </c>
      <c r="U457" s="4">
        <f t="shared" si="56"/>
        <v>674.07536000000005</v>
      </c>
      <c r="V457">
        <f t="shared" si="57"/>
        <v>9173.76</v>
      </c>
      <c r="W457" s="4">
        <f t="shared" si="61"/>
        <v>-8499.6846399999995</v>
      </c>
      <c r="X457" s="4">
        <f t="shared" si="62"/>
        <v>-12.60939821327989</v>
      </c>
    </row>
    <row r="458" spans="1:24" x14ac:dyDescent="0.3">
      <c r="A458" t="s">
        <v>1013</v>
      </c>
      <c r="B458" s="7">
        <v>45265</v>
      </c>
      <c r="C458" s="2">
        <v>45272</v>
      </c>
      <c r="D458" s="4">
        <f t="shared" si="63"/>
        <v>7</v>
      </c>
      <c r="E458" s="51" t="str">
        <f t="shared" si="58"/>
        <v>Yes</v>
      </c>
      <c r="F458" s="4" t="str">
        <f>TEXT(Data!B458,"MMM-YYYY")</f>
        <v>May-2023</v>
      </c>
      <c r="G458" s="4" t="str">
        <f t="shared" si="59"/>
        <v>Q4-2023</v>
      </c>
      <c r="H458" t="s">
        <v>52</v>
      </c>
      <c r="I458" t="s">
        <v>73</v>
      </c>
      <c r="J458" t="s">
        <v>87</v>
      </c>
      <c r="K458" t="s">
        <v>19</v>
      </c>
      <c r="L458" t="s">
        <v>98</v>
      </c>
      <c r="M458" t="s">
        <v>84</v>
      </c>
      <c r="N458" t="s">
        <v>42</v>
      </c>
      <c r="O458" t="s">
        <v>1014</v>
      </c>
      <c r="P458" s="4">
        <v>307.43</v>
      </c>
      <c r="Q458" s="8" t="str">
        <f t="shared" si="60"/>
        <v>High</v>
      </c>
      <c r="R458" s="4">
        <v>495.19</v>
      </c>
      <c r="S458" s="4">
        <v>0</v>
      </c>
      <c r="T458" s="4">
        <v>42</v>
      </c>
      <c r="U458" s="4">
        <f t="shared" si="56"/>
        <v>116648.7</v>
      </c>
      <c r="V458">
        <f t="shared" si="57"/>
        <v>12912.06</v>
      </c>
      <c r="W458" s="4">
        <f t="shared" si="61"/>
        <v>103736.64</v>
      </c>
      <c r="X458" s="4">
        <f t="shared" si="62"/>
        <v>0.88930815345563219</v>
      </c>
    </row>
    <row r="459" spans="1:24" x14ac:dyDescent="0.3">
      <c r="A459" t="s">
        <v>1015</v>
      </c>
      <c r="B459" s="7">
        <v>45048</v>
      </c>
      <c r="C459" s="2">
        <v>45065</v>
      </c>
      <c r="D459" s="4">
        <f t="shared" si="63"/>
        <v>17</v>
      </c>
      <c r="E459" s="51" t="b">
        <f t="shared" si="58"/>
        <v>0</v>
      </c>
      <c r="F459" s="4" t="str">
        <f>TEXT(Data!B459,"MMM-YYYY")</f>
        <v>Nov-2023</v>
      </c>
      <c r="G459" s="4" t="str">
        <f t="shared" si="59"/>
        <v>Q2-2023</v>
      </c>
      <c r="H459" t="s">
        <v>45</v>
      </c>
      <c r="I459" t="s">
        <v>116</v>
      </c>
      <c r="J459" t="s">
        <v>162</v>
      </c>
      <c r="K459" t="s">
        <v>39</v>
      </c>
      <c r="L459" t="s">
        <v>98</v>
      </c>
      <c r="M459" t="s">
        <v>29</v>
      </c>
      <c r="N459" t="s">
        <v>64</v>
      </c>
      <c r="O459" t="s">
        <v>1016</v>
      </c>
      <c r="P459" s="4">
        <v>714.28</v>
      </c>
      <c r="Q459" s="8" t="str">
        <f t="shared" si="60"/>
        <v>High</v>
      </c>
      <c r="R459" s="4">
        <v>757.59</v>
      </c>
      <c r="S459" s="4">
        <v>0.13600000000000001</v>
      </c>
      <c r="T459" s="4">
        <v>12</v>
      </c>
      <c r="U459" s="4">
        <f t="shared" si="56"/>
        <v>5102.9222399999999</v>
      </c>
      <c r="V459">
        <f t="shared" si="57"/>
        <v>8571.36</v>
      </c>
      <c r="W459" s="4">
        <f t="shared" si="61"/>
        <v>-3468.4377600000007</v>
      </c>
      <c r="X459" s="4">
        <f t="shared" si="62"/>
        <v>-0.67969637726637211</v>
      </c>
    </row>
    <row r="460" spans="1:24" x14ac:dyDescent="0.3">
      <c r="A460" t="s">
        <v>1017</v>
      </c>
      <c r="B460" s="7">
        <v>45260</v>
      </c>
      <c r="C460" s="2">
        <v>45270</v>
      </c>
      <c r="D460" s="4">
        <f t="shared" si="63"/>
        <v>10</v>
      </c>
      <c r="E460" s="51" t="b">
        <f t="shared" si="58"/>
        <v>0</v>
      </c>
      <c r="F460" s="4" t="str">
        <f>TEXT(Data!B460,"MMM-YYYY")</f>
        <v>May-2024</v>
      </c>
      <c r="G460" s="4" t="str">
        <f t="shared" si="59"/>
        <v>Q4-2023</v>
      </c>
      <c r="H460" t="s">
        <v>78</v>
      </c>
      <c r="I460" t="s">
        <v>79</v>
      </c>
      <c r="J460" t="s">
        <v>159</v>
      </c>
      <c r="K460" t="s">
        <v>62</v>
      </c>
      <c r="L460" t="s">
        <v>98</v>
      </c>
      <c r="M460" t="s">
        <v>84</v>
      </c>
      <c r="N460" t="s">
        <v>57</v>
      </c>
      <c r="O460" t="s">
        <v>1018</v>
      </c>
      <c r="P460" s="4">
        <v>174.74</v>
      </c>
      <c r="Q460" s="8" t="str">
        <f t="shared" si="60"/>
        <v>High</v>
      </c>
      <c r="R460" s="4">
        <v>415.96</v>
      </c>
      <c r="S460" s="4">
        <v>0.125</v>
      </c>
      <c r="T460" s="4">
        <v>21</v>
      </c>
      <c r="U460" s="4">
        <f t="shared" si="56"/>
        <v>35310.318749999999</v>
      </c>
      <c r="V460">
        <f t="shared" si="57"/>
        <v>3669.54</v>
      </c>
      <c r="W460" s="4">
        <f t="shared" si="61"/>
        <v>31640.778749999998</v>
      </c>
      <c r="X460" s="4">
        <f t="shared" si="62"/>
        <v>0.89607740371927391</v>
      </c>
    </row>
    <row r="461" spans="1:24" x14ac:dyDescent="0.3">
      <c r="A461" t="s">
        <v>1019</v>
      </c>
      <c r="B461" s="7">
        <v>45417</v>
      </c>
      <c r="C461" s="2">
        <v>45430</v>
      </c>
      <c r="D461" s="4">
        <f t="shared" si="63"/>
        <v>13</v>
      </c>
      <c r="E461" s="51" t="b">
        <f t="shared" si="58"/>
        <v>0</v>
      </c>
      <c r="F461" s="4" t="str">
        <f>TEXT(Data!B461,"MMM-YYYY")</f>
        <v>Jul-2023</v>
      </c>
      <c r="G461" s="4" t="str">
        <f t="shared" si="59"/>
        <v>Q2-2024</v>
      </c>
      <c r="H461" t="s">
        <v>78</v>
      </c>
      <c r="I461" t="s">
        <v>90</v>
      </c>
      <c r="J461" t="s">
        <v>91</v>
      </c>
      <c r="K461" t="s">
        <v>19</v>
      </c>
      <c r="L461" t="s">
        <v>40</v>
      </c>
      <c r="M461" t="s">
        <v>75</v>
      </c>
      <c r="N461" t="s">
        <v>22</v>
      </c>
      <c r="O461" t="s">
        <v>1020</v>
      </c>
      <c r="P461" s="4">
        <v>1264.04</v>
      </c>
      <c r="Q461" s="8" t="str">
        <f t="shared" si="60"/>
        <v>High</v>
      </c>
      <c r="R461" s="4">
        <v>1870.89</v>
      </c>
      <c r="S461" s="4">
        <v>0</v>
      </c>
      <c r="T461" s="4">
        <v>13</v>
      </c>
      <c r="U461" s="4">
        <f t="shared" si="56"/>
        <v>3774.29</v>
      </c>
      <c r="V461">
        <f t="shared" si="57"/>
        <v>16432.52</v>
      </c>
      <c r="W461" s="4">
        <f t="shared" si="61"/>
        <v>-12658.23</v>
      </c>
      <c r="X461" s="4">
        <f t="shared" si="62"/>
        <v>-3.3538042916681019</v>
      </c>
    </row>
    <row r="462" spans="1:24" x14ac:dyDescent="0.3">
      <c r="A462" t="s">
        <v>1021</v>
      </c>
      <c r="B462" s="7">
        <v>45116</v>
      </c>
      <c r="C462" s="2">
        <v>45126</v>
      </c>
      <c r="D462" s="4">
        <f t="shared" si="63"/>
        <v>10</v>
      </c>
      <c r="E462" s="51" t="b">
        <f t="shared" si="58"/>
        <v>0</v>
      </c>
      <c r="F462" s="4" t="str">
        <f>TEXT(Data!B462,"MMM-YYYY")</f>
        <v>May-2023</v>
      </c>
      <c r="G462" s="4" t="str">
        <f t="shared" si="59"/>
        <v>Q3-2023</v>
      </c>
      <c r="H462" t="s">
        <v>45</v>
      </c>
      <c r="I462" t="s">
        <v>46</v>
      </c>
      <c r="J462" t="s">
        <v>214</v>
      </c>
      <c r="K462" t="s">
        <v>105</v>
      </c>
      <c r="L462" t="s">
        <v>55</v>
      </c>
      <c r="M462" t="s">
        <v>126</v>
      </c>
      <c r="N462" t="s">
        <v>22</v>
      </c>
      <c r="O462" t="s">
        <v>1022</v>
      </c>
      <c r="P462" s="4">
        <v>141.26</v>
      </c>
      <c r="Q462" s="8" t="str">
        <f t="shared" si="60"/>
        <v>High</v>
      </c>
      <c r="R462" s="4">
        <v>206.88</v>
      </c>
      <c r="S462" s="4">
        <v>0.107</v>
      </c>
      <c r="T462" s="4">
        <v>9</v>
      </c>
      <c r="U462" s="4">
        <f t="shared" si="56"/>
        <v>4845.6680399999996</v>
      </c>
      <c r="V462">
        <f t="shared" si="57"/>
        <v>1271.3399999999999</v>
      </c>
      <c r="W462" s="4">
        <f t="shared" si="61"/>
        <v>3574.3280399999994</v>
      </c>
      <c r="X462" s="4">
        <f t="shared" si="62"/>
        <v>0.737633698902742</v>
      </c>
    </row>
    <row r="463" spans="1:24" x14ac:dyDescent="0.3">
      <c r="A463" t="s">
        <v>1023</v>
      </c>
      <c r="B463" s="7">
        <v>45063</v>
      </c>
      <c r="C463" s="2">
        <v>45092</v>
      </c>
      <c r="D463" s="4">
        <f t="shared" si="63"/>
        <v>29</v>
      </c>
      <c r="E463" s="51" t="b">
        <f t="shared" si="58"/>
        <v>0</v>
      </c>
      <c r="F463" s="4" t="str">
        <f>TEXT(Data!B463,"MMM-YYYY")</f>
        <v>Mar-2024</v>
      </c>
      <c r="G463" s="4" t="str">
        <f t="shared" si="59"/>
        <v>Q2-2023</v>
      </c>
      <c r="H463" t="s">
        <v>16</v>
      </c>
      <c r="I463" t="s">
        <v>148</v>
      </c>
      <c r="J463" t="s">
        <v>172</v>
      </c>
      <c r="K463" t="s">
        <v>105</v>
      </c>
      <c r="L463" t="s">
        <v>20</v>
      </c>
      <c r="M463" t="s">
        <v>95</v>
      </c>
      <c r="N463" t="s">
        <v>81</v>
      </c>
      <c r="O463" t="s">
        <v>1024</v>
      </c>
      <c r="P463" s="4">
        <v>40.89</v>
      </c>
      <c r="Q463" s="8" t="str">
        <f t="shared" si="60"/>
        <v>Medium</v>
      </c>
      <c r="R463" s="4">
        <v>62.82</v>
      </c>
      <c r="S463" s="4">
        <v>0.129</v>
      </c>
      <c r="T463" s="4">
        <v>17</v>
      </c>
      <c r="U463" s="4">
        <f t="shared" si="56"/>
        <v>30761.5425</v>
      </c>
      <c r="V463">
        <f t="shared" si="57"/>
        <v>695.13</v>
      </c>
      <c r="W463" s="4">
        <f t="shared" si="61"/>
        <v>30066.412499999999</v>
      </c>
      <c r="X463" s="4">
        <f t="shared" si="62"/>
        <v>0.97740262862306071</v>
      </c>
    </row>
    <row r="464" spans="1:24" x14ac:dyDescent="0.3">
      <c r="A464" t="s">
        <v>1025</v>
      </c>
      <c r="B464" s="7">
        <v>45358</v>
      </c>
      <c r="C464" s="2">
        <v>45385</v>
      </c>
      <c r="D464" s="4">
        <f t="shared" si="63"/>
        <v>27</v>
      </c>
      <c r="E464" s="51" t="b">
        <f t="shared" si="58"/>
        <v>0</v>
      </c>
      <c r="F464" s="4" t="str">
        <f>TEXT(Data!B464,"MMM-YYYY")</f>
        <v>Apr-2025</v>
      </c>
      <c r="G464" s="4" t="str">
        <f t="shared" si="59"/>
        <v>Q1-2024</v>
      </c>
      <c r="H464" t="s">
        <v>78</v>
      </c>
      <c r="I464" t="s">
        <v>79</v>
      </c>
      <c r="J464" t="s">
        <v>335</v>
      </c>
      <c r="K464" t="s">
        <v>19</v>
      </c>
      <c r="L464" t="s">
        <v>98</v>
      </c>
      <c r="M464" t="s">
        <v>110</v>
      </c>
      <c r="N464" t="s">
        <v>30</v>
      </c>
      <c r="O464" t="s">
        <v>1026</v>
      </c>
      <c r="P464" s="4">
        <v>738.16</v>
      </c>
      <c r="Q464" s="8" t="str">
        <f t="shared" si="60"/>
        <v>High</v>
      </c>
      <c r="R464" s="4">
        <v>956.49</v>
      </c>
      <c r="S464" s="4">
        <v>0.152</v>
      </c>
      <c r="T464" s="4">
        <v>5</v>
      </c>
      <c r="U464" s="4">
        <f t="shared" si="56"/>
        <v>733.01119999999992</v>
      </c>
      <c r="V464">
        <f t="shared" si="57"/>
        <v>3690.7999999999997</v>
      </c>
      <c r="W464" s="4">
        <f t="shared" si="61"/>
        <v>-2957.7887999999998</v>
      </c>
      <c r="X464" s="4">
        <f t="shared" si="62"/>
        <v>-4.0351208821911593</v>
      </c>
    </row>
    <row r="465" spans="1:24" x14ac:dyDescent="0.3">
      <c r="A465" t="s">
        <v>1027</v>
      </c>
      <c r="B465" s="7">
        <v>45757</v>
      </c>
      <c r="C465" s="2">
        <v>45766</v>
      </c>
      <c r="D465" s="4">
        <f t="shared" si="63"/>
        <v>9</v>
      </c>
      <c r="E465" s="51" t="b">
        <f t="shared" si="58"/>
        <v>0</v>
      </c>
      <c r="F465" s="4" t="str">
        <f>TEXT(Data!B465,"MMM-YYYY")</f>
        <v>Jul-2025</v>
      </c>
      <c r="G465" s="4" t="str">
        <f t="shared" si="59"/>
        <v>Q2-2025</v>
      </c>
      <c r="H465" t="s">
        <v>16</v>
      </c>
      <c r="I465" t="s">
        <v>148</v>
      </c>
      <c r="J465" t="s">
        <v>172</v>
      </c>
      <c r="K465" t="s">
        <v>105</v>
      </c>
      <c r="L465" t="s">
        <v>1364</v>
      </c>
      <c r="M465" t="s">
        <v>41</v>
      </c>
      <c r="N465" t="s">
        <v>35</v>
      </c>
      <c r="O465" t="s">
        <v>1028</v>
      </c>
      <c r="P465" s="4">
        <v>113.74</v>
      </c>
      <c r="Q465" s="8" t="str">
        <f t="shared" si="60"/>
        <v>Medium</v>
      </c>
      <c r="R465" s="4">
        <v>165.7</v>
      </c>
      <c r="S465" s="4">
        <v>0.124</v>
      </c>
      <c r="T465" s="4">
        <v>13</v>
      </c>
      <c r="U465" s="4">
        <f t="shared" si="56"/>
        <v>31644.291119999994</v>
      </c>
      <c r="V465">
        <f t="shared" si="57"/>
        <v>1478.62</v>
      </c>
      <c r="W465" s="4">
        <f t="shared" si="61"/>
        <v>30165.671119999995</v>
      </c>
      <c r="X465" s="4">
        <f t="shared" si="62"/>
        <v>0.95327372022988777</v>
      </c>
    </row>
    <row r="466" spans="1:24" x14ac:dyDescent="0.3">
      <c r="A466" t="s">
        <v>1029</v>
      </c>
      <c r="B466" s="7">
        <v>45865</v>
      </c>
      <c r="C466" s="2">
        <v>45884</v>
      </c>
      <c r="D466" s="4">
        <f t="shared" si="63"/>
        <v>19</v>
      </c>
      <c r="E466" s="51" t="b">
        <f t="shared" si="58"/>
        <v>0</v>
      </c>
      <c r="F466" s="4" t="str">
        <f>TEXT(Data!B466,"MMM-YYYY")</f>
        <v>Nov-2024</v>
      </c>
      <c r="G466" s="4" t="str">
        <f t="shared" si="59"/>
        <v>Q3-2025</v>
      </c>
      <c r="H466" t="s">
        <v>45</v>
      </c>
      <c r="I466" t="s">
        <v>46</v>
      </c>
      <c r="J466" t="s">
        <v>214</v>
      </c>
      <c r="K466" t="s">
        <v>62</v>
      </c>
      <c r="L466" t="s">
        <v>40</v>
      </c>
      <c r="M466" t="s">
        <v>29</v>
      </c>
      <c r="N466" t="s">
        <v>22</v>
      </c>
      <c r="O466" t="s">
        <v>1030</v>
      </c>
      <c r="P466" s="4">
        <v>275.43</v>
      </c>
      <c r="Q466" s="8" t="str">
        <f t="shared" si="60"/>
        <v>High</v>
      </c>
      <c r="R466" s="4">
        <v>608.36</v>
      </c>
      <c r="S466" s="4">
        <v>0.25700000000000001</v>
      </c>
      <c r="T466" s="4">
        <v>4</v>
      </c>
      <c r="U466" s="4">
        <f t="shared" si="56"/>
        <v>919.74484000000007</v>
      </c>
      <c r="V466">
        <f t="shared" si="57"/>
        <v>1101.72</v>
      </c>
      <c r="W466" s="4">
        <f t="shared" si="61"/>
        <v>-181.97515999999996</v>
      </c>
      <c r="X466" s="4">
        <f t="shared" si="62"/>
        <v>-0.19785396132257718</v>
      </c>
    </row>
    <row r="467" spans="1:24" x14ac:dyDescent="0.3">
      <c r="A467" t="s">
        <v>1031</v>
      </c>
      <c r="B467" s="7">
        <v>45618</v>
      </c>
      <c r="C467" s="2">
        <v>45641</v>
      </c>
      <c r="D467" s="4">
        <f t="shared" si="63"/>
        <v>23</v>
      </c>
      <c r="E467" s="51" t="b">
        <f t="shared" si="58"/>
        <v>0</v>
      </c>
      <c r="F467" s="4" t="str">
        <f>TEXT(Data!B467,"MMM-YYYY")</f>
        <v>Jun-2024</v>
      </c>
      <c r="G467" s="4" t="str">
        <f t="shared" si="59"/>
        <v>Q4-2024</v>
      </c>
      <c r="H467" t="s">
        <v>16</v>
      </c>
      <c r="I467" t="s">
        <v>17</v>
      </c>
      <c r="J467" t="s">
        <v>113</v>
      </c>
      <c r="K467" t="s">
        <v>39</v>
      </c>
      <c r="L467" t="s">
        <v>55</v>
      </c>
      <c r="M467" t="s">
        <v>21</v>
      </c>
      <c r="N467" t="s">
        <v>22</v>
      </c>
      <c r="O467" t="s">
        <v>1032</v>
      </c>
      <c r="P467" s="4">
        <v>1335.76</v>
      </c>
      <c r="Q467" s="8" t="str">
        <f t="shared" si="60"/>
        <v>High</v>
      </c>
      <c r="R467" s="4">
        <v>2665.91</v>
      </c>
      <c r="S467" s="4">
        <v>0.21099999999999999</v>
      </c>
      <c r="T467" s="4">
        <v>40</v>
      </c>
      <c r="U467" s="4">
        <f t="shared" si="56"/>
        <v>21031.899600000001</v>
      </c>
      <c r="V467">
        <f t="shared" si="57"/>
        <v>53430.400000000001</v>
      </c>
      <c r="W467" s="4">
        <f t="shared" si="61"/>
        <v>-32398.500400000001</v>
      </c>
      <c r="X467" s="4">
        <f t="shared" si="62"/>
        <v>-1.5404457522229709</v>
      </c>
    </row>
    <row r="468" spans="1:24" x14ac:dyDescent="0.3">
      <c r="A468" t="s">
        <v>1033</v>
      </c>
      <c r="B468" s="7">
        <v>45466</v>
      </c>
      <c r="C468" s="2">
        <v>45471</v>
      </c>
      <c r="D468" s="4">
        <f t="shared" si="63"/>
        <v>5</v>
      </c>
      <c r="E468" s="51" t="str">
        <f t="shared" si="58"/>
        <v>Yes</v>
      </c>
      <c r="F468" s="4" t="str">
        <f>TEXT(Data!B468,"MMM-YYYY")</f>
        <v>Dec-2023</v>
      </c>
      <c r="G468" s="4" t="str">
        <f t="shared" si="59"/>
        <v>Q2-2024</v>
      </c>
      <c r="H468" t="s">
        <v>16</v>
      </c>
      <c r="I468" t="s">
        <v>25</v>
      </c>
      <c r="J468" t="s">
        <v>26</v>
      </c>
      <c r="K468" t="s">
        <v>39</v>
      </c>
      <c r="L468" t="s">
        <v>98</v>
      </c>
      <c r="M468" t="s">
        <v>110</v>
      </c>
      <c r="N468" t="s">
        <v>81</v>
      </c>
      <c r="O468" t="s">
        <v>1034</v>
      </c>
      <c r="P468" s="4">
        <v>242.31</v>
      </c>
      <c r="Q468" s="8" t="str">
        <f t="shared" si="60"/>
        <v>High</v>
      </c>
      <c r="R468" s="4">
        <v>587.95000000000005</v>
      </c>
      <c r="S468" s="4">
        <v>0.22900000000000001</v>
      </c>
      <c r="T468" s="4">
        <v>6</v>
      </c>
      <c r="U468" s="4">
        <f t="shared" si="56"/>
        <v>3442.9930199999999</v>
      </c>
      <c r="V468">
        <f t="shared" si="57"/>
        <v>1453.8600000000001</v>
      </c>
      <c r="W468" s="4">
        <f t="shared" si="61"/>
        <v>1989.1330199999998</v>
      </c>
      <c r="X468" s="4">
        <f t="shared" si="62"/>
        <v>0.57773367777550699</v>
      </c>
    </row>
    <row r="469" spans="1:24" x14ac:dyDescent="0.3">
      <c r="A469" t="s">
        <v>1035</v>
      </c>
      <c r="B469" s="7">
        <v>45278</v>
      </c>
      <c r="C469" s="2">
        <v>45305</v>
      </c>
      <c r="D469" s="4">
        <f t="shared" si="63"/>
        <v>27</v>
      </c>
      <c r="E469" s="51" t="b">
        <f t="shared" si="58"/>
        <v>0</v>
      </c>
      <c r="F469" s="4" t="str">
        <f>TEXT(Data!B469,"MMM-YYYY")</f>
        <v>Jun-2025</v>
      </c>
      <c r="G469" s="4" t="str">
        <f t="shared" si="59"/>
        <v>Q4-2023</v>
      </c>
      <c r="H469" t="s">
        <v>45</v>
      </c>
      <c r="I469" t="s">
        <v>60</v>
      </c>
      <c r="J469" t="s">
        <v>220</v>
      </c>
      <c r="K469" t="s">
        <v>48</v>
      </c>
      <c r="L469" t="s">
        <v>55</v>
      </c>
      <c r="M469" t="s">
        <v>145</v>
      </c>
      <c r="N469" t="s">
        <v>35</v>
      </c>
      <c r="O469" t="s">
        <v>1036</v>
      </c>
      <c r="P469" s="4">
        <v>1408.3</v>
      </c>
      <c r="Q469" s="8" t="str">
        <f t="shared" si="60"/>
        <v>High</v>
      </c>
      <c r="R469" s="4">
        <v>2193.13</v>
      </c>
      <c r="S469" s="4">
        <v>7.0999999999999994E-2</v>
      </c>
      <c r="T469" s="4">
        <v>7</v>
      </c>
      <c r="U469" s="4">
        <f t="shared" si="56"/>
        <v>82.523070000000004</v>
      </c>
      <c r="V469">
        <f t="shared" si="57"/>
        <v>9858.1</v>
      </c>
      <c r="W469" s="4">
        <f t="shared" si="61"/>
        <v>-9775.5769300000011</v>
      </c>
      <c r="X469" s="4">
        <f t="shared" si="62"/>
        <v>-118.45871621111527</v>
      </c>
    </row>
    <row r="470" spans="1:24" x14ac:dyDescent="0.3">
      <c r="A470" t="s">
        <v>1037</v>
      </c>
      <c r="B470" s="7">
        <v>45809</v>
      </c>
      <c r="C470" s="2">
        <v>45813</v>
      </c>
      <c r="D470" s="4">
        <f t="shared" si="63"/>
        <v>4</v>
      </c>
      <c r="E470" s="51" t="str">
        <f t="shared" si="58"/>
        <v>Yes</v>
      </c>
      <c r="F470" s="4" t="str">
        <f>TEXT(Data!B470,"MMM-YYYY")</f>
        <v>Mar-2025</v>
      </c>
      <c r="G470" s="4" t="str">
        <f t="shared" si="59"/>
        <v>Q2-2025</v>
      </c>
      <c r="H470" t="s">
        <v>78</v>
      </c>
      <c r="I470" t="s">
        <v>79</v>
      </c>
      <c r="J470" t="s">
        <v>159</v>
      </c>
      <c r="K470" t="s">
        <v>105</v>
      </c>
      <c r="L470" t="s">
        <v>98</v>
      </c>
      <c r="M470" t="s">
        <v>110</v>
      </c>
      <c r="N470" t="s">
        <v>22</v>
      </c>
      <c r="O470" t="s">
        <v>1038</v>
      </c>
      <c r="P470" s="4">
        <v>1171.42</v>
      </c>
      <c r="Q470" s="8" t="str">
        <f t="shared" si="60"/>
        <v>High</v>
      </c>
      <c r="R470" s="4">
        <v>2187.8000000000002</v>
      </c>
      <c r="S470" s="4">
        <v>0.23</v>
      </c>
      <c r="T470" s="4">
        <v>15</v>
      </c>
      <c r="U470" s="4">
        <f t="shared" si="56"/>
        <v>7525.518</v>
      </c>
      <c r="V470">
        <f t="shared" si="57"/>
        <v>17571.300000000003</v>
      </c>
      <c r="W470" s="4">
        <f t="shared" si="61"/>
        <v>-10045.782000000003</v>
      </c>
      <c r="X470" s="4">
        <f t="shared" si="62"/>
        <v>-1.3348957506978261</v>
      </c>
    </row>
    <row r="471" spans="1:24" x14ac:dyDescent="0.3">
      <c r="A471" t="s">
        <v>1039</v>
      </c>
      <c r="B471" s="7">
        <v>45739</v>
      </c>
      <c r="C471" s="2">
        <v>45749</v>
      </c>
      <c r="D471" s="4">
        <f t="shared" si="63"/>
        <v>10</v>
      </c>
      <c r="E471" s="51" t="b">
        <f t="shared" si="58"/>
        <v>0</v>
      </c>
      <c r="F471" s="4" t="str">
        <f>TEXT(Data!B471,"MMM-YYYY")</f>
        <v>May-2023</v>
      </c>
      <c r="G471" s="4" t="str">
        <f t="shared" si="59"/>
        <v>Q1-2025</v>
      </c>
      <c r="H471" t="s">
        <v>78</v>
      </c>
      <c r="I471" t="s">
        <v>79</v>
      </c>
      <c r="J471" t="s">
        <v>80</v>
      </c>
      <c r="K471" t="s">
        <v>105</v>
      </c>
      <c r="L471" t="s">
        <v>28</v>
      </c>
      <c r="M471" t="s">
        <v>63</v>
      </c>
      <c r="N471" t="s">
        <v>30</v>
      </c>
      <c r="O471" t="s">
        <v>1040</v>
      </c>
      <c r="P471" s="4">
        <v>663.61</v>
      </c>
      <c r="Q471" s="8" t="str">
        <f t="shared" si="60"/>
        <v>High</v>
      </c>
      <c r="R471" s="4">
        <v>1002.11</v>
      </c>
      <c r="S471" s="4">
        <v>4.5999999999999999E-2</v>
      </c>
      <c r="T471" s="4">
        <v>17</v>
      </c>
      <c r="U471" s="4">
        <f t="shared" si="56"/>
        <v>12231.93996</v>
      </c>
      <c r="V471">
        <f t="shared" si="57"/>
        <v>11281.37</v>
      </c>
      <c r="W471" s="4">
        <f t="shared" si="61"/>
        <v>950.5699599999989</v>
      </c>
      <c r="X471" s="4">
        <f t="shared" si="62"/>
        <v>7.7712117874064429E-2</v>
      </c>
    </row>
    <row r="472" spans="1:24" x14ac:dyDescent="0.3">
      <c r="A472" t="s">
        <v>1041</v>
      </c>
      <c r="B472" s="7">
        <v>45060</v>
      </c>
      <c r="C472" s="2">
        <v>45068</v>
      </c>
      <c r="D472" s="4">
        <f t="shared" si="63"/>
        <v>8</v>
      </c>
      <c r="E472" s="51" t="b">
        <f t="shared" si="58"/>
        <v>0</v>
      </c>
      <c r="F472" s="4" t="str">
        <f>TEXT(Data!B472,"MMM-YYYY")</f>
        <v>Aug-2023</v>
      </c>
      <c r="G472" s="4" t="str">
        <f t="shared" si="59"/>
        <v>Q2-2023</v>
      </c>
      <c r="H472" t="s">
        <v>16</v>
      </c>
      <c r="I472" t="s">
        <v>17</v>
      </c>
      <c r="J472" t="s">
        <v>113</v>
      </c>
      <c r="K472" t="s">
        <v>62</v>
      </c>
      <c r="L472" t="s">
        <v>55</v>
      </c>
      <c r="M472" t="s">
        <v>84</v>
      </c>
      <c r="N472" t="s">
        <v>30</v>
      </c>
      <c r="O472" t="s">
        <v>1042</v>
      </c>
      <c r="P472" s="4">
        <v>432.01</v>
      </c>
      <c r="Q472" s="8" t="str">
        <f t="shared" si="60"/>
        <v>High</v>
      </c>
      <c r="R472" s="4">
        <v>913.78</v>
      </c>
      <c r="S472" s="4">
        <v>4.9000000000000002E-2</v>
      </c>
      <c r="T472" s="4">
        <v>12</v>
      </c>
      <c r="U472" s="4">
        <f t="shared" si="56"/>
        <v>34019.286120000004</v>
      </c>
      <c r="V472">
        <f t="shared" si="57"/>
        <v>5184.12</v>
      </c>
      <c r="W472" s="4">
        <f t="shared" si="61"/>
        <v>28835.166120000005</v>
      </c>
      <c r="X472" s="4">
        <f t="shared" si="62"/>
        <v>0.84761232255981278</v>
      </c>
    </row>
    <row r="473" spans="1:24" x14ac:dyDescent="0.3">
      <c r="A473" t="s">
        <v>1043</v>
      </c>
      <c r="B473" s="7">
        <v>45167</v>
      </c>
      <c r="C473" s="2">
        <v>45188</v>
      </c>
      <c r="D473" s="4">
        <f t="shared" si="63"/>
        <v>21</v>
      </c>
      <c r="E473" s="51" t="b">
        <f t="shared" si="58"/>
        <v>0</v>
      </c>
      <c r="F473" s="4" t="str">
        <f>TEXT(Data!B473,"MMM-YYYY")</f>
        <v>Jul-2025</v>
      </c>
      <c r="G473" s="4" t="str">
        <f t="shared" si="59"/>
        <v>Q3-2023</v>
      </c>
      <c r="H473" t="s">
        <v>78</v>
      </c>
      <c r="I473" t="s">
        <v>90</v>
      </c>
      <c r="J473" t="s">
        <v>138</v>
      </c>
      <c r="K473" t="s">
        <v>62</v>
      </c>
      <c r="L473" t="s">
        <v>98</v>
      </c>
      <c r="M473" t="s">
        <v>56</v>
      </c>
      <c r="N473" t="s">
        <v>30</v>
      </c>
      <c r="O473" t="s">
        <v>1044</v>
      </c>
      <c r="P473" s="4">
        <v>784.46</v>
      </c>
      <c r="Q473" s="8" t="str">
        <f t="shared" si="60"/>
        <v>High</v>
      </c>
      <c r="R473" s="4">
        <v>1843.51</v>
      </c>
      <c r="S473" s="4">
        <v>0.13800000000000001</v>
      </c>
      <c r="T473" s="4">
        <v>23</v>
      </c>
      <c r="U473" s="4">
        <f t="shared" si="56"/>
        <v>19353.546419999999</v>
      </c>
      <c r="V473">
        <f t="shared" si="57"/>
        <v>18042.580000000002</v>
      </c>
      <c r="W473" s="4">
        <f t="shared" si="61"/>
        <v>1310.966419999997</v>
      </c>
      <c r="X473" s="4">
        <f t="shared" si="62"/>
        <v>6.7737787770268371E-2</v>
      </c>
    </row>
    <row r="474" spans="1:24" x14ac:dyDescent="0.3">
      <c r="A474" t="s">
        <v>1045</v>
      </c>
      <c r="B474" s="7">
        <v>45841</v>
      </c>
      <c r="C474" s="2">
        <v>45861</v>
      </c>
      <c r="D474" s="4">
        <f t="shared" si="63"/>
        <v>20</v>
      </c>
      <c r="E474" s="51" t="b">
        <f t="shared" si="58"/>
        <v>0</v>
      </c>
      <c r="F474" s="4" t="str">
        <f>TEXT(Data!B474,"MMM-YYYY")</f>
        <v>Feb-2024</v>
      </c>
      <c r="G474" s="4" t="str">
        <f t="shared" si="59"/>
        <v>Q3-2025</v>
      </c>
      <c r="H474" t="s">
        <v>45</v>
      </c>
      <c r="I474" t="s">
        <v>116</v>
      </c>
      <c r="J474" t="s">
        <v>338</v>
      </c>
      <c r="K474" t="s">
        <v>62</v>
      </c>
      <c r="L474" t="s">
        <v>28</v>
      </c>
      <c r="M474" t="s">
        <v>110</v>
      </c>
      <c r="N474" t="s">
        <v>22</v>
      </c>
      <c r="O474" t="s">
        <v>1046</v>
      </c>
      <c r="P474" s="4">
        <v>647.36</v>
      </c>
      <c r="Q474" s="8" t="str">
        <f t="shared" si="60"/>
        <v>High</v>
      </c>
      <c r="R474" s="4">
        <v>1383.6</v>
      </c>
      <c r="S474" s="4">
        <v>7.3999999999999996E-2</v>
      </c>
      <c r="T474" s="4">
        <v>12</v>
      </c>
      <c r="U474" s="4">
        <f t="shared" si="56"/>
        <v>12733.240800000001</v>
      </c>
      <c r="V474">
        <f t="shared" si="57"/>
        <v>7768.32</v>
      </c>
      <c r="W474" s="4">
        <f t="shared" si="61"/>
        <v>4964.9208000000017</v>
      </c>
      <c r="X474" s="4">
        <f t="shared" si="62"/>
        <v>0.38991807961410746</v>
      </c>
    </row>
    <row r="475" spans="1:24" x14ac:dyDescent="0.3">
      <c r="A475" t="s">
        <v>1047</v>
      </c>
      <c r="B475" s="7">
        <v>45328</v>
      </c>
      <c r="C475" s="2">
        <v>45350</v>
      </c>
      <c r="D475" s="4">
        <f t="shared" si="63"/>
        <v>22</v>
      </c>
      <c r="E475" s="51" t="b">
        <f t="shared" si="58"/>
        <v>0</v>
      </c>
      <c r="F475" s="4" t="str">
        <f>TEXT(Data!B475,"MMM-YYYY")</f>
        <v>Aug-2025</v>
      </c>
      <c r="G475" s="4" t="str">
        <f t="shared" si="59"/>
        <v>Q1-2024</v>
      </c>
      <c r="H475" t="s">
        <v>16</v>
      </c>
      <c r="I475" t="s">
        <v>17</v>
      </c>
      <c r="J475" t="s">
        <v>18</v>
      </c>
      <c r="K475" t="s">
        <v>39</v>
      </c>
      <c r="L475" t="s">
        <v>28</v>
      </c>
      <c r="M475" t="s">
        <v>95</v>
      </c>
      <c r="N475" t="s">
        <v>64</v>
      </c>
      <c r="O475" t="s">
        <v>1048</v>
      </c>
      <c r="P475" s="4">
        <v>834.93</v>
      </c>
      <c r="Q475" s="8" t="str">
        <f t="shared" si="60"/>
        <v>High</v>
      </c>
      <c r="R475" s="4">
        <v>1588.53</v>
      </c>
      <c r="S475" s="4">
        <v>0.126</v>
      </c>
      <c r="T475" s="4">
        <v>6</v>
      </c>
      <c r="U475" s="4">
        <f t="shared" si="56"/>
        <v>8549.7651600000008</v>
      </c>
      <c r="V475">
        <f t="shared" si="57"/>
        <v>5009.58</v>
      </c>
      <c r="W475" s="4">
        <f t="shared" si="61"/>
        <v>3540.1851600000009</v>
      </c>
      <c r="X475" s="4">
        <f t="shared" si="62"/>
        <v>0.4140681169305942</v>
      </c>
    </row>
    <row r="476" spans="1:24" x14ac:dyDescent="0.3">
      <c r="A476" t="s">
        <v>1049</v>
      </c>
      <c r="B476" s="7">
        <v>45882</v>
      </c>
      <c r="C476" s="2">
        <v>45903</v>
      </c>
      <c r="D476" s="4">
        <f t="shared" si="63"/>
        <v>21</v>
      </c>
      <c r="E476" s="51" t="b">
        <f t="shared" si="58"/>
        <v>0</v>
      </c>
      <c r="F476" s="4" t="str">
        <f>TEXT(Data!B476,"MMM-YYYY")</f>
        <v>May-2023</v>
      </c>
      <c r="G476" s="4" t="str">
        <f t="shared" si="59"/>
        <v>Q3-2025</v>
      </c>
      <c r="H476" t="s">
        <v>78</v>
      </c>
      <c r="I476" t="s">
        <v>90</v>
      </c>
      <c r="J476" t="s">
        <v>217</v>
      </c>
      <c r="K476" t="s">
        <v>27</v>
      </c>
      <c r="L476" t="s">
        <v>20</v>
      </c>
      <c r="M476" t="s">
        <v>34</v>
      </c>
      <c r="N476" t="s">
        <v>42</v>
      </c>
      <c r="O476" t="s">
        <v>1050</v>
      </c>
      <c r="P476" s="4">
        <v>603.47</v>
      </c>
      <c r="Q476" s="8" t="str">
        <f t="shared" si="60"/>
        <v>High</v>
      </c>
      <c r="R476" s="4">
        <v>1344.05</v>
      </c>
      <c r="S476" s="4">
        <v>0.20499999999999999</v>
      </c>
      <c r="T476" s="4">
        <v>18</v>
      </c>
      <c r="U476" s="4">
        <f t="shared" si="56"/>
        <v>13790.9763</v>
      </c>
      <c r="V476">
        <f t="shared" si="57"/>
        <v>10862.460000000001</v>
      </c>
      <c r="W476" s="4">
        <f t="shared" si="61"/>
        <v>2928.5162999999993</v>
      </c>
      <c r="X476" s="4">
        <f t="shared" si="62"/>
        <v>0.21235018002315031</v>
      </c>
    </row>
    <row r="477" spans="1:24" x14ac:dyDescent="0.3">
      <c r="A477" t="s">
        <v>1051</v>
      </c>
      <c r="B477" s="7">
        <v>45069</v>
      </c>
      <c r="C477" s="2">
        <v>45071</v>
      </c>
      <c r="D477" s="4">
        <f t="shared" si="63"/>
        <v>2</v>
      </c>
      <c r="E477" s="51" t="str">
        <f t="shared" si="58"/>
        <v>Yes</v>
      </c>
      <c r="F477" s="4" t="str">
        <f>TEXT(Data!B477,"MMM-YYYY")</f>
        <v>May-2024</v>
      </c>
      <c r="G477" s="4" t="str">
        <f t="shared" si="59"/>
        <v>Q2-2023</v>
      </c>
      <c r="H477" t="s">
        <v>52</v>
      </c>
      <c r="I477" t="s">
        <v>73</v>
      </c>
      <c r="J477" t="s">
        <v>225</v>
      </c>
      <c r="K477" t="s">
        <v>105</v>
      </c>
      <c r="L477" t="s">
        <v>20</v>
      </c>
      <c r="M477" t="s">
        <v>110</v>
      </c>
      <c r="N477" t="s">
        <v>30</v>
      </c>
      <c r="O477" t="s">
        <v>1052</v>
      </c>
      <c r="P477" s="4">
        <v>690.49</v>
      </c>
      <c r="Q477" s="8" t="str">
        <f t="shared" si="60"/>
        <v>High</v>
      </c>
      <c r="R477" s="4">
        <v>1290.29</v>
      </c>
      <c r="S477" s="4">
        <v>4.2000000000000003E-2</v>
      </c>
      <c r="T477" s="4">
        <v>22</v>
      </c>
      <c r="U477" s="4">
        <f t="shared" si="56"/>
        <v>18794.101480000001</v>
      </c>
      <c r="V477">
        <f t="shared" si="57"/>
        <v>15190.78</v>
      </c>
      <c r="W477" s="4">
        <f t="shared" si="61"/>
        <v>3603.3214800000005</v>
      </c>
      <c r="X477" s="4">
        <f t="shared" si="62"/>
        <v>0.19172619046643566</v>
      </c>
    </row>
    <row r="478" spans="1:24" x14ac:dyDescent="0.3">
      <c r="A478" t="s">
        <v>1053</v>
      </c>
      <c r="B478" s="7">
        <v>45422</v>
      </c>
      <c r="C478" s="2">
        <v>45428</v>
      </c>
      <c r="D478" s="4">
        <f t="shared" si="63"/>
        <v>6</v>
      </c>
      <c r="E478" s="51" t="str">
        <f t="shared" si="58"/>
        <v>Yes</v>
      </c>
      <c r="F478" s="4" t="str">
        <f>TEXT(Data!B478,"MMM-YYYY")</f>
        <v>Mar-2023</v>
      </c>
      <c r="G478" s="4" t="str">
        <f t="shared" si="59"/>
        <v>Q2-2024</v>
      </c>
      <c r="H478" t="s">
        <v>78</v>
      </c>
      <c r="I478" t="s">
        <v>108</v>
      </c>
      <c r="J478" t="s">
        <v>109</v>
      </c>
      <c r="K478" t="s">
        <v>39</v>
      </c>
      <c r="L478" t="s">
        <v>98</v>
      </c>
      <c r="M478" t="s">
        <v>41</v>
      </c>
      <c r="N478" t="s">
        <v>57</v>
      </c>
      <c r="O478" t="s">
        <v>1054</v>
      </c>
      <c r="P478" s="4">
        <v>210.76</v>
      </c>
      <c r="Q478" s="8" t="str">
        <f t="shared" si="60"/>
        <v>High</v>
      </c>
      <c r="R478" s="4">
        <v>221.58</v>
      </c>
      <c r="S478" s="4">
        <v>8.8999999999999996E-2</v>
      </c>
      <c r="T478" s="4">
        <v>5</v>
      </c>
      <c r="U478" s="4">
        <f t="shared" si="56"/>
        <v>7596.9201000000003</v>
      </c>
      <c r="V478">
        <f t="shared" si="57"/>
        <v>1053.8</v>
      </c>
      <c r="W478" s="4">
        <f t="shared" si="61"/>
        <v>6543.1201000000001</v>
      </c>
      <c r="X478" s="4">
        <f t="shared" si="62"/>
        <v>0.86128589137063583</v>
      </c>
    </row>
    <row r="479" spans="1:24" x14ac:dyDescent="0.3">
      <c r="A479" t="s">
        <v>1055</v>
      </c>
      <c r="B479" s="7">
        <v>44999</v>
      </c>
      <c r="C479" s="2">
        <v>45003</v>
      </c>
      <c r="D479" s="4">
        <f t="shared" si="63"/>
        <v>4</v>
      </c>
      <c r="E479" s="51" t="str">
        <f t="shared" si="58"/>
        <v>Yes</v>
      </c>
      <c r="F479" s="4" t="str">
        <f>TEXT(Data!B479,"MMM-YYYY")</f>
        <v>Jul-2023</v>
      </c>
      <c r="G479" s="4" t="str">
        <f t="shared" si="59"/>
        <v>Q1-2023</v>
      </c>
      <c r="H479" t="s">
        <v>78</v>
      </c>
      <c r="I479" t="s">
        <v>79</v>
      </c>
      <c r="J479" t="s">
        <v>335</v>
      </c>
      <c r="K479" t="s">
        <v>105</v>
      </c>
      <c r="L479" t="s">
        <v>98</v>
      </c>
      <c r="M479" t="s">
        <v>75</v>
      </c>
      <c r="N479" t="s">
        <v>22</v>
      </c>
      <c r="O479" t="s">
        <v>1056</v>
      </c>
      <c r="P479" s="4">
        <v>472.33</v>
      </c>
      <c r="Q479" s="8" t="str">
        <f t="shared" si="60"/>
        <v>High</v>
      </c>
      <c r="R479" s="4">
        <v>360.34</v>
      </c>
      <c r="S479" s="4">
        <v>0.16500000000000001</v>
      </c>
      <c r="T479" s="4">
        <v>14</v>
      </c>
      <c r="U479" s="4">
        <f t="shared" si="56"/>
        <v>22462.4519</v>
      </c>
      <c r="V479">
        <f t="shared" si="57"/>
        <v>6612.62</v>
      </c>
      <c r="W479" s="4">
        <f t="shared" si="61"/>
        <v>15849.831900000001</v>
      </c>
      <c r="X479" s="4">
        <f t="shared" si="62"/>
        <v>0.70561450595693875</v>
      </c>
    </row>
    <row r="480" spans="1:24" x14ac:dyDescent="0.3">
      <c r="A480" t="s">
        <v>1057</v>
      </c>
      <c r="B480" s="7">
        <v>45123</v>
      </c>
      <c r="C480" s="2">
        <v>45151</v>
      </c>
      <c r="D480" s="4">
        <f t="shared" si="63"/>
        <v>28</v>
      </c>
      <c r="E480" s="51" t="b">
        <f t="shared" si="58"/>
        <v>0</v>
      </c>
      <c r="F480" s="4" t="str">
        <f>TEXT(Data!B480,"MMM-YYYY")</f>
        <v>Apr-2023</v>
      </c>
      <c r="G480" s="4" t="str">
        <f t="shared" si="59"/>
        <v>Q3-2023</v>
      </c>
      <c r="H480" t="s">
        <v>78</v>
      </c>
      <c r="I480" t="s">
        <v>108</v>
      </c>
      <c r="J480" t="s">
        <v>228</v>
      </c>
      <c r="K480" t="s">
        <v>39</v>
      </c>
      <c r="L480" t="s">
        <v>28</v>
      </c>
      <c r="M480" t="s">
        <v>29</v>
      </c>
      <c r="N480" t="s">
        <v>57</v>
      </c>
      <c r="O480" t="s">
        <v>1058</v>
      </c>
      <c r="P480" s="4">
        <v>1039.03</v>
      </c>
      <c r="Q480" s="8" t="str">
        <f t="shared" si="60"/>
        <v>High</v>
      </c>
      <c r="R480" s="4">
        <v>2545.81</v>
      </c>
      <c r="S480" s="4">
        <v>0.216</v>
      </c>
      <c r="T480" s="4">
        <v>21</v>
      </c>
      <c r="U480" s="4">
        <f t="shared" si="56"/>
        <v>20043.767520000001</v>
      </c>
      <c r="V480">
        <f t="shared" si="57"/>
        <v>21819.63</v>
      </c>
      <c r="W480" s="4">
        <f t="shared" si="61"/>
        <v>-1775.8624799999998</v>
      </c>
      <c r="X480" s="4">
        <f t="shared" si="62"/>
        <v>-8.8599235559283701E-2</v>
      </c>
    </row>
    <row r="481" spans="1:24" x14ac:dyDescent="0.3">
      <c r="A481" t="s">
        <v>1059</v>
      </c>
      <c r="B481" s="7">
        <v>45032</v>
      </c>
      <c r="C481" s="2">
        <v>45035</v>
      </c>
      <c r="D481" s="4">
        <f t="shared" si="63"/>
        <v>3</v>
      </c>
      <c r="E481" s="51" t="str">
        <f t="shared" si="58"/>
        <v>Yes</v>
      </c>
      <c r="F481" s="4" t="str">
        <f>TEXT(Data!B481,"MMM-YYYY")</f>
        <v>Jan-2024</v>
      </c>
      <c r="G481" s="4" t="str">
        <f t="shared" si="59"/>
        <v>Q2-2023</v>
      </c>
      <c r="H481" t="s">
        <v>78</v>
      </c>
      <c r="I481" t="s">
        <v>79</v>
      </c>
      <c r="J481" t="s">
        <v>159</v>
      </c>
      <c r="K481" t="s">
        <v>19</v>
      </c>
      <c r="L481" t="s">
        <v>98</v>
      </c>
      <c r="M481" t="s">
        <v>56</v>
      </c>
      <c r="N481" t="s">
        <v>81</v>
      </c>
      <c r="O481" t="s">
        <v>1060</v>
      </c>
      <c r="P481" s="4">
        <v>553.61</v>
      </c>
      <c r="Q481" s="8" t="str">
        <f t="shared" si="60"/>
        <v>High</v>
      </c>
      <c r="R481" s="4">
        <v>699.47</v>
      </c>
      <c r="S481" s="4">
        <v>0.02</v>
      </c>
      <c r="T481" s="4">
        <v>33</v>
      </c>
      <c r="U481" s="4">
        <f t="shared" si="56"/>
        <v>31378.531800000001</v>
      </c>
      <c r="V481">
        <f t="shared" si="57"/>
        <v>18269.13</v>
      </c>
      <c r="W481" s="4">
        <f t="shared" si="61"/>
        <v>13109.4018</v>
      </c>
      <c r="X481" s="4">
        <f t="shared" si="62"/>
        <v>0.41778251078018885</v>
      </c>
    </row>
    <row r="482" spans="1:24" x14ac:dyDescent="0.3">
      <c r="A482" t="s">
        <v>1061</v>
      </c>
      <c r="B482" s="7">
        <v>45293</v>
      </c>
      <c r="C482" s="2">
        <v>45306</v>
      </c>
      <c r="D482" s="4">
        <f t="shared" si="63"/>
        <v>13</v>
      </c>
      <c r="E482" s="51" t="b">
        <f t="shared" si="58"/>
        <v>0</v>
      </c>
      <c r="F482" s="4" t="str">
        <f>TEXT(Data!B482,"MMM-YYYY")</f>
        <v>Sept-2024</v>
      </c>
      <c r="G482" s="4" t="str">
        <f t="shared" si="59"/>
        <v>Q1-2024</v>
      </c>
      <c r="H482" t="s">
        <v>45</v>
      </c>
      <c r="I482" t="s">
        <v>46</v>
      </c>
      <c r="J482" t="s">
        <v>231</v>
      </c>
      <c r="K482" t="s">
        <v>62</v>
      </c>
      <c r="L482" t="s">
        <v>40</v>
      </c>
      <c r="M482" t="s">
        <v>41</v>
      </c>
      <c r="N482" t="s">
        <v>35</v>
      </c>
      <c r="O482" t="s">
        <v>1062</v>
      </c>
      <c r="P482" s="4">
        <v>1219.06</v>
      </c>
      <c r="Q482" s="8" t="str">
        <f t="shared" si="60"/>
        <v>High</v>
      </c>
      <c r="R482" s="4">
        <v>2738.69</v>
      </c>
      <c r="S482" s="4">
        <v>7.5999999999999998E-2</v>
      </c>
      <c r="T482" s="4">
        <v>16</v>
      </c>
      <c r="U482" s="4">
        <f t="shared" si="56"/>
        <v>24019.121280000003</v>
      </c>
      <c r="V482">
        <f t="shared" si="57"/>
        <v>19504.96</v>
      </c>
      <c r="W482" s="4">
        <f t="shared" si="61"/>
        <v>4514.1612800000039</v>
      </c>
      <c r="X482" s="4">
        <f t="shared" si="62"/>
        <v>0.18794031752355611</v>
      </c>
    </row>
    <row r="483" spans="1:24" x14ac:dyDescent="0.3">
      <c r="A483" t="s">
        <v>1063</v>
      </c>
      <c r="B483" s="7">
        <v>45538</v>
      </c>
      <c r="C483" s="2">
        <v>45542</v>
      </c>
      <c r="D483" s="4">
        <f t="shared" si="63"/>
        <v>4</v>
      </c>
      <c r="E483" s="51" t="str">
        <f t="shared" si="58"/>
        <v>Yes</v>
      </c>
      <c r="F483" s="4" t="str">
        <f>TEXT(Data!B483,"MMM-YYYY")</f>
        <v>Aug-2025</v>
      </c>
      <c r="G483" s="4" t="str">
        <f t="shared" si="59"/>
        <v>Q3-2024</v>
      </c>
      <c r="H483" t="s">
        <v>45</v>
      </c>
      <c r="I483" t="s">
        <v>46</v>
      </c>
      <c r="J483" t="s">
        <v>214</v>
      </c>
      <c r="K483" t="s">
        <v>62</v>
      </c>
      <c r="L483" t="s">
        <v>55</v>
      </c>
      <c r="M483" t="s">
        <v>126</v>
      </c>
      <c r="N483" t="s">
        <v>30</v>
      </c>
      <c r="O483" t="s">
        <v>1064</v>
      </c>
      <c r="P483" s="4">
        <v>43.23</v>
      </c>
      <c r="Q483" s="8" t="str">
        <f t="shared" si="60"/>
        <v>Medium</v>
      </c>
      <c r="R483" s="4">
        <v>94.78</v>
      </c>
      <c r="S483" s="4">
        <v>9.0999999999999998E-2</v>
      </c>
      <c r="T483" s="4">
        <v>55</v>
      </c>
      <c r="U483" s="4">
        <f t="shared" si="56"/>
        <v>130292.46945000002</v>
      </c>
      <c r="V483">
        <f t="shared" si="57"/>
        <v>2377.6499999999996</v>
      </c>
      <c r="W483" s="4">
        <f t="shared" si="61"/>
        <v>127914.81945000002</v>
      </c>
      <c r="X483" s="4">
        <f t="shared" si="62"/>
        <v>0.98175143958790023</v>
      </c>
    </row>
    <row r="484" spans="1:24" x14ac:dyDescent="0.3">
      <c r="A484" t="s">
        <v>1065</v>
      </c>
      <c r="B484" s="7">
        <v>45899</v>
      </c>
      <c r="C484" s="2">
        <v>45903</v>
      </c>
      <c r="D484" s="4">
        <f t="shared" si="63"/>
        <v>4</v>
      </c>
      <c r="E484" s="51" t="str">
        <f t="shared" si="58"/>
        <v>Yes</v>
      </c>
      <c r="F484" s="4" t="str">
        <f>TEXT(Data!B484,"MMM-YYYY")</f>
        <v>Apr-2025</v>
      </c>
      <c r="G484" s="4" t="str">
        <f t="shared" si="59"/>
        <v>Q3-2025</v>
      </c>
      <c r="H484" t="s">
        <v>78</v>
      </c>
      <c r="I484" t="s">
        <v>90</v>
      </c>
      <c r="J484" t="s">
        <v>91</v>
      </c>
      <c r="K484" t="s">
        <v>62</v>
      </c>
      <c r="L484" t="s">
        <v>40</v>
      </c>
      <c r="M484" t="s">
        <v>29</v>
      </c>
      <c r="N484" t="s">
        <v>57</v>
      </c>
      <c r="O484" t="s">
        <v>1066</v>
      </c>
      <c r="P484" s="4">
        <v>1286.56</v>
      </c>
      <c r="Q484" s="8" t="str">
        <f t="shared" si="60"/>
        <v>High</v>
      </c>
      <c r="R484" s="4">
        <v>2777.35</v>
      </c>
      <c r="S484" s="4">
        <v>0.13200000000000001</v>
      </c>
      <c r="T484" s="4">
        <v>15</v>
      </c>
      <c r="U484" s="4">
        <f t="shared" si="56"/>
        <v>5660.0544</v>
      </c>
      <c r="V484">
        <f t="shared" si="57"/>
        <v>19298.399999999998</v>
      </c>
      <c r="W484" s="4">
        <f t="shared" si="61"/>
        <v>-13638.345599999997</v>
      </c>
      <c r="X484" s="4">
        <f t="shared" si="62"/>
        <v>-2.4095785369130014</v>
      </c>
    </row>
    <row r="485" spans="1:24" x14ac:dyDescent="0.3">
      <c r="A485" t="s">
        <v>1067</v>
      </c>
      <c r="B485" s="7">
        <v>45775</v>
      </c>
      <c r="C485" s="2">
        <v>45796</v>
      </c>
      <c r="D485" s="4">
        <f t="shared" si="63"/>
        <v>21</v>
      </c>
      <c r="E485" s="51" t="b">
        <f t="shared" si="58"/>
        <v>0</v>
      </c>
      <c r="F485" s="4" t="str">
        <f>TEXT(Data!B485,"MMM-YYYY")</f>
        <v>Aug-2023</v>
      </c>
      <c r="G485" s="4" t="str">
        <f t="shared" si="59"/>
        <v>Q2-2025</v>
      </c>
      <c r="H485" t="s">
        <v>78</v>
      </c>
      <c r="I485" t="s">
        <v>79</v>
      </c>
      <c r="J485" t="s">
        <v>80</v>
      </c>
      <c r="K485" t="s">
        <v>19</v>
      </c>
      <c r="L485" t="s">
        <v>55</v>
      </c>
      <c r="M485" t="s">
        <v>56</v>
      </c>
      <c r="N485" t="s">
        <v>42</v>
      </c>
      <c r="O485" t="s">
        <v>1068</v>
      </c>
      <c r="P485" s="4">
        <v>350.76</v>
      </c>
      <c r="Q485" s="8" t="str">
        <f t="shared" si="60"/>
        <v>High</v>
      </c>
      <c r="R485" s="4">
        <v>492.18</v>
      </c>
      <c r="S485" s="4">
        <v>5.2999999999999999E-2</v>
      </c>
      <c r="T485" s="4">
        <v>11</v>
      </c>
      <c r="U485" s="4">
        <f t="shared" si="56"/>
        <v>19379.89097</v>
      </c>
      <c r="V485">
        <f t="shared" si="57"/>
        <v>3858.3599999999997</v>
      </c>
      <c r="W485" s="4">
        <f t="shared" si="61"/>
        <v>15521.53097</v>
      </c>
      <c r="X485" s="4">
        <f t="shared" si="62"/>
        <v>0.80090909665215726</v>
      </c>
    </row>
    <row r="486" spans="1:24" x14ac:dyDescent="0.3">
      <c r="A486" t="s">
        <v>1069</v>
      </c>
      <c r="B486" s="7">
        <v>45148</v>
      </c>
      <c r="C486" s="2">
        <v>45153</v>
      </c>
      <c r="D486" s="4">
        <f t="shared" si="63"/>
        <v>5</v>
      </c>
      <c r="E486" s="51" t="str">
        <f t="shared" si="58"/>
        <v>Yes</v>
      </c>
      <c r="F486" s="4" t="str">
        <f>TEXT(Data!B486,"MMM-YYYY")</f>
        <v>Dec-2024</v>
      </c>
      <c r="G486" s="4" t="str">
        <f t="shared" si="59"/>
        <v>Q3-2023</v>
      </c>
      <c r="H486" t="s">
        <v>52</v>
      </c>
      <c r="I486" t="s">
        <v>73</v>
      </c>
      <c r="J486" t="s">
        <v>74</v>
      </c>
      <c r="K486" t="s">
        <v>27</v>
      </c>
      <c r="L486" t="s">
        <v>98</v>
      </c>
      <c r="M486" t="s">
        <v>41</v>
      </c>
      <c r="N486" t="s">
        <v>35</v>
      </c>
      <c r="O486" t="s">
        <v>1070</v>
      </c>
      <c r="P486" s="4">
        <v>1307.52</v>
      </c>
      <c r="Q486" s="8" t="str">
        <f t="shared" si="60"/>
        <v>High</v>
      </c>
      <c r="R486" s="4">
        <v>1921.65</v>
      </c>
      <c r="S486" s="4">
        <v>0.123</v>
      </c>
      <c r="T486" s="4">
        <v>13</v>
      </c>
      <c r="U486" s="4">
        <f t="shared" si="56"/>
        <v>9504.8996900000002</v>
      </c>
      <c r="V486">
        <f t="shared" si="57"/>
        <v>16997.759999999998</v>
      </c>
      <c r="W486" s="4">
        <f t="shared" si="61"/>
        <v>-7492.8603099999982</v>
      </c>
      <c r="X486" s="4">
        <f t="shared" si="62"/>
        <v>-0.78831555875157244</v>
      </c>
    </row>
    <row r="487" spans="1:24" x14ac:dyDescent="0.3">
      <c r="A487" t="s">
        <v>1071</v>
      </c>
      <c r="B487" s="7">
        <v>45634</v>
      </c>
      <c r="C487" s="2">
        <v>45634</v>
      </c>
      <c r="D487" s="4">
        <f t="shared" si="63"/>
        <v>0</v>
      </c>
      <c r="E487" s="51" t="str">
        <f t="shared" si="58"/>
        <v>Yes</v>
      </c>
      <c r="F487" s="4" t="str">
        <f>TEXT(Data!B487,"MMM-YYYY")</f>
        <v>Oct-2023</v>
      </c>
      <c r="G487" s="4" t="str">
        <f t="shared" si="59"/>
        <v>Q4-2024</v>
      </c>
      <c r="H487" t="s">
        <v>78</v>
      </c>
      <c r="I487" t="s">
        <v>90</v>
      </c>
      <c r="J487" t="s">
        <v>138</v>
      </c>
      <c r="K487" t="s">
        <v>105</v>
      </c>
      <c r="L487" t="s">
        <v>20</v>
      </c>
      <c r="M487" t="s">
        <v>92</v>
      </c>
      <c r="N487" t="s">
        <v>22</v>
      </c>
      <c r="O487" t="s">
        <v>1072</v>
      </c>
      <c r="P487" s="4">
        <v>257.44</v>
      </c>
      <c r="Q487" s="8" t="str">
        <f t="shared" si="60"/>
        <v>High</v>
      </c>
      <c r="R487" s="4">
        <v>290.33</v>
      </c>
      <c r="S487" s="4">
        <v>9.1999999999999998E-2</v>
      </c>
      <c r="T487" s="4">
        <v>23</v>
      </c>
      <c r="U487" s="4">
        <f t="shared" si="56"/>
        <v>6964.3963200000007</v>
      </c>
      <c r="V487">
        <f t="shared" si="57"/>
        <v>5921.12</v>
      </c>
      <c r="W487" s="4">
        <f t="shared" si="61"/>
        <v>1043.2763200000009</v>
      </c>
      <c r="X487" s="4">
        <f t="shared" si="62"/>
        <v>0.14980140015926044</v>
      </c>
    </row>
    <row r="488" spans="1:24" x14ac:dyDescent="0.3">
      <c r="A488" t="s">
        <v>1073</v>
      </c>
      <c r="B488" s="7">
        <v>45224</v>
      </c>
      <c r="C488" s="2">
        <v>45254</v>
      </c>
      <c r="D488" s="4">
        <f t="shared" si="63"/>
        <v>30</v>
      </c>
      <c r="E488" s="51" t="b">
        <f t="shared" si="58"/>
        <v>0</v>
      </c>
      <c r="F488" s="4" t="str">
        <f>TEXT(Data!B488,"MMM-YYYY")</f>
        <v>Nov-2024</v>
      </c>
      <c r="G488" s="4" t="str">
        <f t="shared" si="59"/>
        <v>Q4-2023</v>
      </c>
      <c r="H488" t="s">
        <v>78</v>
      </c>
      <c r="I488" t="s">
        <v>90</v>
      </c>
      <c r="J488" t="s">
        <v>217</v>
      </c>
      <c r="K488" t="s">
        <v>105</v>
      </c>
      <c r="L488" t="s">
        <v>55</v>
      </c>
      <c r="M488" t="s">
        <v>21</v>
      </c>
      <c r="N488" t="s">
        <v>42</v>
      </c>
      <c r="O488" t="s">
        <v>1074</v>
      </c>
      <c r="P488" s="4">
        <v>287.85000000000002</v>
      </c>
      <c r="Q488" s="8" t="str">
        <f t="shared" si="60"/>
        <v>High</v>
      </c>
      <c r="R488" s="4">
        <v>602.91999999999996</v>
      </c>
      <c r="S488" s="4">
        <v>0.222</v>
      </c>
      <c r="T488" s="4">
        <v>11</v>
      </c>
      <c r="U488" s="4">
        <f t="shared" si="56"/>
        <v>15273.462600000001</v>
      </c>
      <c r="V488">
        <f t="shared" si="57"/>
        <v>3166.3500000000004</v>
      </c>
      <c r="W488" s="4">
        <f t="shared" si="61"/>
        <v>12107.1126</v>
      </c>
      <c r="X488" s="4">
        <f t="shared" si="62"/>
        <v>0.79268944554851628</v>
      </c>
    </row>
    <row r="489" spans="1:24" x14ac:dyDescent="0.3">
      <c r="A489" t="s">
        <v>1075</v>
      </c>
      <c r="B489" s="7">
        <v>45613</v>
      </c>
      <c r="C489" s="2">
        <v>45624</v>
      </c>
      <c r="D489" s="4">
        <f t="shared" si="63"/>
        <v>11</v>
      </c>
      <c r="E489" s="51" t="b">
        <f t="shared" si="58"/>
        <v>0</v>
      </c>
      <c r="F489" s="4" t="str">
        <f>TEXT(Data!B489,"MMM-YYYY")</f>
        <v>May-2024</v>
      </c>
      <c r="G489" s="4" t="str">
        <f t="shared" si="59"/>
        <v>Q4-2024</v>
      </c>
      <c r="H489" t="s">
        <v>52</v>
      </c>
      <c r="I489" t="s">
        <v>53</v>
      </c>
      <c r="J489" t="s">
        <v>1364</v>
      </c>
      <c r="K489" t="s">
        <v>48</v>
      </c>
      <c r="L489" t="s">
        <v>55</v>
      </c>
      <c r="M489" t="s">
        <v>75</v>
      </c>
      <c r="N489" t="s">
        <v>30</v>
      </c>
      <c r="O489" t="s">
        <v>1076</v>
      </c>
      <c r="P489" s="4">
        <v>1008.16</v>
      </c>
      <c r="Q489" s="8" t="str">
        <f t="shared" si="60"/>
        <v>High</v>
      </c>
      <c r="R489" s="4">
        <v>2077.5</v>
      </c>
      <c r="S489" s="4">
        <v>7.3999999999999996E-2</v>
      </c>
      <c r="T489" s="4">
        <v>15</v>
      </c>
      <c r="U489" s="4">
        <f t="shared" si="56"/>
        <v>14894.108099999999</v>
      </c>
      <c r="V489">
        <f t="shared" si="57"/>
        <v>15122.4</v>
      </c>
      <c r="W489" s="4">
        <f t="shared" si="61"/>
        <v>-228.29190000000017</v>
      </c>
      <c r="X489" s="4">
        <f t="shared" si="62"/>
        <v>-1.5327665038230801E-2</v>
      </c>
    </row>
    <row r="490" spans="1:24" x14ac:dyDescent="0.3">
      <c r="A490" t="s">
        <v>1077</v>
      </c>
      <c r="B490" s="7">
        <v>45424</v>
      </c>
      <c r="C490" s="2">
        <v>45436</v>
      </c>
      <c r="D490" s="4">
        <f t="shared" si="63"/>
        <v>12</v>
      </c>
      <c r="E490" s="51" t="b">
        <f t="shared" si="58"/>
        <v>0</v>
      </c>
      <c r="F490" s="4" t="str">
        <f>TEXT(Data!B490,"MMM-YYYY")</f>
        <v>May-2025</v>
      </c>
      <c r="G490" s="4" t="str">
        <f t="shared" si="59"/>
        <v>Q2-2024</v>
      </c>
      <c r="H490" t="s">
        <v>78</v>
      </c>
      <c r="I490" t="s">
        <v>108</v>
      </c>
      <c r="J490" t="s">
        <v>228</v>
      </c>
      <c r="K490" t="s">
        <v>27</v>
      </c>
      <c r="L490" t="s">
        <v>40</v>
      </c>
      <c r="M490" t="s">
        <v>95</v>
      </c>
      <c r="N490" t="s">
        <v>30</v>
      </c>
      <c r="O490" t="s">
        <v>1078</v>
      </c>
      <c r="P490" s="4">
        <v>111.02</v>
      </c>
      <c r="Q490" s="8" t="str">
        <f t="shared" si="60"/>
        <v>Medium</v>
      </c>
      <c r="R490" s="4">
        <v>172.88</v>
      </c>
      <c r="S490" s="4">
        <v>0.19700000000000001</v>
      </c>
      <c r="T490" s="4">
        <v>29</v>
      </c>
      <c r="U490" s="4">
        <f t="shared" si="56"/>
        <v>70514.200349999999</v>
      </c>
      <c r="V490">
        <f t="shared" si="57"/>
        <v>3219.58</v>
      </c>
      <c r="W490" s="4">
        <f t="shared" si="61"/>
        <v>67294.620349999997</v>
      </c>
      <c r="X490" s="4">
        <f t="shared" si="62"/>
        <v>0.95434139529315387</v>
      </c>
    </row>
    <row r="491" spans="1:24" x14ac:dyDescent="0.3">
      <c r="A491" t="s">
        <v>1079</v>
      </c>
      <c r="B491" s="7">
        <v>45792</v>
      </c>
      <c r="C491" s="2">
        <v>45813</v>
      </c>
      <c r="D491" s="4">
        <f t="shared" si="63"/>
        <v>21</v>
      </c>
      <c r="E491" s="51" t="b">
        <f t="shared" si="58"/>
        <v>0</v>
      </c>
      <c r="F491" s="4" t="str">
        <f>TEXT(Data!B491,"MMM-YYYY")</f>
        <v>Apr-2024</v>
      </c>
      <c r="G491" s="4" t="str">
        <f t="shared" si="59"/>
        <v>Q2-2025</v>
      </c>
      <c r="H491" t="s">
        <v>45</v>
      </c>
      <c r="I491" t="s">
        <v>46</v>
      </c>
      <c r="J491" t="s">
        <v>47</v>
      </c>
      <c r="K491" t="s">
        <v>105</v>
      </c>
      <c r="L491" t="s">
        <v>98</v>
      </c>
      <c r="M491" t="s">
        <v>92</v>
      </c>
      <c r="N491" t="s">
        <v>42</v>
      </c>
      <c r="O491" t="s">
        <v>1080</v>
      </c>
      <c r="P491" s="4">
        <v>1466.5</v>
      </c>
      <c r="Q491" s="8" t="str">
        <f t="shared" si="60"/>
        <v>High</v>
      </c>
      <c r="R491" s="4">
        <v>2778.74</v>
      </c>
      <c r="S491" s="4">
        <v>0.13500000000000001</v>
      </c>
      <c r="T491" s="4">
        <v>4</v>
      </c>
      <c r="U491" s="4">
        <f t="shared" si="56"/>
        <v>3415.8503999999998</v>
      </c>
      <c r="V491">
        <f t="shared" si="57"/>
        <v>5866</v>
      </c>
      <c r="W491" s="4">
        <f t="shared" si="61"/>
        <v>-2450.1496000000002</v>
      </c>
      <c r="X491" s="4">
        <f t="shared" si="62"/>
        <v>-0.71728832152602473</v>
      </c>
    </row>
    <row r="492" spans="1:24" x14ac:dyDescent="0.3">
      <c r="A492" t="s">
        <v>1081</v>
      </c>
      <c r="B492" s="7">
        <v>45403</v>
      </c>
      <c r="C492" s="2">
        <v>45431</v>
      </c>
      <c r="D492" s="4">
        <f t="shared" si="63"/>
        <v>28</v>
      </c>
      <c r="E492" s="51" t="b">
        <f t="shared" si="58"/>
        <v>0</v>
      </c>
      <c r="F492" s="4" t="str">
        <f>TEXT(Data!B492,"MMM-YYYY")</f>
        <v>Aug-2024</v>
      </c>
      <c r="G492" s="4" t="str">
        <f t="shared" si="59"/>
        <v>Q2-2024</v>
      </c>
      <c r="H492" t="s">
        <v>16</v>
      </c>
      <c r="I492" t="s">
        <v>25</v>
      </c>
      <c r="J492" t="s">
        <v>38</v>
      </c>
      <c r="K492" t="s">
        <v>19</v>
      </c>
      <c r="L492" t="s">
        <v>55</v>
      </c>
      <c r="M492" t="s">
        <v>75</v>
      </c>
      <c r="N492" t="s">
        <v>81</v>
      </c>
      <c r="O492" t="s">
        <v>1082</v>
      </c>
      <c r="P492" s="4">
        <v>187.22</v>
      </c>
      <c r="Q492" s="8" t="str">
        <f t="shared" si="60"/>
        <v>High</v>
      </c>
      <c r="R492" s="4">
        <v>309.47000000000003</v>
      </c>
      <c r="S492" s="4">
        <v>0</v>
      </c>
      <c r="T492" s="4">
        <v>5</v>
      </c>
      <c r="U492" s="4">
        <f t="shared" si="56"/>
        <v>4877.1499999999996</v>
      </c>
      <c r="V492">
        <f t="shared" si="57"/>
        <v>936.1</v>
      </c>
      <c r="W492" s="4">
        <f t="shared" si="61"/>
        <v>3941.0499999999997</v>
      </c>
      <c r="X492" s="4">
        <f t="shared" si="62"/>
        <v>0.8080641358170243</v>
      </c>
    </row>
    <row r="493" spans="1:24" x14ac:dyDescent="0.3">
      <c r="A493" t="s">
        <v>1083</v>
      </c>
      <c r="B493" s="7">
        <v>45523</v>
      </c>
      <c r="C493" s="2">
        <v>45542</v>
      </c>
      <c r="D493" s="4">
        <f t="shared" si="63"/>
        <v>19</v>
      </c>
      <c r="E493" s="51" t="b">
        <f t="shared" si="58"/>
        <v>0</v>
      </c>
      <c r="F493" s="4" t="str">
        <f>TEXT(Data!B493,"MMM-YYYY")</f>
        <v>Jul-2025</v>
      </c>
      <c r="G493" s="4" t="str">
        <f t="shared" si="59"/>
        <v>Q3-2024</v>
      </c>
      <c r="H493" t="s">
        <v>78</v>
      </c>
      <c r="I493" t="s">
        <v>90</v>
      </c>
      <c r="J493" t="s">
        <v>138</v>
      </c>
      <c r="K493" t="s">
        <v>19</v>
      </c>
      <c r="L493" t="s">
        <v>98</v>
      </c>
      <c r="M493" t="s">
        <v>29</v>
      </c>
      <c r="N493" t="s">
        <v>22</v>
      </c>
      <c r="O493" t="s">
        <v>1084</v>
      </c>
      <c r="P493" s="4">
        <v>297.58999999999997</v>
      </c>
      <c r="Q493" s="8" t="str">
        <f t="shared" si="60"/>
        <v>High</v>
      </c>
      <c r="R493" s="4">
        <v>666.41</v>
      </c>
      <c r="S493" s="4">
        <v>0</v>
      </c>
      <c r="T493" s="4">
        <v>10</v>
      </c>
      <c r="U493" s="4">
        <f t="shared" si="56"/>
        <v>1414.3000000000002</v>
      </c>
      <c r="V493">
        <f t="shared" si="57"/>
        <v>2975.8999999999996</v>
      </c>
      <c r="W493" s="4">
        <f t="shared" si="61"/>
        <v>-1561.5999999999995</v>
      </c>
      <c r="X493" s="4">
        <f t="shared" si="62"/>
        <v>-1.1041504631266346</v>
      </c>
    </row>
    <row r="494" spans="1:24" x14ac:dyDescent="0.3">
      <c r="A494" t="s">
        <v>1085</v>
      </c>
      <c r="B494" s="7">
        <v>45861</v>
      </c>
      <c r="C494" s="2">
        <v>45888</v>
      </c>
      <c r="D494" s="4">
        <f t="shared" si="63"/>
        <v>27</v>
      </c>
      <c r="E494" s="51" t="b">
        <f t="shared" si="58"/>
        <v>0</v>
      </c>
      <c r="F494" s="4" t="str">
        <f>TEXT(Data!B494,"MMM-YYYY")</f>
        <v>Mar-2024</v>
      </c>
      <c r="G494" s="4" t="str">
        <f t="shared" si="59"/>
        <v>Q3-2025</v>
      </c>
      <c r="H494" t="s">
        <v>45</v>
      </c>
      <c r="I494" t="s">
        <v>46</v>
      </c>
      <c r="J494" t="s">
        <v>231</v>
      </c>
      <c r="K494" t="s">
        <v>48</v>
      </c>
      <c r="L494" t="s">
        <v>40</v>
      </c>
      <c r="M494" t="s">
        <v>56</v>
      </c>
      <c r="N494" t="s">
        <v>81</v>
      </c>
      <c r="O494" t="s">
        <v>1086</v>
      </c>
      <c r="P494" s="4">
        <v>896.09</v>
      </c>
      <c r="Q494" s="8" t="str">
        <f t="shared" si="60"/>
        <v>High</v>
      </c>
      <c r="R494" s="4">
        <v>744.27</v>
      </c>
      <c r="S494" s="4">
        <v>8.3000000000000004E-2</v>
      </c>
      <c r="T494" s="4">
        <v>11</v>
      </c>
      <c r="U494" s="4">
        <f t="shared" si="56"/>
        <v>16395.611540000002</v>
      </c>
      <c r="V494">
        <f t="shared" si="57"/>
        <v>9856.99</v>
      </c>
      <c r="W494" s="4">
        <f t="shared" si="61"/>
        <v>6538.6215400000019</v>
      </c>
      <c r="X494" s="4">
        <f t="shared" si="62"/>
        <v>0.3988031507118765</v>
      </c>
    </row>
    <row r="495" spans="1:24" x14ac:dyDescent="0.3">
      <c r="A495" t="s">
        <v>1087</v>
      </c>
      <c r="B495" s="7">
        <v>45352</v>
      </c>
      <c r="C495" s="2">
        <v>45351</v>
      </c>
      <c r="D495" s="4">
        <f>DATEDIF(C495,B495, "MD")</f>
        <v>1</v>
      </c>
      <c r="E495" s="51" t="str">
        <f t="shared" si="58"/>
        <v>Yes</v>
      </c>
      <c r="F495" s="4" t="str">
        <f>TEXT(Data!B495,"MMM-YYYY")</f>
        <v>May-2024</v>
      </c>
      <c r="G495" s="4" t="str">
        <f t="shared" si="59"/>
        <v>Q1-2024</v>
      </c>
      <c r="H495" t="s">
        <v>52</v>
      </c>
      <c r="I495" t="s">
        <v>73</v>
      </c>
      <c r="J495" t="s">
        <v>74</v>
      </c>
      <c r="K495" t="s">
        <v>39</v>
      </c>
      <c r="L495" t="s">
        <v>98</v>
      </c>
      <c r="M495" t="s">
        <v>34</v>
      </c>
      <c r="N495" t="s">
        <v>42</v>
      </c>
      <c r="O495" t="s">
        <v>1088</v>
      </c>
      <c r="P495" s="4">
        <v>5.34</v>
      </c>
      <c r="Q495" s="8" t="str">
        <f t="shared" si="60"/>
        <v>Low</v>
      </c>
      <c r="R495" s="4">
        <v>12.69</v>
      </c>
      <c r="S495" s="4">
        <v>0.13200000000000001</v>
      </c>
      <c r="T495" s="4">
        <v>10</v>
      </c>
      <c r="U495" s="4">
        <f t="shared" si="56"/>
        <v>2603.4792000000002</v>
      </c>
      <c r="V495">
        <f t="shared" si="57"/>
        <v>53.4</v>
      </c>
      <c r="W495" s="4">
        <f t="shared" si="61"/>
        <v>2550.0792000000001</v>
      </c>
      <c r="X495" s="4">
        <f t="shared" si="62"/>
        <v>0.97948898535467455</v>
      </c>
    </row>
    <row r="496" spans="1:24" x14ac:dyDescent="0.3">
      <c r="A496" t="s">
        <v>1089</v>
      </c>
      <c r="B496" s="7">
        <v>45439</v>
      </c>
      <c r="C496" s="2">
        <v>45460</v>
      </c>
      <c r="D496" s="4">
        <f t="shared" si="63"/>
        <v>21</v>
      </c>
      <c r="E496" s="51" t="b">
        <f t="shared" si="58"/>
        <v>0</v>
      </c>
      <c r="F496" s="4" t="str">
        <f>TEXT(Data!B496,"MMM-YYYY")</f>
        <v>Aug-2024</v>
      </c>
      <c r="G496" s="4" t="str">
        <f t="shared" si="59"/>
        <v>Q2-2024</v>
      </c>
      <c r="H496" t="s">
        <v>45</v>
      </c>
      <c r="I496" t="s">
        <v>60</v>
      </c>
      <c r="J496" t="s">
        <v>141</v>
      </c>
      <c r="K496" t="s">
        <v>62</v>
      </c>
      <c r="L496" t="s">
        <v>28</v>
      </c>
      <c r="M496" t="s">
        <v>92</v>
      </c>
      <c r="N496" t="s">
        <v>81</v>
      </c>
      <c r="O496" t="s">
        <v>1090</v>
      </c>
      <c r="P496" s="4">
        <v>465.02</v>
      </c>
      <c r="Q496" s="8" t="str">
        <f t="shared" si="60"/>
        <v>High</v>
      </c>
      <c r="R496" s="4">
        <v>651.55999999999995</v>
      </c>
      <c r="S496" s="4">
        <v>4.2000000000000003E-2</v>
      </c>
      <c r="T496" s="4">
        <v>19</v>
      </c>
      <c r="U496" s="4">
        <f t="shared" si="56"/>
        <v>27375.07992</v>
      </c>
      <c r="V496">
        <f t="shared" si="57"/>
        <v>8835.3799999999992</v>
      </c>
      <c r="W496" s="4">
        <f t="shared" si="61"/>
        <v>18539.699919999999</v>
      </c>
      <c r="X496" s="4">
        <f t="shared" si="62"/>
        <v>0.67724733495499501</v>
      </c>
    </row>
    <row r="497" spans="1:24" x14ac:dyDescent="0.3">
      <c r="A497" t="s">
        <v>1091</v>
      </c>
      <c r="B497" s="7">
        <v>45508</v>
      </c>
      <c r="C497" s="2">
        <v>45521</v>
      </c>
      <c r="D497" s="4">
        <f t="shared" si="63"/>
        <v>13</v>
      </c>
      <c r="E497" s="51" t="b">
        <f t="shared" si="58"/>
        <v>0</v>
      </c>
      <c r="F497" s="4" t="str">
        <f>TEXT(Data!B497,"MMM-YYYY")</f>
        <v>Jun-2023</v>
      </c>
      <c r="G497" s="4" t="str">
        <f t="shared" si="59"/>
        <v>Q3-2024</v>
      </c>
      <c r="H497" t="s">
        <v>52</v>
      </c>
      <c r="I497" t="s">
        <v>122</v>
      </c>
      <c r="J497" t="s">
        <v>326</v>
      </c>
      <c r="K497" t="s">
        <v>48</v>
      </c>
      <c r="L497" t="s">
        <v>20</v>
      </c>
      <c r="M497" t="s">
        <v>145</v>
      </c>
      <c r="N497" t="s">
        <v>64</v>
      </c>
      <c r="O497" t="s">
        <v>1092</v>
      </c>
      <c r="P497" s="4">
        <v>352.79</v>
      </c>
      <c r="Q497" s="8" t="str">
        <f t="shared" si="60"/>
        <v>High</v>
      </c>
      <c r="R497" s="4">
        <v>754.22</v>
      </c>
      <c r="S497" s="4">
        <v>0.113</v>
      </c>
      <c r="T497" s="4">
        <v>7</v>
      </c>
      <c r="U497" s="4">
        <f t="shared" si="56"/>
        <v>19254.791990000002</v>
      </c>
      <c r="V497">
        <f t="shared" si="57"/>
        <v>2469.5300000000002</v>
      </c>
      <c r="W497" s="4">
        <f t="shared" si="61"/>
        <v>16785.261990000003</v>
      </c>
      <c r="X497" s="4">
        <f t="shared" si="62"/>
        <v>0.87174465445887173</v>
      </c>
    </row>
    <row r="498" spans="1:24" x14ac:dyDescent="0.3">
      <c r="A498" t="s">
        <v>1093</v>
      </c>
      <c r="B498" s="7">
        <v>45097</v>
      </c>
      <c r="C498" s="2">
        <v>45111</v>
      </c>
      <c r="D498" s="4">
        <f t="shared" si="63"/>
        <v>14</v>
      </c>
      <c r="E498" s="51" t="b">
        <f t="shared" si="58"/>
        <v>0</v>
      </c>
      <c r="F498" s="4" t="str">
        <f>TEXT(Data!B498,"MMM-YYYY")</f>
        <v>Sept-2024</v>
      </c>
      <c r="G498" s="4" t="str">
        <f t="shared" si="59"/>
        <v>Q2-2023</v>
      </c>
      <c r="H498" t="s">
        <v>52</v>
      </c>
      <c r="I498" t="s">
        <v>73</v>
      </c>
      <c r="J498" t="s">
        <v>87</v>
      </c>
      <c r="K498" t="s">
        <v>39</v>
      </c>
      <c r="L498" t="s">
        <v>98</v>
      </c>
      <c r="M498" t="s">
        <v>21</v>
      </c>
      <c r="N498" t="s">
        <v>35</v>
      </c>
      <c r="O498" t="s">
        <v>1094</v>
      </c>
      <c r="P498" s="4">
        <v>1292.8599999999999</v>
      </c>
      <c r="Q498" s="8" t="str">
        <f t="shared" si="60"/>
        <v>High</v>
      </c>
      <c r="R498" s="4">
        <v>2981.01</v>
      </c>
      <c r="S498" s="4">
        <v>0.14199999999999999</v>
      </c>
      <c r="T498" s="4">
        <v>12</v>
      </c>
      <c r="U498" s="4">
        <f t="shared" si="56"/>
        <v>10084.108319999999</v>
      </c>
      <c r="V498">
        <f t="shared" si="57"/>
        <v>15514.32</v>
      </c>
      <c r="W498" s="4">
        <f t="shared" si="61"/>
        <v>-5430.2116800000003</v>
      </c>
      <c r="X498" s="4">
        <f t="shared" si="62"/>
        <v>-0.5384920022358507</v>
      </c>
    </row>
    <row r="499" spans="1:24" x14ac:dyDescent="0.3">
      <c r="A499" t="s">
        <v>1095</v>
      </c>
      <c r="B499" s="7">
        <v>45544</v>
      </c>
      <c r="C499" s="2">
        <v>45548</v>
      </c>
      <c r="D499" s="4">
        <f t="shared" si="63"/>
        <v>4</v>
      </c>
      <c r="E499" s="51" t="str">
        <f t="shared" si="58"/>
        <v>Yes</v>
      </c>
      <c r="F499" s="4" t="str">
        <f>TEXT(Data!B499,"MMM-YYYY")</f>
        <v>Oct-2023</v>
      </c>
      <c r="G499" s="4" t="str">
        <f t="shared" si="59"/>
        <v>Q3-2024</v>
      </c>
      <c r="H499" t="s">
        <v>78</v>
      </c>
      <c r="I499" t="s">
        <v>108</v>
      </c>
      <c r="J499" t="s">
        <v>152</v>
      </c>
      <c r="K499" t="s">
        <v>48</v>
      </c>
      <c r="L499" t="s">
        <v>40</v>
      </c>
      <c r="M499" t="s">
        <v>84</v>
      </c>
      <c r="N499" t="s">
        <v>35</v>
      </c>
      <c r="O499" t="s">
        <v>1096</v>
      </c>
      <c r="P499" s="4">
        <v>1133.08</v>
      </c>
      <c r="Q499" s="8" t="str">
        <f t="shared" si="60"/>
        <v>High</v>
      </c>
      <c r="R499" s="4">
        <v>976.17</v>
      </c>
      <c r="S499" s="4">
        <v>4.2000000000000003E-2</v>
      </c>
      <c r="T499" s="4">
        <v>27</v>
      </c>
      <c r="U499" s="4">
        <f t="shared" si="56"/>
        <v>30683.801159999999</v>
      </c>
      <c r="V499">
        <f t="shared" si="57"/>
        <v>30593.159999999996</v>
      </c>
      <c r="W499" s="4">
        <f t="shared" si="61"/>
        <v>90.641160000002856</v>
      </c>
      <c r="X499" s="4">
        <f t="shared" si="62"/>
        <v>2.9540394792469337E-3</v>
      </c>
    </row>
    <row r="500" spans="1:24" x14ac:dyDescent="0.3">
      <c r="A500" t="s">
        <v>1097</v>
      </c>
      <c r="B500" s="7">
        <v>45224</v>
      </c>
      <c r="C500" s="2">
        <v>45227</v>
      </c>
      <c r="D500" s="4">
        <f t="shared" si="63"/>
        <v>3</v>
      </c>
      <c r="E500" s="51" t="str">
        <f t="shared" si="58"/>
        <v>Yes</v>
      </c>
      <c r="F500" s="4" t="str">
        <f>TEXT(Data!B500,"MMM-YYYY")</f>
        <v>Sept-2025</v>
      </c>
      <c r="G500" s="4" t="str">
        <f t="shared" si="59"/>
        <v>Q4-2023</v>
      </c>
      <c r="H500" t="s">
        <v>52</v>
      </c>
      <c r="I500" t="s">
        <v>73</v>
      </c>
      <c r="J500" t="s">
        <v>87</v>
      </c>
      <c r="K500" t="s">
        <v>19</v>
      </c>
      <c r="L500" t="s">
        <v>55</v>
      </c>
      <c r="M500" t="s">
        <v>49</v>
      </c>
      <c r="N500" t="s">
        <v>81</v>
      </c>
      <c r="O500" t="s">
        <v>1098</v>
      </c>
      <c r="P500" s="4">
        <v>509.31</v>
      </c>
      <c r="Q500" s="8" t="str">
        <f t="shared" si="60"/>
        <v>High</v>
      </c>
      <c r="R500" s="4">
        <v>1145.9000000000001</v>
      </c>
      <c r="S500" s="4">
        <v>5.7000000000000002E-2</v>
      </c>
      <c r="T500" s="4">
        <v>8</v>
      </c>
      <c r="U500" s="4">
        <f t="shared" si="56"/>
        <v>14622.761519999998</v>
      </c>
      <c r="V500">
        <f t="shared" si="57"/>
        <v>4074.48</v>
      </c>
      <c r="W500" s="4">
        <f t="shared" si="61"/>
        <v>10548.281519999999</v>
      </c>
      <c r="X500" s="4">
        <f t="shared" si="62"/>
        <v>0.7213604287789821</v>
      </c>
    </row>
    <row r="501" spans="1:24" x14ac:dyDescent="0.3">
      <c r="A501" t="s">
        <v>1099</v>
      </c>
      <c r="B501" s="7">
        <v>45908</v>
      </c>
      <c r="C501" s="2">
        <v>45935</v>
      </c>
      <c r="D501" s="4">
        <f t="shared" si="63"/>
        <v>27</v>
      </c>
      <c r="E501" s="51" t="b">
        <f t="shared" si="58"/>
        <v>0</v>
      </c>
      <c r="F501" s="4" t="str">
        <f>TEXT(Data!B501,"MMM-YYYY")</f>
        <v>May-2023</v>
      </c>
      <c r="G501" s="4" t="str">
        <f t="shared" si="59"/>
        <v>Q3-2025</v>
      </c>
      <c r="H501" t="s">
        <v>52</v>
      </c>
      <c r="I501" t="s">
        <v>73</v>
      </c>
      <c r="J501" t="s">
        <v>225</v>
      </c>
      <c r="K501" t="s">
        <v>27</v>
      </c>
      <c r="L501" t="s">
        <v>28</v>
      </c>
      <c r="M501" t="s">
        <v>21</v>
      </c>
      <c r="N501" t="s">
        <v>64</v>
      </c>
      <c r="O501" t="s">
        <v>1100</v>
      </c>
      <c r="P501" s="4">
        <v>660.78</v>
      </c>
      <c r="Q501" s="8" t="str">
        <f t="shared" si="60"/>
        <v>High</v>
      </c>
      <c r="R501" s="4">
        <v>1630.39</v>
      </c>
      <c r="S501" s="4">
        <v>0.218</v>
      </c>
      <c r="T501" s="4">
        <v>13</v>
      </c>
      <c r="U501" s="4">
        <f t="shared" si="56"/>
        <v>8401.8940200000015</v>
      </c>
      <c r="V501">
        <f t="shared" si="57"/>
        <v>8590.14</v>
      </c>
      <c r="W501" s="4">
        <f t="shared" si="61"/>
        <v>-188.24597999999787</v>
      </c>
      <c r="X501" s="4">
        <f t="shared" si="62"/>
        <v>-2.2405183825443903E-2</v>
      </c>
    </row>
    <row r="502" spans="1:24" x14ac:dyDescent="0.3">
      <c r="A502" t="s">
        <v>1101</v>
      </c>
      <c r="B502" s="7">
        <v>45048</v>
      </c>
      <c r="C502" s="2">
        <v>45062</v>
      </c>
      <c r="D502" s="4">
        <f t="shared" si="63"/>
        <v>14</v>
      </c>
      <c r="E502" s="51" t="b">
        <f t="shared" si="58"/>
        <v>0</v>
      </c>
      <c r="F502" s="4" t="str">
        <f>TEXT(Data!B502,"MMM-YYYY")</f>
        <v>Apr-2024</v>
      </c>
      <c r="G502" s="4" t="str">
        <f t="shared" si="59"/>
        <v>Q2-2023</v>
      </c>
      <c r="H502" t="s">
        <v>45</v>
      </c>
      <c r="I502" t="s">
        <v>60</v>
      </c>
      <c r="J502" t="s">
        <v>61</v>
      </c>
      <c r="K502" t="s">
        <v>39</v>
      </c>
      <c r="L502" t="s">
        <v>20</v>
      </c>
      <c r="M502" t="s">
        <v>49</v>
      </c>
      <c r="N502" t="s">
        <v>64</v>
      </c>
      <c r="O502" t="s">
        <v>1102</v>
      </c>
      <c r="P502" s="4">
        <v>475.37</v>
      </c>
      <c r="Q502" s="8" t="str">
        <f t="shared" si="60"/>
        <v>High</v>
      </c>
      <c r="R502" s="4">
        <v>963.73</v>
      </c>
      <c r="S502" s="4">
        <v>4.1000000000000002E-2</v>
      </c>
      <c r="T502" s="4">
        <v>22</v>
      </c>
      <c r="U502" s="4">
        <f t="shared" si="56"/>
        <v>2493.1506600000002</v>
      </c>
      <c r="V502">
        <f t="shared" si="57"/>
        <v>10458.14</v>
      </c>
      <c r="W502" s="4">
        <f t="shared" si="61"/>
        <v>-7964.9893399999992</v>
      </c>
      <c r="X502" s="4">
        <f t="shared" si="62"/>
        <v>-3.194748503485946</v>
      </c>
    </row>
    <row r="503" spans="1:24" x14ac:dyDescent="0.3">
      <c r="A503" t="s">
        <v>1103</v>
      </c>
      <c r="B503" s="7">
        <v>45408</v>
      </c>
      <c r="C503" s="2">
        <v>45406</v>
      </c>
      <c r="D503" s="4">
        <f>DATEDIF(C503,B503, "MD")</f>
        <v>2</v>
      </c>
      <c r="E503" s="51" t="str">
        <f t="shared" si="58"/>
        <v>Yes</v>
      </c>
      <c r="F503" s="4" t="str">
        <f>TEXT(Data!B503,"MMM-YYYY")</f>
        <v>Feb-2023</v>
      </c>
      <c r="G503" s="4" t="str">
        <f t="shared" si="59"/>
        <v>Q2-2024</v>
      </c>
      <c r="H503" t="s">
        <v>78</v>
      </c>
      <c r="I503" t="s">
        <v>108</v>
      </c>
      <c r="J503" t="s">
        <v>152</v>
      </c>
      <c r="K503" t="s">
        <v>39</v>
      </c>
      <c r="L503" t="s">
        <v>55</v>
      </c>
      <c r="M503" t="s">
        <v>126</v>
      </c>
      <c r="N503" t="s">
        <v>42</v>
      </c>
      <c r="O503" t="s">
        <v>1104</v>
      </c>
      <c r="P503" s="4">
        <v>1232.77</v>
      </c>
      <c r="Q503" s="8" t="str">
        <f t="shared" si="60"/>
        <v>High</v>
      </c>
      <c r="R503" s="4">
        <v>891.73</v>
      </c>
      <c r="S503" s="4">
        <v>0.16700000000000001</v>
      </c>
      <c r="T503" s="4">
        <v>10</v>
      </c>
      <c r="U503" s="4">
        <f t="shared" si="56"/>
        <v>11877.497099999999</v>
      </c>
      <c r="V503">
        <f t="shared" si="57"/>
        <v>12327.7</v>
      </c>
      <c r="W503" s="4">
        <f t="shared" si="61"/>
        <v>-450.20290000000205</v>
      </c>
      <c r="X503" s="4">
        <f t="shared" si="62"/>
        <v>-3.7903852655960836E-2</v>
      </c>
    </row>
    <row r="504" spans="1:24" x14ac:dyDescent="0.3">
      <c r="A504" t="s">
        <v>1105</v>
      </c>
      <c r="B504" s="7">
        <v>44980</v>
      </c>
      <c r="C504" s="2">
        <v>45003</v>
      </c>
      <c r="D504" s="4">
        <f t="shared" si="63"/>
        <v>23</v>
      </c>
      <c r="E504" s="51" t="b">
        <f t="shared" si="58"/>
        <v>0</v>
      </c>
      <c r="F504" s="4" t="str">
        <f>TEXT(Data!B504,"MMM-YYYY")</f>
        <v>Mar-2025</v>
      </c>
      <c r="G504" s="4" t="str">
        <f t="shared" si="59"/>
        <v>Q1-2023</v>
      </c>
      <c r="H504" t="s">
        <v>45</v>
      </c>
      <c r="I504" t="s">
        <v>116</v>
      </c>
      <c r="J504" t="s">
        <v>338</v>
      </c>
      <c r="K504" t="s">
        <v>27</v>
      </c>
      <c r="L504" t="s">
        <v>55</v>
      </c>
      <c r="M504" t="s">
        <v>95</v>
      </c>
      <c r="N504" t="s">
        <v>30</v>
      </c>
      <c r="O504" t="s">
        <v>1106</v>
      </c>
      <c r="P504" s="4">
        <v>770.11</v>
      </c>
      <c r="Q504" s="8" t="str">
        <f t="shared" si="60"/>
        <v>High</v>
      </c>
      <c r="R504" s="4">
        <v>1667.82</v>
      </c>
      <c r="S504" s="4">
        <v>6.9000000000000006E-2</v>
      </c>
      <c r="T504" s="4">
        <v>7</v>
      </c>
      <c r="U504" s="4">
        <f t="shared" si="56"/>
        <v>10393.181259999999</v>
      </c>
      <c r="V504">
        <f t="shared" si="57"/>
        <v>5390.77</v>
      </c>
      <c r="W504" s="4">
        <f t="shared" si="61"/>
        <v>5002.4112599999989</v>
      </c>
      <c r="X504" s="4">
        <f t="shared" si="62"/>
        <v>0.48131665703288229</v>
      </c>
    </row>
    <row r="505" spans="1:24" x14ac:dyDescent="0.3">
      <c r="A505" t="s">
        <v>1107</v>
      </c>
      <c r="B505" s="7">
        <v>45740</v>
      </c>
      <c r="C505" s="2">
        <v>45741</v>
      </c>
      <c r="D505" s="4">
        <f t="shared" si="63"/>
        <v>1</v>
      </c>
      <c r="E505" s="51" t="str">
        <f t="shared" si="58"/>
        <v>Yes</v>
      </c>
      <c r="F505" s="4" t="str">
        <f>TEXT(Data!B505,"MMM-YYYY")</f>
        <v>Mar-2025</v>
      </c>
      <c r="G505" s="4" t="str">
        <f t="shared" si="59"/>
        <v>Q1-2025</v>
      </c>
      <c r="H505" t="s">
        <v>45</v>
      </c>
      <c r="I505" t="s">
        <v>116</v>
      </c>
      <c r="J505" t="s">
        <v>338</v>
      </c>
      <c r="K505" t="s">
        <v>39</v>
      </c>
      <c r="L505" t="s">
        <v>28</v>
      </c>
      <c r="M505" t="s">
        <v>41</v>
      </c>
      <c r="N505" t="s">
        <v>35</v>
      </c>
      <c r="O505" t="s">
        <v>1108</v>
      </c>
      <c r="P505" s="4">
        <v>1133.03</v>
      </c>
      <c r="Q505" s="8" t="str">
        <f t="shared" si="60"/>
        <v>High</v>
      </c>
      <c r="R505" s="4">
        <v>1921.51</v>
      </c>
      <c r="S505" s="4">
        <v>0.10100000000000001</v>
      </c>
      <c r="T505" s="4">
        <v>5</v>
      </c>
      <c r="U505" s="4">
        <f t="shared" si="56"/>
        <v>15022.784449999999</v>
      </c>
      <c r="V505">
        <f t="shared" si="57"/>
        <v>5665.15</v>
      </c>
      <c r="W505" s="4">
        <f t="shared" si="61"/>
        <v>9357.6344499999996</v>
      </c>
      <c r="X505" s="4">
        <f t="shared" si="62"/>
        <v>0.62289614026912299</v>
      </c>
    </row>
    <row r="506" spans="1:24" x14ac:dyDescent="0.3">
      <c r="A506" t="s">
        <v>1109</v>
      </c>
      <c r="B506" s="7">
        <v>45726</v>
      </c>
      <c r="C506" s="2">
        <v>45743</v>
      </c>
      <c r="D506" s="4">
        <f t="shared" si="63"/>
        <v>17</v>
      </c>
      <c r="E506" s="51" t="b">
        <f t="shared" si="58"/>
        <v>0</v>
      </c>
      <c r="F506" s="4" t="str">
        <f>TEXT(Data!B506,"MMM-YYYY")</f>
        <v>Apr-2024</v>
      </c>
      <c r="G506" s="4" t="str">
        <f t="shared" si="59"/>
        <v>Q1-2025</v>
      </c>
      <c r="H506" t="s">
        <v>52</v>
      </c>
      <c r="I506" t="s">
        <v>73</v>
      </c>
      <c r="J506" t="s">
        <v>225</v>
      </c>
      <c r="K506" t="s">
        <v>105</v>
      </c>
      <c r="L506" t="s">
        <v>98</v>
      </c>
      <c r="M506" t="s">
        <v>84</v>
      </c>
      <c r="N506" t="s">
        <v>35</v>
      </c>
      <c r="O506" t="s">
        <v>1110</v>
      </c>
      <c r="P506" s="4">
        <v>996.73</v>
      </c>
      <c r="Q506" s="8" t="str">
        <f t="shared" si="60"/>
        <v>High</v>
      </c>
      <c r="R506" s="4">
        <v>1217.43</v>
      </c>
      <c r="S506" s="4">
        <v>7.0000000000000007E-2</v>
      </c>
      <c r="T506" s="4">
        <v>9</v>
      </c>
      <c r="U506" s="4">
        <f t="shared" si="56"/>
        <v>8953.9748999999993</v>
      </c>
      <c r="V506">
        <f t="shared" si="57"/>
        <v>8970.57</v>
      </c>
      <c r="W506" s="4">
        <f t="shared" si="61"/>
        <v>-16.595100000000457</v>
      </c>
      <c r="X506" s="4">
        <f t="shared" si="62"/>
        <v>-1.8533779897015859E-3</v>
      </c>
    </row>
    <row r="507" spans="1:24" x14ac:dyDescent="0.3">
      <c r="A507" t="s">
        <v>1111</v>
      </c>
      <c r="B507" s="7">
        <v>45387</v>
      </c>
      <c r="C507" s="2">
        <v>45391</v>
      </c>
      <c r="D507" s="4">
        <f t="shared" si="63"/>
        <v>4</v>
      </c>
      <c r="E507" s="51" t="str">
        <f t="shared" si="58"/>
        <v>Yes</v>
      </c>
      <c r="F507" s="4" t="str">
        <f>TEXT(Data!B507,"MMM-YYYY")</f>
        <v>Apr-2025</v>
      </c>
      <c r="G507" s="4" t="str">
        <f t="shared" si="59"/>
        <v>Q2-2024</v>
      </c>
      <c r="H507" t="s">
        <v>16</v>
      </c>
      <c r="I507" t="s">
        <v>25</v>
      </c>
      <c r="J507" t="s">
        <v>38</v>
      </c>
      <c r="K507" t="s">
        <v>39</v>
      </c>
      <c r="L507" t="s">
        <v>98</v>
      </c>
      <c r="M507" t="s">
        <v>95</v>
      </c>
      <c r="N507" t="s">
        <v>22</v>
      </c>
      <c r="O507" t="s">
        <v>1112</v>
      </c>
      <c r="P507" s="4">
        <v>395.07</v>
      </c>
      <c r="Q507" s="8" t="str">
        <f t="shared" si="60"/>
        <v>High</v>
      </c>
      <c r="R507" s="4">
        <v>970.27</v>
      </c>
      <c r="S507" s="4">
        <v>0.123</v>
      </c>
      <c r="T507" s="4">
        <v>38</v>
      </c>
      <c r="U507" s="4">
        <f t="shared" si="56"/>
        <v>4692.9673199999997</v>
      </c>
      <c r="V507">
        <f t="shared" si="57"/>
        <v>15012.66</v>
      </c>
      <c r="W507" s="4">
        <f t="shared" si="61"/>
        <v>-10319.69268</v>
      </c>
      <c r="X507" s="4">
        <f t="shared" si="62"/>
        <v>-2.1989696446469185</v>
      </c>
    </row>
    <row r="508" spans="1:24" x14ac:dyDescent="0.3">
      <c r="A508" t="s">
        <v>1113</v>
      </c>
      <c r="B508" s="7">
        <v>45774</v>
      </c>
      <c r="C508" s="2">
        <v>45794</v>
      </c>
      <c r="D508" s="4">
        <f t="shared" si="63"/>
        <v>20</v>
      </c>
      <c r="E508" s="51" t="b">
        <f t="shared" si="58"/>
        <v>0</v>
      </c>
      <c r="F508" s="4" t="str">
        <f>TEXT(Data!B508,"MMM-YYYY")</f>
        <v>Oct-2024</v>
      </c>
      <c r="G508" s="4" t="str">
        <f t="shared" si="59"/>
        <v>Q2-2025</v>
      </c>
      <c r="H508" t="s">
        <v>52</v>
      </c>
      <c r="I508" t="s">
        <v>122</v>
      </c>
      <c r="J508" t="s">
        <v>326</v>
      </c>
      <c r="K508" t="s">
        <v>19</v>
      </c>
      <c r="L508" t="s">
        <v>98</v>
      </c>
      <c r="M508" t="s">
        <v>126</v>
      </c>
      <c r="N508" t="s">
        <v>42</v>
      </c>
      <c r="O508" t="s">
        <v>1114</v>
      </c>
      <c r="P508" s="4">
        <v>932.26</v>
      </c>
      <c r="Q508" s="8" t="str">
        <f t="shared" si="60"/>
        <v>High</v>
      </c>
      <c r="R508" s="4">
        <v>1624.67</v>
      </c>
      <c r="S508" s="4">
        <v>0.23499999999999999</v>
      </c>
      <c r="T508" s="4">
        <v>28</v>
      </c>
      <c r="U508" s="4">
        <f t="shared" si="56"/>
        <v>1435.9968000000001</v>
      </c>
      <c r="V508">
        <f t="shared" si="57"/>
        <v>26103.279999999999</v>
      </c>
      <c r="W508" s="4">
        <f t="shared" si="61"/>
        <v>-24667.283199999998</v>
      </c>
      <c r="X508" s="4">
        <f t="shared" si="62"/>
        <v>-17.177812095402995</v>
      </c>
    </row>
    <row r="509" spans="1:24" x14ac:dyDescent="0.3">
      <c r="A509" t="s">
        <v>1115</v>
      </c>
      <c r="B509" s="7">
        <v>45589</v>
      </c>
      <c r="C509" s="2">
        <v>45593</v>
      </c>
      <c r="D509" s="4">
        <f t="shared" si="63"/>
        <v>4</v>
      </c>
      <c r="E509" s="51" t="str">
        <f t="shared" si="58"/>
        <v>Yes</v>
      </c>
      <c r="F509" s="4" t="str">
        <f>TEXT(Data!B509,"MMM-YYYY")</f>
        <v>Apr-2023</v>
      </c>
      <c r="G509" s="4" t="str">
        <f t="shared" si="59"/>
        <v>Q4-2024</v>
      </c>
      <c r="H509" t="s">
        <v>45</v>
      </c>
      <c r="I509" t="s">
        <v>116</v>
      </c>
      <c r="J509" t="s">
        <v>162</v>
      </c>
      <c r="K509" t="s">
        <v>62</v>
      </c>
      <c r="L509" t="s">
        <v>55</v>
      </c>
      <c r="M509" t="s">
        <v>34</v>
      </c>
      <c r="N509" t="s">
        <v>35</v>
      </c>
      <c r="O509" t="s">
        <v>1116</v>
      </c>
      <c r="P509" s="4">
        <v>1331.77</v>
      </c>
      <c r="Q509" s="8" t="str">
        <f t="shared" si="60"/>
        <v>High</v>
      </c>
      <c r="R509" s="4">
        <v>2606.11</v>
      </c>
      <c r="S509" s="4">
        <v>0.02</v>
      </c>
      <c r="T509" s="4">
        <v>6</v>
      </c>
      <c r="U509" s="4">
        <f t="shared" si="56"/>
        <v>7506.8196000000007</v>
      </c>
      <c r="V509">
        <f t="shared" si="57"/>
        <v>7990.62</v>
      </c>
      <c r="W509" s="4">
        <f t="shared" si="61"/>
        <v>-483.80039999999917</v>
      </c>
      <c r="X509" s="4">
        <f t="shared" si="62"/>
        <v>-6.444811861470591E-2</v>
      </c>
    </row>
    <row r="510" spans="1:24" x14ac:dyDescent="0.3">
      <c r="A510" t="s">
        <v>1117</v>
      </c>
      <c r="B510" s="7">
        <v>45029</v>
      </c>
      <c r="C510" s="2">
        <v>45036</v>
      </c>
      <c r="D510" s="4">
        <f t="shared" si="63"/>
        <v>7</v>
      </c>
      <c r="E510" s="51" t="str">
        <f t="shared" si="58"/>
        <v>Yes</v>
      </c>
      <c r="F510" s="4" t="str">
        <f>TEXT(Data!B510,"MMM-YYYY")</f>
        <v>Nov-2024</v>
      </c>
      <c r="G510" s="4" t="str">
        <f t="shared" si="59"/>
        <v>Q2-2023</v>
      </c>
      <c r="H510" t="s">
        <v>78</v>
      </c>
      <c r="I510" t="s">
        <v>90</v>
      </c>
      <c r="J510" t="s">
        <v>138</v>
      </c>
      <c r="K510" t="s">
        <v>62</v>
      </c>
      <c r="L510" t="s">
        <v>28</v>
      </c>
      <c r="M510" t="s">
        <v>75</v>
      </c>
      <c r="N510" t="s">
        <v>57</v>
      </c>
      <c r="O510" t="s">
        <v>1118</v>
      </c>
      <c r="P510" s="4">
        <v>227.02</v>
      </c>
      <c r="Q510" s="8" t="str">
        <f t="shared" si="60"/>
        <v>High</v>
      </c>
      <c r="R510" s="4">
        <v>434.72</v>
      </c>
      <c r="S510" s="4">
        <v>9.8000000000000004E-2</v>
      </c>
      <c r="T510" s="4">
        <v>10</v>
      </c>
      <c r="U510" s="4">
        <f t="shared" si="56"/>
        <v>25448.667200000004</v>
      </c>
      <c r="V510">
        <f t="shared" si="57"/>
        <v>2270.2000000000003</v>
      </c>
      <c r="W510" s="4">
        <f t="shared" si="61"/>
        <v>23178.467200000003</v>
      </c>
      <c r="X510" s="4">
        <f t="shared" si="62"/>
        <v>0.91079297072186161</v>
      </c>
    </row>
    <row r="511" spans="1:24" x14ac:dyDescent="0.3">
      <c r="A511" t="s">
        <v>1119</v>
      </c>
      <c r="B511" s="7">
        <v>45608</v>
      </c>
      <c r="C511" s="2">
        <v>45617</v>
      </c>
      <c r="D511" s="4">
        <f t="shared" si="63"/>
        <v>9</v>
      </c>
      <c r="E511" s="51" t="b">
        <f t="shared" si="58"/>
        <v>0</v>
      </c>
      <c r="F511" s="4" t="str">
        <f>TEXT(Data!B511,"MMM-YYYY")</f>
        <v>May-2023</v>
      </c>
      <c r="G511" s="4" t="str">
        <f t="shared" si="59"/>
        <v>Q4-2024</v>
      </c>
      <c r="H511" t="s">
        <v>45</v>
      </c>
      <c r="I511" t="s">
        <v>60</v>
      </c>
      <c r="J511" t="s">
        <v>220</v>
      </c>
      <c r="K511" t="s">
        <v>19</v>
      </c>
      <c r="L511" t="s">
        <v>98</v>
      </c>
      <c r="M511" t="s">
        <v>92</v>
      </c>
      <c r="N511" t="s">
        <v>57</v>
      </c>
      <c r="O511" t="s">
        <v>1120</v>
      </c>
      <c r="P511" s="4">
        <v>903.41</v>
      </c>
      <c r="Q511" s="8" t="str">
        <f t="shared" si="60"/>
        <v>High</v>
      </c>
      <c r="R511" s="4">
        <v>1860.41</v>
      </c>
      <c r="S511" s="4">
        <v>0.108</v>
      </c>
      <c r="T511" s="4">
        <v>5</v>
      </c>
      <c r="U511" s="4">
        <f t="shared" si="56"/>
        <v>6953.9874000000009</v>
      </c>
      <c r="V511">
        <f t="shared" si="57"/>
        <v>4517.05</v>
      </c>
      <c r="W511" s="4">
        <f t="shared" si="61"/>
        <v>2436.9374000000007</v>
      </c>
      <c r="X511" s="4">
        <f t="shared" si="62"/>
        <v>0.35043741954436103</v>
      </c>
    </row>
    <row r="512" spans="1:24" x14ac:dyDescent="0.3">
      <c r="A512" t="s">
        <v>1121</v>
      </c>
      <c r="B512" s="7">
        <v>45056</v>
      </c>
      <c r="C512" s="2">
        <v>45060</v>
      </c>
      <c r="D512" s="4">
        <f t="shared" si="63"/>
        <v>4</v>
      </c>
      <c r="E512" s="51" t="str">
        <f t="shared" si="58"/>
        <v>Yes</v>
      </c>
      <c r="F512" s="4" t="str">
        <f>TEXT(Data!B512,"MMM-YYYY")</f>
        <v>Mar-2024</v>
      </c>
      <c r="G512" s="4" t="str">
        <f t="shared" si="59"/>
        <v>Q2-2023</v>
      </c>
      <c r="H512" t="s">
        <v>45</v>
      </c>
      <c r="I512" t="s">
        <v>60</v>
      </c>
      <c r="J512" t="s">
        <v>141</v>
      </c>
      <c r="K512" t="s">
        <v>39</v>
      </c>
      <c r="L512" t="s">
        <v>55</v>
      </c>
      <c r="M512" t="s">
        <v>21</v>
      </c>
      <c r="N512" t="s">
        <v>64</v>
      </c>
      <c r="O512" t="s">
        <v>1122</v>
      </c>
      <c r="P512" s="4">
        <v>622.6</v>
      </c>
      <c r="Q512" s="8" t="str">
        <f t="shared" si="60"/>
        <v>High</v>
      </c>
      <c r="R512" s="4">
        <v>833.69</v>
      </c>
      <c r="S512" s="4">
        <v>0.20899999999999999</v>
      </c>
      <c r="T512" s="4">
        <v>14</v>
      </c>
      <c r="U512" s="4">
        <f t="shared" si="56"/>
        <v>7271.8528400000005</v>
      </c>
      <c r="V512">
        <f t="shared" si="57"/>
        <v>8716.4</v>
      </c>
      <c r="W512" s="4">
        <f t="shared" si="61"/>
        <v>-1444.5471599999992</v>
      </c>
      <c r="X512" s="4">
        <f t="shared" si="62"/>
        <v>-0.19864911897749557</v>
      </c>
    </row>
    <row r="513" spans="1:24" x14ac:dyDescent="0.3">
      <c r="A513" t="s">
        <v>1123</v>
      </c>
      <c r="B513" s="7">
        <v>45353</v>
      </c>
      <c r="C513" s="2">
        <v>45374</v>
      </c>
      <c r="D513" s="4">
        <f t="shared" si="63"/>
        <v>21</v>
      </c>
      <c r="E513" s="51" t="b">
        <f t="shared" si="58"/>
        <v>0</v>
      </c>
      <c r="F513" s="4" t="str">
        <f>TEXT(Data!B513,"MMM-YYYY")</f>
        <v>Oct-2024</v>
      </c>
      <c r="G513" s="4" t="str">
        <f t="shared" si="59"/>
        <v>Q1-2024</v>
      </c>
      <c r="H513" t="s">
        <v>52</v>
      </c>
      <c r="I513" t="s">
        <v>122</v>
      </c>
      <c r="J513" t="s">
        <v>123</v>
      </c>
      <c r="K513" t="s">
        <v>62</v>
      </c>
      <c r="L513" t="s">
        <v>28</v>
      </c>
      <c r="M513" t="s">
        <v>84</v>
      </c>
      <c r="N513" t="s">
        <v>22</v>
      </c>
      <c r="O513" t="s">
        <v>1124</v>
      </c>
      <c r="P513" s="4">
        <v>225.01</v>
      </c>
      <c r="Q513" s="8" t="str">
        <f t="shared" si="60"/>
        <v>High</v>
      </c>
      <c r="R513" s="4">
        <v>333.48</v>
      </c>
      <c r="S513" s="4">
        <v>0.11899999999999999</v>
      </c>
      <c r="T513" s="4">
        <v>12</v>
      </c>
      <c r="U513" s="4">
        <f t="shared" si="56"/>
        <v>28098.68448</v>
      </c>
      <c r="V513">
        <f t="shared" si="57"/>
        <v>2700.12</v>
      </c>
      <c r="W513" s="4">
        <f t="shared" si="61"/>
        <v>25398.564480000001</v>
      </c>
      <c r="X513" s="4">
        <f t="shared" si="62"/>
        <v>0.90390582157246957</v>
      </c>
    </row>
    <row r="514" spans="1:24" x14ac:dyDescent="0.3">
      <c r="A514" t="s">
        <v>1125</v>
      </c>
      <c r="B514" s="7">
        <v>45575</v>
      </c>
      <c r="C514" s="2">
        <v>45576</v>
      </c>
      <c r="D514" s="4">
        <f t="shared" si="63"/>
        <v>1</v>
      </c>
      <c r="E514" s="51" t="str">
        <f t="shared" si="58"/>
        <v>Yes</v>
      </c>
      <c r="F514" s="4" t="str">
        <f>TEXT(Data!B514,"MMM-YYYY")</f>
        <v>Jun-2023</v>
      </c>
      <c r="G514" s="4" t="str">
        <f t="shared" si="59"/>
        <v>Q4-2024</v>
      </c>
      <c r="H514" t="s">
        <v>78</v>
      </c>
      <c r="I514" t="s">
        <v>108</v>
      </c>
      <c r="J514" t="s">
        <v>228</v>
      </c>
      <c r="K514" t="s">
        <v>39</v>
      </c>
      <c r="L514" t="s">
        <v>55</v>
      </c>
      <c r="M514" t="s">
        <v>49</v>
      </c>
      <c r="N514" t="s">
        <v>22</v>
      </c>
      <c r="O514" t="s">
        <v>1126</v>
      </c>
      <c r="P514" s="4">
        <v>1389.46</v>
      </c>
      <c r="Q514" s="8" t="str">
        <f t="shared" si="60"/>
        <v>High</v>
      </c>
      <c r="R514" s="4">
        <v>1784.7</v>
      </c>
      <c r="S514" s="4">
        <v>0.14599999999999999</v>
      </c>
      <c r="T514" s="4">
        <v>33</v>
      </c>
      <c r="U514" s="4">
        <f t="shared" ref="U514:U577" si="64">(R540*T514)*(1-S514)</f>
        <v>40152.022679999995</v>
      </c>
      <c r="V514">
        <f t="shared" ref="V514:V577" si="65">(P514*T514)</f>
        <v>45852.18</v>
      </c>
      <c r="W514" s="4">
        <f t="shared" si="61"/>
        <v>-5700.1573200000057</v>
      </c>
      <c r="X514" s="4">
        <f t="shared" si="62"/>
        <v>-0.14196438783242904</v>
      </c>
    </row>
    <row r="515" spans="1:24" x14ac:dyDescent="0.3">
      <c r="A515" t="s">
        <v>1127</v>
      </c>
      <c r="B515" s="7">
        <v>45078</v>
      </c>
      <c r="C515" s="2">
        <v>45085</v>
      </c>
      <c r="D515" s="4">
        <f t="shared" si="63"/>
        <v>7</v>
      </c>
      <c r="E515" s="51" t="str">
        <f t="shared" ref="E515:E578" si="66">IF(D515&lt;=7, "Yes")</f>
        <v>Yes</v>
      </c>
      <c r="F515" s="4" t="str">
        <f>TEXT(Data!B515,"MMM-YYYY")</f>
        <v>Jan-2025</v>
      </c>
      <c r="G515" s="4" t="str">
        <f t="shared" ref="G515:G578" si="67">"Q"&amp;ROUNDUP(MONTH(B515)/3,0)&amp;"-"&amp;YEAR(B515)</f>
        <v>Q2-2023</v>
      </c>
      <c r="H515" t="s">
        <v>78</v>
      </c>
      <c r="I515" t="s">
        <v>79</v>
      </c>
      <c r="J515" t="s">
        <v>335</v>
      </c>
      <c r="K515" t="s">
        <v>48</v>
      </c>
      <c r="L515" t="s">
        <v>28</v>
      </c>
      <c r="M515" t="s">
        <v>75</v>
      </c>
      <c r="N515" t="s">
        <v>42</v>
      </c>
      <c r="O515" t="s">
        <v>1128</v>
      </c>
      <c r="P515" s="4">
        <v>804.17</v>
      </c>
      <c r="Q515" s="8" t="str">
        <f t="shared" ref="Q515:Q578" si="68">IF(R515&lt;50, "Low", IF(R515&lt;200, "Medium", "High"))</f>
        <v>High</v>
      </c>
      <c r="R515" s="4">
        <v>1072.29</v>
      </c>
      <c r="S515" s="4">
        <v>3.2000000000000001E-2</v>
      </c>
      <c r="T515" s="4">
        <v>5</v>
      </c>
      <c r="U515" s="4">
        <f t="shared" si="64"/>
        <v>11222.701599999999</v>
      </c>
      <c r="V515">
        <f t="shared" si="65"/>
        <v>4020.85</v>
      </c>
      <c r="W515" s="4">
        <f t="shared" ref="W515:W578" si="69">(U515-V515)</f>
        <v>7201.8515999999981</v>
      </c>
      <c r="X515" s="4">
        <f t="shared" ref="X515:X578" si="70">IF(U515=0, 0, W515/U515)</f>
        <v>0.64172174015568584</v>
      </c>
    </row>
    <row r="516" spans="1:24" x14ac:dyDescent="0.3">
      <c r="A516" t="s">
        <v>1129</v>
      </c>
      <c r="B516" s="7">
        <v>45661</v>
      </c>
      <c r="C516" s="2">
        <v>45662</v>
      </c>
      <c r="D516" s="4">
        <f t="shared" si="63"/>
        <v>1</v>
      </c>
      <c r="E516" s="51" t="str">
        <f t="shared" si="66"/>
        <v>Yes</v>
      </c>
      <c r="F516" s="4" t="str">
        <f>TEXT(Data!B516,"MMM-YYYY")</f>
        <v>Aug-2025</v>
      </c>
      <c r="G516" s="4" t="str">
        <f t="shared" si="67"/>
        <v>Q1-2025</v>
      </c>
      <c r="H516" t="s">
        <v>45</v>
      </c>
      <c r="I516" t="s">
        <v>60</v>
      </c>
      <c r="J516" t="s">
        <v>141</v>
      </c>
      <c r="K516" t="s">
        <v>27</v>
      </c>
      <c r="L516" t="s">
        <v>20</v>
      </c>
      <c r="M516" t="s">
        <v>34</v>
      </c>
      <c r="N516" t="s">
        <v>22</v>
      </c>
      <c r="O516" t="s">
        <v>1130</v>
      </c>
      <c r="P516" s="4">
        <v>1428.33</v>
      </c>
      <c r="Q516" s="8" t="str">
        <f t="shared" si="68"/>
        <v>High</v>
      </c>
      <c r="R516" s="4">
        <v>3028.05</v>
      </c>
      <c r="S516" s="4">
        <v>0</v>
      </c>
      <c r="T516" s="4">
        <v>11</v>
      </c>
      <c r="U516" s="4">
        <f t="shared" si="64"/>
        <v>4033.7</v>
      </c>
      <c r="V516">
        <f t="shared" si="65"/>
        <v>15711.63</v>
      </c>
      <c r="W516" s="4">
        <f t="shared" si="69"/>
        <v>-11677.93</v>
      </c>
      <c r="X516" s="4">
        <f t="shared" si="70"/>
        <v>-2.8950913553313335</v>
      </c>
    </row>
    <row r="517" spans="1:24" x14ac:dyDescent="0.3">
      <c r="A517" t="s">
        <v>1131</v>
      </c>
      <c r="B517" s="7">
        <v>45874</v>
      </c>
      <c r="C517" s="2">
        <v>45897</v>
      </c>
      <c r="D517" s="4">
        <f t="shared" ref="D517:D580" si="71">DATEDIF(B517,C517, "MD")</f>
        <v>23</v>
      </c>
      <c r="E517" s="51" t="b">
        <f t="shared" si="66"/>
        <v>0</v>
      </c>
      <c r="F517" s="4" t="str">
        <f>TEXT(Data!B517,"MMM-YYYY")</f>
        <v>Sept-2023</v>
      </c>
      <c r="G517" s="4" t="str">
        <f t="shared" si="67"/>
        <v>Q3-2025</v>
      </c>
      <c r="H517" t="s">
        <v>45</v>
      </c>
      <c r="I517" t="s">
        <v>60</v>
      </c>
      <c r="J517" t="s">
        <v>220</v>
      </c>
      <c r="K517" t="s">
        <v>39</v>
      </c>
      <c r="L517" t="s">
        <v>55</v>
      </c>
      <c r="M517" t="s">
        <v>126</v>
      </c>
      <c r="N517" t="s">
        <v>57</v>
      </c>
      <c r="O517" t="s">
        <v>1132</v>
      </c>
      <c r="P517" s="4">
        <v>638.54</v>
      </c>
      <c r="Q517" s="8" t="str">
        <f t="shared" si="68"/>
        <v>High</v>
      </c>
      <c r="R517" s="4">
        <v>987.24</v>
      </c>
      <c r="S517" s="4">
        <v>0</v>
      </c>
      <c r="T517" s="4">
        <v>11</v>
      </c>
      <c r="U517" s="4">
        <f t="shared" si="64"/>
        <v>30771.51</v>
      </c>
      <c r="V517">
        <f t="shared" si="65"/>
        <v>7023.94</v>
      </c>
      <c r="W517" s="4">
        <f t="shared" si="69"/>
        <v>23747.57</v>
      </c>
      <c r="X517" s="4">
        <f t="shared" si="70"/>
        <v>0.77173885844406076</v>
      </c>
    </row>
    <row r="518" spans="1:24" x14ac:dyDescent="0.3">
      <c r="A518" t="s">
        <v>1133</v>
      </c>
      <c r="B518" s="7">
        <v>45199</v>
      </c>
      <c r="C518" s="2">
        <v>45229</v>
      </c>
      <c r="D518" s="4">
        <f t="shared" si="71"/>
        <v>0</v>
      </c>
      <c r="E518" s="51" t="str">
        <f t="shared" si="66"/>
        <v>Yes</v>
      </c>
      <c r="F518" s="4" t="str">
        <f>TEXT(Data!B518,"MMM-YYYY")</f>
        <v>May-2025</v>
      </c>
      <c r="G518" s="4" t="str">
        <f t="shared" si="67"/>
        <v>Q3-2023</v>
      </c>
      <c r="H518" t="s">
        <v>45</v>
      </c>
      <c r="I518" t="s">
        <v>46</v>
      </c>
      <c r="J518" t="s">
        <v>214</v>
      </c>
      <c r="K518" t="s">
        <v>105</v>
      </c>
      <c r="L518" t="s">
        <v>28</v>
      </c>
      <c r="M518" t="s">
        <v>145</v>
      </c>
      <c r="N518" t="s">
        <v>30</v>
      </c>
      <c r="O518" t="s">
        <v>1134</v>
      </c>
      <c r="P518" s="4">
        <v>649.13</v>
      </c>
      <c r="Q518" s="8" t="str">
        <f t="shared" si="68"/>
        <v>High</v>
      </c>
      <c r="R518" s="4">
        <v>975.43</v>
      </c>
      <c r="S518" s="4">
        <v>0.157</v>
      </c>
      <c r="T518" s="4">
        <v>27</v>
      </c>
      <c r="U518" s="4">
        <f t="shared" si="64"/>
        <v>50294.07125999999</v>
      </c>
      <c r="V518">
        <f t="shared" si="65"/>
        <v>17526.509999999998</v>
      </c>
      <c r="W518" s="4">
        <f t="shared" si="69"/>
        <v>32767.561259999991</v>
      </c>
      <c r="X518" s="4">
        <f t="shared" si="70"/>
        <v>0.65151936280133227</v>
      </c>
    </row>
    <row r="519" spans="1:24" x14ac:dyDescent="0.3">
      <c r="A519" t="s">
        <v>1135</v>
      </c>
      <c r="B519" s="7">
        <v>45794</v>
      </c>
      <c r="C519" s="2">
        <v>45807</v>
      </c>
      <c r="D519" s="4">
        <f t="shared" si="71"/>
        <v>13</v>
      </c>
      <c r="E519" s="51" t="b">
        <f t="shared" si="66"/>
        <v>0</v>
      </c>
      <c r="F519" s="4" t="str">
        <f>TEXT(Data!B519,"MMM-YYYY")</f>
        <v>May-2024</v>
      </c>
      <c r="G519" s="4" t="str">
        <f t="shared" si="67"/>
        <v>Q2-2025</v>
      </c>
      <c r="H519" t="s">
        <v>16</v>
      </c>
      <c r="I519" t="s">
        <v>25</v>
      </c>
      <c r="J519" t="s">
        <v>38</v>
      </c>
      <c r="K519" t="s">
        <v>48</v>
      </c>
      <c r="L519" t="s">
        <v>55</v>
      </c>
      <c r="M519" t="s">
        <v>84</v>
      </c>
      <c r="N519" t="s">
        <v>81</v>
      </c>
      <c r="O519" t="s">
        <v>1136</v>
      </c>
      <c r="P519" s="4">
        <v>66.400000000000006</v>
      </c>
      <c r="Q519" s="8" t="str">
        <f t="shared" si="68"/>
        <v>Medium</v>
      </c>
      <c r="R519" s="4">
        <v>141.43</v>
      </c>
      <c r="S519" s="4">
        <v>0.107</v>
      </c>
      <c r="T519" s="4">
        <v>8</v>
      </c>
      <c r="U519" s="4">
        <f t="shared" si="64"/>
        <v>5994.1017599999996</v>
      </c>
      <c r="V519">
        <f t="shared" si="65"/>
        <v>531.20000000000005</v>
      </c>
      <c r="W519" s="4">
        <f t="shared" si="69"/>
        <v>5462.9017599999997</v>
      </c>
      <c r="X519" s="4">
        <f t="shared" si="70"/>
        <v>0.91137954921873066</v>
      </c>
    </row>
    <row r="520" spans="1:24" x14ac:dyDescent="0.3">
      <c r="A520" t="s">
        <v>1137</v>
      </c>
      <c r="B520" s="7">
        <v>45413</v>
      </c>
      <c r="C520" s="2">
        <v>45438</v>
      </c>
      <c r="D520" s="4">
        <f t="shared" si="71"/>
        <v>25</v>
      </c>
      <c r="E520" s="51" t="b">
        <f t="shared" si="66"/>
        <v>0</v>
      </c>
      <c r="F520" s="4" t="str">
        <f>TEXT(Data!B520,"MMM-YYYY")</f>
        <v>May-2023</v>
      </c>
      <c r="G520" s="4" t="str">
        <f t="shared" si="67"/>
        <v>Q2-2024</v>
      </c>
      <c r="H520" t="s">
        <v>78</v>
      </c>
      <c r="I520" t="s">
        <v>79</v>
      </c>
      <c r="J520" t="s">
        <v>80</v>
      </c>
      <c r="K520" t="s">
        <v>39</v>
      </c>
      <c r="L520" t="s">
        <v>20</v>
      </c>
      <c r="M520" t="s">
        <v>56</v>
      </c>
      <c r="N520" t="s">
        <v>35</v>
      </c>
      <c r="O520" t="s">
        <v>1138</v>
      </c>
      <c r="P520" s="4">
        <v>930.71</v>
      </c>
      <c r="Q520" s="8" t="str">
        <f t="shared" si="68"/>
        <v>High</v>
      </c>
      <c r="R520" s="4">
        <v>1625.42</v>
      </c>
      <c r="S520" s="4">
        <v>0.13800000000000001</v>
      </c>
      <c r="T520" s="4">
        <v>7</v>
      </c>
      <c r="U520" s="4">
        <f t="shared" si="64"/>
        <v>6873.6311000000005</v>
      </c>
      <c r="V520">
        <f t="shared" si="65"/>
        <v>6514.97</v>
      </c>
      <c r="W520" s="4">
        <f t="shared" si="69"/>
        <v>358.66110000000026</v>
      </c>
      <c r="X520" s="4">
        <f t="shared" si="70"/>
        <v>5.2179276830844216E-2</v>
      </c>
    </row>
    <row r="521" spans="1:24" x14ac:dyDescent="0.3">
      <c r="A521" t="s">
        <v>1139</v>
      </c>
      <c r="B521" s="7">
        <v>45047</v>
      </c>
      <c r="C521" s="2">
        <v>45064</v>
      </c>
      <c r="D521" s="4">
        <f t="shared" si="71"/>
        <v>17</v>
      </c>
      <c r="E521" s="51" t="b">
        <f t="shared" si="66"/>
        <v>0</v>
      </c>
      <c r="F521" s="4" t="str">
        <f>TEXT(Data!B521,"MMM-YYYY")</f>
        <v>Jul-2024</v>
      </c>
      <c r="G521" s="4" t="str">
        <f t="shared" si="67"/>
        <v>Q2-2023</v>
      </c>
      <c r="H521" t="s">
        <v>16</v>
      </c>
      <c r="I521" t="s">
        <v>25</v>
      </c>
      <c r="J521" t="s">
        <v>26</v>
      </c>
      <c r="K521" t="s">
        <v>19</v>
      </c>
      <c r="L521" t="s">
        <v>98</v>
      </c>
      <c r="M521" t="s">
        <v>84</v>
      </c>
      <c r="N521" t="s">
        <v>22</v>
      </c>
      <c r="O521" t="s">
        <v>1140</v>
      </c>
      <c r="P521" s="4">
        <v>327.97</v>
      </c>
      <c r="Q521" s="8" t="str">
        <f t="shared" si="68"/>
        <v>High</v>
      </c>
      <c r="R521" s="4">
        <v>299.94</v>
      </c>
      <c r="S521" s="4">
        <v>4.9000000000000002E-2</v>
      </c>
      <c r="T521" s="4">
        <v>3</v>
      </c>
      <c r="U521" s="4">
        <f t="shared" si="64"/>
        <v>4884.4215899999999</v>
      </c>
      <c r="V521">
        <f t="shared" si="65"/>
        <v>983.91000000000008</v>
      </c>
      <c r="W521" s="4">
        <f t="shared" si="69"/>
        <v>3900.5115900000001</v>
      </c>
      <c r="X521" s="4">
        <f t="shared" si="70"/>
        <v>0.79856161433435968</v>
      </c>
    </row>
    <row r="522" spans="1:24" x14ac:dyDescent="0.3">
      <c r="A522" t="s">
        <v>1141</v>
      </c>
      <c r="B522" s="7">
        <v>45482</v>
      </c>
      <c r="C522" s="2">
        <v>45512</v>
      </c>
      <c r="D522" s="4">
        <f t="shared" si="71"/>
        <v>30</v>
      </c>
      <c r="E522" s="51" t="b">
        <f t="shared" si="66"/>
        <v>0</v>
      </c>
      <c r="F522" s="4" t="str">
        <f>TEXT(Data!B522,"MMM-YYYY")</f>
        <v>May-2023</v>
      </c>
      <c r="G522" s="4" t="str">
        <f t="shared" si="67"/>
        <v>Q3-2024</v>
      </c>
      <c r="H522" t="s">
        <v>78</v>
      </c>
      <c r="I522" t="s">
        <v>90</v>
      </c>
      <c r="J522" t="s">
        <v>91</v>
      </c>
      <c r="K522" t="s">
        <v>19</v>
      </c>
      <c r="L522" t="s">
        <v>98</v>
      </c>
      <c r="M522" t="s">
        <v>29</v>
      </c>
      <c r="N522" t="s">
        <v>22</v>
      </c>
      <c r="O522" t="s">
        <v>1142</v>
      </c>
      <c r="P522" s="4">
        <v>1062.3800000000001</v>
      </c>
      <c r="Q522" s="8" t="str">
        <f t="shared" si="68"/>
        <v>High</v>
      </c>
      <c r="R522" s="4">
        <v>1503.96</v>
      </c>
      <c r="S522" s="4">
        <v>0.18</v>
      </c>
      <c r="T522" s="4">
        <v>6</v>
      </c>
      <c r="U522" s="4">
        <f t="shared" si="64"/>
        <v>5187.1068000000005</v>
      </c>
      <c r="V522">
        <f t="shared" si="65"/>
        <v>6374.2800000000007</v>
      </c>
      <c r="W522" s="4">
        <f t="shared" si="69"/>
        <v>-1187.1732000000002</v>
      </c>
      <c r="X522" s="4">
        <f t="shared" si="70"/>
        <v>-0.22887001285572142</v>
      </c>
    </row>
    <row r="523" spans="1:24" x14ac:dyDescent="0.3">
      <c r="A523" t="s">
        <v>1143</v>
      </c>
      <c r="B523" s="7">
        <v>45056</v>
      </c>
      <c r="C523" s="2">
        <v>45073</v>
      </c>
      <c r="D523" s="4">
        <f t="shared" si="71"/>
        <v>17</v>
      </c>
      <c r="E523" s="51" t="b">
        <f t="shared" si="66"/>
        <v>0</v>
      </c>
      <c r="F523" s="4" t="str">
        <f>TEXT(Data!B523,"MMM-YYYY")</f>
        <v>Jul-2024</v>
      </c>
      <c r="G523" s="4" t="str">
        <f t="shared" si="67"/>
        <v>Q2-2023</v>
      </c>
      <c r="H523" t="s">
        <v>45</v>
      </c>
      <c r="I523" t="s">
        <v>60</v>
      </c>
      <c r="J523" t="s">
        <v>220</v>
      </c>
      <c r="K523" t="s">
        <v>48</v>
      </c>
      <c r="L523" t="s">
        <v>20</v>
      </c>
      <c r="M523" t="s">
        <v>110</v>
      </c>
      <c r="N523" t="s">
        <v>57</v>
      </c>
      <c r="O523" t="s">
        <v>1144</v>
      </c>
      <c r="P523" s="4">
        <v>1286.1600000000001</v>
      </c>
      <c r="Q523" s="8" t="str">
        <f t="shared" si="68"/>
        <v>High</v>
      </c>
      <c r="R523" s="4">
        <v>3101.11</v>
      </c>
      <c r="S523" s="4">
        <v>0.1</v>
      </c>
      <c r="T523" s="4">
        <v>23</v>
      </c>
      <c r="U523" s="4">
        <f t="shared" si="64"/>
        <v>50740.254000000001</v>
      </c>
      <c r="V523">
        <f t="shared" si="65"/>
        <v>29581.68</v>
      </c>
      <c r="W523" s="4">
        <f t="shared" si="69"/>
        <v>21158.574000000001</v>
      </c>
      <c r="X523" s="4">
        <f t="shared" si="70"/>
        <v>0.41699779429562966</v>
      </c>
    </row>
    <row r="524" spans="1:24" x14ac:dyDescent="0.3">
      <c r="A524" t="s">
        <v>1145</v>
      </c>
      <c r="B524" s="7">
        <v>45482</v>
      </c>
      <c r="C524" s="2">
        <v>45485</v>
      </c>
      <c r="D524" s="4">
        <f t="shared" si="71"/>
        <v>3</v>
      </c>
      <c r="E524" s="51" t="str">
        <f t="shared" si="66"/>
        <v>Yes</v>
      </c>
      <c r="F524" s="4" t="str">
        <f>TEXT(Data!B524,"MMM-YYYY")</f>
        <v>Apr-2024</v>
      </c>
      <c r="G524" s="4" t="str">
        <f t="shared" si="67"/>
        <v>Q3-2024</v>
      </c>
      <c r="H524" t="s">
        <v>45</v>
      </c>
      <c r="I524" t="s">
        <v>116</v>
      </c>
      <c r="J524" t="s">
        <v>162</v>
      </c>
      <c r="K524" t="s">
        <v>62</v>
      </c>
      <c r="L524" t="s">
        <v>20</v>
      </c>
      <c r="M524" t="s">
        <v>145</v>
      </c>
      <c r="N524" t="s">
        <v>81</v>
      </c>
      <c r="O524" t="s">
        <v>1146</v>
      </c>
      <c r="P524" s="4">
        <v>748.39</v>
      </c>
      <c r="Q524" s="8" t="str">
        <f t="shared" si="68"/>
        <v>High</v>
      </c>
      <c r="R524" s="4">
        <v>979.42</v>
      </c>
      <c r="S524" s="4">
        <v>0</v>
      </c>
      <c r="T524" s="4">
        <v>23</v>
      </c>
      <c r="U524" s="4">
        <f t="shared" si="64"/>
        <v>28777.83</v>
      </c>
      <c r="V524">
        <f t="shared" si="65"/>
        <v>17212.97</v>
      </c>
      <c r="W524" s="4">
        <f t="shared" si="69"/>
        <v>11564.86</v>
      </c>
      <c r="X524" s="4">
        <f t="shared" si="70"/>
        <v>0.401866992751017</v>
      </c>
    </row>
    <row r="525" spans="1:24" x14ac:dyDescent="0.3">
      <c r="A525" t="s">
        <v>1147</v>
      </c>
      <c r="B525" s="7">
        <v>45406</v>
      </c>
      <c r="C525" s="2">
        <v>45422</v>
      </c>
      <c r="D525" s="4">
        <f t="shared" si="71"/>
        <v>16</v>
      </c>
      <c r="E525" s="51" t="b">
        <f t="shared" si="66"/>
        <v>0</v>
      </c>
      <c r="F525" s="4" t="str">
        <f>TEXT(Data!B525,"MMM-YYYY")</f>
        <v>Jan-2024</v>
      </c>
      <c r="G525" s="4" t="str">
        <f t="shared" si="67"/>
        <v>Q2-2024</v>
      </c>
      <c r="H525" t="s">
        <v>16</v>
      </c>
      <c r="I525" t="s">
        <v>17</v>
      </c>
      <c r="J525" t="s">
        <v>18</v>
      </c>
      <c r="K525" t="s">
        <v>39</v>
      </c>
      <c r="L525" t="s">
        <v>28</v>
      </c>
      <c r="M525" t="s">
        <v>126</v>
      </c>
      <c r="N525" t="s">
        <v>64</v>
      </c>
      <c r="O525" t="s">
        <v>1148</v>
      </c>
      <c r="P525" s="4">
        <v>513.30999999999995</v>
      </c>
      <c r="Q525" s="8" t="str">
        <f t="shared" si="68"/>
        <v>High</v>
      </c>
      <c r="R525" s="4">
        <v>1186.26</v>
      </c>
      <c r="S525" s="4">
        <v>9.4E-2</v>
      </c>
      <c r="T525" s="4">
        <v>15</v>
      </c>
      <c r="U525" s="4">
        <f t="shared" si="64"/>
        <v>15014.232</v>
      </c>
      <c r="V525">
        <f t="shared" si="65"/>
        <v>7699.65</v>
      </c>
      <c r="W525" s="4">
        <f t="shared" si="69"/>
        <v>7314.5820000000003</v>
      </c>
      <c r="X525" s="4">
        <f t="shared" si="70"/>
        <v>0.48717656687335059</v>
      </c>
    </row>
    <row r="526" spans="1:24" x14ac:dyDescent="0.3">
      <c r="A526" t="s">
        <v>1149</v>
      </c>
      <c r="B526" s="7">
        <v>45304</v>
      </c>
      <c r="C526" s="2">
        <v>45306</v>
      </c>
      <c r="D526" s="4">
        <f t="shared" si="71"/>
        <v>2</v>
      </c>
      <c r="E526" s="51" t="str">
        <f t="shared" si="66"/>
        <v>Yes</v>
      </c>
      <c r="F526" s="4" t="str">
        <f>TEXT(Data!B526,"MMM-YYYY")</f>
        <v>Apr-2024</v>
      </c>
      <c r="G526" s="4" t="str">
        <f t="shared" si="67"/>
        <v>Q1-2024</v>
      </c>
      <c r="H526" t="s">
        <v>52</v>
      </c>
      <c r="I526" t="s">
        <v>122</v>
      </c>
      <c r="J526" t="s">
        <v>167</v>
      </c>
      <c r="K526" t="s">
        <v>39</v>
      </c>
      <c r="L526" t="s">
        <v>98</v>
      </c>
      <c r="M526" t="s">
        <v>63</v>
      </c>
      <c r="N526" t="s">
        <v>22</v>
      </c>
      <c r="O526" t="s">
        <v>1150</v>
      </c>
      <c r="P526" s="4">
        <v>1061.3699999999999</v>
      </c>
      <c r="Q526" s="8" t="str">
        <f t="shared" si="68"/>
        <v>High</v>
      </c>
      <c r="R526" s="4">
        <v>1938.33</v>
      </c>
      <c r="S526" s="4">
        <v>0.17</v>
      </c>
      <c r="T526" s="4">
        <v>4</v>
      </c>
      <c r="U526" s="4">
        <f t="shared" si="64"/>
        <v>7912.9211999999989</v>
      </c>
      <c r="V526">
        <f t="shared" si="65"/>
        <v>4245.4799999999996</v>
      </c>
      <c r="W526" s="4">
        <f t="shared" si="69"/>
        <v>3667.4411999999993</v>
      </c>
      <c r="X526" s="4">
        <f t="shared" si="70"/>
        <v>0.46347500591816837</v>
      </c>
    </row>
    <row r="527" spans="1:24" x14ac:dyDescent="0.3">
      <c r="A527" t="s">
        <v>1151</v>
      </c>
      <c r="B527" s="7">
        <v>45398</v>
      </c>
      <c r="C527" s="2">
        <v>45409</v>
      </c>
      <c r="D527" s="4">
        <f t="shared" si="71"/>
        <v>11</v>
      </c>
      <c r="E527" s="51" t="b">
        <f t="shared" si="66"/>
        <v>0</v>
      </c>
      <c r="F527" s="4" t="str">
        <f>TEXT(Data!B527,"MMM-YYYY")</f>
        <v>Feb-2025</v>
      </c>
      <c r="G527" s="4" t="str">
        <f t="shared" si="67"/>
        <v>Q2-2024</v>
      </c>
      <c r="H527" t="s">
        <v>16</v>
      </c>
      <c r="I527" t="s">
        <v>17</v>
      </c>
      <c r="J527" t="s">
        <v>135</v>
      </c>
      <c r="K527" t="s">
        <v>105</v>
      </c>
      <c r="L527" t="s">
        <v>28</v>
      </c>
      <c r="M527" t="s">
        <v>145</v>
      </c>
      <c r="N527" t="s">
        <v>30</v>
      </c>
      <c r="O527" t="s">
        <v>1152</v>
      </c>
      <c r="P527" s="4">
        <v>401.3</v>
      </c>
      <c r="Q527" s="8" t="str">
        <f t="shared" si="68"/>
        <v>High</v>
      </c>
      <c r="R527" s="4">
        <v>826.47</v>
      </c>
      <c r="S527" s="4">
        <v>0.22500000000000001</v>
      </c>
      <c r="T527" s="4">
        <v>13</v>
      </c>
      <c r="U527" s="4">
        <f t="shared" si="64"/>
        <v>2146.5795000000003</v>
      </c>
      <c r="V527">
        <f t="shared" si="65"/>
        <v>5216.9000000000005</v>
      </c>
      <c r="W527" s="4">
        <f t="shared" si="69"/>
        <v>-3070.3205000000003</v>
      </c>
      <c r="X527" s="4">
        <f t="shared" si="70"/>
        <v>-1.4303316043034977</v>
      </c>
    </row>
    <row r="528" spans="1:24" x14ac:dyDescent="0.3">
      <c r="A528" t="s">
        <v>1153</v>
      </c>
      <c r="B528" s="7">
        <v>45695</v>
      </c>
      <c r="C528" s="2">
        <v>45704</v>
      </c>
      <c r="D528" s="4">
        <f t="shared" si="71"/>
        <v>9</v>
      </c>
      <c r="E528" s="51" t="b">
        <f t="shared" si="66"/>
        <v>0</v>
      </c>
      <c r="F528" s="4" t="str">
        <f>TEXT(Data!B528,"MMM-YYYY")</f>
        <v>Jan-2023</v>
      </c>
      <c r="G528" s="4" t="str">
        <f t="shared" si="67"/>
        <v>Q1-2025</v>
      </c>
      <c r="H528" t="s">
        <v>16</v>
      </c>
      <c r="I528" t="s">
        <v>25</v>
      </c>
      <c r="J528" t="s">
        <v>38</v>
      </c>
      <c r="K528" t="s">
        <v>62</v>
      </c>
      <c r="L528" t="s">
        <v>55</v>
      </c>
      <c r="M528" t="s">
        <v>21</v>
      </c>
      <c r="N528" t="s">
        <v>30</v>
      </c>
      <c r="O528" t="s">
        <v>1154</v>
      </c>
      <c r="P528" s="4">
        <v>90.68</v>
      </c>
      <c r="Q528" s="8" t="str">
        <f t="shared" si="68"/>
        <v>Medium</v>
      </c>
      <c r="R528" s="4">
        <v>118.17</v>
      </c>
      <c r="S528" s="4">
        <v>0.13500000000000001</v>
      </c>
      <c r="T528" s="4">
        <v>21</v>
      </c>
      <c r="U528" s="4">
        <f t="shared" si="64"/>
        <v>36886.575600000004</v>
      </c>
      <c r="V528">
        <f t="shared" si="65"/>
        <v>1904.2800000000002</v>
      </c>
      <c r="W528" s="4">
        <f t="shared" si="69"/>
        <v>34982.295600000005</v>
      </c>
      <c r="X528" s="4">
        <f t="shared" si="70"/>
        <v>0.94837471440422894</v>
      </c>
    </row>
    <row r="529" spans="1:24" x14ac:dyDescent="0.3">
      <c r="A529" t="s">
        <v>1155</v>
      </c>
      <c r="B529" s="7">
        <v>44938</v>
      </c>
      <c r="C529" s="2">
        <v>44952</v>
      </c>
      <c r="D529" s="4">
        <f t="shared" si="71"/>
        <v>14</v>
      </c>
      <c r="E529" s="51" t="b">
        <f t="shared" si="66"/>
        <v>0</v>
      </c>
      <c r="F529" s="4" t="str">
        <f>TEXT(Data!B529,"MMM-YYYY")</f>
        <v>Jun-2024</v>
      </c>
      <c r="G529" s="4" t="str">
        <f t="shared" si="67"/>
        <v>Q1-2023</v>
      </c>
      <c r="H529" t="s">
        <v>45</v>
      </c>
      <c r="I529" t="s">
        <v>116</v>
      </c>
      <c r="J529" t="s">
        <v>117</v>
      </c>
      <c r="K529" t="s">
        <v>39</v>
      </c>
      <c r="L529" t="s">
        <v>20</v>
      </c>
      <c r="M529" t="s">
        <v>110</v>
      </c>
      <c r="N529" t="s">
        <v>30</v>
      </c>
      <c r="O529" t="s">
        <v>1156</v>
      </c>
      <c r="P529" s="4">
        <v>1083.0899999999999</v>
      </c>
      <c r="Q529" s="8" t="str">
        <f t="shared" si="68"/>
        <v>High</v>
      </c>
      <c r="R529" s="4">
        <v>1425.87</v>
      </c>
      <c r="S529" s="4">
        <v>0</v>
      </c>
      <c r="T529" s="4">
        <v>8</v>
      </c>
      <c r="U529" s="4">
        <f t="shared" si="64"/>
        <v>7653.6</v>
      </c>
      <c r="V529">
        <f t="shared" si="65"/>
        <v>8664.7199999999993</v>
      </c>
      <c r="W529" s="4">
        <f t="shared" si="69"/>
        <v>-1011.119999999999</v>
      </c>
      <c r="X529" s="4">
        <f t="shared" si="70"/>
        <v>-0.13211037942928805</v>
      </c>
    </row>
    <row r="530" spans="1:24" x14ac:dyDescent="0.3">
      <c r="A530" t="s">
        <v>1157</v>
      </c>
      <c r="B530" s="7">
        <v>45448</v>
      </c>
      <c r="C530" s="2">
        <v>45466</v>
      </c>
      <c r="D530" s="4">
        <f t="shared" si="71"/>
        <v>18</v>
      </c>
      <c r="E530" s="51" t="b">
        <f t="shared" si="66"/>
        <v>0</v>
      </c>
      <c r="F530" s="4" t="str">
        <f>TEXT(Data!B530,"MMM-YYYY")</f>
        <v>Aug-2023</v>
      </c>
      <c r="G530" s="4" t="str">
        <f t="shared" si="67"/>
        <v>Q2-2024</v>
      </c>
      <c r="H530" t="s">
        <v>16</v>
      </c>
      <c r="I530" t="s">
        <v>17</v>
      </c>
      <c r="J530" t="s">
        <v>33</v>
      </c>
      <c r="K530" t="s">
        <v>48</v>
      </c>
      <c r="L530" t="s">
        <v>55</v>
      </c>
      <c r="M530" t="s">
        <v>145</v>
      </c>
      <c r="N530" t="s">
        <v>57</v>
      </c>
      <c r="O530" t="s">
        <v>1158</v>
      </c>
      <c r="P530" s="4">
        <v>1208.74</v>
      </c>
      <c r="Q530" s="8" t="str">
        <f t="shared" si="68"/>
        <v>High</v>
      </c>
      <c r="R530" s="4">
        <v>1594.78</v>
      </c>
      <c r="S530" s="4">
        <v>5.8999999999999997E-2</v>
      </c>
      <c r="T530" s="4">
        <v>39</v>
      </c>
      <c r="U530" s="4">
        <f t="shared" si="64"/>
        <v>53128.40832000001</v>
      </c>
      <c r="V530">
        <f t="shared" si="65"/>
        <v>47140.86</v>
      </c>
      <c r="W530" s="4">
        <f t="shared" si="69"/>
        <v>5987.548320000009</v>
      </c>
      <c r="X530" s="4">
        <f t="shared" si="70"/>
        <v>0.11269956148387032</v>
      </c>
    </row>
    <row r="531" spans="1:24" x14ac:dyDescent="0.3">
      <c r="A531" t="s">
        <v>1159</v>
      </c>
      <c r="B531" s="7">
        <v>45162</v>
      </c>
      <c r="C531" s="2">
        <v>45189</v>
      </c>
      <c r="D531" s="4">
        <f t="shared" si="71"/>
        <v>27</v>
      </c>
      <c r="E531" s="51" t="b">
        <f t="shared" si="66"/>
        <v>0</v>
      </c>
      <c r="F531" s="4" t="str">
        <f>TEXT(Data!B531,"MMM-YYYY")</f>
        <v>Jan-2024</v>
      </c>
      <c r="G531" s="4" t="str">
        <f t="shared" si="67"/>
        <v>Q3-2023</v>
      </c>
      <c r="H531" t="s">
        <v>16</v>
      </c>
      <c r="I531" t="s">
        <v>148</v>
      </c>
      <c r="J531" t="s">
        <v>172</v>
      </c>
      <c r="K531" t="s">
        <v>62</v>
      </c>
      <c r="L531" t="s">
        <v>40</v>
      </c>
      <c r="M531" t="s">
        <v>110</v>
      </c>
      <c r="N531" t="s">
        <v>30</v>
      </c>
      <c r="O531" t="s">
        <v>1160</v>
      </c>
      <c r="P531" s="4">
        <v>1399.64</v>
      </c>
      <c r="Q531" s="8" t="str">
        <f t="shared" si="68"/>
        <v>High</v>
      </c>
      <c r="R531" s="4">
        <v>3342.11</v>
      </c>
      <c r="S531" s="4">
        <v>0</v>
      </c>
      <c r="T531" s="4">
        <v>10</v>
      </c>
      <c r="U531" s="4">
        <f t="shared" si="64"/>
        <v>29496.199999999997</v>
      </c>
      <c r="V531">
        <f t="shared" si="65"/>
        <v>13996.400000000001</v>
      </c>
      <c r="W531" s="4">
        <f t="shared" si="69"/>
        <v>15499.799999999996</v>
      </c>
      <c r="X531" s="4">
        <f t="shared" si="70"/>
        <v>0.52548463869922213</v>
      </c>
    </row>
    <row r="532" spans="1:24" x14ac:dyDescent="0.3">
      <c r="A532" t="s">
        <v>1161</v>
      </c>
      <c r="B532" s="7">
        <v>45316</v>
      </c>
      <c r="C532" s="2">
        <v>45330</v>
      </c>
      <c r="D532" s="4">
        <f t="shared" si="71"/>
        <v>14</v>
      </c>
      <c r="E532" s="51" t="b">
        <f t="shared" si="66"/>
        <v>0</v>
      </c>
      <c r="F532" s="4" t="str">
        <f>TEXT(Data!B532,"MMM-YYYY")</f>
        <v>Mar-2025</v>
      </c>
      <c r="G532" s="4" t="str">
        <f t="shared" si="67"/>
        <v>Q1-2024</v>
      </c>
      <c r="H532" t="s">
        <v>45</v>
      </c>
      <c r="I532" t="s">
        <v>46</v>
      </c>
      <c r="J532" t="s">
        <v>47</v>
      </c>
      <c r="K532" t="s">
        <v>48</v>
      </c>
      <c r="L532" t="s">
        <v>40</v>
      </c>
      <c r="M532" t="s">
        <v>34</v>
      </c>
      <c r="N532" t="s">
        <v>35</v>
      </c>
      <c r="O532" t="s">
        <v>1162</v>
      </c>
      <c r="P532" s="4">
        <v>937.16</v>
      </c>
      <c r="Q532" s="8" t="str">
        <f t="shared" si="68"/>
        <v>High</v>
      </c>
      <c r="R532" s="4">
        <v>1069.77</v>
      </c>
      <c r="S532" s="4">
        <v>3.7999999999999999E-2</v>
      </c>
      <c r="T532" s="4">
        <v>9</v>
      </c>
      <c r="U532" s="4">
        <f t="shared" si="64"/>
        <v>22342.575059999999</v>
      </c>
      <c r="V532">
        <f t="shared" si="65"/>
        <v>8434.44</v>
      </c>
      <c r="W532" s="4">
        <f t="shared" si="69"/>
        <v>13908.135059999999</v>
      </c>
      <c r="X532" s="4">
        <f t="shared" si="70"/>
        <v>0.62249472241450754</v>
      </c>
    </row>
    <row r="533" spans="1:24" x14ac:dyDescent="0.3">
      <c r="A533" t="s">
        <v>1163</v>
      </c>
      <c r="B533" s="7">
        <v>45727</v>
      </c>
      <c r="C533" s="2">
        <v>45742</v>
      </c>
      <c r="D533" s="4">
        <f t="shared" si="71"/>
        <v>15</v>
      </c>
      <c r="E533" s="51" t="b">
        <f t="shared" si="66"/>
        <v>0</v>
      </c>
      <c r="F533" s="4" t="str">
        <f>TEXT(Data!B533,"MMM-YYYY")</f>
        <v>Apr-2025</v>
      </c>
      <c r="G533" s="4" t="str">
        <f t="shared" si="67"/>
        <v>Q1-2025</v>
      </c>
      <c r="H533" t="s">
        <v>78</v>
      </c>
      <c r="I533" t="s">
        <v>79</v>
      </c>
      <c r="J533" t="s">
        <v>80</v>
      </c>
      <c r="K533" t="s">
        <v>62</v>
      </c>
      <c r="L533" t="s">
        <v>28</v>
      </c>
      <c r="M533" t="s">
        <v>34</v>
      </c>
      <c r="N533" t="s">
        <v>42</v>
      </c>
      <c r="O533" t="s">
        <v>1164</v>
      </c>
      <c r="P533" s="4">
        <v>116.97</v>
      </c>
      <c r="Q533" s="8" t="str">
        <f t="shared" si="68"/>
        <v>Medium</v>
      </c>
      <c r="R533" s="4">
        <v>140.82</v>
      </c>
      <c r="S533" s="4">
        <v>0.122</v>
      </c>
      <c r="T533" s="4">
        <v>5</v>
      </c>
      <c r="U533" s="4">
        <f t="shared" si="64"/>
        <v>8687.4149000000016</v>
      </c>
      <c r="V533">
        <f t="shared" si="65"/>
        <v>584.85</v>
      </c>
      <c r="W533" s="4">
        <f t="shared" si="69"/>
        <v>8102.5649000000012</v>
      </c>
      <c r="X533" s="4">
        <f t="shared" si="70"/>
        <v>0.93267847723032082</v>
      </c>
    </row>
    <row r="534" spans="1:24" x14ac:dyDescent="0.3">
      <c r="A534" t="s">
        <v>1165</v>
      </c>
      <c r="B534" s="7">
        <v>45769</v>
      </c>
      <c r="C534" s="2">
        <v>45789</v>
      </c>
      <c r="D534" s="4">
        <f t="shared" si="71"/>
        <v>20</v>
      </c>
      <c r="E534" s="51" t="b">
        <f t="shared" si="66"/>
        <v>0</v>
      </c>
      <c r="F534" s="4" t="str">
        <f>TEXT(Data!B534,"MMM-YYYY")</f>
        <v>Aug-2023</v>
      </c>
      <c r="G534" s="4" t="str">
        <f t="shared" si="67"/>
        <v>Q2-2025</v>
      </c>
      <c r="H534" t="s">
        <v>78</v>
      </c>
      <c r="I534" t="s">
        <v>90</v>
      </c>
      <c r="J534" t="s">
        <v>138</v>
      </c>
      <c r="K534" t="s">
        <v>105</v>
      </c>
      <c r="L534" t="s">
        <v>40</v>
      </c>
      <c r="M534" t="s">
        <v>95</v>
      </c>
      <c r="N534" t="s">
        <v>64</v>
      </c>
      <c r="O534" t="s">
        <v>1166</v>
      </c>
      <c r="P534" s="4">
        <v>59.51</v>
      </c>
      <c r="Q534" s="8" t="str">
        <f t="shared" si="68"/>
        <v>Medium</v>
      </c>
      <c r="R534" s="4">
        <v>67.040000000000006</v>
      </c>
      <c r="S534" s="4">
        <v>0.114</v>
      </c>
      <c r="T534" s="4">
        <v>9</v>
      </c>
      <c r="U534" s="4">
        <f t="shared" si="64"/>
        <v>11813.082300000002</v>
      </c>
      <c r="V534">
        <f t="shared" si="65"/>
        <v>535.59</v>
      </c>
      <c r="W534" s="4">
        <f t="shared" si="69"/>
        <v>11277.492300000002</v>
      </c>
      <c r="X534" s="4">
        <f t="shared" si="70"/>
        <v>0.95466128260191674</v>
      </c>
    </row>
    <row r="535" spans="1:24" x14ac:dyDescent="0.3">
      <c r="A535" t="s">
        <v>1167</v>
      </c>
      <c r="B535" s="7">
        <v>45155</v>
      </c>
      <c r="C535" s="2">
        <v>45172</v>
      </c>
      <c r="D535" s="4">
        <f t="shared" si="71"/>
        <v>17</v>
      </c>
      <c r="E535" s="51" t="b">
        <f t="shared" si="66"/>
        <v>0</v>
      </c>
      <c r="F535" s="4" t="str">
        <f>TEXT(Data!B535,"MMM-YYYY")</f>
        <v>Jun-2025</v>
      </c>
      <c r="G535" s="4" t="str">
        <f t="shared" si="67"/>
        <v>Q3-2023</v>
      </c>
      <c r="H535" t="s">
        <v>16</v>
      </c>
      <c r="I535" t="s">
        <v>148</v>
      </c>
      <c r="J535" t="s">
        <v>172</v>
      </c>
      <c r="K535" t="s">
        <v>105</v>
      </c>
      <c r="L535" t="s">
        <v>20</v>
      </c>
      <c r="M535" t="s">
        <v>75</v>
      </c>
      <c r="N535" t="s">
        <v>42</v>
      </c>
      <c r="O535" t="s">
        <v>1168</v>
      </c>
      <c r="P535" s="4">
        <v>676.37</v>
      </c>
      <c r="Q535" s="8" t="str">
        <f t="shared" si="68"/>
        <v>High</v>
      </c>
      <c r="R535" s="4">
        <v>1276.67</v>
      </c>
      <c r="S535" s="4">
        <v>6.6000000000000003E-2</v>
      </c>
      <c r="T535" s="4">
        <v>10</v>
      </c>
      <c r="U535" s="4">
        <f t="shared" si="64"/>
        <v>15494.3128</v>
      </c>
      <c r="V535">
        <f t="shared" si="65"/>
        <v>6763.7</v>
      </c>
      <c r="W535" s="4">
        <f t="shared" si="69"/>
        <v>8730.612799999999</v>
      </c>
      <c r="X535" s="4">
        <f t="shared" si="70"/>
        <v>0.56347208893317291</v>
      </c>
    </row>
    <row r="536" spans="1:24" x14ac:dyDescent="0.3">
      <c r="A536" t="s">
        <v>1169</v>
      </c>
      <c r="B536" s="7">
        <v>45832</v>
      </c>
      <c r="C536" s="2">
        <v>45852</v>
      </c>
      <c r="D536" s="4">
        <f t="shared" si="71"/>
        <v>20</v>
      </c>
      <c r="E536" s="51" t="b">
        <f t="shared" si="66"/>
        <v>0</v>
      </c>
      <c r="F536" s="4" t="str">
        <f>TEXT(Data!B536,"MMM-YYYY")</f>
        <v>Jan-2025</v>
      </c>
      <c r="G536" s="4" t="str">
        <f t="shared" si="67"/>
        <v>Q2-2025</v>
      </c>
      <c r="H536" t="s">
        <v>16</v>
      </c>
      <c r="I536" t="s">
        <v>148</v>
      </c>
      <c r="J536" t="s">
        <v>149</v>
      </c>
      <c r="K536" t="s">
        <v>105</v>
      </c>
      <c r="L536" t="s">
        <v>40</v>
      </c>
      <c r="M536" t="s">
        <v>29</v>
      </c>
      <c r="N536" t="s">
        <v>57</v>
      </c>
      <c r="O536" t="s">
        <v>1170</v>
      </c>
      <c r="P536" s="4">
        <v>1151.06</v>
      </c>
      <c r="Q536" s="8" t="str">
        <f t="shared" si="68"/>
        <v>High</v>
      </c>
      <c r="R536" s="4">
        <v>2821.36</v>
      </c>
      <c r="S536" s="4">
        <v>0.248</v>
      </c>
      <c r="T536" s="4">
        <v>20</v>
      </c>
      <c r="U536" s="4">
        <f t="shared" si="64"/>
        <v>9059.1936000000005</v>
      </c>
      <c r="V536">
        <f t="shared" si="65"/>
        <v>23021.199999999997</v>
      </c>
      <c r="W536" s="4">
        <f t="shared" si="69"/>
        <v>-13962.006399999997</v>
      </c>
      <c r="X536" s="4">
        <f t="shared" si="70"/>
        <v>-1.5411974858336173</v>
      </c>
    </row>
    <row r="537" spans="1:24" x14ac:dyDescent="0.3">
      <c r="A537" t="s">
        <v>1171</v>
      </c>
      <c r="B537" s="7">
        <v>45667</v>
      </c>
      <c r="C537" s="2">
        <v>45694</v>
      </c>
      <c r="D537" s="4">
        <f t="shared" si="71"/>
        <v>27</v>
      </c>
      <c r="E537" s="51" t="b">
        <f t="shared" si="66"/>
        <v>0</v>
      </c>
      <c r="F537" s="4" t="str">
        <f>TEXT(Data!B537,"MMM-YYYY")</f>
        <v>Jul-2023</v>
      </c>
      <c r="G537" s="4" t="str">
        <f t="shared" si="67"/>
        <v>Q1-2025</v>
      </c>
      <c r="H537" t="s">
        <v>52</v>
      </c>
      <c r="I537" t="s">
        <v>73</v>
      </c>
      <c r="J537" t="s">
        <v>87</v>
      </c>
      <c r="K537" t="s">
        <v>39</v>
      </c>
      <c r="L537" t="s">
        <v>20</v>
      </c>
      <c r="M537" t="s">
        <v>56</v>
      </c>
      <c r="N537" t="s">
        <v>57</v>
      </c>
      <c r="O537" t="s">
        <v>1172</v>
      </c>
      <c r="P537" s="4">
        <v>725.62</v>
      </c>
      <c r="Q537" s="8" t="str">
        <f t="shared" si="68"/>
        <v>High</v>
      </c>
      <c r="R537" s="4">
        <v>1559.19</v>
      </c>
      <c r="S537" s="4">
        <v>0.19</v>
      </c>
      <c r="T537" s="4">
        <v>12</v>
      </c>
      <c r="U537" s="4">
        <f t="shared" si="64"/>
        <v>5128.6608000000006</v>
      </c>
      <c r="V537">
        <f t="shared" si="65"/>
        <v>8707.44</v>
      </c>
      <c r="W537" s="4">
        <f t="shared" si="69"/>
        <v>-3578.7791999999999</v>
      </c>
      <c r="X537" s="4">
        <f t="shared" si="70"/>
        <v>-0.69779994028850567</v>
      </c>
    </row>
    <row r="538" spans="1:24" x14ac:dyDescent="0.3">
      <c r="A538" t="s">
        <v>1173</v>
      </c>
      <c r="B538" s="7">
        <v>45108</v>
      </c>
      <c r="C538" s="2">
        <v>45118</v>
      </c>
      <c r="D538" s="4">
        <f t="shared" si="71"/>
        <v>10</v>
      </c>
      <c r="E538" s="51" t="b">
        <f t="shared" si="66"/>
        <v>0</v>
      </c>
      <c r="F538" s="4" t="str">
        <f>TEXT(Data!B538,"MMM-YYYY")</f>
        <v>Aug-2024</v>
      </c>
      <c r="G538" s="4" t="str">
        <f t="shared" si="67"/>
        <v>Q3-2023</v>
      </c>
      <c r="H538" t="s">
        <v>78</v>
      </c>
      <c r="I538" t="s">
        <v>90</v>
      </c>
      <c r="J538" t="s">
        <v>217</v>
      </c>
      <c r="K538" t="s">
        <v>19</v>
      </c>
      <c r="L538" t="s">
        <v>98</v>
      </c>
      <c r="M538" t="s">
        <v>84</v>
      </c>
      <c r="N538" t="s">
        <v>35</v>
      </c>
      <c r="O538" t="s">
        <v>1174</v>
      </c>
      <c r="P538" s="4">
        <v>479.5</v>
      </c>
      <c r="Q538" s="8" t="str">
        <f t="shared" si="68"/>
        <v>High</v>
      </c>
      <c r="R538" s="4">
        <v>656.66</v>
      </c>
      <c r="S538" s="4">
        <v>0.14899999999999999</v>
      </c>
      <c r="T538" s="4">
        <v>14</v>
      </c>
      <c r="U538" s="4">
        <f t="shared" si="64"/>
        <v>21944.3966</v>
      </c>
      <c r="V538">
        <f t="shared" si="65"/>
        <v>6713</v>
      </c>
      <c r="W538" s="4">
        <f t="shared" si="69"/>
        <v>15231.3966</v>
      </c>
      <c r="X538" s="4">
        <f t="shared" si="70"/>
        <v>0.69409047228029042</v>
      </c>
    </row>
    <row r="539" spans="1:24" x14ac:dyDescent="0.3">
      <c r="A539" t="s">
        <v>1175</v>
      </c>
      <c r="B539" s="7">
        <v>45520</v>
      </c>
      <c r="C539" s="2">
        <v>45530</v>
      </c>
      <c r="D539" s="4">
        <f t="shared" si="71"/>
        <v>10</v>
      </c>
      <c r="E539" s="51" t="b">
        <f t="shared" si="66"/>
        <v>0</v>
      </c>
      <c r="F539" s="4" t="str">
        <f>TEXT(Data!B539,"MMM-YYYY")</f>
        <v>Jul-2023</v>
      </c>
      <c r="G539" s="4" t="str">
        <f t="shared" si="67"/>
        <v>Q3-2024</v>
      </c>
      <c r="H539" t="s">
        <v>52</v>
      </c>
      <c r="I539" t="s">
        <v>122</v>
      </c>
      <c r="J539" t="s">
        <v>123</v>
      </c>
      <c r="K539" t="s">
        <v>19</v>
      </c>
      <c r="L539" t="s">
        <v>55</v>
      </c>
      <c r="M539" t="s">
        <v>49</v>
      </c>
      <c r="N539" t="s">
        <v>57</v>
      </c>
      <c r="O539" t="s">
        <v>878</v>
      </c>
      <c r="P539" s="4">
        <v>1291.7</v>
      </c>
      <c r="Q539" s="8" t="str">
        <f t="shared" si="68"/>
        <v>High</v>
      </c>
      <c r="R539" s="4">
        <v>2657.84</v>
      </c>
      <c r="S539" s="4">
        <v>8.6999999999999994E-2</v>
      </c>
      <c r="T539" s="4">
        <v>21</v>
      </c>
      <c r="U539" s="4">
        <f t="shared" si="64"/>
        <v>31548.788040000003</v>
      </c>
      <c r="V539">
        <f t="shared" si="65"/>
        <v>27125.7</v>
      </c>
      <c r="W539" s="4">
        <f t="shared" si="69"/>
        <v>4423.0880400000024</v>
      </c>
      <c r="X539" s="4">
        <f t="shared" si="70"/>
        <v>0.14019835038962727</v>
      </c>
    </row>
    <row r="540" spans="1:24" x14ac:dyDescent="0.3">
      <c r="A540" t="s">
        <v>1176</v>
      </c>
      <c r="B540" s="7">
        <v>45114</v>
      </c>
      <c r="C540" s="2">
        <v>45120</v>
      </c>
      <c r="D540" s="4">
        <f t="shared" si="71"/>
        <v>6</v>
      </c>
      <c r="E540" s="51" t="str">
        <f t="shared" si="66"/>
        <v>Yes</v>
      </c>
      <c r="F540" s="4" t="str">
        <f>TEXT(Data!B540,"MMM-YYYY")</f>
        <v>Dec-2023</v>
      </c>
      <c r="G540" s="4" t="str">
        <f t="shared" si="67"/>
        <v>Q3-2023</v>
      </c>
      <c r="H540" t="s">
        <v>16</v>
      </c>
      <c r="I540" t="s">
        <v>148</v>
      </c>
      <c r="J540" t="s">
        <v>258</v>
      </c>
      <c r="K540" t="s">
        <v>62</v>
      </c>
      <c r="L540" t="s">
        <v>40</v>
      </c>
      <c r="M540" t="s">
        <v>56</v>
      </c>
      <c r="N540" t="s">
        <v>81</v>
      </c>
      <c r="O540" t="s">
        <v>1177</v>
      </c>
      <c r="P540" s="4">
        <v>612.59</v>
      </c>
      <c r="Q540" s="8" t="str">
        <f t="shared" si="68"/>
        <v>High</v>
      </c>
      <c r="R540" s="4">
        <v>1424.74</v>
      </c>
      <c r="S540" s="4">
        <v>4.3999999999999997E-2</v>
      </c>
      <c r="T540" s="4">
        <v>15</v>
      </c>
      <c r="U540" s="4">
        <f t="shared" si="64"/>
        <v>10428.334800000001</v>
      </c>
      <c r="V540">
        <f t="shared" si="65"/>
        <v>9188.85</v>
      </c>
      <c r="W540" s="4">
        <f t="shared" si="69"/>
        <v>1239.4848000000002</v>
      </c>
      <c r="X540" s="4">
        <f t="shared" si="70"/>
        <v>0.11885740377265219</v>
      </c>
    </row>
    <row r="541" spans="1:24" x14ac:dyDescent="0.3">
      <c r="A541" t="s">
        <v>1178</v>
      </c>
      <c r="B541" s="7">
        <v>45288</v>
      </c>
      <c r="C541" s="2">
        <v>45292</v>
      </c>
      <c r="D541" s="4">
        <f t="shared" si="71"/>
        <v>4</v>
      </c>
      <c r="E541" s="51" t="str">
        <f t="shared" si="66"/>
        <v>Yes</v>
      </c>
      <c r="F541" s="4" t="str">
        <f>TEXT(Data!B541,"MMM-YYYY")</f>
        <v>Jan-2023</v>
      </c>
      <c r="G541" s="4" t="str">
        <f t="shared" si="67"/>
        <v>Q4-2023</v>
      </c>
      <c r="H541" t="s">
        <v>16</v>
      </c>
      <c r="I541" t="s">
        <v>148</v>
      </c>
      <c r="J541" t="s">
        <v>258</v>
      </c>
      <c r="K541" t="s">
        <v>27</v>
      </c>
      <c r="L541" t="s">
        <v>55</v>
      </c>
      <c r="M541" t="s">
        <v>75</v>
      </c>
      <c r="N541" t="s">
        <v>30</v>
      </c>
      <c r="O541" t="s">
        <v>1179</v>
      </c>
      <c r="P541" s="4">
        <v>1141.8</v>
      </c>
      <c r="Q541" s="8" t="str">
        <f t="shared" si="68"/>
        <v>High</v>
      </c>
      <c r="R541" s="4">
        <v>2318.7399999999998</v>
      </c>
      <c r="S541" s="4">
        <v>0.107</v>
      </c>
      <c r="T541" s="4">
        <v>32</v>
      </c>
      <c r="U541" s="4">
        <f t="shared" si="64"/>
        <v>35256.783040000002</v>
      </c>
      <c r="V541">
        <f t="shared" si="65"/>
        <v>36537.599999999999</v>
      </c>
      <c r="W541" s="4">
        <f t="shared" si="69"/>
        <v>-1280.8169599999965</v>
      </c>
      <c r="X541" s="4">
        <f t="shared" si="70"/>
        <v>-3.6328242385213268E-2</v>
      </c>
    </row>
    <row r="542" spans="1:24" x14ac:dyDescent="0.3">
      <c r="A542" t="s">
        <v>1180</v>
      </c>
      <c r="B542" s="7">
        <v>44952</v>
      </c>
      <c r="C542" s="2">
        <v>44972</v>
      </c>
      <c r="D542" s="4">
        <f t="shared" si="71"/>
        <v>20</v>
      </c>
      <c r="E542" s="51" t="b">
        <f t="shared" si="66"/>
        <v>0</v>
      </c>
      <c r="F542" s="4" t="str">
        <f>TEXT(Data!B542,"MMM-YYYY")</f>
        <v>Jul-2023</v>
      </c>
      <c r="G542" s="4" t="str">
        <f t="shared" si="67"/>
        <v>Q1-2023</v>
      </c>
      <c r="H542" t="s">
        <v>78</v>
      </c>
      <c r="I542" t="s">
        <v>79</v>
      </c>
      <c r="J542" t="s">
        <v>80</v>
      </c>
      <c r="K542" t="s">
        <v>62</v>
      </c>
      <c r="L542" t="s">
        <v>28</v>
      </c>
      <c r="M542" t="s">
        <v>68</v>
      </c>
      <c r="N542" t="s">
        <v>35</v>
      </c>
      <c r="O542" t="s">
        <v>1181</v>
      </c>
      <c r="P542" s="4">
        <v>492.62</v>
      </c>
      <c r="Q542" s="8" t="str">
        <f t="shared" si="68"/>
        <v>High</v>
      </c>
      <c r="R542" s="4">
        <v>366.7</v>
      </c>
      <c r="S542" s="4">
        <v>8.8999999999999996E-2</v>
      </c>
      <c r="T542" s="4">
        <v>10</v>
      </c>
      <c r="U542" s="4">
        <f t="shared" si="64"/>
        <v>14063.653600000001</v>
      </c>
      <c r="V542">
        <f t="shared" si="65"/>
        <v>4926.2</v>
      </c>
      <c r="W542" s="4">
        <f t="shared" si="69"/>
        <v>9137.4536000000007</v>
      </c>
      <c r="X542" s="4">
        <f t="shared" si="70"/>
        <v>0.6497211791393952</v>
      </c>
    </row>
    <row r="543" spans="1:24" x14ac:dyDescent="0.3">
      <c r="A543" t="s">
        <v>1182</v>
      </c>
      <c r="B543" s="7">
        <v>45115</v>
      </c>
      <c r="C543" s="2">
        <v>45116</v>
      </c>
      <c r="D543" s="4">
        <f t="shared" si="71"/>
        <v>1</v>
      </c>
      <c r="E543" s="51" t="str">
        <f t="shared" si="66"/>
        <v>Yes</v>
      </c>
      <c r="F543" s="4" t="str">
        <f>TEXT(Data!B543,"MMM-YYYY")</f>
        <v>Jun-2024</v>
      </c>
      <c r="G543" s="4" t="str">
        <f t="shared" si="67"/>
        <v>Q3-2023</v>
      </c>
      <c r="H543" t="s">
        <v>16</v>
      </c>
      <c r="I543" t="s">
        <v>17</v>
      </c>
      <c r="J543" t="s">
        <v>33</v>
      </c>
      <c r="K543" t="s">
        <v>48</v>
      </c>
      <c r="L543" t="s">
        <v>28</v>
      </c>
      <c r="M543" t="s">
        <v>145</v>
      </c>
      <c r="N543" t="s">
        <v>57</v>
      </c>
      <c r="O543" t="s">
        <v>1183</v>
      </c>
      <c r="P543" s="4">
        <v>1258.72</v>
      </c>
      <c r="Q543" s="8" t="str">
        <f t="shared" si="68"/>
        <v>High</v>
      </c>
      <c r="R543" s="4">
        <v>2797.41</v>
      </c>
      <c r="S543" s="4">
        <v>0</v>
      </c>
      <c r="T543" s="4">
        <v>7</v>
      </c>
      <c r="U543" s="4">
        <f t="shared" si="64"/>
        <v>14806.33</v>
      </c>
      <c r="V543">
        <f t="shared" si="65"/>
        <v>8811.0400000000009</v>
      </c>
      <c r="W543" s="4">
        <f t="shared" si="69"/>
        <v>5995.2899999999991</v>
      </c>
      <c r="X543" s="4">
        <f t="shared" si="70"/>
        <v>0.40491397935882822</v>
      </c>
    </row>
    <row r="544" spans="1:24" x14ac:dyDescent="0.3">
      <c r="A544" t="s">
        <v>1184</v>
      </c>
      <c r="B544" s="7">
        <v>45450</v>
      </c>
      <c r="C544" s="2">
        <v>45452</v>
      </c>
      <c r="D544" s="4">
        <f t="shared" si="71"/>
        <v>2</v>
      </c>
      <c r="E544" s="51" t="str">
        <f t="shared" si="66"/>
        <v>Yes</v>
      </c>
      <c r="F544" s="4" t="str">
        <f>TEXT(Data!B544,"MMM-YYYY")</f>
        <v>Feb-2023</v>
      </c>
      <c r="G544" s="4" t="str">
        <f t="shared" si="67"/>
        <v>Q2-2024</v>
      </c>
      <c r="H544" t="s">
        <v>45</v>
      </c>
      <c r="I544" t="s">
        <v>116</v>
      </c>
      <c r="J544" t="s">
        <v>162</v>
      </c>
      <c r="K544" t="s">
        <v>19</v>
      </c>
      <c r="L544" t="s">
        <v>20</v>
      </c>
      <c r="M544" t="s">
        <v>68</v>
      </c>
      <c r="N544" t="s">
        <v>64</v>
      </c>
      <c r="O544" t="s">
        <v>1185</v>
      </c>
      <c r="P544" s="4">
        <v>1370.28</v>
      </c>
      <c r="Q544" s="8" t="str">
        <f t="shared" si="68"/>
        <v>High</v>
      </c>
      <c r="R544" s="4">
        <v>2209.66</v>
      </c>
      <c r="S544" s="4">
        <v>0.13300000000000001</v>
      </c>
      <c r="T544" s="4">
        <v>16</v>
      </c>
      <c r="U544" s="4">
        <f t="shared" si="64"/>
        <v>25485.499680000001</v>
      </c>
      <c r="V544">
        <f t="shared" si="65"/>
        <v>21924.48</v>
      </c>
      <c r="W544" s="4">
        <f t="shared" si="69"/>
        <v>3561.0196800000012</v>
      </c>
      <c r="X544" s="4">
        <f t="shared" si="70"/>
        <v>0.13972728511164123</v>
      </c>
    </row>
    <row r="545" spans="1:24" x14ac:dyDescent="0.3">
      <c r="A545" t="s">
        <v>1186</v>
      </c>
      <c r="B545" s="7">
        <v>44968</v>
      </c>
      <c r="C545" s="2">
        <v>44969</v>
      </c>
      <c r="D545" s="4">
        <f t="shared" si="71"/>
        <v>1</v>
      </c>
      <c r="E545" s="51" t="str">
        <f t="shared" si="66"/>
        <v>Yes</v>
      </c>
      <c r="F545" s="4" t="str">
        <f>TEXT(Data!B545,"MMM-YYYY")</f>
        <v>Jul-2023</v>
      </c>
      <c r="G545" s="4" t="str">
        <f t="shared" si="67"/>
        <v>Q1-2023</v>
      </c>
      <c r="H545" t="s">
        <v>16</v>
      </c>
      <c r="I545" t="s">
        <v>25</v>
      </c>
      <c r="J545" t="s">
        <v>26</v>
      </c>
      <c r="K545" t="s">
        <v>39</v>
      </c>
      <c r="L545" t="s">
        <v>98</v>
      </c>
      <c r="M545" t="s">
        <v>145</v>
      </c>
      <c r="N545" t="s">
        <v>81</v>
      </c>
      <c r="O545" t="s">
        <v>1187</v>
      </c>
      <c r="P545" s="4">
        <v>944.61</v>
      </c>
      <c r="Q545" s="8" t="str">
        <f t="shared" si="68"/>
        <v>High</v>
      </c>
      <c r="R545" s="4">
        <v>839.04</v>
      </c>
      <c r="S545" s="4">
        <v>5.8999999999999997E-2</v>
      </c>
      <c r="T545" s="4">
        <v>6</v>
      </c>
      <c r="U545" s="4">
        <f t="shared" si="64"/>
        <v>16141.518779999999</v>
      </c>
      <c r="V545">
        <f t="shared" si="65"/>
        <v>5667.66</v>
      </c>
      <c r="W545" s="4">
        <f t="shared" si="69"/>
        <v>10473.858779999999</v>
      </c>
      <c r="X545" s="4">
        <f t="shared" si="70"/>
        <v>0.64887690698458544</v>
      </c>
    </row>
    <row r="546" spans="1:24" x14ac:dyDescent="0.3">
      <c r="A546" t="s">
        <v>1188</v>
      </c>
      <c r="B546" s="7">
        <v>45108</v>
      </c>
      <c r="C546" s="2">
        <v>45115</v>
      </c>
      <c r="D546" s="4">
        <f t="shared" si="71"/>
        <v>7</v>
      </c>
      <c r="E546" s="51" t="str">
        <f t="shared" si="66"/>
        <v>Yes</v>
      </c>
      <c r="F546" s="4" t="str">
        <f>TEXT(Data!B546,"MMM-YYYY")</f>
        <v>Aug-2025</v>
      </c>
      <c r="G546" s="4" t="str">
        <f t="shared" si="67"/>
        <v>Q3-2023</v>
      </c>
      <c r="H546" t="s">
        <v>78</v>
      </c>
      <c r="I546" t="s">
        <v>79</v>
      </c>
      <c r="J546" t="s">
        <v>335</v>
      </c>
      <c r="K546" t="s">
        <v>62</v>
      </c>
      <c r="L546" t="s">
        <v>55</v>
      </c>
      <c r="M546" t="s">
        <v>126</v>
      </c>
      <c r="N546" t="s">
        <v>57</v>
      </c>
      <c r="O546" t="s">
        <v>1189</v>
      </c>
      <c r="P546" s="4">
        <v>460.21</v>
      </c>
      <c r="Q546" s="8" t="str">
        <f t="shared" si="68"/>
        <v>High</v>
      </c>
      <c r="R546" s="4">
        <v>1139.1500000000001</v>
      </c>
      <c r="S546" s="4">
        <v>0.115</v>
      </c>
      <c r="T546" s="4">
        <v>14</v>
      </c>
      <c r="U546" s="4">
        <f t="shared" si="64"/>
        <v>3592.1088</v>
      </c>
      <c r="V546">
        <f t="shared" si="65"/>
        <v>6442.94</v>
      </c>
      <c r="W546" s="4">
        <f t="shared" si="69"/>
        <v>-2850.8311999999996</v>
      </c>
      <c r="X546" s="4">
        <f t="shared" si="70"/>
        <v>-0.79363720831618456</v>
      </c>
    </row>
    <row r="547" spans="1:24" x14ac:dyDescent="0.3">
      <c r="A547" t="s">
        <v>1190</v>
      </c>
      <c r="B547" s="7">
        <v>45889</v>
      </c>
      <c r="C547" s="2">
        <v>45895</v>
      </c>
      <c r="D547" s="4">
        <f t="shared" si="71"/>
        <v>6</v>
      </c>
      <c r="E547" s="51" t="str">
        <f t="shared" si="66"/>
        <v>Yes</v>
      </c>
      <c r="F547" s="4" t="str">
        <f>TEXT(Data!B547,"MMM-YYYY")</f>
        <v>Mar-2024</v>
      </c>
      <c r="G547" s="4" t="str">
        <f t="shared" si="67"/>
        <v>Q3-2025</v>
      </c>
      <c r="H547" t="s">
        <v>52</v>
      </c>
      <c r="I547" t="s">
        <v>122</v>
      </c>
      <c r="J547" t="s">
        <v>387</v>
      </c>
      <c r="K547" t="s">
        <v>19</v>
      </c>
      <c r="L547" t="s">
        <v>20</v>
      </c>
      <c r="M547" t="s">
        <v>110</v>
      </c>
      <c r="N547" t="s">
        <v>35</v>
      </c>
      <c r="O547" t="s">
        <v>1191</v>
      </c>
      <c r="P547" s="4">
        <v>1304.95</v>
      </c>
      <c r="Q547" s="8" t="str">
        <f t="shared" si="68"/>
        <v>High</v>
      </c>
      <c r="R547" s="4">
        <v>1712.03</v>
      </c>
      <c r="S547" s="4">
        <v>0.21199999999999999</v>
      </c>
      <c r="T547" s="4">
        <v>8</v>
      </c>
      <c r="U547" s="4">
        <f t="shared" si="64"/>
        <v>6286.3488000000007</v>
      </c>
      <c r="V547">
        <f t="shared" si="65"/>
        <v>10439.6</v>
      </c>
      <c r="W547" s="4">
        <f t="shared" si="69"/>
        <v>-4153.2511999999997</v>
      </c>
      <c r="X547" s="4">
        <f t="shared" si="70"/>
        <v>-0.66067781666839731</v>
      </c>
    </row>
    <row r="548" spans="1:24" x14ac:dyDescent="0.3">
      <c r="A548" t="s">
        <v>1192</v>
      </c>
      <c r="B548" s="7">
        <v>45355</v>
      </c>
      <c r="C548" s="2">
        <v>45367</v>
      </c>
      <c r="D548" s="4">
        <f t="shared" si="71"/>
        <v>12</v>
      </c>
      <c r="E548" s="51" t="b">
        <f t="shared" si="66"/>
        <v>0</v>
      </c>
      <c r="F548" s="4" t="str">
        <f>TEXT(Data!B548,"MMM-YYYY")</f>
        <v>Sept-2023</v>
      </c>
      <c r="G548" s="4" t="str">
        <f t="shared" si="67"/>
        <v>Q1-2024</v>
      </c>
      <c r="H548" t="s">
        <v>16</v>
      </c>
      <c r="I548" t="s">
        <v>148</v>
      </c>
      <c r="J548" t="s">
        <v>149</v>
      </c>
      <c r="K548" t="s">
        <v>105</v>
      </c>
      <c r="L548" t="s">
        <v>55</v>
      </c>
      <c r="M548" t="s">
        <v>110</v>
      </c>
      <c r="N548" t="s">
        <v>64</v>
      </c>
      <c r="O548" t="s">
        <v>1193</v>
      </c>
      <c r="P548" s="4">
        <v>441.08</v>
      </c>
      <c r="Q548" s="8" t="str">
        <f t="shared" si="68"/>
        <v>High</v>
      </c>
      <c r="R548" s="4">
        <v>1054.29</v>
      </c>
      <c r="S548" s="4">
        <v>0.23699999999999999</v>
      </c>
      <c r="T548" s="4">
        <v>6</v>
      </c>
      <c r="U548" s="4">
        <f t="shared" si="64"/>
        <v>216.49362000000002</v>
      </c>
      <c r="V548">
        <f t="shared" si="65"/>
        <v>2646.48</v>
      </c>
      <c r="W548" s="4">
        <f t="shared" si="69"/>
        <v>-2429.9863799999998</v>
      </c>
      <c r="X548" s="4">
        <f t="shared" si="70"/>
        <v>-11.224286332317782</v>
      </c>
    </row>
    <row r="549" spans="1:24" x14ac:dyDescent="0.3">
      <c r="A549" t="s">
        <v>1194</v>
      </c>
      <c r="B549" s="7">
        <v>45177</v>
      </c>
      <c r="C549" s="2">
        <v>45201</v>
      </c>
      <c r="D549" s="4">
        <f t="shared" si="71"/>
        <v>24</v>
      </c>
      <c r="E549" s="51" t="b">
        <f t="shared" si="66"/>
        <v>0</v>
      </c>
      <c r="F549" s="4" t="str">
        <f>TEXT(Data!B549,"MMM-YYYY")</f>
        <v>Feb-2023</v>
      </c>
      <c r="G549" s="4" t="str">
        <f t="shared" si="67"/>
        <v>Q3-2023</v>
      </c>
      <c r="H549" t="s">
        <v>52</v>
      </c>
      <c r="I549" t="s">
        <v>53</v>
      </c>
      <c r="J549" t="s">
        <v>54</v>
      </c>
      <c r="K549" t="s">
        <v>27</v>
      </c>
      <c r="L549" t="s">
        <v>98</v>
      </c>
      <c r="M549" t="s">
        <v>75</v>
      </c>
      <c r="N549" t="s">
        <v>81</v>
      </c>
      <c r="O549" t="s">
        <v>1195</v>
      </c>
      <c r="P549" s="4">
        <v>1299.03</v>
      </c>
      <c r="Q549" s="8" t="str">
        <f t="shared" si="68"/>
        <v>High</v>
      </c>
      <c r="R549" s="4">
        <v>2451.2199999999998</v>
      </c>
      <c r="S549" s="4">
        <v>0.20799999999999999</v>
      </c>
      <c r="T549" s="4">
        <v>8</v>
      </c>
      <c r="U549" s="4">
        <f t="shared" si="64"/>
        <v>4778.8646400000007</v>
      </c>
      <c r="V549">
        <f t="shared" si="65"/>
        <v>10392.24</v>
      </c>
      <c r="W549" s="4">
        <f t="shared" si="69"/>
        <v>-5613.3753599999991</v>
      </c>
      <c r="X549" s="4">
        <f t="shared" si="70"/>
        <v>-1.1746253101657214</v>
      </c>
    </row>
    <row r="550" spans="1:24" x14ac:dyDescent="0.3">
      <c r="A550" t="s">
        <v>1196</v>
      </c>
      <c r="B550" s="7">
        <v>44985</v>
      </c>
      <c r="C550" s="2">
        <v>44991</v>
      </c>
      <c r="D550" s="4">
        <f t="shared" si="71"/>
        <v>6</v>
      </c>
      <c r="E550" s="51" t="str">
        <f t="shared" si="66"/>
        <v>Yes</v>
      </c>
      <c r="F550" s="4" t="str">
        <f>TEXT(Data!B550,"MMM-YYYY")</f>
        <v>Jul-2024</v>
      </c>
      <c r="G550" s="4" t="str">
        <f t="shared" si="67"/>
        <v>Q1-2023</v>
      </c>
      <c r="H550" t="s">
        <v>78</v>
      </c>
      <c r="I550" t="s">
        <v>79</v>
      </c>
      <c r="J550" t="s">
        <v>335</v>
      </c>
      <c r="K550" t="s">
        <v>62</v>
      </c>
      <c r="L550" t="s">
        <v>40</v>
      </c>
      <c r="M550" t="s">
        <v>145</v>
      </c>
      <c r="N550" t="s">
        <v>30</v>
      </c>
      <c r="O550" t="s">
        <v>1197</v>
      </c>
      <c r="P550" s="4">
        <v>880.02</v>
      </c>
      <c r="Q550" s="8" t="str">
        <f t="shared" si="68"/>
        <v>High</v>
      </c>
      <c r="R550" s="4">
        <v>1251.21</v>
      </c>
      <c r="S550" s="4">
        <v>0.123</v>
      </c>
      <c r="T550" s="4">
        <v>29</v>
      </c>
      <c r="U550" s="4">
        <f t="shared" si="64"/>
        <v>22927.340840000001</v>
      </c>
      <c r="V550">
        <f t="shared" si="65"/>
        <v>25520.579999999998</v>
      </c>
      <c r="W550" s="4">
        <f t="shared" si="69"/>
        <v>-2593.2391599999974</v>
      </c>
      <c r="X550" s="4">
        <f t="shared" si="70"/>
        <v>-0.1131068438375428</v>
      </c>
    </row>
    <row r="551" spans="1:24" x14ac:dyDescent="0.3">
      <c r="A551" t="s">
        <v>1198</v>
      </c>
      <c r="B551" s="7">
        <v>45486</v>
      </c>
      <c r="C551" s="2">
        <v>45507</v>
      </c>
      <c r="D551" s="4">
        <f t="shared" si="71"/>
        <v>21</v>
      </c>
      <c r="E551" s="51" t="b">
        <f t="shared" si="66"/>
        <v>0</v>
      </c>
      <c r="F551" s="4" t="str">
        <f>TEXT(Data!B551,"MMM-YYYY")</f>
        <v>Dec-2024</v>
      </c>
      <c r="G551" s="4" t="str">
        <f t="shared" si="67"/>
        <v>Q3-2024</v>
      </c>
      <c r="H551" t="s">
        <v>52</v>
      </c>
      <c r="I551" t="s">
        <v>73</v>
      </c>
      <c r="J551" t="s">
        <v>225</v>
      </c>
      <c r="K551" t="s">
        <v>19</v>
      </c>
      <c r="L551" t="s">
        <v>40</v>
      </c>
      <c r="M551" t="s">
        <v>110</v>
      </c>
      <c r="N551" t="s">
        <v>64</v>
      </c>
      <c r="O551" t="s">
        <v>1199</v>
      </c>
      <c r="P551" s="4">
        <v>702.98</v>
      </c>
      <c r="Q551" s="8" t="str">
        <f t="shared" si="68"/>
        <v>High</v>
      </c>
      <c r="R551" s="4">
        <v>1104.8</v>
      </c>
      <c r="S551" s="4">
        <v>0.17499999999999999</v>
      </c>
      <c r="T551" s="4">
        <v>12</v>
      </c>
      <c r="U551" s="4">
        <f t="shared" si="64"/>
        <v>1119.492</v>
      </c>
      <c r="V551">
        <f t="shared" si="65"/>
        <v>8435.76</v>
      </c>
      <c r="W551" s="4">
        <f t="shared" si="69"/>
        <v>-7316.268</v>
      </c>
      <c r="X551" s="4">
        <f t="shared" si="70"/>
        <v>-6.5353463892551265</v>
      </c>
    </row>
    <row r="552" spans="1:24" x14ac:dyDescent="0.3">
      <c r="A552" t="s">
        <v>1200</v>
      </c>
      <c r="B552" s="7">
        <v>45633</v>
      </c>
      <c r="C552" s="2">
        <v>45652</v>
      </c>
      <c r="D552" s="4">
        <f t="shared" si="71"/>
        <v>19</v>
      </c>
      <c r="E552" s="51" t="b">
        <f t="shared" si="66"/>
        <v>0</v>
      </c>
      <c r="F552" s="4" t="str">
        <f>TEXT(Data!B552,"MMM-YYYY")</f>
        <v>Aug-2025</v>
      </c>
      <c r="G552" s="4" t="str">
        <f t="shared" si="67"/>
        <v>Q4-2024</v>
      </c>
      <c r="H552" t="s">
        <v>78</v>
      </c>
      <c r="I552" t="s">
        <v>108</v>
      </c>
      <c r="J552" t="s">
        <v>152</v>
      </c>
      <c r="K552" t="s">
        <v>105</v>
      </c>
      <c r="L552" t="s">
        <v>28</v>
      </c>
      <c r="M552" t="s">
        <v>145</v>
      </c>
      <c r="N552" t="s">
        <v>35</v>
      </c>
      <c r="O552" t="s">
        <v>1201</v>
      </c>
      <c r="P552" s="4">
        <v>1035.24</v>
      </c>
      <c r="Q552" s="8" t="str">
        <f t="shared" si="68"/>
        <v>High</v>
      </c>
      <c r="R552" s="4">
        <v>2383.41</v>
      </c>
      <c r="S552" s="4">
        <v>0.17</v>
      </c>
      <c r="T552" s="4">
        <v>15</v>
      </c>
      <c r="U552" s="4">
        <f t="shared" si="64"/>
        <v>10814.319</v>
      </c>
      <c r="V552">
        <f t="shared" si="65"/>
        <v>15528.6</v>
      </c>
      <c r="W552" s="4">
        <f t="shared" si="69"/>
        <v>-4714.2810000000009</v>
      </c>
      <c r="X552" s="4">
        <f t="shared" si="70"/>
        <v>-0.43592953009801183</v>
      </c>
    </row>
    <row r="553" spans="1:24" x14ac:dyDescent="0.3">
      <c r="A553" t="s">
        <v>1202</v>
      </c>
      <c r="B553" s="7">
        <v>45875</v>
      </c>
      <c r="C553" s="2">
        <v>45892</v>
      </c>
      <c r="D553" s="4">
        <f t="shared" si="71"/>
        <v>17</v>
      </c>
      <c r="E553" s="51" t="b">
        <f t="shared" si="66"/>
        <v>0</v>
      </c>
      <c r="F553" s="4" t="str">
        <f>TEXT(Data!B553,"MMM-YYYY")</f>
        <v>Mar-2023</v>
      </c>
      <c r="G553" s="4" t="str">
        <f t="shared" si="67"/>
        <v>Q3-2025</v>
      </c>
      <c r="H553" t="s">
        <v>52</v>
      </c>
      <c r="I553" t="s">
        <v>73</v>
      </c>
      <c r="J553" t="s">
        <v>87</v>
      </c>
      <c r="K553" t="s">
        <v>48</v>
      </c>
      <c r="L553" t="s">
        <v>55</v>
      </c>
      <c r="M553" t="s">
        <v>75</v>
      </c>
      <c r="N553" t="s">
        <v>64</v>
      </c>
      <c r="O553" t="s">
        <v>1203</v>
      </c>
      <c r="P553" s="4">
        <v>86.64</v>
      </c>
      <c r="Q553" s="8" t="str">
        <f t="shared" si="68"/>
        <v>High</v>
      </c>
      <c r="R553" s="4">
        <v>213.06</v>
      </c>
      <c r="S553" s="4">
        <v>0.21199999999999999</v>
      </c>
      <c r="T553" s="4">
        <v>11</v>
      </c>
      <c r="U553" s="4">
        <f t="shared" si="64"/>
        <v>3015.5971999999997</v>
      </c>
      <c r="V553">
        <f t="shared" si="65"/>
        <v>953.04</v>
      </c>
      <c r="W553" s="4">
        <f t="shared" si="69"/>
        <v>2062.5571999999997</v>
      </c>
      <c r="X553" s="4">
        <f t="shared" si="70"/>
        <v>0.68396309692819712</v>
      </c>
    </row>
    <row r="554" spans="1:24" x14ac:dyDescent="0.3">
      <c r="A554" t="s">
        <v>1204</v>
      </c>
      <c r="B554" s="7">
        <v>44988</v>
      </c>
      <c r="C554" s="2">
        <v>45005</v>
      </c>
      <c r="D554" s="4">
        <f t="shared" si="71"/>
        <v>17</v>
      </c>
      <c r="E554" s="51" t="b">
        <f t="shared" si="66"/>
        <v>0</v>
      </c>
      <c r="F554" s="4" t="str">
        <f>TEXT(Data!B554,"MMM-YYYY")</f>
        <v>Feb-2025</v>
      </c>
      <c r="G554" s="4" t="str">
        <f t="shared" si="67"/>
        <v>Q1-2023</v>
      </c>
      <c r="H554" t="s">
        <v>45</v>
      </c>
      <c r="I554" t="s">
        <v>46</v>
      </c>
      <c r="J554" t="s">
        <v>231</v>
      </c>
      <c r="K554" t="s">
        <v>62</v>
      </c>
      <c r="L554" t="s">
        <v>28</v>
      </c>
      <c r="M554" t="s">
        <v>145</v>
      </c>
      <c r="N554" t="s">
        <v>35</v>
      </c>
      <c r="O554" t="s">
        <v>1205</v>
      </c>
      <c r="P554" s="4">
        <v>1171.17</v>
      </c>
      <c r="Q554" s="8" t="str">
        <f t="shared" si="68"/>
        <v>High</v>
      </c>
      <c r="R554" s="4">
        <v>2030.64</v>
      </c>
      <c r="S554" s="4">
        <v>0.157</v>
      </c>
      <c r="T554" s="4">
        <v>11</v>
      </c>
      <c r="U554" s="4">
        <f t="shared" si="64"/>
        <v>10310.463239999999</v>
      </c>
      <c r="V554">
        <f t="shared" si="65"/>
        <v>12882.87</v>
      </c>
      <c r="W554" s="4">
        <f t="shared" si="69"/>
        <v>-2572.4067600000017</v>
      </c>
      <c r="X554" s="4">
        <f t="shared" si="70"/>
        <v>-0.24949478021707217</v>
      </c>
    </row>
    <row r="555" spans="1:24" x14ac:dyDescent="0.3">
      <c r="A555" t="s">
        <v>1206</v>
      </c>
      <c r="B555" s="7">
        <v>45704</v>
      </c>
      <c r="C555" s="2">
        <v>45733</v>
      </c>
      <c r="D555" s="4">
        <f t="shared" si="71"/>
        <v>1</v>
      </c>
      <c r="E555" s="51" t="str">
        <f t="shared" si="66"/>
        <v>Yes</v>
      </c>
      <c r="F555" s="4" t="str">
        <f>TEXT(Data!B555,"MMM-YYYY")</f>
        <v>Feb-2025</v>
      </c>
      <c r="G555" s="4" t="str">
        <f t="shared" si="67"/>
        <v>Q1-2025</v>
      </c>
      <c r="H555" t="s">
        <v>78</v>
      </c>
      <c r="I555" t="s">
        <v>79</v>
      </c>
      <c r="J555" t="s">
        <v>159</v>
      </c>
      <c r="K555" t="s">
        <v>48</v>
      </c>
      <c r="L555" t="s">
        <v>20</v>
      </c>
      <c r="M555" t="s">
        <v>49</v>
      </c>
      <c r="N555" t="s">
        <v>81</v>
      </c>
      <c r="O555" t="s">
        <v>1207</v>
      </c>
      <c r="P555" s="4">
        <v>730.42</v>
      </c>
      <c r="Q555" s="8" t="str">
        <f t="shared" si="68"/>
        <v>High</v>
      </c>
      <c r="R555" s="4">
        <v>956.7</v>
      </c>
      <c r="S555" s="4">
        <v>4.2000000000000003E-2</v>
      </c>
      <c r="T555" s="4">
        <v>22</v>
      </c>
      <c r="U555" s="4">
        <f t="shared" si="64"/>
        <v>6907.0267199999998</v>
      </c>
      <c r="V555">
        <f t="shared" si="65"/>
        <v>16069.24</v>
      </c>
      <c r="W555" s="4">
        <f t="shared" si="69"/>
        <v>-9162.2132799999999</v>
      </c>
      <c r="X555" s="4">
        <f t="shared" si="70"/>
        <v>-1.3265061293986133</v>
      </c>
    </row>
    <row r="556" spans="1:24" x14ac:dyDescent="0.3">
      <c r="A556" t="s">
        <v>1208</v>
      </c>
      <c r="B556" s="7">
        <v>45703</v>
      </c>
      <c r="C556" s="2">
        <v>45717</v>
      </c>
      <c r="D556" s="4">
        <f t="shared" si="71"/>
        <v>14</v>
      </c>
      <c r="E556" s="51" t="b">
        <f t="shared" si="66"/>
        <v>0</v>
      </c>
      <c r="F556" s="4" t="str">
        <f>TEXT(Data!B556,"MMM-YYYY")</f>
        <v>Aug-2024</v>
      </c>
      <c r="G556" s="4" t="str">
        <f t="shared" si="67"/>
        <v>Q1-2025</v>
      </c>
      <c r="H556" t="s">
        <v>16</v>
      </c>
      <c r="I556" t="s">
        <v>17</v>
      </c>
      <c r="J556" t="s">
        <v>113</v>
      </c>
      <c r="K556" t="s">
        <v>27</v>
      </c>
      <c r="L556" t="s">
        <v>98</v>
      </c>
      <c r="M556" t="s">
        <v>49</v>
      </c>
      <c r="N556" t="s">
        <v>81</v>
      </c>
      <c r="O556" t="s">
        <v>1209</v>
      </c>
      <c r="P556" s="4">
        <v>1162.8599999999999</v>
      </c>
      <c r="Q556" s="8" t="str">
        <f t="shared" si="68"/>
        <v>High</v>
      </c>
      <c r="R556" s="4">
        <v>1447.68</v>
      </c>
      <c r="S556" s="4">
        <v>8.6999999999999994E-2</v>
      </c>
      <c r="T556" s="4">
        <v>12</v>
      </c>
      <c r="U556" s="4">
        <f t="shared" si="64"/>
        <v>5326.0402800000002</v>
      </c>
      <c r="V556">
        <f t="shared" si="65"/>
        <v>13954.32</v>
      </c>
      <c r="W556" s="4">
        <f t="shared" si="69"/>
        <v>-8628.2797199999986</v>
      </c>
      <c r="X556" s="4">
        <f t="shared" si="70"/>
        <v>-1.6200177367040112</v>
      </c>
    </row>
    <row r="557" spans="1:24" x14ac:dyDescent="0.3">
      <c r="A557" t="s">
        <v>1210</v>
      </c>
      <c r="B557" s="7">
        <v>45535</v>
      </c>
      <c r="C557" s="2">
        <v>45561</v>
      </c>
      <c r="D557" s="4">
        <f t="shared" si="71"/>
        <v>26</v>
      </c>
      <c r="E557" s="51" t="b">
        <f t="shared" si="66"/>
        <v>0</v>
      </c>
      <c r="F557" s="4" t="str">
        <f>TEXT(Data!B557,"MMM-YYYY")</f>
        <v>May-2023</v>
      </c>
      <c r="G557" s="4" t="str">
        <f t="shared" si="67"/>
        <v>Q3-2024</v>
      </c>
      <c r="H557" t="s">
        <v>45</v>
      </c>
      <c r="I557" t="s">
        <v>46</v>
      </c>
      <c r="J557" t="s">
        <v>214</v>
      </c>
      <c r="K557" t="s">
        <v>27</v>
      </c>
      <c r="L557" t="s">
        <v>28</v>
      </c>
      <c r="M557" t="s">
        <v>34</v>
      </c>
      <c r="N557" t="s">
        <v>42</v>
      </c>
      <c r="O557" t="s">
        <v>1211</v>
      </c>
      <c r="P557" s="4">
        <v>1189.03</v>
      </c>
      <c r="Q557" s="8" t="str">
        <f t="shared" si="68"/>
        <v>High</v>
      </c>
      <c r="R557" s="4">
        <v>2949.62</v>
      </c>
      <c r="S557" s="4">
        <v>0.125</v>
      </c>
      <c r="T557" s="4">
        <v>13</v>
      </c>
      <c r="U557" s="4">
        <f t="shared" si="64"/>
        <v>23507.575000000001</v>
      </c>
      <c r="V557">
        <f t="shared" si="65"/>
        <v>15457.39</v>
      </c>
      <c r="W557" s="4">
        <f t="shared" si="69"/>
        <v>8050.1850000000013</v>
      </c>
      <c r="X557" s="4">
        <f t="shared" si="70"/>
        <v>0.34245067813247437</v>
      </c>
    </row>
    <row r="558" spans="1:24" x14ac:dyDescent="0.3">
      <c r="A558" t="s">
        <v>1212</v>
      </c>
      <c r="B558" s="7">
        <v>45053</v>
      </c>
      <c r="C558" s="2">
        <v>45066</v>
      </c>
      <c r="D558" s="4">
        <f t="shared" si="71"/>
        <v>13</v>
      </c>
      <c r="E558" s="51" t="b">
        <f t="shared" si="66"/>
        <v>0</v>
      </c>
      <c r="F558" s="4" t="str">
        <f>TEXT(Data!B558,"MMM-YYYY")</f>
        <v>May-2025</v>
      </c>
      <c r="G558" s="4" t="str">
        <f t="shared" si="67"/>
        <v>Q2-2023</v>
      </c>
      <c r="H558" t="s">
        <v>45</v>
      </c>
      <c r="I558" t="s">
        <v>60</v>
      </c>
      <c r="J558" t="s">
        <v>220</v>
      </c>
      <c r="K558" t="s">
        <v>105</v>
      </c>
      <c r="L558" t="s">
        <v>20</v>
      </c>
      <c r="M558" t="s">
        <v>145</v>
      </c>
      <c r="N558" t="s">
        <v>81</v>
      </c>
      <c r="O558" t="s">
        <v>1213</v>
      </c>
      <c r="P558" s="4">
        <v>1443.28</v>
      </c>
      <c r="Q558" s="8" t="str">
        <f t="shared" si="68"/>
        <v>High</v>
      </c>
      <c r="R558" s="4">
        <v>2580.5700000000002</v>
      </c>
      <c r="S558" s="4">
        <v>0</v>
      </c>
      <c r="T558" s="4">
        <v>18</v>
      </c>
      <c r="U558" s="4">
        <f t="shared" si="64"/>
        <v>1551.6000000000001</v>
      </c>
      <c r="V558">
        <f t="shared" si="65"/>
        <v>25979.040000000001</v>
      </c>
      <c r="W558" s="4">
        <f t="shared" si="69"/>
        <v>-24427.440000000002</v>
      </c>
      <c r="X558" s="4">
        <f t="shared" si="70"/>
        <v>-15.74338747099768</v>
      </c>
    </row>
    <row r="559" spans="1:24" x14ac:dyDescent="0.3">
      <c r="A559" t="s">
        <v>1214</v>
      </c>
      <c r="B559" s="7">
        <v>45791</v>
      </c>
      <c r="C559" s="2">
        <v>45789</v>
      </c>
      <c r="D559" s="4">
        <f>DATEDIF(C559,B559, "MD")</f>
        <v>2</v>
      </c>
      <c r="E559" s="51" t="str">
        <f t="shared" si="66"/>
        <v>Yes</v>
      </c>
      <c r="F559" s="4" t="str">
        <f>TEXT(Data!B559,"MMM-YYYY")</f>
        <v>Mar-2024</v>
      </c>
      <c r="G559" s="4" t="str">
        <f t="shared" si="67"/>
        <v>Q2-2025</v>
      </c>
      <c r="H559" t="s">
        <v>52</v>
      </c>
      <c r="I559" t="s">
        <v>53</v>
      </c>
      <c r="J559" t="s">
        <v>179</v>
      </c>
      <c r="K559" t="s">
        <v>39</v>
      </c>
      <c r="L559" t="s">
        <v>55</v>
      </c>
      <c r="M559" t="s">
        <v>84</v>
      </c>
      <c r="N559" t="s">
        <v>30</v>
      </c>
      <c r="O559" t="s">
        <v>1215</v>
      </c>
      <c r="P559" s="4">
        <v>883.5</v>
      </c>
      <c r="Q559" s="8" t="str">
        <f t="shared" si="68"/>
        <v>High</v>
      </c>
      <c r="R559" s="4">
        <v>1978.91</v>
      </c>
      <c r="S559" s="4">
        <v>5.3999999999999999E-2</v>
      </c>
      <c r="T559" s="4">
        <v>27</v>
      </c>
      <c r="U559" s="4">
        <f t="shared" si="64"/>
        <v>58944.550499999998</v>
      </c>
      <c r="V559">
        <f t="shared" si="65"/>
        <v>23854.5</v>
      </c>
      <c r="W559" s="4">
        <f t="shared" si="69"/>
        <v>35090.050499999998</v>
      </c>
      <c r="X559" s="4">
        <f t="shared" si="70"/>
        <v>0.59530610043416987</v>
      </c>
    </row>
    <row r="560" spans="1:24" x14ac:dyDescent="0.3">
      <c r="A560" t="s">
        <v>1216</v>
      </c>
      <c r="B560" s="7">
        <v>45362</v>
      </c>
      <c r="C560" s="2">
        <v>45380</v>
      </c>
      <c r="D560" s="4">
        <f t="shared" si="71"/>
        <v>18</v>
      </c>
      <c r="E560" s="51" t="b">
        <f t="shared" si="66"/>
        <v>0</v>
      </c>
      <c r="F560" s="4" t="str">
        <f>TEXT(Data!B560,"MMM-YYYY")</f>
        <v>May-2024</v>
      </c>
      <c r="G560" s="4" t="str">
        <f t="shared" si="67"/>
        <v>Q1-2024</v>
      </c>
      <c r="H560" t="s">
        <v>52</v>
      </c>
      <c r="I560" t="s">
        <v>122</v>
      </c>
      <c r="J560" t="s">
        <v>387</v>
      </c>
      <c r="K560" t="s">
        <v>19</v>
      </c>
      <c r="L560" t="s">
        <v>20</v>
      </c>
      <c r="M560" t="s">
        <v>110</v>
      </c>
      <c r="N560" t="s">
        <v>64</v>
      </c>
      <c r="O560" t="s">
        <v>1217</v>
      </c>
      <c r="P560" s="4">
        <v>710.98</v>
      </c>
      <c r="Q560" s="8" t="str">
        <f t="shared" si="68"/>
        <v>High</v>
      </c>
      <c r="R560" s="4">
        <v>1481.45</v>
      </c>
      <c r="S560" s="4">
        <v>0.21099999999999999</v>
      </c>
      <c r="T560" s="4">
        <v>9</v>
      </c>
      <c r="U560" s="4">
        <f t="shared" si="64"/>
        <v>7902.0638099999996</v>
      </c>
      <c r="V560">
        <f t="shared" si="65"/>
        <v>6398.82</v>
      </c>
      <c r="W560" s="4">
        <f t="shared" si="69"/>
        <v>1503.2438099999999</v>
      </c>
      <c r="X560" s="4">
        <f t="shared" si="70"/>
        <v>0.19023432942893434</v>
      </c>
    </row>
    <row r="561" spans="1:24" x14ac:dyDescent="0.3">
      <c r="A561" t="s">
        <v>1218</v>
      </c>
      <c r="B561" s="7">
        <v>45430</v>
      </c>
      <c r="C561" s="2">
        <v>45434</v>
      </c>
      <c r="D561" s="4">
        <f t="shared" si="71"/>
        <v>4</v>
      </c>
      <c r="E561" s="51" t="str">
        <f t="shared" si="66"/>
        <v>Yes</v>
      </c>
      <c r="F561" s="4" t="str">
        <f>TEXT(Data!B561,"MMM-YYYY")</f>
        <v>Jan-2024</v>
      </c>
      <c r="G561" s="4" t="str">
        <f t="shared" si="67"/>
        <v>Q2-2024</v>
      </c>
      <c r="H561" t="s">
        <v>16</v>
      </c>
      <c r="I561" t="s">
        <v>17</v>
      </c>
      <c r="J561" t="s">
        <v>33</v>
      </c>
      <c r="K561" t="s">
        <v>19</v>
      </c>
      <c r="L561" t="s">
        <v>98</v>
      </c>
      <c r="M561" t="s">
        <v>92</v>
      </c>
      <c r="N561" t="s">
        <v>81</v>
      </c>
      <c r="O561" t="s">
        <v>1219</v>
      </c>
      <c r="P561" s="4">
        <v>857.42</v>
      </c>
      <c r="Q561" s="8" t="str">
        <f t="shared" si="68"/>
        <v>High</v>
      </c>
      <c r="R561" s="4">
        <v>1658.92</v>
      </c>
      <c r="S561" s="4">
        <v>0.122</v>
      </c>
      <c r="T561" s="4">
        <v>9</v>
      </c>
      <c r="U561" s="4">
        <f t="shared" si="64"/>
        <v>8897.572979999999</v>
      </c>
      <c r="V561">
        <f t="shared" si="65"/>
        <v>7716.78</v>
      </c>
      <c r="W561" s="4">
        <f t="shared" si="69"/>
        <v>1180.7929799999993</v>
      </c>
      <c r="X561" s="4">
        <f t="shared" si="70"/>
        <v>0.13270955828675871</v>
      </c>
    </row>
    <row r="562" spans="1:24" x14ac:dyDescent="0.3">
      <c r="A562" t="s">
        <v>1220</v>
      </c>
      <c r="B562" s="7">
        <v>45299</v>
      </c>
      <c r="C562" s="2">
        <v>45303</v>
      </c>
      <c r="D562" s="4">
        <f t="shared" si="71"/>
        <v>4</v>
      </c>
      <c r="E562" s="51" t="str">
        <f t="shared" si="66"/>
        <v>Yes</v>
      </c>
      <c r="F562" s="4" t="str">
        <f>TEXT(Data!B562,"MMM-YYYY")</f>
        <v>Oct-2024</v>
      </c>
      <c r="G562" s="4" t="str">
        <f t="shared" si="67"/>
        <v>Q1-2024</v>
      </c>
      <c r="H562" t="s">
        <v>45</v>
      </c>
      <c r="I562" t="s">
        <v>60</v>
      </c>
      <c r="J562" t="s">
        <v>61</v>
      </c>
      <c r="K562" t="s">
        <v>19</v>
      </c>
      <c r="L562" t="s">
        <v>98</v>
      </c>
      <c r="M562" t="s">
        <v>63</v>
      </c>
      <c r="N562" t="s">
        <v>30</v>
      </c>
      <c r="O562" t="s">
        <v>1221</v>
      </c>
      <c r="P562" s="4">
        <v>802.32</v>
      </c>
      <c r="Q562" s="8" t="str">
        <f t="shared" si="68"/>
        <v>High</v>
      </c>
      <c r="R562" s="4">
        <v>602.34</v>
      </c>
      <c r="S562" s="4">
        <v>0.12</v>
      </c>
      <c r="T562" s="4">
        <v>25</v>
      </c>
      <c r="U562" s="4">
        <f t="shared" si="64"/>
        <v>2719.64</v>
      </c>
      <c r="V562">
        <f t="shared" si="65"/>
        <v>20058</v>
      </c>
      <c r="W562" s="4">
        <f t="shared" si="69"/>
        <v>-17338.36</v>
      </c>
      <c r="X562" s="4">
        <f t="shared" si="70"/>
        <v>-6.3752408406995045</v>
      </c>
    </row>
    <row r="563" spans="1:24" x14ac:dyDescent="0.3">
      <c r="A563" t="s">
        <v>1222</v>
      </c>
      <c r="B563" s="7">
        <v>45590</v>
      </c>
      <c r="C563" s="2">
        <v>45601</v>
      </c>
      <c r="D563" s="4">
        <f t="shared" si="71"/>
        <v>11</v>
      </c>
      <c r="E563" s="51" t="b">
        <f t="shared" si="66"/>
        <v>0</v>
      </c>
      <c r="F563" s="4" t="str">
        <f>TEXT(Data!B563,"MMM-YYYY")</f>
        <v>Nov-2024</v>
      </c>
      <c r="G563" s="4" t="str">
        <f t="shared" si="67"/>
        <v>Q4-2024</v>
      </c>
      <c r="H563" t="s">
        <v>52</v>
      </c>
      <c r="I563" t="s">
        <v>122</v>
      </c>
      <c r="J563" t="s">
        <v>387</v>
      </c>
      <c r="K563" t="s">
        <v>19</v>
      </c>
      <c r="L563" t="s">
        <v>55</v>
      </c>
      <c r="M563" t="s">
        <v>126</v>
      </c>
      <c r="N563" t="s">
        <v>22</v>
      </c>
      <c r="O563" t="s">
        <v>1223</v>
      </c>
      <c r="P563" s="4">
        <v>446.66</v>
      </c>
      <c r="Q563" s="8" t="str">
        <f t="shared" si="68"/>
        <v>High</v>
      </c>
      <c r="R563" s="4">
        <v>527.64</v>
      </c>
      <c r="S563" s="4">
        <v>0.14499999999999999</v>
      </c>
      <c r="T563" s="4">
        <v>15</v>
      </c>
      <c r="U563" s="4">
        <f t="shared" si="64"/>
        <v>22209.693749999999</v>
      </c>
      <c r="V563">
        <f t="shared" si="65"/>
        <v>6699.9000000000005</v>
      </c>
      <c r="W563" s="4">
        <f t="shared" si="69"/>
        <v>15509.793749999997</v>
      </c>
      <c r="X563" s="4">
        <f t="shared" si="70"/>
        <v>0.6983344266059498</v>
      </c>
    </row>
    <row r="564" spans="1:24" x14ac:dyDescent="0.3">
      <c r="A564" t="s">
        <v>1224</v>
      </c>
      <c r="B564" s="7">
        <v>45626</v>
      </c>
      <c r="C564" s="2">
        <v>45645</v>
      </c>
      <c r="D564" s="4">
        <f t="shared" si="71"/>
        <v>19</v>
      </c>
      <c r="E564" s="51" t="b">
        <f t="shared" si="66"/>
        <v>0</v>
      </c>
      <c r="F564" s="4" t="str">
        <f>TEXT(Data!B564,"MMM-YYYY")</f>
        <v>Apr-2023</v>
      </c>
      <c r="G564" s="4" t="str">
        <f t="shared" si="67"/>
        <v>Q4-2024</v>
      </c>
      <c r="H564" t="s">
        <v>16</v>
      </c>
      <c r="I564" t="s">
        <v>17</v>
      </c>
      <c r="J564" t="s">
        <v>18</v>
      </c>
      <c r="K564" t="s">
        <v>19</v>
      </c>
      <c r="L564" t="s">
        <v>28</v>
      </c>
      <c r="M564" t="s">
        <v>49</v>
      </c>
      <c r="N564" t="s">
        <v>42</v>
      </c>
      <c r="O564" t="s">
        <v>1225</v>
      </c>
      <c r="P564" s="4">
        <v>1195.98</v>
      </c>
      <c r="Q564" s="8" t="str">
        <f t="shared" si="68"/>
        <v>High</v>
      </c>
      <c r="R564" s="4">
        <v>1841.9</v>
      </c>
      <c r="S564" s="4">
        <v>5.5E-2</v>
      </c>
      <c r="T564" s="4">
        <v>19</v>
      </c>
      <c r="U564" s="4">
        <f t="shared" si="64"/>
        <v>54978.38955</v>
      </c>
      <c r="V564">
        <f t="shared" si="65"/>
        <v>22723.62</v>
      </c>
      <c r="W564" s="4">
        <f t="shared" si="69"/>
        <v>32254.769550000001</v>
      </c>
      <c r="X564" s="4">
        <f t="shared" si="70"/>
        <v>0.58668087250293055</v>
      </c>
    </row>
    <row r="565" spans="1:24" x14ac:dyDescent="0.3">
      <c r="A565" t="s">
        <v>1226</v>
      </c>
      <c r="B565" s="7">
        <v>45029</v>
      </c>
      <c r="C565" s="2">
        <v>45048</v>
      </c>
      <c r="D565" s="4">
        <f t="shared" si="71"/>
        <v>19</v>
      </c>
      <c r="E565" s="51" t="b">
        <f t="shared" si="66"/>
        <v>0</v>
      </c>
      <c r="F565" s="4" t="str">
        <f>TEXT(Data!B565,"MMM-YYYY")</f>
        <v>Feb-2025</v>
      </c>
      <c r="G565" s="4" t="str">
        <f t="shared" si="67"/>
        <v>Q2-2023</v>
      </c>
      <c r="H565" t="s">
        <v>52</v>
      </c>
      <c r="I565" t="s">
        <v>53</v>
      </c>
      <c r="J565" t="s">
        <v>144</v>
      </c>
      <c r="K565" t="s">
        <v>48</v>
      </c>
      <c r="L565" t="s">
        <v>55</v>
      </c>
      <c r="M565" t="s">
        <v>63</v>
      </c>
      <c r="N565" t="s">
        <v>64</v>
      </c>
      <c r="O565" t="s">
        <v>1227</v>
      </c>
      <c r="P565" s="4">
        <v>671.05</v>
      </c>
      <c r="Q565" s="8" t="str">
        <f t="shared" si="68"/>
        <v>High</v>
      </c>
      <c r="R565" s="4">
        <v>1645.48</v>
      </c>
      <c r="S565" s="4">
        <v>0.13700000000000001</v>
      </c>
      <c r="T565" s="4">
        <v>6</v>
      </c>
      <c r="U565" s="4">
        <f t="shared" si="64"/>
        <v>11393.722979999999</v>
      </c>
      <c r="V565">
        <f t="shared" si="65"/>
        <v>4026.2999999999997</v>
      </c>
      <c r="W565" s="4">
        <f t="shared" si="69"/>
        <v>7367.4229799999994</v>
      </c>
      <c r="X565" s="4">
        <f t="shared" si="70"/>
        <v>0.64662121353419111</v>
      </c>
    </row>
    <row r="566" spans="1:24" x14ac:dyDescent="0.3">
      <c r="A566" t="s">
        <v>1228</v>
      </c>
      <c r="B566" s="7">
        <v>45692</v>
      </c>
      <c r="C566" s="2">
        <v>45696</v>
      </c>
      <c r="D566" s="4">
        <f t="shared" si="71"/>
        <v>4</v>
      </c>
      <c r="E566" s="51" t="str">
        <f t="shared" si="66"/>
        <v>Yes</v>
      </c>
      <c r="F566" s="4" t="str">
        <f>TEXT(Data!B566,"MMM-YYYY")</f>
        <v>Jan-2024</v>
      </c>
      <c r="G566" s="4" t="str">
        <f t="shared" si="67"/>
        <v>Q1-2025</v>
      </c>
      <c r="H566" t="s">
        <v>78</v>
      </c>
      <c r="I566" t="s">
        <v>108</v>
      </c>
      <c r="J566" t="s">
        <v>228</v>
      </c>
      <c r="K566" t="s">
        <v>105</v>
      </c>
      <c r="L566" t="s">
        <v>40</v>
      </c>
      <c r="M566" t="s">
        <v>49</v>
      </c>
      <c r="N566" t="s">
        <v>35</v>
      </c>
      <c r="O566" t="s">
        <v>1229</v>
      </c>
      <c r="P566" s="4">
        <v>586.21</v>
      </c>
      <c r="Q566" s="8" t="str">
        <f t="shared" si="68"/>
        <v>High</v>
      </c>
      <c r="R566" s="4">
        <v>727.22</v>
      </c>
      <c r="S566" s="4">
        <v>6.8000000000000005E-2</v>
      </c>
      <c r="T566" s="4">
        <v>15</v>
      </c>
      <c r="U566" s="4">
        <f t="shared" si="64"/>
        <v>8408.8302000000003</v>
      </c>
      <c r="V566">
        <f t="shared" si="65"/>
        <v>8793.1500000000015</v>
      </c>
      <c r="W566" s="4">
        <f t="shared" si="69"/>
        <v>-384.31980000000112</v>
      </c>
      <c r="X566" s="4">
        <f t="shared" si="70"/>
        <v>-4.5704312117041096E-2</v>
      </c>
    </row>
    <row r="567" spans="1:24" x14ac:dyDescent="0.3">
      <c r="A567" t="s">
        <v>1230</v>
      </c>
      <c r="B567" s="7">
        <v>45315</v>
      </c>
      <c r="C567" s="2">
        <v>45326</v>
      </c>
      <c r="D567" s="4">
        <f t="shared" si="71"/>
        <v>11</v>
      </c>
      <c r="E567" s="51" t="b">
        <f t="shared" si="66"/>
        <v>0</v>
      </c>
      <c r="F567" s="4" t="str">
        <f>TEXT(Data!B567,"MMM-YYYY")</f>
        <v>Feb-2024</v>
      </c>
      <c r="G567" s="4" t="str">
        <f t="shared" si="67"/>
        <v>Q1-2024</v>
      </c>
      <c r="H567" t="s">
        <v>78</v>
      </c>
      <c r="I567" t="s">
        <v>108</v>
      </c>
      <c r="J567" t="s">
        <v>228</v>
      </c>
      <c r="K567" t="s">
        <v>48</v>
      </c>
      <c r="L567" t="s">
        <v>20</v>
      </c>
      <c r="M567" t="s">
        <v>56</v>
      </c>
      <c r="N567" t="s">
        <v>57</v>
      </c>
      <c r="O567" t="s">
        <v>1231</v>
      </c>
      <c r="P567" s="4">
        <v>525.34</v>
      </c>
      <c r="Q567" s="8" t="str">
        <f t="shared" si="68"/>
        <v>High</v>
      </c>
      <c r="R567" s="4">
        <v>1233.79</v>
      </c>
      <c r="S567" s="4">
        <v>0.14299999999999999</v>
      </c>
      <c r="T567" s="4">
        <v>4</v>
      </c>
      <c r="U567" s="4">
        <f t="shared" si="64"/>
        <v>3248.9555599999999</v>
      </c>
      <c r="V567">
        <f t="shared" si="65"/>
        <v>2101.36</v>
      </c>
      <c r="W567" s="4">
        <f t="shared" si="69"/>
        <v>1147.5955599999998</v>
      </c>
      <c r="X567" s="4">
        <f t="shared" si="70"/>
        <v>0.35321983905498533</v>
      </c>
    </row>
    <row r="568" spans="1:24" x14ac:dyDescent="0.3">
      <c r="A568" t="s">
        <v>1232</v>
      </c>
      <c r="B568" s="7">
        <v>45330</v>
      </c>
      <c r="C568" s="2">
        <v>45331</v>
      </c>
      <c r="D568" s="4">
        <f t="shared" si="71"/>
        <v>1</v>
      </c>
      <c r="E568" s="51" t="str">
        <f t="shared" si="66"/>
        <v>Yes</v>
      </c>
      <c r="F568" s="4" t="str">
        <f>TEXT(Data!B568,"MMM-YYYY")</f>
        <v>Jun-2025</v>
      </c>
      <c r="G568" s="4" t="str">
        <f t="shared" si="67"/>
        <v>Q1-2024</v>
      </c>
      <c r="H568" t="s">
        <v>16</v>
      </c>
      <c r="I568" t="s">
        <v>17</v>
      </c>
      <c r="J568" t="s">
        <v>113</v>
      </c>
      <c r="K568" t="s">
        <v>19</v>
      </c>
      <c r="L568" t="s">
        <v>98</v>
      </c>
      <c r="M568" t="s">
        <v>84</v>
      </c>
      <c r="N568" t="s">
        <v>22</v>
      </c>
      <c r="O568" t="s">
        <v>1233</v>
      </c>
      <c r="P568" s="4">
        <v>1233.52</v>
      </c>
      <c r="Q568" s="8" t="str">
        <f t="shared" si="68"/>
        <v>High</v>
      </c>
      <c r="R568" s="4">
        <v>1543.76</v>
      </c>
      <c r="S568" s="4">
        <v>0.126</v>
      </c>
      <c r="T568" s="4">
        <v>13</v>
      </c>
      <c r="U568" s="4">
        <f t="shared" si="64"/>
        <v>26490.27576</v>
      </c>
      <c r="V568">
        <f t="shared" si="65"/>
        <v>16035.76</v>
      </c>
      <c r="W568" s="4">
        <f t="shared" si="69"/>
        <v>10454.51576</v>
      </c>
      <c r="X568" s="4">
        <f t="shared" si="70"/>
        <v>0.39465484824382968</v>
      </c>
    </row>
    <row r="569" spans="1:24" x14ac:dyDescent="0.3">
      <c r="A569" t="s">
        <v>1234</v>
      </c>
      <c r="B569" s="7">
        <v>45834</v>
      </c>
      <c r="C569" s="2">
        <v>45849</v>
      </c>
      <c r="D569" s="4">
        <f t="shared" si="71"/>
        <v>15</v>
      </c>
      <c r="E569" s="51" t="b">
        <f t="shared" si="66"/>
        <v>0</v>
      </c>
      <c r="F569" s="4" t="str">
        <f>TEXT(Data!B569,"MMM-YYYY")</f>
        <v>Nov-2024</v>
      </c>
      <c r="G569" s="4" t="str">
        <f t="shared" si="67"/>
        <v>Q2-2025</v>
      </c>
      <c r="H569" t="s">
        <v>16</v>
      </c>
      <c r="I569" t="s">
        <v>25</v>
      </c>
      <c r="J569" t="s">
        <v>26</v>
      </c>
      <c r="K569" t="s">
        <v>62</v>
      </c>
      <c r="L569" t="s">
        <v>28</v>
      </c>
      <c r="M569" t="s">
        <v>75</v>
      </c>
      <c r="N569" t="s">
        <v>57</v>
      </c>
      <c r="O569" t="s">
        <v>1235</v>
      </c>
      <c r="P569" s="4">
        <v>1170.1500000000001</v>
      </c>
      <c r="Q569" s="8" t="str">
        <f t="shared" si="68"/>
        <v>High</v>
      </c>
      <c r="R569" s="4">
        <v>2115.19</v>
      </c>
      <c r="S569" s="4">
        <v>9.1999999999999998E-2</v>
      </c>
      <c r="T569" s="4">
        <v>23</v>
      </c>
      <c r="U569" s="4">
        <f t="shared" si="64"/>
        <v>29597.640160000003</v>
      </c>
      <c r="V569">
        <f t="shared" si="65"/>
        <v>26913.45</v>
      </c>
      <c r="W569" s="4">
        <f t="shared" si="69"/>
        <v>2684.1901600000019</v>
      </c>
      <c r="X569" s="4">
        <f t="shared" si="70"/>
        <v>9.0689330145569333E-2</v>
      </c>
    </row>
    <row r="570" spans="1:24" x14ac:dyDescent="0.3">
      <c r="A570" t="s">
        <v>1236</v>
      </c>
      <c r="B570" s="7">
        <v>45600</v>
      </c>
      <c r="C570" s="2">
        <v>45603</v>
      </c>
      <c r="D570" s="4">
        <f t="shared" si="71"/>
        <v>3</v>
      </c>
      <c r="E570" s="51" t="str">
        <f t="shared" si="66"/>
        <v>Yes</v>
      </c>
      <c r="F570" s="4" t="str">
        <f>TEXT(Data!B570,"MMM-YYYY")</f>
        <v>Feb-2024</v>
      </c>
      <c r="G570" s="4" t="str">
        <f t="shared" si="67"/>
        <v>Q4-2024</v>
      </c>
      <c r="H570" t="s">
        <v>78</v>
      </c>
      <c r="I570" t="s">
        <v>90</v>
      </c>
      <c r="J570" t="s">
        <v>138</v>
      </c>
      <c r="K570" t="s">
        <v>19</v>
      </c>
      <c r="L570" t="s">
        <v>28</v>
      </c>
      <c r="M570" t="s">
        <v>68</v>
      </c>
      <c r="N570" t="s">
        <v>64</v>
      </c>
      <c r="O570" t="s">
        <v>1237</v>
      </c>
      <c r="P570" s="4">
        <v>740.68</v>
      </c>
      <c r="Q570" s="8" t="str">
        <f t="shared" si="68"/>
        <v>High</v>
      </c>
      <c r="R570" s="4">
        <v>1837.19</v>
      </c>
      <c r="S570" s="4">
        <v>0.19700000000000001</v>
      </c>
      <c r="T570" s="4">
        <v>17</v>
      </c>
      <c r="U570" s="4">
        <f t="shared" si="64"/>
        <v>9548.8744999999999</v>
      </c>
      <c r="V570">
        <f t="shared" si="65"/>
        <v>12591.56</v>
      </c>
      <c r="W570" s="4">
        <f t="shared" si="69"/>
        <v>-3042.6854999999996</v>
      </c>
      <c r="X570" s="4">
        <f t="shared" si="70"/>
        <v>-0.31864336472324561</v>
      </c>
    </row>
    <row r="571" spans="1:24" x14ac:dyDescent="0.3">
      <c r="A571" t="s">
        <v>1238</v>
      </c>
      <c r="B571" s="7">
        <v>45342</v>
      </c>
      <c r="C571" s="2">
        <v>45342</v>
      </c>
      <c r="D571" s="4">
        <f t="shared" si="71"/>
        <v>0</v>
      </c>
      <c r="E571" s="51" t="str">
        <f t="shared" si="66"/>
        <v>Yes</v>
      </c>
      <c r="F571" s="4" t="str">
        <f>TEXT(Data!B571,"MMM-YYYY")</f>
        <v>Apr-2025</v>
      </c>
      <c r="G571" s="4" t="str">
        <f t="shared" si="67"/>
        <v>Q1-2024</v>
      </c>
      <c r="H571" t="s">
        <v>52</v>
      </c>
      <c r="I571" t="s">
        <v>122</v>
      </c>
      <c r="J571" t="s">
        <v>387</v>
      </c>
      <c r="K571" t="s">
        <v>105</v>
      </c>
      <c r="L571" t="s">
        <v>28</v>
      </c>
      <c r="M571" t="s">
        <v>21</v>
      </c>
      <c r="N571" t="s">
        <v>35</v>
      </c>
      <c r="O571" t="s">
        <v>1239</v>
      </c>
      <c r="P571" s="4">
        <v>1407.05</v>
      </c>
      <c r="Q571" s="8" t="str">
        <f t="shared" si="68"/>
        <v>High</v>
      </c>
      <c r="R571" s="4">
        <v>2858.93</v>
      </c>
      <c r="S571" s="4">
        <v>0</v>
      </c>
      <c r="T571" s="4">
        <v>12</v>
      </c>
      <c r="U571" s="4">
        <f t="shared" si="64"/>
        <v>21446.400000000001</v>
      </c>
      <c r="V571">
        <f t="shared" si="65"/>
        <v>16884.599999999999</v>
      </c>
      <c r="W571" s="4">
        <f t="shared" si="69"/>
        <v>4561.8000000000029</v>
      </c>
      <c r="X571" s="4">
        <f t="shared" si="70"/>
        <v>0.2127070277529097</v>
      </c>
    </row>
    <row r="572" spans="1:24" x14ac:dyDescent="0.3">
      <c r="A572" t="s">
        <v>1240</v>
      </c>
      <c r="B572" s="7">
        <v>45760</v>
      </c>
      <c r="C572" s="2">
        <v>45761</v>
      </c>
      <c r="D572" s="4">
        <f t="shared" si="71"/>
        <v>1</v>
      </c>
      <c r="E572" s="51" t="str">
        <f t="shared" si="66"/>
        <v>Yes</v>
      </c>
      <c r="F572" s="4" t="str">
        <f>TEXT(Data!B572,"MMM-YYYY")</f>
        <v>Jun-2023</v>
      </c>
      <c r="G572" s="4" t="str">
        <f t="shared" si="67"/>
        <v>Q2-2025</v>
      </c>
      <c r="H572" t="s">
        <v>45</v>
      </c>
      <c r="I572" t="s">
        <v>46</v>
      </c>
      <c r="J572" t="s">
        <v>47</v>
      </c>
      <c r="K572" t="s">
        <v>105</v>
      </c>
      <c r="L572" t="s">
        <v>28</v>
      </c>
      <c r="M572" t="s">
        <v>41</v>
      </c>
      <c r="N572" t="s">
        <v>22</v>
      </c>
      <c r="O572" t="s">
        <v>1241</v>
      </c>
      <c r="P572" s="4">
        <v>138.9</v>
      </c>
      <c r="Q572" s="8" t="str">
        <f t="shared" si="68"/>
        <v>High</v>
      </c>
      <c r="R572" s="4">
        <v>289.92</v>
      </c>
      <c r="S572" s="4">
        <v>2.9000000000000001E-2</v>
      </c>
      <c r="T572" s="4">
        <v>12</v>
      </c>
      <c r="U572" s="4">
        <f t="shared" si="64"/>
        <v>19793.834999999999</v>
      </c>
      <c r="V572">
        <f t="shared" si="65"/>
        <v>1666.8000000000002</v>
      </c>
      <c r="W572" s="4">
        <f t="shared" si="69"/>
        <v>18127.035</v>
      </c>
      <c r="X572" s="4">
        <f t="shared" si="70"/>
        <v>0.91579196249741401</v>
      </c>
    </row>
    <row r="573" spans="1:24" x14ac:dyDescent="0.3">
      <c r="A573" t="s">
        <v>1242</v>
      </c>
      <c r="B573" s="7">
        <v>45078</v>
      </c>
      <c r="C573" s="2">
        <v>45078</v>
      </c>
      <c r="D573" s="4">
        <f t="shared" si="71"/>
        <v>0</v>
      </c>
      <c r="E573" s="51" t="str">
        <f t="shared" si="66"/>
        <v>Yes</v>
      </c>
      <c r="F573" s="4" t="str">
        <f>TEXT(Data!B573,"MMM-YYYY")</f>
        <v>Mar-2025</v>
      </c>
      <c r="G573" s="4" t="str">
        <f t="shared" si="67"/>
        <v>Q2-2023</v>
      </c>
      <c r="H573" t="s">
        <v>45</v>
      </c>
      <c r="I573" t="s">
        <v>60</v>
      </c>
      <c r="J573" t="s">
        <v>61</v>
      </c>
      <c r="K573" t="s">
        <v>19</v>
      </c>
      <c r="L573" t="s">
        <v>20</v>
      </c>
      <c r="M573" t="s">
        <v>63</v>
      </c>
      <c r="N573" t="s">
        <v>81</v>
      </c>
      <c r="O573" t="s">
        <v>1243</v>
      </c>
      <c r="P573" s="4">
        <v>669.37</v>
      </c>
      <c r="Q573" s="8" t="str">
        <f t="shared" si="68"/>
        <v>High</v>
      </c>
      <c r="R573" s="4">
        <v>997.2</v>
      </c>
      <c r="S573" s="4">
        <v>8.2000000000000003E-2</v>
      </c>
      <c r="T573" s="4">
        <v>5</v>
      </c>
      <c r="U573" s="4">
        <f t="shared" si="64"/>
        <v>3326.373</v>
      </c>
      <c r="V573">
        <f t="shared" si="65"/>
        <v>3346.85</v>
      </c>
      <c r="W573" s="4">
        <f t="shared" si="69"/>
        <v>-20.476999999999862</v>
      </c>
      <c r="X573" s="4">
        <f t="shared" si="70"/>
        <v>-6.1559542480653434E-3</v>
      </c>
    </row>
    <row r="574" spans="1:24" x14ac:dyDescent="0.3">
      <c r="A574" t="s">
        <v>1244</v>
      </c>
      <c r="B574" s="7">
        <v>45740</v>
      </c>
      <c r="C574" s="2">
        <v>45751</v>
      </c>
      <c r="D574" s="4">
        <f t="shared" si="71"/>
        <v>11</v>
      </c>
      <c r="E574" s="51" t="b">
        <f t="shared" si="66"/>
        <v>0</v>
      </c>
      <c r="F574" s="4" t="str">
        <f>TEXT(Data!B574,"MMM-YYYY")</f>
        <v>Jan-2024</v>
      </c>
      <c r="G574" s="4" t="str">
        <f t="shared" si="67"/>
        <v>Q1-2025</v>
      </c>
      <c r="H574" t="s">
        <v>45</v>
      </c>
      <c r="I574" t="s">
        <v>60</v>
      </c>
      <c r="J574" t="s">
        <v>220</v>
      </c>
      <c r="K574" t="s">
        <v>27</v>
      </c>
      <c r="L574" t="s">
        <v>40</v>
      </c>
      <c r="M574" t="s">
        <v>29</v>
      </c>
      <c r="N574" t="s">
        <v>42</v>
      </c>
      <c r="O574" t="s">
        <v>1245</v>
      </c>
      <c r="P574" s="4">
        <v>23.83</v>
      </c>
      <c r="Q574" s="8" t="str">
        <f t="shared" si="68"/>
        <v>Low</v>
      </c>
      <c r="R574" s="4">
        <v>47.29</v>
      </c>
      <c r="S574" s="4">
        <v>6.4000000000000001E-2</v>
      </c>
      <c r="T574" s="4">
        <v>19</v>
      </c>
      <c r="U574" s="4">
        <f t="shared" si="64"/>
        <v>24114.036959999998</v>
      </c>
      <c r="V574">
        <f t="shared" si="65"/>
        <v>452.77</v>
      </c>
      <c r="W574" s="4">
        <f t="shared" si="69"/>
        <v>23661.266959999997</v>
      </c>
      <c r="X574" s="4">
        <f t="shared" si="70"/>
        <v>0.98122379920247083</v>
      </c>
    </row>
    <row r="575" spans="1:24" x14ac:dyDescent="0.3">
      <c r="A575" t="s">
        <v>1246</v>
      </c>
      <c r="B575" s="7">
        <v>45293</v>
      </c>
      <c r="C575" s="2">
        <v>45293</v>
      </c>
      <c r="D575" s="4">
        <f t="shared" si="71"/>
        <v>0</v>
      </c>
      <c r="E575" s="51" t="str">
        <f t="shared" si="66"/>
        <v>Yes</v>
      </c>
      <c r="F575" s="4" t="str">
        <f>TEXT(Data!B575,"MMM-YYYY")</f>
        <v>Dec-2023</v>
      </c>
      <c r="G575" s="4" t="str">
        <f t="shared" si="67"/>
        <v>Q1-2024</v>
      </c>
      <c r="H575" t="s">
        <v>52</v>
      </c>
      <c r="I575" t="s">
        <v>53</v>
      </c>
      <c r="J575" t="s">
        <v>179</v>
      </c>
      <c r="K575" t="s">
        <v>27</v>
      </c>
      <c r="L575" t="s">
        <v>98</v>
      </c>
      <c r="M575" t="s">
        <v>75</v>
      </c>
      <c r="N575" t="s">
        <v>57</v>
      </c>
      <c r="O575" t="s">
        <v>1247</v>
      </c>
      <c r="P575" s="4">
        <v>444.41</v>
      </c>
      <c r="Q575" s="8" t="str">
        <f t="shared" si="68"/>
        <v>High</v>
      </c>
      <c r="R575" s="4">
        <v>754.24</v>
      </c>
      <c r="S575" s="4">
        <v>0.20699999999999999</v>
      </c>
      <c r="T575" s="4">
        <v>32</v>
      </c>
      <c r="U575" s="4">
        <f t="shared" si="64"/>
        <v>6980.1763200000005</v>
      </c>
      <c r="V575">
        <f t="shared" si="65"/>
        <v>14221.12</v>
      </c>
      <c r="W575" s="4">
        <f t="shared" si="69"/>
        <v>-7240.9436800000003</v>
      </c>
      <c r="X575" s="4">
        <f t="shared" si="70"/>
        <v>-1.0373582769324659</v>
      </c>
    </row>
    <row r="576" spans="1:24" x14ac:dyDescent="0.3">
      <c r="A576" t="s">
        <v>1248</v>
      </c>
      <c r="B576" s="7">
        <v>45279</v>
      </c>
      <c r="C576" s="2">
        <v>45292</v>
      </c>
      <c r="D576" s="4">
        <f t="shared" si="71"/>
        <v>13</v>
      </c>
      <c r="E576" s="51" t="b">
        <f t="shared" si="66"/>
        <v>0</v>
      </c>
      <c r="F576" s="4" t="str">
        <f>TEXT(Data!B576,"MMM-YYYY")</f>
        <v>Apr-2023</v>
      </c>
      <c r="G576" s="4" t="str">
        <f t="shared" si="67"/>
        <v>Q4-2023</v>
      </c>
      <c r="H576" t="s">
        <v>52</v>
      </c>
      <c r="I576" t="s">
        <v>53</v>
      </c>
      <c r="J576" t="s">
        <v>54</v>
      </c>
      <c r="K576" t="s">
        <v>105</v>
      </c>
      <c r="L576" t="s">
        <v>20</v>
      </c>
      <c r="M576" t="s">
        <v>95</v>
      </c>
      <c r="N576" t="s">
        <v>64</v>
      </c>
      <c r="O576" t="s">
        <v>1249</v>
      </c>
      <c r="P576" s="4">
        <v>856.1</v>
      </c>
      <c r="Q576" s="8" t="str">
        <f t="shared" si="68"/>
        <v>High</v>
      </c>
      <c r="R576" s="4">
        <v>901.48</v>
      </c>
      <c r="S576" s="4">
        <v>5.6000000000000001E-2</v>
      </c>
      <c r="T576" s="4">
        <v>17</v>
      </c>
      <c r="U576" s="4">
        <f t="shared" si="64"/>
        <v>28925.557119999998</v>
      </c>
      <c r="V576">
        <f t="shared" si="65"/>
        <v>14553.7</v>
      </c>
      <c r="W576" s="4">
        <f t="shared" si="69"/>
        <v>14371.857119999997</v>
      </c>
      <c r="X576" s="4">
        <f t="shared" si="70"/>
        <v>0.49685670911634278</v>
      </c>
    </row>
    <row r="577" spans="1:24" x14ac:dyDescent="0.3">
      <c r="A577" t="s">
        <v>1250</v>
      </c>
      <c r="B577" s="7">
        <v>45042</v>
      </c>
      <c r="C577" s="2">
        <v>45042</v>
      </c>
      <c r="D577" s="4">
        <f t="shared" si="71"/>
        <v>0</v>
      </c>
      <c r="E577" s="51" t="str">
        <f t="shared" si="66"/>
        <v>Yes</v>
      </c>
      <c r="F577" s="4" t="str">
        <f>TEXT(Data!B577,"MMM-YYYY")</f>
        <v>Aug-2025</v>
      </c>
      <c r="G577" s="4" t="str">
        <f t="shared" si="67"/>
        <v>Q2-2023</v>
      </c>
      <c r="H577" t="s">
        <v>78</v>
      </c>
      <c r="I577" t="s">
        <v>90</v>
      </c>
      <c r="J577" t="s">
        <v>91</v>
      </c>
      <c r="K577" t="s">
        <v>48</v>
      </c>
      <c r="L577" t="s">
        <v>98</v>
      </c>
      <c r="M577" t="s">
        <v>110</v>
      </c>
      <c r="N577" t="s">
        <v>22</v>
      </c>
      <c r="O577" t="s">
        <v>1251</v>
      </c>
      <c r="P577" s="4">
        <v>81.489999999999995</v>
      </c>
      <c r="Q577" s="8" t="str">
        <f t="shared" si="68"/>
        <v>Medium</v>
      </c>
      <c r="R577" s="4">
        <v>113.08</v>
      </c>
      <c r="S577" s="4">
        <v>0.121</v>
      </c>
      <c r="T577" s="4">
        <v>5</v>
      </c>
      <c r="U577" s="4">
        <f t="shared" si="64"/>
        <v>5580.6830999999993</v>
      </c>
      <c r="V577">
        <f t="shared" si="65"/>
        <v>407.45</v>
      </c>
      <c r="W577" s="4">
        <f t="shared" si="69"/>
        <v>5173.2330999999995</v>
      </c>
      <c r="X577" s="4">
        <f t="shared" si="70"/>
        <v>0.92698922467036338</v>
      </c>
    </row>
    <row r="578" spans="1:24" x14ac:dyDescent="0.3">
      <c r="A578" t="s">
        <v>1252</v>
      </c>
      <c r="B578" s="7">
        <v>45872</v>
      </c>
      <c r="C578" s="2">
        <v>45885</v>
      </c>
      <c r="D578" s="4">
        <f t="shared" si="71"/>
        <v>13</v>
      </c>
      <c r="E578" s="51" t="b">
        <f t="shared" si="66"/>
        <v>0</v>
      </c>
      <c r="F578" s="4" t="str">
        <f>TEXT(Data!B578,"MMM-YYYY")</f>
        <v>Aug-2023</v>
      </c>
      <c r="G578" s="4" t="str">
        <f t="shared" si="67"/>
        <v>Q3-2025</v>
      </c>
      <c r="H578" t="s">
        <v>52</v>
      </c>
      <c r="I578" t="s">
        <v>53</v>
      </c>
      <c r="J578" t="s">
        <v>144</v>
      </c>
      <c r="K578" t="s">
        <v>105</v>
      </c>
      <c r="L578" t="s">
        <v>55</v>
      </c>
      <c r="M578" t="s">
        <v>68</v>
      </c>
      <c r="N578" t="s">
        <v>35</v>
      </c>
      <c r="O578" t="s">
        <v>1253</v>
      </c>
      <c r="P578" s="4">
        <v>698.66</v>
      </c>
      <c r="Q578" s="8" t="str">
        <f t="shared" si="68"/>
        <v>High</v>
      </c>
      <c r="R578" s="4">
        <v>868.62</v>
      </c>
      <c r="S578" s="4">
        <v>7.1999999999999995E-2</v>
      </c>
      <c r="T578" s="4">
        <v>15</v>
      </c>
      <c r="U578" s="4">
        <f t="shared" ref="U578:U633" si="72">(R604*T578)*(1-S578)</f>
        <v>7960.848</v>
      </c>
      <c r="V578">
        <f t="shared" ref="V578:V633" si="73">(P578*T578)</f>
        <v>10479.9</v>
      </c>
      <c r="W578" s="4">
        <f t="shared" si="69"/>
        <v>-2519.0519999999997</v>
      </c>
      <c r="X578" s="4">
        <f t="shared" si="70"/>
        <v>-0.31643010895321699</v>
      </c>
    </row>
    <row r="579" spans="1:24" x14ac:dyDescent="0.3">
      <c r="A579" t="s">
        <v>1254</v>
      </c>
      <c r="B579" s="7">
        <v>45140</v>
      </c>
      <c r="C579" s="2">
        <v>45157</v>
      </c>
      <c r="D579" s="4">
        <f t="shared" si="71"/>
        <v>17</v>
      </c>
      <c r="E579" s="51" t="b">
        <f t="shared" ref="E579:E633" si="74">IF(D579&lt;=7, "Yes")</f>
        <v>0</v>
      </c>
      <c r="F579" s="4" t="str">
        <f>TEXT(Data!B579,"MMM-YYYY")</f>
        <v>Jun-2023</v>
      </c>
      <c r="G579" s="4" t="str">
        <f t="shared" ref="G579:G633" si="75">"Q"&amp;ROUNDUP(MONTH(B579)/3,0)&amp;"-"&amp;YEAR(B579)</f>
        <v>Q3-2023</v>
      </c>
      <c r="H579" t="s">
        <v>52</v>
      </c>
      <c r="I579" t="s">
        <v>53</v>
      </c>
      <c r="J579" t="s">
        <v>179</v>
      </c>
      <c r="K579" t="s">
        <v>19</v>
      </c>
      <c r="L579" t="s">
        <v>28</v>
      </c>
      <c r="M579" t="s">
        <v>84</v>
      </c>
      <c r="N579" t="s">
        <v>35</v>
      </c>
      <c r="O579" t="s">
        <v>1255</v>
      </c>
      <c r="P579" s="4">
        <v>175.38</v>
      </c>
      <c r="Q579" s="8" t="str">
        <f t="shared" ref="Q579:Q633" si="76">IF(R579&lt;50, "Low", IF(R579&lt;200, "Medium", "High"))</f>
        <v>High</v>
      </c>
      <c r="R579" s="4">
        <v>347.9</v>
      </c>
      <c r="S579" s="4">
        <v>7.1999999999999995E-2</v>
      </c>
      <c r="T579" s="4">
        <v>43</v>
      </c>
      <c r="U579" s="4">
        <f t="shared" si="72"/>
        <v>109937.11616000001</v>
      </c>
      <c r="V579">
        <f t="shared" si="73"/>
        <v>7541.34</v>
      </c>
      <c r="W579" s="4">
        <f t="shared" ref="W579:W633" si="77">(U579-V579)</f>
        <v>102395.77616000001</v>
      </c>
      <c r="X579" s="4">
        <f t="shared" ref="X579:X633" si="78">IF(U579=0, 0, W579/U579)</f>
        <v>0.93140314878712571</v>
      </c>
    </row>
    <row r="580" spans="1:24" x14ac:dyDescent="0.3">
      <c r="A580" t="s">
        <v>1256</v>
      </c>
      <c r="B580" s="7">
        <v>45092</v>
      </c>
      <c r="C580" s="2">
        <v>45119</v>
      </c>
      <c r="D580" s="4">
        <f t="shared" si="71"/>
        <v>27</v>
      </c>
      <c r="E580" s="51" t="b">
        <f t="shared" si="74"/>
        <v>0</v>
      </c>
      <c r="F580" s="4" t="str">
        <f>TEXT(Data!B580,"MMM-YYYY")</f>
        <v>Nov-2024</v>
      </c>
      <c r="G580" s="4" t="str">
        <f t="shared" si="75"/>
        <v>Q2-2023</v>
      </c>
      <c r="H580" t="s">
        <v>78</v>
      </c>
      <c r="I580" t="s">
        <v>108</v>
      </c>
      <c r="J580" t="s">
        <v>228</v>
      </c>
      <c r="K580" t="s">
        <v>48</v>
      </c>
      <c r="L580" t="s">
        <v>98</v>
      </c>
      <c r="M580" t="s">
        <v>34</v>
      </c>
      <c r="N580" t="s">
        <v>81</v>
      </c>
      <c r="O580" t="s">
        <v>1257</v>
      </c>
      <c r="P580" s="4">
        <v>751.28</v>
      </c>
      <c r="Q580" s="8" t="str">
        <f t="shared" si="76"/>
        <v>High</v>
      </c>
      <c r="R580" s="4">
        <v>1111.8800000000001</v>
      </c>
      <c r="S580" s="4">
        <v>0.13500000000000001</v>
      </c>
      <c r="T580" s="4">
        <v>7</v>
      </c>
      <c r="U580" s="4">
        <f t="shared" si="72"/>
        <v>5827.9980499999992</v>
      </c>
      <c r="V580">
        <f t="shared" si="73"/>
        <v>5258.96</v>
      </c>
      <c r="W580" s="4">
        <f t="shared" si="77"/>
        <v>569.0380499999992</v>
      </c>
      <c r="X580" s="4">
        <f t="shared" si="78"/>
        <v>9.7638682291597417E-2</v>
      </c>
    </row>
    <row r="581" spans="1:24" x14ac:dyDescent="0.3">
      <c r="A581" t="s">
        <v>1258</v>
      </c>
      <c r="B581" s="7">
        <v>45607</v>
      </c>
      <c r="C581" s="2">
        <v>45620</v>
      </c>
      <c r="D581" s="4">
        <f t="shared" ref="D581:D633" si="79">DATEDIF(B581,C581, "MD")</f>
        <v>13</v>
      </c>
      <c r="E581" s="51" t="b">
        <f t="shared" si="74"/>
        <v>0</v>
      </c>
      <c r="F581" s="4" t="str">
        <f>TEXT(Data!B581,"MMM-YYYY")</f>
        <v>Jul-2025</v>
      </c>
      <c r="G581" s="4" t="str">
        <f t="shared" si="75"/>
        <v>Q4-2024</v>
      </c>
      <c r="H581" t="s">
        <v>78</v>
      </c>
      <c r="I581" t="s">
        <v>108</v>
      </c>
      <c r="J581" t="s">
        <v>152</v>
      </c>
      <c r="K581" t="s">
        <v>19</v>
      </c>
      <c r="L581" t="s">
        <v>20</v>
      </c>
      <c r="M581" t="s">
        <v>63</v>
      </c>
      <c r="N581" t="s">
        <v>35</v>
      </c>
      <c r="O581" t="s">
        <v>1259</v>
      </c>
      <c r="P581" s="4">
        <v>164.53</v>
      </c>
      <c r="Q581" s="8" t="str">
        <f t="shared" si="76"/>
        <v>High</v>
      </c>
      <c r="R581" s="4">
        <v>327.72</v>
      </c>
      <c r="S581" s="4">
        <v>6.7000000000000004E-2</v>
      </c>
      <c r="T581" s="4">
        <v>14</v>
      </c>
      <c r="U581" s="4">
        <f t="shared" si="72"/>
        <v>8728.9427399999986</v>
      </c>
      <c r="V581">
        <f t="shared" si="73"/>
        <v>2303.42</v>
      </c>
      <c r="W581" s="4">
        <f t="shared" si="77"/>
        <v>6425.5227399999985</v>
      </c>
      <c r="X581" s="4">
        <f t="shared" si="78"/>
        <v>0.73611695383855846</v>
      </c>
    </row>
    <row r="582" spans="1:24" x14ac:dyDescent="0.3">
      <c r="A582" t="s">
        <v>1260</v>
      </c>
      <c r="B582" s="7">
        <v>45849</v>
      </c>
      <c r="C582" s="2">
        <v>45872</v>
      </c>
      <c r="D582" s="4">
        <f t="shared" si="79"/>
        <v>23</v>
      </c>
      <c r="E582" s="51" t="b">
        <f t="shared" si="74"/>
        <v>0</v>
      </c>
      <c r="F582" s="4" t="str">
        <f>TEXT(Data!B582,"MMM-YYYY")</f>
        <v>Jun-2023</v>
      </c>
      <c r="G582" s="4" t="str">
        <f t="shared" si="75"/>
        <v>Q3-2025</v>
      </c>
      <c r="H582" t="s">
        <v>16</v>
      </c>
      <c r="I582" t="s">
        <v>17</v>
      </c>
      <c r="J582" t="s">
        <v>135</v>
      </c>
      <c r="K582" t="s">
        <v>62</v>
      </c>
      <c r="L582" t="s">
        <v>20</v>
      </c>
      <c r="M582" t="s">
        <v>21</v>
      </c>
      <c r="N582" t="s">
        <v>42</v>
      </c>
      <c r="O582" t="s">
        <v>1261</v>
      </c>
      <c r="P582" s="4">
        <v>389.93</v>
      </c>
      <c r="Q582" s="8" t="str">
        <f t="shared" si="76"/>
        <v>High</v>
      </c>
      <c r="R582" s="4">
        <v>486.13</v>
      </c>
      <c r="S582" s="4">
        <v>0.13200000000000001</v>
      </c>
      <c r="T582" s="4">
        <v>17</v>
      </c>
      <c r="U582" s="4">
        <f t="shared" si="72"/>
        <v>20722.29348</v>
      </c>
      <c r="V582">
        <f t="shared" si="73"/>
        <v>6628.81</v>
      </c>
      <c r="W582" s="4">
        <f t="shared" si="77"/>
        <v>14093.483479999999</v>
      </c>
      <c r="X582" s="4">
        <f t="shared" si="78"/>
        <v>0.6801121455789747</v>
      </c>
    </row>
    <row r="583" spans="1:24" x14ac:dyDescent="0.3">
      <c r="A583" t="s">
        <v>1262</v>
      </c>
      <c r="B583" s="7">
        <v>45080</v>
      </c>
      <c r="C583" s="2">
        <v>45108</v>
      </c>
      <c r="D583" s="4">
        <f t="shared" si="79"/>
        <v>28</v>
      </c>
      <c r="E583" s="51" t="b">
        <f t="shared" si="74"/>
        <v>0</v>
      </c>
      <c r="F583" s="4" t="str">
        <f>TEXT(Data!B583,"MMM-YYYY")</f>
        <v>Jan-2023</v>
      </c>
      <c r="G583" s="4" t="str">
        <f t="shared" si="75"/>
        <v>Q2-2023</v>
      </c>
      <c r="H583" t="s">
        <v>52</v>
      </c>
      <c r="I583" t="s">
        <v>73</v>
      </c>
      <c r="J583" t="s">
        <v>87</v>
      </c>
      <c r="K583" t="s">
        <v>62</v>
      </c>
      <c r="L583" t="s">
        <v>40</v>
      </c>
      <c r="M583" t="s">
        <v>75</v>
      </c>
      <c r="N583" t="s">
        <v>22</v>
      </c>
      <c r="O583" t="s">
        <v>1263</v>
      </c>
      <c r="P583" s="4">
        <v>860.4</v>
      </c>
      <c r="Q583" s="8" t="str">
        <f t="shared" si="76"/>
        <v>High</v>
      </c>
      <c r="R583" s="4">
        <v>2066.6</v>
      </c>
      <c r="S583" s="4">
        <v>0.01</v>
      </c>
      <c r="T583" s="4">
        <v>3</v>
      </c>
      <c r="U583" s="4">
        <f t="shared" si="72"/>
        <v>10661.9733</v>
      </c>
      <c r="V583">
        <f t="shared" si="73"/>
        <v>2581.1999999999998</v>
      </c>
      <c r="W583" s="4">
        <f t="shared" si="77"/>
        <v>8080.7732999999998</v>
      </c>
      <c r="X583" s="4">
        <f t="shared" si="78"/>
        <v>0.7579059778737206</v>
      </c>
    </row>
    <row r="584" spans="1:24" x14ac:dyDescent="0.3">
      <c r="A584" t="s">
        <v>1264</v>
      </c>
      <c r="B584" s="7">
        <v>44955</v>
      </c>
      <c r="C584" s="2">
        <v>44963</v>
      </c>
      <c r="D584" s="4">
        <f t="shared" si="79"/>
        <v>8</v>
      </c>
      <c r="E584" s="51" t="b">
        <f t="shared" si="74"/>
        <v>0</v>
      </c>
      <c r="F584" s="4" t="str">
        <f>TEXT(Data!B584,"MMM-YYYY")</f>
        <v>Sept-2024</v>
      </c>
      <c r="G584" s="4" t="str">
        <f t="shared" si="75"/>
        <v>Q1-2023</v>
      </c>
      <c r="H584" t="s">
        <v>52</v>
      </c>
      <c r="I584" t="s">
        <v>73</v>
      </c>
      <c r="J584" t="s">
        <v>87</v>
      </c>
      <c r="K584" t="s">
        <v>19</v>
      </c>
      <c r="L584" t="s">
        <v>40</v>
      </c>
      <c r="M584" t="s">
        <v>145</v>
      </c>
      <c r="N584" t="s">
        <v>64</v>
      </c>
      <c r="O584" t="s">
        <v>1265</v>
      </c>
      <c r="P584" s="4">
        <v>41.84</v>
      </c>
      <c r="Q584" s="8" t="str">
        <f t="shared" si="76"/>
        <v>Medium</v>
      </c>
      <c r="R584" s="4">
        <v>86.2</v>
      </c>
      <c r="S584" s="4">
        <v>0.22600000000000001</v>
      </c>
      <c r="T584" s="4">
        <v>27</v>
      </c>
      <c r="U584" s="4">
        <f t="shared" si="72"/>
        <v>4879.8919799999994</v>
      </c>
      <c r="V584">
        <f t="shared" si="73"/>
        <v>1129.68</v>
      </c>
      <c r="W584" s="4">
        <f t="shared" si="77"/>
        <v>3750.2119799999991</v>
      </c>
      <c r="X584" s="4">
        <f t="shared" si="78"/>
        <v>0.76850307247989524</v>
      </c>
    </row>
    <row r="585" spans="1:24" x14ac:dyDescent="0.3">
      <c r="A585" t="s">
        <v>1266</v>
      </c>
      <c r="B585" s="7">
        <v>45541</v>
      </c>
      <c r="C585" s="2">
        <v>45539</v>
      </c>
      <c r="D585" s="4">
        <f>DATEDIF(C585,B585, "MD")</f>
        <v>2</v>
      </c>
      <c r="E585" s="51" t="str">
        <f t="shared" si="74"/>
        <v>Yes</v>
      </c>
      <c r="F585" s="4" t="str">
        <f>TEXT(Data!B585,"MMM-YYYY")</f>
        <v>Aug-2024</v>
      </c>
      <c r="G585" s="4" t="str">
        <f t="shared" si="75"/>
        <v>Q3-2024</v>
      </c>
      <c r="H585" t="s">
        <v>45</v>
      </c>
      <c r="I585" t="s">
        <v>46</v>
      </c>
      <c r="J585" t="s">
        <v>47</v>
      </c>
      <c r="K585" t="s">
        <v>19</v>
      </c>
      <c r="L585" t="s">
        <v>98</v>
      </c>
      <c r="M585" t="s">
        <v>75</v>
      </c>
      <c r="N585" t="s">
        <v>57</v>
      </c>
      <c r="O585" t="s">
        <v>1267</v>
      </c>
      <c r="P585" s="4">
        <v>1368.17</v>
      </c>
      <c r="Q585" s="8" t="str">
        <f t="shared" si="76"/>
        <v>High</v>
      </c>
      <c r="R585" s="4">
        <v>2307.75</v>
      </c>
      <c r="S585" s="4">
        <v>0.16300000000000001</v>
      </c>
      <c r="T585" s="4">
        <v>21</v>
      </c>
      <c r="U585" s="4">
        <f t="shared" si="72"/>
        <v>2183.9422500000001</v>
      </c>
      <c r="V585">
        <f t="shared" si="73"/>
        <v>28731.57</v>
      </c>
      <c r="W585" s="4">
        <f t="shared" si="77"/>
        <v>-26547.62775</v>
      </c>
      <c r="X585" s="4">
        <f t="shared" si="78"/>
        <v>-12.155828639699607</v>
      </c>
    </row>
    <row r="586" spans="1:24" x14ac:dyDescent="0.3">
      <c r="A586" t="s">
        <v>1268</v>
      </c>
      <c r="B586" s="7">
        <v>45507</v>
      </c>
      <c r="C586" s="2">
        <v>45513</v>
      </c>
      <c r="D586" s="4">
        <f t="shared" si="79"/>
        <v>6</v>
      </c>
      <c r="E586" s="51" t="str">
        <f t="shared" si="74"/>
        <v>Yes</v>
      </c>
      <c r="F586" s="4" t="str">
        <f>TEXT(Data!B586,"MMM-YYYY")</f>
        <v>Apr-2025</v>
      </c>
      <c r="G586" s="4" t="str">
        <f t="shared" si="75"/>
        <v>Q3-2024</v>
      </c>
      <c r="H586" t="s">
        <v>16</v>
      </c>
      <c r="I586" t="s">
        <v>17</v>
      </c>
      <c r="J586" t="s">
        <v>113</v>
      </c>
      <c r="K586" t="s">
        <v>48</v>
      </c>
      <c r="L586" t="s">
        <v>40</v>
      </c>
      <c r="M586" t="s">
        <v>92</v>
      </c>
      <c r="N586" t="s">
        <v>57</v>
      </c>
      <c r="O586" t="s">
        <v>1269</v>
      </c>
      <c r="P586" s="4">
        <v>643.21</v>
      </c>
      <c r="Q586" s="8" t="str">
        <f t="shared" si="76"/>
        <v>High</v>
      </c>
      <c r="R586" s="4">
        <v>1112.81</v>
      </c>
      <c r="S586" s="4">
        <v>0.14099999999999999</v>
      </c>
      <c r="T586" s="4">
        <v>4</v>
      </c>
      <c r="U586" s="4">
        <f t="shared" si="72"/>
        <v>4918.1873199999991</v>
      </c>
      <c r="V586">
        <f t="shared" si="73"/>
        <v>2572.84</v>
      </c>
      <c r="W586" s="4">
        <f t="shared" si="77"/>
        <v>2345.3473199999989</v>
      </c>
      <c r="X586" s="4">
        <f t="shared" si="78"/>
        <v>0.47687230424562183</v>
      </c>
    </row>
    <row r="587" spans="1:24" x14ac:dyDescent="0.3">
      <c r="A587" t="s">
        <v>1270</v>
      </c>
      <c r="B587" s="7">
        <v>45764</v>
      </c>
      <c r="C587" s="2">
        <v>45764</v>
      </c>
      <c r="D587" s="4">
        <f t="shared" si="79"/>
        <v>0</v>
      </c>
      <c r="E587" s="51" t="str">
        <f t="shared" si="74"/>
        <v>Yes</v>
      </c>
      <c r="F587" s="4" t="str">
        <f>TEXT(Data!B587,"MMM-YYYY")</f>
        <v>May-2023</v>
      </c>
      <c r="G587" s="4" t="str">
        <f t="shared" si="75"/>
        <v>Q2-2025</v>
      </c>
      <c r="H587" t="s">
        <v>52</v>
      </c>
      <c r="I587" t="s">
        <v>73</v>
      </c>
      <c r="J587" t="s">
        <v>74</v>
      </c>
      <c r="K587" t="s">
        <v>19</v>
      </c>
      <c r="L587" t="s">
        <v>55</v>
      </c>
      <c r="M587" t="s">
        <v>49</v>
      </c>
      <c r="N587" t="s">
        <v>42</v>
      </c>
      <c r="O587" t="s">
        <v>1271</v>
      </c>
      <c r="P587" s="4">
        <v>719.41</v>
      </c>
      <c r="Q587" s="8" t="str">
        <f t="shared" si="76"/>
        <v>High</v>
      </c>
      <c r="R587" s="4">
        <v>1125.99</v>
      </c>
      <c r="S587" s="4">
        <v>4.1000000000000002E-2</v>
      </c>
      <c r="T587" s="4">
        <v>21</v>
      </c>
      <c r="U587" s="4">
        <f t="shared" si="72"/>
        <v>32132.177279999996</v>
      </c>
      <c r="V587">
        <f t="shared" si="73"/>
        <v>15107.609999999999</v>
      </c>
      <c r="W587" s="4">
        <f t="shared" si="77"/>
        <v>17024.567279999996</v>
      </c>
      <c r="X587" s="4">
        <f t="shared" si="78"/>
        <v>0.52982924660373332</v>
      </c>
    </row>
    <row r="588" spans="1:24" x14ac:dyDescent="0.3">
      <c r="A588" t="s">
        <v>1272</v>
      </c>
      <c r="B588" s="7">
        <v>45049</v>
      </c>
      <c r="C588" s="2">
        <v>45062</v>
      </c>
      <c r="D588" s="4">
        <f t="shared" si="79"/>
        <v>13</v>
      </c>
      <c r="E588" s="51" t="b">
        <f t="shared" si="74"/>
        <v>0</v>
      </c>
      <c r="F588" s="4" t="str">
        <f>TEXT(Data!B588,"MMM-YYYY")</f>
        <v>Mar-2024</v>
      </c>
      <c r="G588" s="4" t="str">
        <f t="shared" si="75"/>
        <v>Q2-2023</v>
      </c>
      <c r="H588" t="s">
        <v>52</v>
      </c>
      <c r="I588" t="s">
        <v>122</v>
      </c>
      <c r="J588" t="s">
        <v>387</v>
      </c>
      <c r="K588" t="s">
        <v>19</v>
      </c>
      <c r="L588" t="s">
        <v>40</v>
      </c>
      <c r="M588" t="s">
        <v>49</v>
      </c>
      <c r="N588" t="s">
        <v>42</v>
      </c>
      <c r="O588" t="s">
        <v>1273</v>
      </c>
      <c r="P588" s="4">
        <v>64.5</v>
      </c>
      <c r="Q588" s="8" t="str">
        <f t="shared" si="76"/>
        <v>Medium</v>
      </c>
      <c r="R588" s="4">
        <v>123.62</v>
      </c>
      <c r="S588" s="4">
        <v>0</v>
      </c>
      <c r="T588" s="4">
        <v>3</v>
      </c>
      <c r="U588" s="4">
        <f t="shared" si="72"/>
        <v>3085.38</v>
      </c>
      <c r="V588">
        <f t="shared" si="73"/>
        <v>193.5</v>
      </c>
      <c r="W588" s="4">
        <f t="shared" si="77"/>
        <v>2891.88</v>
      </c>
      <c r="X588" s="4">
        <f t="shared" si="78"/>
        <v>0.93728487252785719</v>
      </c>
    </row>
    <row r="589" spans="1:24" x14ac:dyDescent="0.3">
      <c r="A589" t="s">
        <v>1274</v>
      </c>
      <c r="B589" s="7">
        <v>45364</v>
      </c>
      <c r="C589" s="2">
        <v>45388</v>
      </c>
      <c r="D589" s="4">
        <f t="shared" si="79"/>
        <v>24</v>
      </c>
      <c r="E589" s="51" t="b">
        <f t="shared" si="74"/>
        <v>0</v>
      </c>
      <c r="F589" s="4" t="str">
        <f>TEXT(Data!B589,"MMM-YYYY")</f>
        <v>Jun-2024</v>
      </c>
      <c r="G589" s="4" t="str">
        <f t="shared" si="75"/>
        <v>Q1-2024</v>
      </c>
      <c r="H589" t="s">
        <v>16</v>
      </c>
      <c r="I589" t="s">
        <v>25</v>
      </c>
      <c r="J589" t="s">
        <v>67</v>
      </c>
      <c r="K589" t="s">
        <v>48</v>
      </c>
      <c r="L589" t="s">
        <v>55</v>
      </c>
      <c r="M589" t="s">
        <v>49</v>
      </c>
      <c r="N589" t="s">
        <v>22</v>
      </c>
      <c r="O589" t="s">
        <v>1275</v>
      </c>
      <c r="P589" s="4">
        <v>1232.78</v>
      </c>
      <c r="Q589" s="8" t="str">
        <f t="shared" si="76"/>
        <v>High</v>
      </c>
      <c r="R589" s="4">
        <v>1731.75</v>
      </c>
      <c r="S589" s="4">
        <v>9.2999999999999999E-2</v>
      </c>
      <c r="T589" s="4">
        <v>16</v>
      </c>
      <c r="U589" s="4">
        <f t="shared" si="72"/>
        <v>46878.839200000002</v>
      </c>
      <c r="V589">
        <f t="shared" si="73"/>
        <v>19724.48</v>
      </c>
      <c r="W589" s="4">
        <f t="shared" si="77"/>
        <v>27154.359200000003</v>
      </c>
      <c r="X589" s="4">
        <f t="shared" si="78"/>
        <v>0.5792455543566446</v>
      </c>
    </row>
    <row r="590" spans="1:24" x14ac:dyDescent="0.3">
      <c r="A590" t="s">
        <v>1276</v>
      </c>
      <c r="B590" s="7">
        <v>45459</v>
      </c>
      <c r="C590" s="2">
        <v>45464</v>
      </c>
      <c r="D590" s="4">
        <f t="shared" si="79"/>
        <v>5</v>
      </c>
      <c r="E590" s="51" t="str">
        <f t="shared" si="74"/>
        <v>Yes</v>
      </c>
      <c r="F590" s="4" t="str">
        <f>TEXT(Data!B590,"MMM-YYYY")</f>
        <v>Feb-2025</v>
      </c>
      <c r="G590" s="4" t="str">
        <f t="shared" si="75"/>
        <v>Q2-2024</v>
      </c>
      <c r="H590" t="s">
        <v>45</v>
      </c>
      <c r="I590" t="s">
        <v>46</v>
      </c>
      <c r="J590" t="s">
        <v>214</v>
      </c>
      <c r="K590" t="s">
        <v>62</v>
      </c>
      <c r="L590" t="s">
        <v>55</v>
      </c>
      <c r="M590" t="s">
        <v>84</v>
      </c>
      <c r="N590" t="s">
        <v>42</v>
      </c>
      <c r="O590" t="s">
        <v>1277</v>
      </c>
      <c r="P590" s="4">
        <v>1367.13</v>
      </c>
      <c r="Q590" s="8" t="str">
        <f t="shared" si="76"/>
        <v>High</v>
      </c>
      <c r="R590" s="4">
        <v>3062.01</v>
      </c>
      <c r="S590" s="4">
        <v>0.10299999999999999</v>
      </c>
      <c r="T590" s="4">
        <v>25</v>
      </c>
      <c r="U590" s="4">
        <f t="shared" si="72"/>
        <v>62557.004249999998</v>
      </c>
      <c r="V590">
        <f t="shared" si="73"/>
        <v>34178.25</v>
      </c>
      <c r="W590" s="4">
        <f t="shared" si="77"/>
        <v>28378.754249999998</v>
      </c>
      <c r="X590" s="4">
        <f t="shared" si="78"/>
        <v>0.45364631171576603</v>
      </c>
    </row>
    <row r="591" spans="1:24" x14ac:dyDescent="0.3">
      <c r="A591" t="s">
        <v>1278</v>
      </c>
      <c r="B591" s="7">
        <v>45703</v>
      </c>
      <c r="C591" s="2">
        <v>45715</v>
      </c>
      <c r="D591" s="4">
        <f t="shared" si="79"/>
        <v>12</v>
      </c>
      <c r="E591" s="51" t="b">
        <f t="shared" si="74"/>
        <v>0</v>
      </c>
      <c r="F591" s="4" t="str">
        <f>TEXT(Data!B591,"MMM-YYYY")</f>
        <v>Apr-2023</v>
      </c>
      <c r="G591" s="4" t="str">
        <f t="shared" si="75"/>
        <v>Q1-2025</v>
      </c>
      <c r="H591" t="s">
        <v>78</v>
      </c>
      <c r="I591" t="s">
        <v>90</v>
      </c>
      <c r="J591" t="s">
        <v>138</v>
      </c>
      <c r="K591" t="s">
        <v>39</v>
      </c>
      <c r="L591" t="s">
        <v>98</v>
      </c>
      <c r="M591" t="s">
        <v>95</v>
      </c>
      <c r="N591" t="s">
        <v>81</v>
      </c>
      <c r="O591" t="s">
        <v>1279</v>
      </c>
      <c r="P591" s="4">
        <v>1027.26</v>
      </c>
      <c r="Q591" s="8" t="str">
        <f t="shared" si="76"/>
        <v>High</v>
      </c>
      <c r="R591" s="4">
        <v>2200.41</v>
      </c>
      <c r="S591" s="4">
        <v>8.7999999999999995E-2</v>
      </c>
      <c r="T591" s="4">
        <v>6</v>
      </c>
      <c r="U591" s="4">
        <f t="shared" si="72"/>
        <v>10384.433280000001</v>
      </c>
      <c r="V591">
        <f t="shared" si="73"/>
        <v>6163.5599999999995</v>
      </c>
      <c r="W591" s="4">
        <f t="shared" si="77"/>
        <v>4220.8732800000016</v>
      </c>
      <c r="X591" s="4">
        <f t="shared" si="78"/>
        <v>0.40646159171047236</v>
      </c>
    </row>
    <row r="592" spans="1:24" x14ac:dyDescent="0.3">
      <c r="A592" t="s">
        <v>1280</v>
      </c>
      <c r="B592" s="7">
        <v>45019</v>
      </c>
      <c r="C592" s="2">
        <v>45032</v>
      </c>
      <c r="D592" s="4">
        <f t="shared" si="79"/>
        <v>13</v>
      </c>
      <c r="E592" s="51" t="b">
        <f t="shared" si="74"/>
        <v>0</v>
      </c>
      <c r="F592" s="4" t="str">
        <f>TEXT(Data!B592,"MMM-YYYY")</f>
        <v>Aug-2025</v>
      </c>
      <c r="G592" s="4" t="str">
        <f t="shared" si="75"/>
        <v>Q2-2023</v>
      </c>
      <c r="H592" t="s">
        <v>78</v>
      </c>
      <c r="I592" t="s">
        <v>90</v>
      </c>
      <c r="J592" t="s">
        <v>91</v>
      </c>
      <c r="K592" t="s">
        <v>39</v>
      </c>
      <c r="L592" t="s">
        <v>40</v>
      </c>
      <c r="M592" t="s">
        <v>110</v>
      </c>
      <c r="N592" t="s">
        <v>81</v>
      </c>
      <c r="O592" t="s">
        <v>1281</v>
      </c>
      <c r="P592" s="4">
        <v>790.54</v>
      </c>
      <c r="Q592" s="8" t="str">
        <f t="shared" si="76"/>
        <v>High</v>
      </c>
      <c r="R592" s="4">
        <v>601.49</v>
      </c>
      <c r="S592" s="4">
        <v>0</v>
      </c>
      <c r="T592" s="4">
        <v>15</v>
      </c>
      <c r="U592" s="4">
        <f t="shared" si="72"/>
        <v>13537.050000000001</v>
      </c>
      <c r="V592">
        <f t="shared" si="73"/>
        <v>11858.099999999999</v>
      </c>
      <c r="W592" s="4">
        <f t="shared" si="77"/>
        <v>1678.9500000000025</v>
      </c>
      <c r="X592" s="4">
        <f t="shared" si="78"/>
        <v>0.12402628342216379</v>
      </c>
    </row>
    <row r="593" spans="1:24" x14ac:dyDescent="0.3">
      <c r="A593" t="s">
        <v>1282</v>
      </c>
      <c r="B593" s="7">
        <v>45899</v>
      </c>
      <c r="C593" s="2">
        <v>45922</v>
      </c>
      <c r="D593" s="4">
        <f t="shared" si="79"/>
        <v>23</v>
      </c>
      <c r="E593" s="51" t="b">
        <f t="shared" si="74"/>
        <v>0</v>
      </c>
      <c r="F593" s="4" t="str">
        <f>TEXT(Data!B593,"MMM-YYYY")</f>
        <v>Feb-2023</v>
      </c>
      <c r="G593" s="4" t="str">
        <f t="shared" si="75"/>
        <v>Q3-2025</v>
      </c>
      <c r="H593" t="s">
        <v>78</v>
      </c>
      <c r="I593" t="s">
        <v>90</v>
      </c>
      <c r="J593" t="s">
        <v>91</v>
      </c>
      <c r="K593" t="s">
        <v>19</v>
      </c>
      <c r="L593" t="s">
        <v>98</v>
      </c>
      <c r="M593" t="s">
        <v>63</v>
      </c>
      <c r="N593" t="s">
        <v>22</v>
      </c>
      <c r="O593" t="s">
        <v>1283</v>
      </c>
      <c r="P593" s="4">
        <v>663.9</v>
      </c>
      <c r="Q593" s="8" t="str">
        <f t="shared" si="76"/>
        <v>High</v>
      </c>
      <c r="R593" s="4">
        <v>947.77</v>
      </c>
      <c r="S593" s="4">
        <v>0.17399999999999999</v>
      </c>
      <c r="T593" s="4">
        <v>15</v>
      </c>
      <c r="U593" s="4">
        <f t="shared" si="72"/>
        <v>-417.04740000000004</v>
      </c>
      <c r="V593">
        <f t="shared" si="73"/>
        <v>9958.5</v>
      </c>
      <c r="W593" s="4">
        <f t="shared" si="77"/>
        <v>-10375.547399999999</v>
      </c>
      <c r="X593" s="4">
        <f t="shared" si="78"/>
        <v>24.878580708092169</v>
      </c>
    </row>
    <row r="594" spans="1:24" x14ac:dyDescent="0.3">
      <c r="A594" t="s">
        <v>1284</v>
      </c>
      <c r="B594" s="7">
        <v>44984</v>
      </c>
      <c r="C594" s="2">
        <v>44983</v>
      </c>
      <c r="D594" s="4">
        <f>DATEDIF(C594,B594, "MD")</f>
        <v>1</v>
      </c>
      <c r="E594" s="51" t="str">
        <f t="shared" si="74"/>
        <v>Yes</v>
      </c>
      <c r="F594" s="4" t="str">
        <f>TEXT(Data!B594,"MMM-YYYY")</f>
        <v>Jul-2024</v>
      </c>
      <c r="G594" s="4" t="str">
        <f t="shared" si="75"/>
        <v>Q1-2023</v>
      </c>
      <c r="H594" t="s">
        <v>52</v>
      </c>
      <c r="I594" t="s">
        <v>122</v>
      </c>
      <c r="J594" t="s">
        <v>167</v>
      </c>
      <c r="K594" t="s">
        <v>39</v>
      </c>
      <c r="L594" t="s">
        <v>28</v>
      </c>
      <c r="M594" t="s">
        <v>49</v>
      </c>
      <c r="N594" t="s">
        <v>35</v>
      </c>
      <c r="O594" t="s">
        <v>1285</v>
      </c>
      <c r="P594" s="4">
        <v>1015.91</v>
      </c>
      <c r="Q594" s="8" t="str">
        <f t="shared" si="76"/>
        <v>High</v>
      </c>
      <c r="R594" s="4">
        <v>2331.48</v>
      </c>
      <c r="S594" s="4">
        <v>0.14599999999999999</v>
      </c>
      <c r="T594" s="4">
        <v>26</v>
      </c>
      <c r="U594" s="4">
        <f t="shared" si="72"/>
        <v>24128.64272</v>
      </c>
      <c r="V594">
        <f t="shared" si="73"/>
        <v>26413.66</v>
      </c>
      <c r="W594" s="4">
        <f t="shared" si="77"/>
        <v>-2285.01728</v>
      </c>
      <c r="X594" s="4">
        <f t="shared" si="78"/>
        <v>-9.4701442866737429E-2</v>
      </c>
    </row>
    <row r="595" spans="1:24" x14ac:dyDescent="0.3">
      <c r="A595" t="s">
        <v>1286</v>
      </c>
      <c r="B595" s="7">
        <v>45504</v>
      </c>
      <c r="C595" s="2">
        <v>45519</v>
      </c>
      <c r="D595" s="4">
        <f t="shared" si="79"/>
        <v>15</v>
      </c>
      <c r="E595" s="51" t="b">
        <f t="shared" si="74"/>
        <v>0</v>
      </c>
      <c r="F595" s="4" t="str">
        <f>TEXT(Data!B595,"MMM-YYYY")</f>
        <v>Jun-2025</v>
      </c>
      <c r="G595" s="4" t="str">
        <f t="shared" si="75"/>
        <v>Q3-2024</v>
      </c>
      <c r="H595" t="s">
        <v>45</v>
      </c>
      <c r="I595" t="s">
        <v>46</v>
      </c>
      <c r="J595" t="s">
        <v>214</v>
      </c>
      <c r="K595" t="s">
        <v>19</v>
      </c>
      <c r="L595" t="s">
        <v>40</v>
      </c>
      <c r="M595" t="s">
        <v>84</v>
      </c>
      <c r="N595" t="s">
        <v>64</v>
      </c>
      <c r="O595" t="s">
        <v>1287</v>
      </c>
      <c r="P595" s="4">
        <v>1252.52</v>
      </c>
      <c r="Q595" s="8" t="str">
        <f t="shared" si="76"/>
        <v>High</v>
      </c>
      <c r="R595" s="4">
        <v>1417.24</v>
      </c>
      <c r="S595" s="4">
        <v>0.192</v>
      </c>
      <c r="T595" s="4">
        <v>5</v>
      </c>
      <c r="U595" s="4">
        <f t="shared" si="72"/>
        <v>4083.4300000000003</v>
      </c>
      <c r="V595">
        <f t="shared" si="73"/>
        <v>6262.6</v>
      </c>
      <c r="W595" s="4">
        <f t="shared" si="77"/>
        <v>-2179.17</v>
      </c>
      <c r="X595" s="4">
        <f t="shared" si="78"/>
        <v>-0.53366165209150151</v>
      </c>
    </row>
    <row r="596" spans="1:24" x14ac:dyDescent="0.3">
      <c r="A596" t="s">
        <v>1288</v>
      </c>
      <c r="B596" s="7">
        <v>45823</v>
      </c>
      <c r="C596" s="2">
        <v>45850</v>
      </c>
      <c r="D596" s="4">
        <f t="shared" si="79"/>
        <v>27</v>
      </c>
      <c r="E596" s="51" t="b">
        <f t="shared" si="74"/>
        <v>0</v>
      </c>
      <c r="F596" s="4" t="str">
        <f>TEXT(Data!B596,"MMM-YYYY")</f>
        <v>Jun-2024</v>
      </c>
      <c r="G596" s="4" t="str">
        <f t="shared" si="75"/>
        <v>Q2-2025</v>
      </c>
      <c r="H596" t="s">
        <v>78</v>
      </c>
      <c r="I596" t="s">
        <v>90</v>
      </c>
      <c r="J596" t="s">
        <v>91</v>
      </c>
      <c r="K596" t="s">
        <v>48</v>
      </c>
      <c r="L596" t="s">
        <v>98</v>
      </c>
      <c r="M596" t="s">
        <v>21</v>
      </c>
      <c r="N596" t="s">
        <v>81</v>
      </c>
      <c r="O596" t="s">
        <v>1289</v>
      </c>
      <c r="P596" s="4">
        <v>318.83</v>
      </c>
      <c r="Q596" s="8" t="str">
        <f t="shared" si="76"/>
        <v>High</v>
      </c>
      <c r="R596" s="4">
        <v>699.5</v>
      </c>
      <c r="S596" s="4">
        <v>0.08</v>
      </c>
      <c r="T596" s="4">
        <v>13</v>
      </c>
      <c r="U596" s="4">
        <f t="shared" si="72"/>
        <v>4921.3008</v>
      </c>
      <c r="V596">
        <f t="shared" si="73"/>
        <v>4144.79</v>
      </c>
      <c r="W596" s="4">
        <f t="shared" si="77"/>
        <v>776.51080000000002</v>
      </c>
      <c r="X596" s="4">
        <f t="shared" si="78"/>
        <v>0.15778568137919957</v>
      </c>
    </row>
    <row r="597" spans="1:24" x14ac:dyDescent="0.3">
      <c r="A597" t="s">
        <v>1290</v>
      </c>
      <c r="B597" s="7">
        <v>45473</v>
      </c>
      <c r="C597" s="2">
        <v>45494</v>
      </c>
      <c r="D597" s="4">
        <f t="shared" si="79"/>
        <v>21</v>
      </c>
      <c r="E597" s="51" t="b">
        <f t="shared" si="74"/>
        <v>0</v>
      </c>
      <c r="F597" s="4" t="str">
        <f>TEXT(Data!B597,"MMM-YYYY")</f>
        <v>Feb-2025</v>
      </c>
      <c r="G597" s="4" t="str">
        <f t="shared" si="75"/>
        <v>Q2-2024</v>
      </c>
      <c r="H597" t="s">
        <v>16</v>
      </c>
      <c r="I597" t="s">
        <v>17</v>
      </c>
      <c r="J597" t="s">
        <v>18</v>
      </c>
      <c r="K597" t="s">
        <v>62</v>
      </c>
      <c r="L597" t="s">
        <v>20</v>
      </c>
      <c r="M597" t="s">
        <v>95</v>
      </c>
      <c r="N597" t="s">
        <v>57</v>
      </c>
      <c r="O597" t="s">
        <v>1291</v>
      </c>
      <c r="P597" s="4">
        <v>753.43</v>
      </c>
      <c r="Q597" s="8" t="str">
        <f t="shared" si="76"/>
        <v>High</v>
      </c>
      <c r="R597" s="4">
        <v>1787.2</v>
      </c>
      <c r="S597" s="4">
        <v>7.2999999999999995E-2</v>
      </c>
      <c r="T597" s="4">
        <v>9</v>
      </c>
      <c r="U597" s="4">
        <f t="shared" si="72"/>
        <v>3448.4956200000001</v>
      </c>
      <c r="V597">
        <f t="shared" si="73"/>
        <v>6780.87</v>
      </c>
      <c r="W597" s="4">
        <f t="shared" si="77"/>
        <v>-3332.3743799999997</v>
      </c>
      <c r="X597" s="4">
        <f t="shared" si="78"/>
        <v>-0.9663269863744236</v>
      </c>
    </row>
    <row r="598" spans="1:24" x14ac:dyDescent="0.3">
      <c r="A598" t="s">
        <v>1292</v>
      </c>
      <c r="B598" s="7">
        <v>45705</v>
      </c>
      <c r="C598" s="2">
        <v>45703</v>
      </c>
      <c r="D598" s="4">
        <f>DATEDIF(C598,B598, "MD")</f>
        <v>2</v>
      </c>
      <c r="E598" s="51" t="str">
        <f t="shared" si="74"/>
        <v>Yes</v>
      </c>
      <c r="F598" s="4" t="str">
        <f>TEXT(Data!B598,"MMM-YYYY")</f>
        <v>Jan-2023</v>
      </c>
      <c r="G598" s="4" t="str">
        <f t="shared" si="75"/>
        <v>Q1-2025</v>
      </c>
      <c r="H598" t="s">
        <v>52</v>
      </c>
      <c r="I598" t="s">
        <v>53</v>
      </c>
      <c r="J598" t="s">
        <v>54</v>
      </c>
      <c r="K598" t="s">
        <v>62</v>
      </c>
      <c r="L598" t="s">
        <v>20</v>
      </c>
      <c r="M598" t="s">
        <v>145</v>
      </c>
      <c r="N598" t="s">
        <v>22</v>
      </c>
      <c r="O598" t="s">
        <v>1293</v>
      </c>
      <c r="P598" s="4">
        <v>1133.47</v>
      </c>
      <c r="Q598" s="8" t="str">
        <f t="shared" si="76"/>
        <v>High</v>
      </c>
      <c r="R598" s="4">
        <v>1698.75</v>
      </c>
      <c r="S598" s="4">
        <v>4.2999999999999997E-2</v>
      </c>
      <c r="T598" s="4">
        <v>5</v>
      </c>
      <c r="U598" s="4">
        <f t="shared" si="72"/>
        <v>7459.2886500000004</v>
      </c>
      <c r="V598">
        <f t="shared" si="73"/>
        <v>5667.35</v>
      </c>
      <c r="W598" s="4">
        <f t="shared" si="77"/>
        <v>1791.9386500000001</v>
      </c>
      <c r="X598" s="4">
        <f t="shared" si="78"/>
        <v>0.24022916045754578</v>
      </c>
    </row>
    <row r="599" spans="1:24" x14ac:dyDescent="0.3">
      <c r="A599" t="s">
        <v>1294</v>
      </c>
      <c r="B599" s="7">
        <v>44933</v>
      </c>
      <c r="C599" s="2">
        <v>44956</v>
      </c>
      <c r="D599" s="4">
        <f t="shared" si="79"/>
        <v>23</v>
      </c>
      <c r="E599" s="51" t="b">
        <f t="shared" si="74"/>
        <v>0</v>
      </c>
      <c r="F599" s="4" t="str">
        <f>TEXT(Data!B599,"MMM-YYYY")</f>
        <v>Mar-2025</v>
      </c>
      <c r="G599" s="4" t="str">
        <f t="shared" si="75"/>
        <v>Q1-2023</v>
      </c>
      <c r="H599" t="s">
        <v>16</v>
      </c>
      <c r="I599" t="s">
        <v>148</v>
      </c>
      <c r="J599" t="s">
        <v>258</v>
      </c>
      <c r="K599" t="s">
        <v>48</v>
      </c>
      <c r="L599" t="s">
        <v>28</v>
      </c>
      <c r="M599" t="s">
        <v>75</v>
      </c>
      <c r="N599" t="s">
        <v>30</v>
      </c>
      <c r="O599" t="s">
        <v>1295</v>
      </c>
      <c r="P599" s="4">
        <v>299.02</v>
      </c>
      <c r="Q599" s="8" t="str">
        <f t="shared" si="76"/>
        <v>High</v>
      </c>
      <c r="R599" s="4">
        <v>724.7</v>
      </c>
      <c r="S599" s="4">
        <v>0.14000000000000001</v>
      </c>
      <c r="T599" s="4">
        <v>5</v>
      </c>
      <c r="U599" s="4">
        <f t="shared" si="72"/>
        <v>3702.9880000000003</v>
      </c>
      <c r="V599">
        <f t="shared" si="73"/>
        <v>1495.1</v>
      </c>
      <c r="W599" s="4">
        <f t="shared" si="77"/>
        <v>2207.8880000000004</v>
      </c>
      <c r="X599" s="4">
        <f t="shared" si="78"/>
        <v>0.59624497837962209</v>
      </c>
    </row>
    <row r="600" spans="1:24" x14ac:dyDescent="0.3">
      <c r="A600" t="s">
        <v>1296</v>
      </c>
      <c r="B600" s="7">
        <v>45726</v>
      </c>
      <c r="C600" s="2">
        <v>45751</v>
      </c>
      <c r="D600" s="4">
        <f t="shared" si="79"/>
        <v>25</v>
      </c>
      <c r="E600" s="51" t="b">
        <f t="shared" si="74"/>
        <v>0</v>
      </c>
      <c r="F600" s="4" t="str">
        <f>TEXT(Data!B600,"MMM-YYYY")</f>
        <v>Aug-2024</v>
      </c>
      <c r="G600" s="4" t="str">
        <f t="shared" si="75"/>
        <v>Q1-2025</v>
      </c>
      <c r="H600" t="s">
        <v>45</v>
      </c>
      <c r="I600" t="s">
        <v>46</v>
      </c>
      <c r="J600" t="s">
        <v>47</v>
      </c>
      <c r="K600" t="s">
        <v>19</v>
      </c>
      <c r="L600" t="s">
        <v>98</v>
      </c>
      <c r="M600" t="s">
        <v>92</v>
      </c>
      <c r="N600" t="s">
        <v>30</v>
      </c>
      <c r="O600" t="s">
        <v>1297</v>
      </c>
      <c r="P600" s="4">
        <v>783.72</v>
      </c>
      <c r="Q600" s="8" t="str">
        <f t="shared" si="76"/>
        <v>High</v>
      </c>
      <c r="R600" s="4">
        <v>1355.94</v>
      </c>
      <c r="S600" s="4">
        <v>0.187</v>
      </c>
      <c r="T600" s="4">
        <v>4</v>
      </c>
      <c r="U600" s="4">
        <f t="shared" si="72"/>
        <v>7467.4049999999997</v>
      </c>
      <c r="V600">
        <f t="shared" si="73"/>
        <v>3134.88</v>
      </c>
      <c r="W600" s="4">
        <f t="shared" si="77"/>
        <v>4332.5249999999996</v>
      </c>
      <c r="X600" s="4">
        <f t="shared" si="78"/>
        <v>0.58019151231251009</v>
      </c>
    </row>
    <row r="601" spans="1:24" x14ac:dyDescent="0.3">
      <c r="A601" t="s">
        <v>1298</v>
      </c>
      <c r="B601" s="7">
        <v>45521</v>
      </c>
      <c r="C601" s="2">
        <v>45519</v>
      </c>
      <c r="D601" s="4">
        <f>DATEDIF(C601,B601, "MD")</f>
        <v>2</v>
      </c>
      <c r="E601" s="51" t="str">
        <f t="shared" si="74"/>
        <v>Yes</v>
      </c>
      <c r="F601" s="4" t="str">
        <f>TEXT(Data!B601,"MMM-YYYY")</f>
        <v>Mar-2024</v>
      </c>
      <c r="G601" s="4" t="str">
        <f t="shared" si="75"/>
        <v>Q3-2024</v>
      </c>
      <c r="H601" t="s">
        <v>52</v>
      </c>
      <c r="I601" t="s">
        <v>73</v>
      </c>
      <c r="J601" t="s">
        <v>225</v>
      </c>
      <c r="K601" t="s">
        <v>48</v>
      </c>
      <c r="L601" t="s">
        <v>98</v>
      </c>
      <c r="M601" t="s">
        <v>110</v>
      </c>
      <c r="N601" t="s">
        <v>64</v>
      </c>
      <c r="O601" t="s">
        <v>1299</v>
      </c>
      <c r="P601" s="4">
        <v>165.3</v>
      </c>
      <c r="Q601" s="8" t="str">
        <f t="shared" si="76"/>
        <v>High</v>
      </c>
      <c r="R601" s="4">
        <v>275.07</v>
      </c>
      <c r="S601" s="4">
        <v>0.13300000000000001</v>
      </c>
      <c r="T601" s="4">
        <v>25</v>
      </c>
      <c r="U601" s="4">
        <f t="shared" si="72"/>
        <v>57148.305</v>
      </c>
      <c r="V601">
        <f t="shared" si="73"/>
        <v>4132.5</v>
      </c>
      <c r="W601" s="4">
        <f t="shared" si="77"/>
        <v>53015.805</v>
      </c>
      <c r="X601" s="4">
        <f t="shared" si="78"/>
        <v>0.92768814403156841</v>
      </c>
    </row>
    <row r="602" spans="1:24" x14ac:dyDescent="0.3">
      <c r="A602" t="s">
        <v>1300</v>
      </c>
      <c r="B602" s="7">
        <v>45360</v>
      </c>
      <c r="C602" s="2">
        <v>45373</v>
      </c>
      <c r="D602" s="4">
        <f t="shared" si="79"/>
        <v>13</v>
      </c>
      <c r="E602" s="51" t="b">
        <f t="shared" si="74"/>
        <v>0</v>
      </c>
      <c r="F602" s="4" t="str">
        <f>TEXT(Data!B602,"MMM-YYYY")</f>
        <v>Aug-2024</v>
      </c>
      <c r="G602" s="4" t="str">
        <f t="shared" si="75"/>
        <v>Q1-2024</v>
      </c>
      <c r="H602" t="s">
        <v>78</v>
      </c>
      <c r="I602" t="s">
        <v>108</v>
      </c>
      <c r="J602" t="s">
        <v>228</v>
      </c>
      <c r="K602" t="s">
        <v>48</v>
      </c>
      <c r="L602" t="s">
        <v>28</v>
      </c>
      <c r="M602" t="s">
        <v>63</v>
      </c>
      <c r="N602" t="s">
        <v>57</v>
      </c>
      <c r="O602" t="s">
        <v>1301</v>
      </c>
      <c r="P602" s="4">
        <v>985.45</v>
      </c>
      <c r="Q602" s="8" t="str">
        <f t="shared" si="76"/>
        <v>High</v>
      </c>
      <c r="R602" s="4">
        <v>1802.44</v>
      </c>
      <c r="S602" s="4">
        <v>8.9999999999999993E-3</v>
      </c>
      <c r="T602" s="4">
        <v>19</v>
      </c>
      <c r="U602" s="4">
        <f t="shared" si="72"/>
        <v>18416.456609999997</v>
      </c>
      <c r="V602">
        <f t="shared" si="73"/>
        <v>18723.55</v>
      </c>
      <c r="W602" s="4">
        <f t="shared" si="77"/>
        <v>-307.09339000000182</v>
      </c>
      <c r="X602" s="4">
        <f t="shared" si="78"/>
        <v>-1.6674944399089911E-2</v>
      </c>
    </row>
    <row r="603" spans="1:24" x14ac:dyDescent="0.3">
      <c r="A603" t="s">
        <v>1302</v>
      </c>
      <c r="B603" s="7">
        <v>45523</v>
      </c>
      <c r="C603" s="2">
        <v>45537</v>
      </c>
      <c r="D603" s="4">
        <f t="shared" si="79"/>
        <v>14</v>
      </c>
      <c r="E603" s="51" t="b">
        <f t="shared" si="74"/>
        <v>0</v>
      </c>
      <c r="F603" s="4" t="str">
        <f>TEXT(Data!B603,"MMM-YYYY")</f>
        <v>Aug-2025</v>
      </c>
      <c r="G603" s="4" t="str">
        <f t="shared" si="75"/>
        <v>Q3-2024</v>
      </c>
      <c r="H603" t="s">
        <v>52</v>
      </c>
      <c r="I603" t="s">
        <v>53</v>
      </c>
      <c r="J603" t="s">
        <v>54</v>
      </c>
      <c r="K603" t="s">
        <v>48</v>
      </c>
      <c r="L603" t="s">
        <v>55</v>
      </c>
      <c r="M603" t="s">
        <v>21</v>
      </c>
      <c r="N603" t="s">
        <v>30</v>
      </c>
      <c r="O603" t="s">
        <v>1303</v>
      </c>
      <c r="P603" s="4">
        <v>1337.01</v>
      </c>
      <c r="Q603" s="8" t="str">
        <f t="shared" si="76"/>
        <v>High</v>
      </c>
      <c r="R603" s="4">
        <v>1269.78</v>
      </c>
      <c r="S603" s="4">
        <v>0.16</v>
      </c>
      <c r="T603" s="4">
        <v>7</v>
      </c>
      <c r="U603" s="4">
        <f t="shared" si="72"/>
        <v>3208.8335999999999</v>
      </c>
      <c r="V603">
        <f t="shared" si="73"/>
        <v>9359.07</v>
      </c>
      <c r="W603" s="4">
        <f t="shared" si="77"/>
        <v>-6150.2363999999998</v>
      </c>
      <c r="X603" s="4">
        <f t="shared" si="78"/>
        <v>-1.916657940754547</v>
      </c>
    </row>
    <row r="604" spans="1:24" x14ac:dyDescent="0.3">
      <c r="A604" t="s">
        <v>1304</v>
      </c>
      <c r="B604" s="7">
        <v>45880</v>
      </c>
      <c r="C604" s="2">
        <v>45897</v>
      </c>
      <c r="D604" s="4">
        <f t="shared" si="79"/>
        <v>17</v>
      </c>
      <c r="E604" s="51" t="b">
        <f t="shared" si="74"/>
        <v>0</v>
      </c>
      <c r="F604" s="4" t="str">
        <f>TEXT(Data!B604,"MMM-YYYY")</f>
        <v>May-2025</v>
      </c>
      <c r="G604" s="4" t="str">
        <f t="shared" si="75"/>
        <v>Q3-2025</v>
      </c>
      <c r="H604" t="s">
        <v>78</v>
      </c>
      <c r="I604" t="s">
        <v>90</v>
      </c>
      <c r="J604" t="s">
        <v>217</v>
      </c>
      <c r="K604" t="s">
        <v>27</v>
      </c>
      <c r="L604" t="s">
        <v>28</v>
      </c>
      <c r="M604" t="s">
        <v>84</v>
      </c>
      <c r="N604" t="s">
        <v>35</v>
      </c>
      <c r="O604" t="s">
        <v>1305</v>
      </c>
      <c r="P604" s="4">
        <v>416.16</v>
      </c>
      <c r="Q604" s="8" t="str">
        <f t="shared" si="76"/>
        <v>High</v>
      </c>
      <c r="R604" s="4">
        <v>571.9</v>
      </c>
      <c r="S604" s="4">
        <v>7.0999999999999994E-2</v>
      </c>
      <c r="T604" s="4">
        <v>2</v>
      </c>
      <c r="U604" s="4">
        <f t="shared" si="72"/>
        <v>2667.2333200000003</v>
      </c>
      <c r="V604">
        <f t="shared" si="73"/>
        <v>832.32</v>
      </c>
      <c r="W604" s="4">
        <f t="shared" si="77"/>
        <v>1834.9133200000001</v>
      </c>
      <c r="X604" s="4">
        <f t="shared" si="78"/>
        <v>0.6879463098488886</v>
      </c>
    </row>
    <row r="605" spans="1:24" x14ac:dyDescent="0.3">
      <c r="A605" t="s">
        <v>1306</v>
      </c>
      <c r="B605" s="7">
        <v>45793</v>
      </c>
      <c r="C605" s="2">
        <v>45795</v>
      </c>
      <c r="D605" s="4">
        <f t="shared" si="79"/>
        <v>2</v>
      </c>
      <c r="E605" s="51" t="str">
        <f t="shared" si="74"/>
        <v>Yes</v>
      </c>
      <c r="F605" s="4" t="str">
        <f>TEXT(Data!B605,"MMM-YYYY")</f>
        <v>Apr-2023</v>
      </c>
      <c r="G605" s="4" t="str">
        <f t="shared" si="75"/>
        <v>Q2-2025</v>
      </c>
      <c r="H605" t="s">
        <v>45</v>
      </c>
      <c r="I605" t="s">
        <v>46</v>
      </c>
      <c r="J605" t="s">
        <v>214</v>
      </c>
      <c r="K605" t="s">
        <v>105</v>
      </c>
      <c r="L605" t="s">
        <v>20</v>
      </c>
      <c r="M605" t="s">
        <v>29</v>
      </c>
      <c r="N605" t="s">
        <v>30</v>
      </c>
      <c r="O605" t="s">
        <v>1307</v>
      </c>
      <c r="P605" s="4">
        <v>1144.3800000000001</v>
      </c>
      <c r="Q605" s="8" t="str">
        <f t="shared" si="76"/>
        <v>High</v>
      </c>
      <c r="R605" s="4">
        <v>2755.04</v>
      </c>
      <c r="S605" s="4">
        <v>0.15</v>
      </c>
      <c r="T605" s="4">
        <v>17</v>
      </c>
      <c r="U605" s="4">
        <f t="shared" si="72"/>
        <v>34640.985000000001</v>
      </c>
      <c r="V605">
        <f t="shared" si="73"/>
        <v>19454.460000000003</v>
      </c>
      <c r="W605" s="4">
        <f t="shared" si="77"/>
        <v>15186.524999999998</v>
      </c>
      <c r="X605" s="4">
        <f t="shared" si="78"/>
        <v>0.4383976090749151</v>
      </c>
    </row>
    <row r="606" spans="1:24" x14ac:dyDescent="0.3">
      <c r="A606" t="s">
        <v>1308</v>
      </c>
      <c r="B606" s="7">
        <v>45026</v>
      </c>
      <c r="C606" s="2">
        <v>45041</v>
      </c>
      <c r="D606" s="4">
        <f t="shared" si="79"/>
        <v>15</v>
      </c>
      <c r="E606" s="51" t="b">
        <f t="shared" si="74"/>
        <v>0</v>
      </c>
      <c r="F606" s="4" t="str">
        <f>TEXT(Data!B606,"MMM-YYYY")</f>
        <v>Sept-2023</v>
      </c>
      <c r="G606" s="4" t="str">
        <f t="shared" si="75"/>
        <v>Q2-2023</v>
      </c>
      <c r="H606" t="s">
        <v>78</v>
      </c>
      <c r="I606" t="s">
        <v>108</v>
      </c>
      <c r="J606" t="s">
        <v>152</v>
      </c>
      <c r="K606" t="s">
        <v>62</v>
      </c>
      <c r="L606" t="s">
        <v>20</v>
      </c>
      <c r="M606" t="s">
        <v>145</v>
      </c>
      <c r="N606" t="s">
        <v>30</v>
      </c>
      <c r="O606" t="s">
        <v>1309</v>
      </c>
      <c r="P606" s="4">
        <v>405.66</v>
      </c>
      <c r="Q606" s="8" t="str">
        <f t="shared" si="76"/>
        <v>High</v>
      </c>
      <c r="R606" s="4">
        <v>962.51</v>
      </c>
      <c r="S606" s="4">
        <v>0.19</v>
      </c>
      <c r="T606" s="4">
        <v>7</v>
      </c>
      <c r="U606" s="4">
        <f t="shared" si="72"/>
        <v>10511.386199999999</v>
      </c>
      <c r="V606">
        <f t="shared" si="73"/>
        <v>2839.6200000000003</v>
      </c>
      <c r="W606" s="4">
        <f t="shared" si="77"/>
        <v>7671.7661999999982</v>
      </c>
      <c r="X606" s="4">
        <f t="shared" si="78"/>
        <v>0.72985294746377016</v>
      </c>
    </row>
    <row r="607" spans="1:24" x14ac:dyDescent="0.3">
      <c r="A607" t="s">
        <v>1310</v>
      </c>
      <c r="B607" s="7">
        <v>45186</v>
      </c>
      <c r="C607" s="2">
        <v>45201</v>
      </c>
      <c r="D607" s="4">
        <f t="shared" si="79"/>
        <v>15</v>
      </c>
      <c r="E607" s="51" t="b">
        <f t="shared" si="74"/>
        <v>0</v>
      </c>
      <c r="F607" s="4" t="str">
        <f>TEXT(Data!B607,"MMM-YYYY")</f>
        <v>Apr-2023</v>
      </c>
      <c r="G607" s="4" t="str">
        <f t="shared" si="75"/>
        <v>Q3-2023</v>
      </c>
      <c r="H607" t="s">
        <v>52</v>
      </c>
      <c r="I607" t="s">
        <v>73</v>
      </c>
      <c r="J607" t="s">
        <v>225</v>
      </c>
      <c r="K607" t="s">
        <v>62</v>
      </c>
      <c r="L607" t="s">
        <v>20</v>
      </c>
      <c r="M607" t="s">
        <v>56</v>
      </c>
      <c r="N607" t="s">
        <v>57</v>
      </c>
      <c r="O607" t="s">
        <v>1311</v>
      </c>
      <c r="P607" s="4">
        <v>689.33</v>
      </c>
      <c r="Q607" s="8" t="str">
        <f t="shared" si="76"/>
        <v>High</v>
      </c>
      <c r="R607" s="4">
        <v>668.27</v>
      </c>
      <c r="S607" s="4">
        <v>0.186</v>
      </c>
      <c r="T607" s="4">
        <v>13</v>
      </c>
      <c r="U607" s="4">
        <f t="shared" si="72"/>
        <v>486.56036000000006</v>
      </c>
      <c r="V607">
        <f t="shared" si="73"/>
        <v>8961.2900000000009</v>
      </c>
      <c r="W607" s="4">
        <f t="shared" si="77"/>
        <v>-8474.7296400000014</v>
      </c>
      <c r="X607" s="4">
        <f t="shared" si="78"/>
        <v>-17.417632706453933</v>
      </c>
    </row>
    <row r="608" spans="1:24" x14ac:dyDescent="0.3">
      <c r="A608" t="s">
        <v>1312</v>
      </c>
      <c r="B608" s="7">
        <v>45038</v>
      </c>
      <c r="C608" s="2">
        <v>45060</v>
      </c>
      <c r="D608" s="4">
        <f t="shared" si="79"/>
        <v>22</v>
      </c>
      <c r="E608" s="51" t="b">
        <f t="shared" si="74"/>
        <v>0</v>
      </c>
      <c r="F608" s="4" t="str">
        <f>TEXT(Data!B608,"MMM-YYYY")</f>
        <v>Jun-2025</v>
      </c>
      <c r="G608" s="4" t="str">
        <f t="shared" si="75"/>
        <v>Q2-2023</v>
      </c>
      <c r="H608" t="s">
        <v>45</v>
      </c>
      <c r="I608" t="s">
        <v>46</v>
      </c>
      <c r="J608" t="s">
        <v>231</v>
      </c>
      <c r="K608" t="s">
        <v>105</v>
      </c>
      <c r="L608" t="s">
        <v>20</v>
      </c>
      <c r="M608" t="s">
        <v>75</v>
      </c>
      <c r="N608" t="s">
        <v>81</v>
      </c>
      <c r="O608" t="s">
        <v>1313</v>
      </c>
      <c r="P608" s="4">
        <v>1209.22</v>
      </c>
      <c r="Q608" s="8" t="str">
        <f t="shared" si="76"/>
        <v>High</v>
      </c>
      <c r="R608" s="4">
        <v>1404.33</v>
      </c>
      <c r="S608" s="4">
        <v>0.10299999999999999</v>
      </c>
      <c r="T608" s="4">
        <v>11</v>
      </c>
      <c r="U608" s="4">
        <f t="shared" si="72"/>
        <v>0</v>
      </c>
      <c r="V608">
        <f t="shared" si="73"/>
        <v>13301.42</v>
      </c>
      <c r="W608" s="4">
        <f t="shared" si="77"/>
        <v>-13301.42</v>
      </c>
      <c r="X608" s="4">
        <f t="shared" si="78"/>
        <v>0</v>
      </c>
    </row>
    <row r="609" spans="1:24" x14ac:dyDescent="0.3">
      <c r="A609" t="s">
        <v>1314</v>
      </c>
      <c r="B609" s="7">
        <v>45827</v>
      </c>
      <c r="C609" s="2">
        <v>45829</v>
      </c>
      <c r="D609" s="4">
        <f t="shared" si="79"/>
        <v>2</v>
      </c>
      <c r="E609" s="51" t="str">
        <f t="shared" si="74"/>
        <v>Yes</v>
      </c>
      <c r="F609" s="4" t="str">
        <f>TEXT(Data!B609,"MMM-YYYY")</f>
        <v>Nov-2024</v>
      </c>
      <c r="G609" s="4" t="str">
        <f t="shared" si="75"/>
        <v>Q2-2025</v>
      </c>
      <c r="H609" t="s">
        <v>16</v>
      </c>
      <c r="I609" t="s">
        <v>148</v>
      </c>
      <c r="J609" t="s">
        <v>149</v>
      </c>
      <c r="K609" t="s">
        <v>62</v>
      </c>
      <c r="L609" t="s">
        <v>1364</v>
      </c>
      <c r="M609" t="s">
        <v>92</v>
      </c>
      <c r="N609" t="s">
        <v>42</v>
      </c>
      <c r="O609" t="s">
        <v>1315</v>
      </c>
      <c r="P609" s="4">
        <v>1466.27</v>
      </c>
      <c r="Q609" s="8" t="str">
        <f t="shared" si="76"/>
        <v>High</v>
      </c>
      <c r="R609" s="4">
        <v>3589.89</v>
      </c>
      <c r="S609" s="4">
        <v>9.7000000000000003E-2</v>
      </c>
      <c r="T609" s="4">
        <v>9</v>
      </c>
      <c r="U609" s="4">
        <f t="shared" si="72"/>
        <v>0</v>
      </c>
      <c r="V609">
        <f t="shared" si="73"/>
        <v>13196.43</v>
      </c>
      <c r="W609" s="4">
        <f t="shared" si="77"/>
        <v>-13196.43</v>
      </c>
      <c r="X609" s="4">
        <f t="shared" si="78"/>
        <v>0</v>
      </c>
    </row>
    <row r="610" spans="1:24" x14ac:dyDescent="0.3">
      <c r="A610" t="s">
        <v>1316</v>
      </c>
      <c r="B610" s="7">
        <v>45623</v>
      </c>
      <c r="C610" s="2">
        <v>45650</v>
      </c>
      <c r="D610" s="4">
        <f t="shared" si="79"/>
        <v>27</v>
      </c>
      <c r="E610" s="51" t="b">
        <f t="shared" si="74"/>
        <v>0</v>
      </c>
      <c r="F610" s="4" t="str">
        <f>TEXT(Data!B610,"MMM-YYYY")</f>
        <v>Jan-2024</v>
      </c>
      <c r="G610" s="4" t="str">
        <f t="shared" si="75"/>
        <v>Q4-2024</v>
      </c>
      <c r="H610" t="s">
        <v>16</v>
      </c>
      <c r="I610" t="s">
        <v>17</v>
      </c>
      <c r="J610" t="s">
        <v>113</v>
      </c>
      <c r="K610" t="s">
        <v>19</v>
      </c>
      <c r="L610" t="s">
        <v>55</v>
      </c>
      <c r="M610" t="s">
        <v>56</v>
      </c>
      <c r="N610" t="s">
        <v>30</v>
      </c>
      <c r="O610" t="s">
        <v>1317</v>
      </c>
      <c r="P610" s="4">
        <v>143.33000000000001</v>
      </c>
      <c r="Q610" s="8" t="str">
        <f t="shared" si="76"/>
        <v>High</v>
      </c>
      <c r="R610" s="4">
        <v>233.51</v>
      </c>
      <c r="S610" s="4">
        <v>0.16300000000000001</v>
      </c>
      <c r="T610" s="4">
        <v>14</v>
      </c>
      <c r="U610" s="4">
        <f t="shared" si="72"/>
        <v>0</v>
      </c>
      <c r="V610">
        <f t="shared" si="73"/>
        <v>2006.6200000000001</v>
      </c>
      <c r="W610" s="4">
        <f t="shared" si="77"/>
        <v>-2006.6200000000001</v>
      </c>
      <c r="X610" s="4">
        <f t="shared" si="78"/>
        <v>0</v>
      </c>
    </row>
    <row r="611" spans="1:24" x14ac:dyDescent="0.3">
      <c r="A611" t="s">
        <v>1318</v>
      </c>
      <c r="B611" s="7">
        <v>45319</v>
      </c>
      <c r="C611" s="2">
        <v>45318</v>
      </c>
      <c r="D611" s="4">
        <f>DATEDIF(C611,B611, "MD")</f>
        <v>1</v>
      </c>
      <c r="E611" s="51" t="str">
        <f t="shared" si="74"/>
        <v>Yes</v>
      </c>
      <c r="F611" s="4" t="str">
        <f>TEXT(Data!B611,"MMM-YYYY")</f>
        <v>Apr-2023</v>
      </c>
      <c r="G611" s="4" t="str">
        <f t="shared" si="75"/>
        <v>Q1-2024</v>
      </c>
      <c r="H611" t="s">
        <v>16</v>
      </c>
      <c r="I611" t="s">
        <v>148</v>
      </c>
      <c r="J611" t="s">
        <v>258</v>
      </c>
      <c r="K611" t="s">
        <v>105</v>
      </c>
      <c r="L611" t="s">
        <v>98</v>
      </c>
      <c r="M611" t="s">
        <v>68</v>
      </c>
      <c r="N611" t="s">
        <v>22</v>
      </c>
      <c r="O611" t="s">
        <v>1319</v>
      </c>
      <c r="P611" s="4">
        <v>109.75</v>
      </c>
      <c r="Q611" s="8" t="str">
        <f t="shared" si="76"/>
        <v>Medium</v>
      </c>
      <c r="R611" s="4">
        <v>124.25</v>
      </c>
      <c r="S611" s="4">
        <v>0.12</v>
      </c>
      <c r="T611" s="4">
        <v>19</v>
      </c>
      <c r="U611" s="4">
        <f t="shared" si="72"/>
        <v>0</v>
      </c>
      <c r="V611">
        <f t="shared" si="73"/>
        <v>2085.25</v>
      </c>
      <c r="W611" s="4">
        <f t="shared" si="77"/>
        <v>-2085.25</v>
      </c>
      <c r="X611" s="4">
        <f t="shared" si="78"/>
        <v>0</v>
      </c>
    </row>
    <row r="612" spans="1:24" x14ac:dyDescent="0.3">
      <c r="A612" t="s">
        <v>1320</v>
      </c>
      <c r="B612" s="7">
        <v>45032</v>
      </c>
      <c r="C612" s="2">
        <v>45039</v>
      </c>
      <c r="D612" s="4">
        <f t="shared" si="79"/>
        <v>7</v>
      </c>
      <c r="E612" s="51" t="str">
        <f t="shared" si="74"/>
        <v>Yes</v>
      </c>
      <c r="F612" s="4" t="str">
        <f>TEXT(Data!B612,"MMM-YYYY")</f>
        <v>Feb-2024</v>
      </c>
      <c r="G612" s="4" t="str">
        <f t="shared" si="75"/>
        <v>Q2-2023</v>
      </c>
      <c r="H612" t="s">
        <v>52</v>
      </c>
      <c r="I612" t="s">
        <v>122</v>
      </c>
      <c r="J612" t="s">
        <v>326</v>
      </c>
      <c r="K612" t="s">
        <v>19</v>
      </c>
      <c r="L612" t="s">
        <v>55</v>
      </c>
      <c r="M612" t="s">
        <v>68</v>
      </c>
      <c r="N612" t="s">
        <v>30</v>
      </c>
      <c r="O612" t="s">
        <v>1321</v>
      </c>
      <c r="P612" s="4">
        <v>1099.1500000000001</v>
      </c>
      <c r="Q612" s="8" t="str">
        <f t="shared" si="76"/>
        <v>High</v>
      </c>
      <c r="R612" s="4">
        <v>1431.37</v>
      </c>
      <c r="S612" s="4">
        <v>0.104</v>
      </c>
      <c r="T612" s="4">
        <v>8</v>
      </c>
      <c r="U612" s="4">
        <f t="shared" si="72"/>
        <v>0</v>
      </c>
      <c r="V612">
        <f t="shared" si="73"/>
        <v>8793.2000000000007</v>
      </c>
      <c r="W612" s="4">
        <f t="shared" si="77"/>
        <v>-8793.2000000000007</v>
      </c>
      <c r="X612" s="4">
        <f t="shared" si="78"/>
        <v>0</v>
      </c>
    </row>
    <row r="613" spans="1:24" x14ac:dyDescent="0.3">
      <c r="A613" t="s">
        <v>1322</v>
      </c>
      <c r="B613" s="7">
        <v>45323</v>
      </c>
      <c r="C613" s="2">
        <v>45323</v>
      </c>
      <c r="D613" s="4">
        <f t="shared" si="79"/>
        <v>0</v>
      </c>
      <c r="E613" s="51" t="str">
        <f t="shared" si="74"/>
        <v>Yes</v>
      </c>
      <c r="F613" s="4" t="str">
        <f>TEXT(Data!B613,"MMM-YYYY")</f>
        <v>Oct-2024</v>
      </c>
      <c r="G613" s="4" t="str">
        <f t="shared" si="75"/>
        <v>Q1-2024</v>
      </c>
      <c r="H613" t="s">
        <v>52</v>
      </c>
      <c r="I613" t="s">
        <v>122</v>
      </c>
      <c r="J613" t="s">
        <v>326</v>
      </c>
      <c r="K613" t="s">
        <v>48</v>
      </c>
      <c r="L613" t="s">
        <v>55</v>
      </c>
      <c r="M613" t="s">
        <v>92</v>
      </c>
      <c r="N613" t="s">
        <v>30</v>
      </c>
      <c r="O613" t="s">
        <v>1323</v>
      </c>
      <c r="P613" s="4">
        <v>714.43</v>
      </c>
      <c r="Q613" s="8" t="str">
        <f t="shared" si="76"/>
        <v>High</v>
      </c>
      <c r="R613" s="4">
        <v>1595.52</v>
      </c>
      <c r="S613" s="4">
        <v>0.19400000000000001</v>
      </c>
      <c r="T613" s="4">
        <v>14</v>
      </c>
      <c r="U613" s="4">
        <f t="shared" si="72"/>
        <v>0</v>
      </c>
      <c r="V613">
        <f t="shared" si="73"/>
        <v>10002.019999999999</v>
      </c>
      <c r="W613" s="4">
        <f t="shared" si="77"/>
        <v>-10002.019999999999</v>
      </c>
      <c r="X613" s="4">
        <f t="shared" si="78"/>
        <v>0</v>
      </c>
    </row>
    <row r="614" spans="1:24" x14ac:dyDescent="0.3">
      <c r="A614" t="s">
        <v>1324</v>
      </c>
      <c r="B614" s="7">
        <v>45584</v>
      </c>
      <c r="C614" s="2">
        <v>45602</v>
      </c>
      <c r="D614" s="4">
        <f t="shared" si="79"/>
        <v>18</v>
      </c>
      <c r="E614" s="51" t="b">
        <f t="shared" si="74"/>
        <v>0</v>
      </c>
      <c r="F614" s="4" t="str">
        <f>TEXT(Data!B614,"MMM-YYYY")</f>
        <v>Jun-2024</v>
      </c>
      <c r="G614" s="4" t="str">
        <f t="shared" si="75"/>
        <v>Q4-2024</v>
      </c>
      <c r="H614" t="s">
        <v>52</v>
      </c>
      <c r="I614" t="s">
        <v>122</v>
      </c>
      <c r="J614" t="s">
        <v>123</v>
      </c>
      <c r="K614" t="s">
        <v>27</v>
      </c>
      <c r="L614" t="s">
        <v>1364</v>
      </c>
      <c r="M614" t="s">
        <v>21</v>
      </c>
      <c r="N614" t="s">
        <v>64</v>
      </c>
      <c r="O614" t="s">
        <v>1325</v>
      </c>
      <c r="P614" s="4">
        <v>942.02</v>
      </c>
      <c r="Q614" s="8" t="str">
        <f t="shared" si="76"/>
        <v>High</v>
      </c>
      <c r="R614" s="4">
        <v>1028.46</v>
      </c>
      <c r="S614" s="4">
        <v>0</v>
      </c>
      <c r="T614" s="4">
        <v>9</v>
      </c>
      <c r="U614" s="4">
        <f t="shared" si="72"/>
        <v>0</v>
      </c>
      <c r="V614">
        <f t="shared" si="73"/>
        <v>8478.18</v>
      </c>
      <c r="W614" s="4">
        <f t="shared" si="77"/>
        <v>-8478.18</v>
      </c>
      <c r="X614" s="4">
        <f t="shared" si="78"/>
        <v>0</v>
      </c>
    </row>
    <row r="615" spans="1:24" x14ac:dyDescent="0.3">
      <c r="A615" t="s">
        <v>1326</v>
      </c>
      <c r="B615" s="7">
        <v>45468</v>
      </c>
      <c r="C615" s="2">
        <v>45473</v>
      </c>
      <c r="D615" s="4">
        <f t="shared" si="79"/>
        <v>5</v>
      </c>
      <c r="E615" s="51" t="str">
        <f t="shared" si="74"/>
        <v>Yes</v>
      </c>
      <c r="F615" s="4" t="str">
        <f>TEXT(Data!B615,"MMM-YYYY")</f>
        <v>Jul-2023</v>
      </c>
      <c r="G615" s="4" t="str">
        <f t="shared" si="75"/>
        <v>Q2-2024</v>
      </c>
      <c r="H615" t="s">
        <v>16</v>
      </c>
      <c r="I615" t="s">
        <v>17</v>
      </c>
      <c r="J615" t="s">
        <v>18</v>
      </c>
      <c r="K615" t="s">
        <v>27</v>
      </c>
      <c r="L615" t="s">
        <v>98</v>
      </c>
      <c r="M615" t="s">
        <v>110</v>
      </c>
      <c r="N615" t="s">
        <v>35</v>
      </c>
      <c r="O615" t="s">
        <v>1327</v>
      </c>
      <c r="P615" s="4">
        <v>1323.55</v>
      </c>
      <c r="Q615" s="8" t="str">
        <f t="shared" si="76"/>
        <v>High</v>
      </c>
      <c r="R615" s="4">
        <v>3230.35</v>
      </c>
      <c r="S615" s="4">
        <v>2.1999999999999999E-2</v>
      </c>
      <c r="T615" s="4">
        <v>26</v>
      </c>
      <c r="U615" s="4">
        <f t="shared" si="72"/>
        <v>0</v>
      </c>
      <c r="V615">
        <f t="shared" si="73"/>
        <v>34412.299999999996</v>
      </c>
      <c r="W615" s="4">
        <f t="shared" si="77"/>
        <v>-34412.299999999996</v>
      </c>
      <c r="X615" s="4">
        <f t="shared" si="78"/>
        <v>0</v>
      </c>
    </row>
    <row r="616" spans="1:24" x14ac:dyDescent="0.3">
      <c r="A616" t="s">
        <v>1328</v>
      </c>
      <c r="B616" s="7">
        <v>45137</v>
      </c>
      <c r="C616" s="2">
        <v>45157</v>
      </c>
      <c r="D616" s="4">
        <f t="shared" si="79"/>
        <v>20</v>
      </c>
      <c r="E616" s="51" t="b">
        <f t="shared" si="74"/>
        <v>0</v>
      </c>
      <c r="F616" s="4" t="str">
        <f>TEXT(Data!B616,"MMM-YYYY")</f>
        <v>Mar-2025</v>
      </c>
      <c r="G616" s="4" t="str">
        <f t="shared" si="75"/>
        <v>Q3-2023</v>
      </c>
      <c r="H616" t="s">
        <v>78</v>
      </c>
      <c r="I616" t="s">
        <v>90</v>
      </c>
      <c r="J616" t="s">
        <v>217</v>
      </c>
      <c r="K616" t="s">
        <v>105</v>
      </c>
      <c r="L616" t="s">
        <v>40</v>
      </c>
      <c r="M616" t="s">
        <v>41</v>
      </c>
      <c r="N616" t="s">
        <v>35</v>
      </c>
      <c r="O616" t="s">
        <v>1329</v>
      </c>
      <c r="P616" s="4">
        <v>1418.51</v>
      </c>
      <c r="Q616" s="8" t="str">
        <f t="shared" si="76"/>
        <v>High</v>
      </c>
      <c r="R616" s="4">
        <v>2789.61</v>
      </c>
      <c r="S616" s="4">
        <v>0.17100000000000001</v>
      </c>
      <c r="T616" s="4">
        <v>8</v>
      </c>
      <c r="U616" s="4">
        <f t="shared" si="72"/>
        <v>0</v>
      </c>
      <c r="V616">
        <f t="shared" si="73"/>
        <v>11348.08</v>
      </c>
      <c r="W616" s="4">
        <f t="shared" si="77"/>
        <v>-11348.08</v>
      </c>
      <c r="X616" s="4">
        <f t="shared" si="78"/>
        <v>0</v>
      </c>
    </row>
    <row r="617" spans="1:24" x14ac:dyDescent="0.3">
      <c r="A617" t="s">
        <v>1330</v>
      </c>
      <c r="B617" s="7">
        <v>45727</v>
      </c>
      <c r="C617" s="2">
        <v>45743</v>
      </c>
      <c r="D617" s="4">
        <f t="shared" si="79"/>
        <v>16</v>
      </c>
      <c r="E617" s="51" t="b">
        <f t="shared" si="74"/>
        <v>0</v>
      </c>
      <c r="F617" s="4" t="str">
        <f>TEXT(Data!B617,"MMM-YYYY")</f>
        <v>Oct-2023</v>
      </c>
      <c r="G617" s="4" t="str">
        <f t="shared" si="75"/>
        <v>Q1-2025</v>
      </c>
      <c r="H617" t="s">
        <v>45</v>
      </c>
      <c r="I617" t="s">
        <v>46</v>
      </c>
      <c r="J617" t="s">
        <v>214</v>
      </c>
      <c r="K617" t="s">
        <v>105</v>
      </c>
      <c r="L617" t="s">
        <v>55</v>
      </c>
      <c r="M617" t="s">
        <v>56</v>
      </c>
      <c r="N617" t="s">
        <v>30</v>
      </c>
      <c r="O617" t="s">
        <v>1331</v>
      </c>
      <c r="P617" s="4">
        <v>1317.58</v>
      </c>
      <c r="Q617" s="8" t="str">
        <f t="shared" si="76"/>
        <v>High</v>
      </c>
      <c r="R617" s="4">
        <v>1897.74</v>
      </c>
      <c r="S617" s="4">
        <v>8.1000000000000003E-2</v>
      </c>
      <c r="T617" s="4">
        <v>6</v>
      </c>
      <c r="U617" s="4">
        <f t="shared" si="72"/>
        <v>0</v>
      </c>
      <c r="V617">
        <f t="shared" si="73"/>
        <v>7905.48</v>
      </c>
      <c r="W617" s="4">
        <f t="shared" si="77"/>
        <v>-7905.48</v>
      </c>
      <c r="X617" s="4">
        <f t="shared" si="78"/>
        <v>0</v>
      </c>
    </row>
    <row r="618" spans="1:24" x14ac:dyDescent="0.3">
      <c r="A618" t="s">
        <v>1332</v>
      </c>
      <c r="B618" s="7">
        <v>45208</v>
      </c>
      <c r="C618" s="2">
        <v>45210</v>
      </c>
      <c r="D618" s="4">
        <f t="shared" si="79"/>
        <v>2</v>
      </c>
      <c r="E618" s="51" t="str">
        <f t="shared" si="74"/>
        <v>Yes</v>
      </c>
      <c r="F618" s="4" t="str">
        <f>TEXT(Data!B618,"MMM-YYYY")</f>
        <v>Dec-2024</v>
      </c>
      <c r="G618" s="4" t="str">
        <f t="shared" si="75"/>
        <v>Q4-2023</v>
      </c>
      <c r="H618" t="s">
        <v>16</v>
      </c>
      <c r="I618" t="s">
        <v>25</v>
      </c>
      <c r="J618" t="s">
        <v>26</v>
      </c>
      <c r="K618" t="s">
        <v>27</v>
      </c>
      <c r="L618" t="s">
        <v>40</v>
      </c>
      <c r="M618" t="s">
        <v>95</v>
      </c>
      <c r="N618" t="s">
        <v>35</v>
      </c>
      <c r="O618" t="s">
        <v>1333</v>
      </c>
      <c r="P618" s="4">
        <v>391.16</v>
      </c>
      <c r="Q618" s="8" t="str">
        <f t="shared" si="76"/>
        <v>High</v>
      </c>
      <c r="R618" s="4">
        <v>902.47</v>
      </c>
      <c r="S618" s="4">
        <v>4.0000000000000001E-3</v>
      </c>
      <c r="T618" s="4">
        <v>12</v>
      </c>
      <c r="U618" s="4">
        <f t="shared" si="72"/>
        <v>0</v>
      </c>
      <c r="V618">
        <f t="shared" si="73"/>
        <v>4693.92</v>
      </c>
      <c r="W618" s="4">
        <f t="shared" si="77"/>
        <v>-4693.92</v>
      </c>
      <c r="X618" s="4">
        <f t="shared" si="78"/>
        <v>0</v>
      </c>
    </row>
    <row r="619" spans="1:24" x14ac:dyDescent="0.3">
      <c r="A619" t="s">
        <v>1334</v>
      </c>
      <c r="B619" s="7">
        <v>45643</v>
      </c>
      <c r="C619" s="2">
        <v>45673</v>
      </c>
      <c r="D619" s="4">
        <f t="shared" si="79"/>
        <v>30</v>
      </c>
      <c r="E619" s="51" t="b">
        <f t="shared" si="74"/>
        <v>0</v>
      </c>
      <c r="F619" s="4" t="str">
        <f>TEXT(Data!B619,"MMM-YYYY")</f>
        <v>Jul-2025</v>
      </c>
      <c r="G619" s="4" t="str">
        <f t="shared" si="75"/>
        <v>Q4-2024</v>
      </c>
      <c r="H619" t="s">
        <v>78</v>
      </c>
      <c r="I619" t="s">
        <v>108</v>
      </c>
      <c r="J619" t="s">
        <v>228</v>
      </c>
      <c r="K619" t="s">
        <v>19</v>
      </c>
      <c r="L619" t="s">
        <v>20</v>
      </c>
      <c r="M619" t="s">
        <v>145</v>
      </c>
      <c r="N619" t="s">
        <v>64</v>
      </c>
      <c r="O619" t="s">
        <v>1335</v>
      </c>
      <c r="P619" s="4">
        <v>722.87</v>
      </c>
      <c r="Q619" s="8" t="str">
        <f t="shared" si="76"/>
        <v>Low</v>
      </c>
      <c r="R619" s="4">
        <v>-33.659999999999997</v>
      </c>
      <c r="S619" s="4">
        <v>0.10199999999999999</v>
      </c>
      <c r="T619" s="4">
        <v>28</v>
      </c>
      <c r="U619" s="4">
        <f t="shared" si="72"/>
        <v>0</v>
      </c>
      <c r="V619">
        <f t="shared" si="73"/>
        <v>20240.36</v>
      </c>
      <c r="W619" s="4">
        <f t="shared" si="77"/>
        <v>-20240.36</v>
      </c>
      <c r="X619" s="4">
        <f t="shared" si="78"/>
        <v>0</v>
      </c>
    </row>
    <row r="620" spans="1:24" x14ac:dyDescent="0.3">
      <c r="A620" t="s">
        <v>1336</v>
      </c>
      <c r="B620" s="7">
        <v>45849</v>
      </c>
      <c r="C620" s="2">
        <v>45854</v>
      </c>
      <c r="D620" s="4">
        <f t="shared" si="79"/>
        <v>5</v>
      </c>
      <c r="E620" s="51" t="str">
        <f t="shared" si="74"/>
        <v>Yes</v>
      </c>
      <c r="F620" s="4" t="str">
        <f>TEXT(Data!B620,"MMM-YYYY")</f>
        <v>Oct-2024</v>
      </c>
      <c r="G620" s="4" t="str">
        <f t="shared" si="75"/>
        <v>Q3-2025</v>
      </c>
      <c r="H620" t="s">
        <v>78</v>
      </c>
      <c r="I620" t="s">
        <v>108</v>
      </c>
      <c r="J620" t="s">
        <v>152</v>
      </c>
      <c r="K620" t="s">
        <v>105</v>
      </c>
      <c r="L620" t="s">
        <v>28</v>
      </c>
      <c r="M620" t="s">
        <v>95</v>
      </c>
      <c r="N620" t="s">
        <v>30</v>
      </c>
      <c r="O620" t="s">
        <v>1337</v>
      </c>
      <c r="P620" s="4">
        <v>930.03</v>
      </c>
      <c r="Q620" s="8" t="str">
        <f t="shared" si="76"/>
        <v>High</v>
      </c>
      <c r="R620" s="4">
        <v>1086.68</v>
      </c>
      <c r="S620" s="4">
        <v>0.109</v>
      </c>
      <c r="T620" s="4">
        <v>26</v>
      </c>
      <c r="U620" s="4">
        <f t="shared" si="72"/>
        <v>0</v>
      </c>
      <c r="V620">
        <f t="shared" si="73"/>
        <v>24180.78</v>
      </c>
      <c r="W620" s="4">
        <f t="shared" si="77"/>
        <v>-24180.78</v>
      </c>
      <c r="X620" s="4">
        <f t="shared" si="78"/>
        <v>0</v>
      </c>
    </row>
    <row r="621" spans="1:24" x14ac:dyDescent="0.3">
      <c r="A621" t="s">
        <v>1338</v>
      </c>
      <c r="B621" s="7">
        <v>45578</v>
      </c>
      <c r="C621" s="2">
        <v>45589</v>
      </c>
      <c r="D621" s="4">
        <f t="shared" si="79"/>
        <v>11</v>
      </c>
      <c r="E621" s="51" t="b">
        <f t="shared" si="74"/>
        <v>0</v>
      </c>
      <c r="F621" s="4" t="str">
        <f>TEXT(Data!B621,"MMM-YYYY")</f>
        <v>Sept-2023</v>
      </c>
      <c r="G621" s="4" t="str">
        <f t="shared" si="75"/>
        <v>Q4-2024</v>
      </c>
      <c r="H621" t="s">
        <v>78</v>
      </c>
      <c r="I621" t="s">
        <v>90</v>
      </c>
      <c r="J621" t="s">
        <v>217</v>
      </c>
      <c r="K621" t="s">
        <v>27</v>
      </c>
      <c r="L621" t="s">
        <v>55</v>
      </c>
      <c r="M621" t="s">
        <v>84</v>
      </c>
      <c r="N621" t="s">
        <v>22</v>
      </c>
      <c r="O621" t="s">
        <v>1339</v>
      </c>
      <c r="P621" s="4">
        <v>816.7</v>
      </c>
      <c r="Q621" s="8" t="str">
        <f t="shared" si="76"/>
        <v>High</v>
      </c>
      <c r="R621" s="4">
        <v>1010.75</v>
      </c>
      <c r="S621" s="4">
        <v>4.7E-2</v>
      </c>
      <c r="T621" s="4">
        <v>43</v>
      </c>
      <c r="U621" s="4">
        <f t="shared" si="72"/>
        <v>0</v>
      </c>
      <c r="V621">
        <f t="shared" si="73"/>
        <v>35118.1</v>
      </c>
      <c r="W621" s="4">
        <f t="shared" si="77"/>
        <v>-35118.1</v>
      </c>
      <c r="X621" s="4">
        <f t="shared" si="78"/>
        <v>0</v>
      </c>
    </row>
    <row r="622" spans="1:24" x14ac:dyDescent="0.3">
      <c r="A622" t="s">
        <v>1340</v>
      </c>
      <c r="B622" s="7">
        <v>45177</v>
      </c>
      <c r="C622" s="2">
        <v>45183</v>
      </c>
      <c r="D622" s="4">
        <f t="shared" si="79"/>
        <v>6</v>
      </c>
      <c r="E622" s="51" t="str">
        <f t="shared" si="74"/>
        <v>Yes</v>
      </c>
      <c r="F622" s="4" t="str">
        <f>TEXT(Data!B622,"MMM-YYYY")</f>
        <v>Apr-2025</v>
      </c>
      <c r="G622" s="4" t="str">
        <f t="shared" si="75"/>
        <v>Q3-2023</v>
      </c>
      <c r="H622" t="s">
        <v>16</v>
      </c>
      <c r="I622" t="s">
        <v>17</v>
      </c>
      <c r="J622" t="s">
        <v>135</v>
      </c>
      <c r="K622" t="s">
        <v>27</v>
      </c>
      <c r="L622" t="s">
        <v>98</v>
      </c>
      <c r="M622" t="s">
        <v>34</v>
      </c>
      <c r="N622" t="s">
        <v>81</v>
      </c>
      <c r="O622" t="s">
        <v>1341</v>
      </c>
      <c r="P622" s="4">
        <v>251.03</v>
      </c>
      <c r="Q622" s="8" t="str">
        <f t="shared" si="76"/>
        <v>High</v>
      </c>
      <c r="R622" s="4">
        <v>411.48</v>
      </c>
      <c r="S622" s="4">
        <v>0.16500000000000001</v>
      </c>
      <c r="T622" s="4">
        <v>3</v>
      </c>
      <c r="U622" s="4">
        <f t="shared" si="72"/>
        <v>0</v>
      </c>
      <c r="V622">
        <f t="shared" si="73"/>
        <v>753.09</v>
      </c>
      <c r="W622" s="4">
        <f t="shared" si="77"/>
        <v>-753.09</v>
      </c>
      <c r="X622" s="4">
        <f t="shared" si="78"/>
        <v>0</v>
      </c>
    </row>
    <row r="623" spans="1:24" x14ac:dyDescent="0.3">
      <c r="A623" t="s">
        <v>1342</v>
      </c>
      <c r="B623" s="7">
        <v>45764</v>
      </c>
      <c r="C623" s="2">
        <v>45780</v>
      </c>
      <c r="D623" s="4">
        <f t="shared" si="79"/>
        <v>16</v>
      </c>
      <c r="E623" s="51" t="b">
        <f t="shared" si="74"/>
        <v>0</v>
      </c>
      <c r="F623" s="4" t="str">
        <f>TEXT(Data!B623,"MMM-YYYY")</f>
        <v>Jul-2024</v>
      </c>
      <c r="G623" s="4" t="str">
        <f t="shared" si="75"/>
        <v>Q2-2025</v>
      </c>
      <c r="H623" t="s">
        <v>52</v>
      </c>
      <c r="I623" t="s">
        <v>73</v>
      </c>
      <c r="J623" t="s">
        <v>225</v>
      </c>
      <c r="K623" t="s">
        <v>48</v>
      </c>
      <c r="L623" t="s">
        <v>40</v>
      </c>
      <c r="M623" t="s">
        <v>29</v>
      </c>
      <c r="N623" t="s">
        <v>35</v>
      </c>
      <c r="O623" t="s">
        <v>1343</v>
      </c>
      <c r="P623" s="4">
        <v>168.68</v>
      </c>
      <c r="Q623" s="8" t="str">
        <f t="shared" si="76"/>
        <v>High</v>
      </c>
      <c r="R623" s="4">
        <v>413.34</v>
      </c>
      <c r="S623" s="4">
        <v>0.186</v>
      </c>
      <c r="T623" s="4">
        <v>7</v>
      </c>
      <c r="U623" s="4">
        <f t="shared" si="72"/>
        <v>0</v>
      </c>
      <c r="V623">
        <f t="shared" si="73"/>
        <v>1180.76</v>
      </c>
      <c r="W623" s="4">
        <f t="shared" si="77"/>
        <v>-1180.76</v>
      </c>
      <c r="X623" s="4">
        <f t="shared" si="78"/>
        <v>0</v>
      </c>
    </row>
    <row r="624" spans="1:24" x14ac:dyDescent="0.3">
      <c r="A624" t="s">
        <v>1344</v>
      </c>
      <c r="B624" s="7">
        <v>45501</v>
      </c>
      <c r="C624" s="2">
        <v>45527</v>
      </c>
      <c r="D624" s="4">
        <f t="shared" si="79"/>
        <v>26</v>
      </c>
      <c r="E624" s="51" t="b">
        <f t="shared" si="74"/>
        <v>0</v>
      </c>
      <c r="F624" s="4" t="str">
        <f>TEXT(Data!B624,"MMM-YYYY")</f>
        <v>Jul-2025</v>
      </c>
      <c r="G624" s="4" t="str">
        <f t="shared" si="75"/>
        <v>Q3-2024</v>
      </c>
      <c r="H624" t="s">
        <v>45</v>
      </c>
      <c r="I624" t="s">
        <v>60</v>
      </c>
      <c r="J624" t="s">
        <v>281</v>
      </c>
      <c r="K624" t="s">
        <v>19</v>
      </c>
      <c r="L624" t="s">
        <v>20</v>
      </c>
      <c r="M624" t="s">
        <v>29</v>
      </c>
      <c r="N624" t="s">
        <v>35</v>
      </c>
      <c r="O624" t="s">
        <v>1345</v>
      </c>
      <c r="P624" s="4">
        <v>1339.24</v>
      </c>
      <c r="Q624" s="8" t="str">
        <f t="shared" si="76"/>
        <v>High</v>
      </c>
      <c r="R624" s="4">
        <v>1558.89</v>
      </c>
      <c r="S624" s="4">
        <v>0.192</v>
      </c>
      <c r="T624" s="4">
        <v>24</v>
      </c>
      <c r="U624" s="4">
        <f t="shared" si="72"/>
        <v>0</v>
      </c>
      <c r="V624">
        <f t="shared" si="73"/>
        <v>32141.760000000002</v>
      </c>
      <c r="W624" s="4">
        <f t="shared" si="77"/>
        <v>-32141.760000000002</v>
      </c>
      <c r="X624" s="4">
        <f t="shared" si="78"/>
        <v>0</v>
      </c>
    </row>
    <row r="625" spans="1:24" x14ac:dyDescent="0.3">
      <c r="A625" t="s">
        <v>1346</v>
      </c>
      <c r="B625" s="7">
        <v>45857</v>
      </c>
      <c r="C625" s="2">
        <v>45869</v>
      </c>
      <c r="D625" s="4">
        <f t="shared" si="79"/>
        <v>12</v>
      </c>
      <c r="E625" s="51" t="b">
        <f t="shared" si="74"/>
        <v>0</v>
      </c>
      <c r="F625" s="4" t="str">
        <f>TEXT(Data!B625,"MMM-YYYY")</f>
        <v>Aug-2023</v>
      </c>
      <c r="G625" s="4" t="str">
        <f t="shared" si="75"/>
        <v>Q3-2025</v>
      </c>
      <c r="H625" t="s">
        <v>16</v>
      </c>
      <c r="I625" t="s">
        <v>17</v>
      </c>
      <c r="J625" t="s">
        <v>33</v>
      </c>
      <c r="K625" t="s">
        <v>62</v>
      </c>
      <c r="L625" t="s">
        <v>40</v>
      </c>
      <c r="M625" t="s">
        <v>68</v>
      </c>
      <c r="N625" t="s">
        <v>81</v>
      </c>
      <c r="O625" t="s">
        <v>1347</v>
      </c>
      <c r="P625" s="4">
        <v>619.64</v>
      </c>
      <c r="Q625" s="8" t="str">
        <f t="shared" si="76"/>
        <v>High</v>
      </c>
      <c r="R625" s="4">
        <v>861.16</v>
      </c>
      <c r="S625" s="4">
        <v>0.113</v>
      </c>
      <c r="T625" s="4">
        <v>14</v>
      </c>
      <c r="U625" s="4">
        <f t="shared" si="72"/>
        <v>0</v>
      </c>
      <c r="V625">
        <f t="shared" si="73"/>
        <v>8674.9599999999991</v>
      </c>
      <c r="W625" s="4">
        <f t="shared" si="77"/>
        <v>-8674.9599999999991</v>
      </c>
      <c r="X625" s="4">
        <f t="shared" si="78"/>
        <v>0</v>
      </c>
    </row>
    <row r="626" spans="1:24" x14ac:dyDescent="0.3">
      <c r="A626" t="s">
        <v>1348</v>
      </c>
      <c r="B626" s="7">
        <v>45141</v>
      </c>
      <c r="C626" s="2">
        <v>45140</v>
      </c>
      <c r="D626" s="4">
        <f>DATEDIF(C626,B626, "MD")</f>
        <v>1</v>
      </c>
      <c r="E626" s="51" t="str">
        <f t="shared" si="74"/>
        <v>Yes</v>
      </c>
      <c r="F626" s="4" t="str">
        <f>TEXT(Data!B626,"MMM-YYYY")</f>
        <v>Nov-2023</v>
      </c>
      <c r="G626" s="4" t="str">
        <f t="shared" si="75"/>
        <v>Q3-2023</v>
      </c>
      <c r="H626" t="s">
        <v>45</v>
      </c>
      <c r="I626" t="s">
        <v>116</v>
      </c>
      <c r="J626" t="s">
        <v>162</v>
      </c>
      <c r="K626" t="s">
        <v>39</v>
      </c>
      <c r="L626" t="s">
        <v>98</v>
      </c>
      <c r="M626" t="s">
        <v>29</v>
      </c>
      <c r="N626" t="s">
        <v>35</v>
      </c>
      <c r="O626" t="s">
        <v>1349</v>
      </c>
      <c r="P626" s="4">
        <v>1021.97</v>
      </c>
      <c r="Q626" s="8" t="str">
        <f t="shared" si="76"/>
        <v>High</v>
      </c>
      <c r="R626" s="4">
        <v>2296.25</v>
      </c>
      <c r="S626" s="4">
        <v>0.161</v>
      </c>
      <c r="T626" s="4">
        <v>26</v>
      </c>
      <c r="U626" s="4">
        <f t="shared" si="72"/>
        <v>0</v>
      </c>
      <c r="V626">
        <f t="shared" si="73"/>
        <v>26571.22</v>
      </c>
      <c r="W626" s="4">
        <f t="shared" si="77"/>
        <v>-26571.22</v>
      </c>
      <c r="X626" s="4">
        <f t="shared" si="78"/>
        <v>0</v>
      </c>
    </row>
    <row r="627" spans="1:24" x14ac:dyDescent="0.3">
      <c r="A627" t="s">
        <v>1350</v>
      </c>
      <c r="B627" s="7">
        <v>45249</v>
      </c>
      <c r="C627" s="2">
        <v>45272</v>
      </c>
      <c r="D627" s="4">
        <f t="shared" si="79"/>
        <v>23</v>
      </c>
      <c r="E627" s="51" t="b">
        <f t="shared" si="74"/>
        <v>0</v>
      </c>
      <c r="F627" s="4" t="str">
        <f>TEXT(Data!B627,"MMM-YYYY")</f>
        <v>Dec-2023</v>
      </c>
      <c r="G627" s="4" t="str">
        <f t="shared" si="75"/>
        <v>Q4-2023</v>
      </c>
      <c r="H627" t="s">
        <v>45</v>
      </c>
      <c r="I627" t="s">
        <v>60</v>
      </c>
      <c r="J627" t="s">
        <v>141</v>
      </c>
      <c r="K627" t="s">
        <v>62</v>
      </c>
      <c r="L627" t="s">
        <v>98</v>
      </c>
      <c r="M627" t="s">
        <v>21</v>
      </c>
      <c r="N627" t="s">
        <v>35</v>
      </c>
      <c r="O627" t="s">
        <v>1351</v>
      </c>
      <c r="P627" s="4">
        <v>1349.04</v>
      </c>
      <c r="Q627" s="8" t="str">
        <f t="shared" si="76"/>
        <v>High</v>
      </c>
      <c r="R627" s="4">
        <v>2636.6</v>
      </c>
      <c r="S627" s="4">
        <v>0.114</v>
      </c>
      <c r="T627" s="4">
        <v>14</v>
      </c>
      <c r="U627" s="4">
        <f t="shared" si="72"/>
        <v>0</v>
      </c>
      <c r="V627">
        <f t="shared" si="73"/>
        <v>18886.559999999998</v>
      </c>
      <c r="W627" s="4">
        <f t="shared" si="77"/>
        <v>-18886.559999999998</v>
      </c>
      <c r="X627" s="4">
        <f t="shared" si="78"/>
        <v>0</v>
      </c>
    </row>
    <row r="628" spans="1:24" x14ac:dyDescent="0.3">
      <c r="A628" t="s">
        <v>1352</v>
      </c>
      <c r="B628" s="7">
        <v>45282</v>
      </c>
      <c r="C628" s="2">
        <v>45307</v>
      </c>
      <c r="D628" s="4">
        <f t="shared" si="79"/>
        <v>25</v>
      </c>
      <c r="E628" s="51" t="b">
        <f t="shared" si="74"/>
        <v>0</v>
      </c>
      <c r="F628" s="4" t="str">
        <f>TEXT(Data!B628,"MMM-YYYY")</f>
        <v>Aug-2023</v>
      </c>
      <c r="G628" s="4" t="str">
        <f t="shared" si="75"/>
        <v>Q4-2023</v>
      </c>
      <c r="H628" t="s">
        <v>45</v>
      </c>
      <c r="I628" t="s">
        <v>60</v>
      </c>
      <c r="J628" t="s">
        <v>281</v>
      </c>
      <c r="K628" t="s">
        <v>62</v>
      </c>
      <c r="L628" t="s">
        <v>20</v>
      </c>
      <c r="M628" t="s">
        <v>75</v>
      </c>
      <c r="N628" t="s">
        <v>22</v>
      </c>
      <c r="O628" t="s">
        <v>1353</v>
      </c>
      <c r="P628" s="4">
        <v>1346.81</v>
      </c>
      <c r="Q628" s="8" t="str">
        <f t="shared" si="76"/>
        <v>High</v>
      </c>
      <c r="R628" s="4">
        <v>978.09</v>
      </c>
      <c r="S628" s="4">
        <v>0.159</v>
      </c>
      <c r="T628" s="4">
        <v>17</v>
      </c>
      <c r="U628" s="4">
        <f t="shared" si="72"/>
        <v>0</v>
      </c>
      <c r="V628">
        <f t="shared" si="73"/>
        <v>22895.77</v>
      </c>
      <c r="W628" s="4">
        <f t="shared" si="77"/>
        <v>-22895.77</v>
      </c>
      <c r="X628" s="4">
        <f t="shared" si="78"/>
        <v>0</v>
      </c>
    </row>
    <row r="629" spans="1:24" x14ac:dyDescent="0.3">
      <c r="A629" t="s">
        <v>1354</v>
      </c>
      <c r="B629" s="7">
        <v>45141</v>
      </c>
      <c r="C629" s="2">
        <v>45168</v>
      </c>
      <c r="D629" s="4">
        <f t="shared" si="79"/>
        <v>27</v>
      </c>
      <c r="E629" s="51" t="b">
        <f t="shared" si="74"/>
        <v>0</v>
      </c>
      <c r="F629" s="4" t="str">
        <f>TEXT(Data!B629,"MMM-YYYY")</f>
        <v>Jun-2023</v>
      </c>
      <c r="G629" s="4" t="str">
        <f t="shared" si="75"/>
        <v>Q3-2023</v>
      </c>
      <c r="H629" t="s">
        <v>45</v>
      </c>
      <c r="I629" t="s">
        <v>116</v>
      </c>
      <c r="J629" t="s">
        <v>162</v>
      </c>
      <c r="K629" t="s">
        <v>48</v>
      </c>
      <c r="L629" t="s">
        <v>55</v>
      </c>
      <c r="M629" t="s">
        <v>126</v>
      </c>
      <c r="N629" t="s">
        <v>64</v>
      </c>
      <c r="O629" t="s">
        <v>1355</v>
      </c>
      <c r="P629" s="4">
        <v>226.04</v>
      </c>
      <c r="Q629" s="8" t="str">
        <f t="shared" si="76"/>
        <v>High</v>
      </c>
      <c r="R629" s="4">
        <v>545.72</v>
      </c>
      <c r="S629" s="4">
        <v>0.151</v>
      </c>
      <c r="T629" s="4">
        <v>11</v>
      </c>
      <c r="U629" s="4">
        <f t="shared" si="72"/>
        <v>0</v>
      </c>
      <c r="V629">
        <f t="shared" si="73"/>
        <v>2486.44</v>
      </c>
      <c r="W629" s="4">
        <f t="shared" si="77"/>
        <v>-2486.44</v>
      </c>
      <c r="X629" s="4">
        <f t="shared" si="78"/>
        <v>0</v>
      </c>
    </row>
    <row r="630" spans="1:24" x14ac:dyDescent="0.3">
      <c r="A630" t="s">
        <v>1356</v>
      </c>
      <c r="B630" s="7">
        <v>45100</v>
      </c>
      <c r="C630" s="2">
        <v>45125</v>
      </c>
      <c r="D630" s="4">
        <f t="shared" si="79"/>
        <v>25</v>
      </c>
      <c r="E630" s="51" t="b">
        <f t="shared" si="74"/>
        <v>0</v>
      </c>
      <c r="F630" s="4" t="str">
        <f>TEXT(Data!B630,"MMM-YYYY")</f>
        <v>Dec-2023</v>
      </c>
      <c r="G630" s="4" t="str">
        <f t="shared" si="75"/>
        <v>Q2-2023</v>
      </c>
      <c r="H630" t="s">
        <v>52</v>
      </c>
      <c r="I630" t="s">
        <v>53</v>
      </c>
      <c r="J630" t="s">
        <v>179</v>
      </c>
      <c r="K630" t="s">
        <v>105</v>
      </c>
      <c r="L630" t="s">
        <v>28</v>
      </c>
      <c r="M630" t="s">
        <v>126</v>
      </c>
      <c r="N630" t="s">
        <v>42</v>
      </c>
      <c r="O630" t="s">
        <v>1357</v>
      </c>
      <c r="P630" s="4">
        <v>807.02</v>
      </c>
      <c r="Q630" s="8" t="str">
        <f t="shared" si="76"/>
        <v>High</v>
      </c>
      <c r="R630" s="4">
        <v>1435.54</v>
      </c>
      <c r="S630" s="4">
        <v>0</v>
      </c>
      <c r="T630" s="4">
        <v>23</v>
      </c>
      <c r="U630" s="4">
        <f t="shared" si="72"/>
        <v>0</v>
      </c>
      <c r="V630">
        <f t="shared" si="73"/>
        <v>18561.46</v>
      </c>
      <c r="W630" s="4">
        <f t="shared" si="77"/>
        <v>-18561.46</v>
      </c>
      <c r="X630" s="4">
        <f t="shared" si="78"/>
        <v>0</v>
      </c>
    </row>
    <row r="631" spans="1:24" x14ac:dyDescent="0.3">
      <c r="A631" t="s">
        <v>1358</v>
      </c>
      <c r="B631" s="7">
        <v>45267</v>
      </c>
      <c r="C631" s="2">
        <v>45293</v>
      </c>
      <c r="D631" s="4">
        <f t="shared" si="79"/>
        <v>26</v>
      </c>
      <c r="E631" s="51" t="b">
        <f t="shared" si="74"/>
        <v>0</v>
      </c>
      <c r="F631" s="4" t="str">
        <f>TEXT(Data!B631,"MMM-YYYY")</f>
        <v>Nov-2023</v>
      </c>
      <c r="G631" s="4" t="str">
        <f t="shared" si="75"/>
        <v>Q4-2023</v>
      </c>
      <c r="H631" t="s">
        <v>78</v>
      </c>
      <c r="I631" t="s">
        <v>79</v>
      </c>
      <c r="J631" t="s">
        <v>335</v>
      </c>
      <c r="K631" t="s">
        <v>105</v>
      </c>
      <c r="L631" t="s">
        <v>55</v>
      </c>
      <c r="M631" t="s">
        <v>63</v>
      </c>
      <c r="N631" t="s">
        <v>22</v>
      </c>
      <c r="O631" t="s">
        <v>1359</v>
      </c>
      <c r="P631" s="4">
        <v>1071.99</v>
      </c>
      <c r="Q631" s="8" t="str">
        <f t="shared" si="76"/>
        <v>High</v>
      </c>
      <c r="R631" s="4">
        <v>2397.3000000000002</v>
      </c>
      <c r="S631" s="4">
        <v>6.2E-2</v>
      </c>
      <c r="T631" s="4">
        <v>18</v>
      </c>
      <c r="U631" s="4">
        <f t="shared" si="72"/>
        <v>0</v>
      </c>
      <c r="V631">
        <f t="shared" si="73"/>
        <v>19295.82</v>
      </c>
      <c r="W631" s="4">
        <f t="shared" si="77"/>
        <v>-19295.82</v>
      </c>
      <c r="X631" s="4">
        <f t="shared" si="78"/>
        <v>0</v>
      </c>
    </row>
    <row r="632" spans="1:24" x14ac:dyDescent="0.3">
      <c r="A632" t="s">
        <v>1360</v>
      </c>
      <c r="B632" s="7">
        <v>45249</v>
      </c>
      <c r="C632" s="2">
        <v>45279</v>
      </c>
      <c r="D632" s="4">
        <f t="shared" si="79"/>
        <v>0</v>
      </c>
      <c r="E632" s="51" t="str">
        <f t="shared" si="74"/>
        <v>Yes</v>
      </c>
      <c r="F632" s="4" t="str">
        <f>TEXT(Data!B632,"MMM-YYYY")</f>
        <v>Feb-2025</v>
      </c>
      <c r="G632" s="4" t="str">
        <f t="shared" si="75"/>
        <v>Q4-2023</v>
      </c>
      <c r="H632" t="s">
        <v>45</v>
      </c>
      <c r="I632" t="s">
        <v>46</v>
      </c>
      <c r="J632" t="s">
        <v>231</v>
      </c>
      <c r="K632" t="s">
        <v>48</v>
      </c>
      <c r="L632" t="s">
        <v>20</v>
      </c>
      <c r="M632" t="s">
        <v>1364</v>
      </c>
      <c r="N632" t="s">
        <v>42</v>
      </c>
      <c r="O632" t="s">
        <v>1361</v>
      </c>
      <c r="P632" s="4">
        <v>807.11</v>
      </c>
      <c r="Q632" s="8" t="str">
        <f t="shared" si="76"/>
        <v>High</v>
      </c>
      <c r="R632" s="4">
        <v>1853.86</v>
      </c>
      <c r="S632" s="4">
        <v>0.13900000000000001</v>
      </c>
      <c r="T632" s="4">
        <v>8</v>
      </c>
      <c r="U632" s="4">
        <f t="shared" si="72"/>
        <v>0</v>
      </c>
      <c r="V632">
        <f t="shared" si="73"/>
        <v>6456.88</v>
      </c>
      <c r="W632" s="4">
        <f t="shared" si="77"/>
        <v>-6456.88</v>
      </c>
      <c r="X632" s="4">
        <f t="shared" si="78"/>
        <v>0</v>
      </c>
    </row>
    <row r="633" spans="1:24" x14ac:dyDescent="0.3">
      <c r="A633" t="s">
        <v>1362</v>
      </c>
      <c r="B633" s="7">
        <v>45716</v>
      </c>
      <c r="C633" s="2">
        <v>45726</v>
      </c>
      <c r="D633" s="4">
        <f t="shared" si="79"/>
        <v>10</v>
      </c>
      <c r="E633" s="51" t="b">
        <f t="shared" si="74"/>
        <v>0</v>
      </c>
      <c r="F633" s="4" t="str">
        <f>TEXT(Data!B633,"MMM-YYYY")</f>
        <v>Feb-2025</v>
      </c>
      <c r="G633" s="4" t="str">
        <f t="shared" si="75"/>
        <v>Q1-2025</v>
      </c>
      <c r="H633" t="s">
        <v>45</v>
      </c>
      <c r="I633" t="s">
        <v>46</v>
      </c>
      <c r="J633" t="s">
        <v>47</v>
      </c>
      <c r="K633" t="s">
        <v>27</v>
      </c>
      <c r="L633" t="s">
        <v>55</v>
      </c>
      <c r="M633" t="s">
        <v>126</v>
      </c>
      <c r="N633" t="s">
        <v>57</v>
      </c>
      <c r="O633" t="s">
        <v>1363</v>
      </c>
      <c r="P633" s="4">
        <v>51.86</v>
      </c>
      <c r="Q633" s="8" t="str">
        <f t="shared" si="76"/>
        <v>Low</v>
      </c>
      <c r="R633" s="4">
        <v>45.98</v>
      </c>
      <c r="S633" s="4">
        <v>0.17299999999999999</v>
      </c>
      <c r="T633" s="4">
        <v>7</v>
      </c>
      <c r="U633" s="4">
        <f t="shared" si="72"/>
        <v>0</v>
      </c>
      <c r="V633">
        <f t="shared" si="73"/>
        <v>363.02</v>
      </c>
      <c r="W633" s="4">
        <f t="shared" si="77"/>
        <v>-363.02</v>
      </c>
      <c r="X633" s="4">
        <f t="shared" si="78"/>
        <v>0</v>
      </c>
    </row>
  </sheetData>
  <conditionalFormatting sqref="R1:R1048576">
    <cfRule type="cellIs" dxfId="2" priority="1" operator="lessThan">
      <formula>0</formula>
    </cfRule>
  </conditionalFormatting>
  <dataValidations count="1">
    <dataValidation type="date" operator="greaterThanOrEqual" allowBlank="1" showInputMessage="1" showErrorMessage="1" error="Invalid Date ;Required date cannot be before the order date" sqref="C2:C633" xr:uid="{3477C82F-BDBF-488C-B32C-B9AF3BFE669A}">
      <formula1>B2</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73DB9-6418-4687-B065-CCB43883E154}">
  <dimension ref="A3:E110"/>
  <sheetViews>
    <sheetView workbookViewId="0">
      <selection activeCell="C6" sqref="C6"/>
    </sheetView>
  </sheetViews>
  <sheetFormatPr defaultRowHeight="14.4" x14ac:dyDescent="0.3"/>
  <cols>
    <col min="1" max="1" width="15.77734375" bestFit="1" customWidth="1"/>
    <col min="2" max="2" width="15.44140625" bestFit="1" customWidth="1"/>
    <col min="3" max="3" width="17.6640625" bestFit="1" customWidth="1"/>
    <col min="4" max="4" width="21.6640625" customWidth="1"/>
    <col min="5" max="5" width="25.88671875" style="18" customWidth="1"/>
  </cols>
  <sheetData>
    <row r="3" spans="1:5" x14ac:dyDescent="0.3">
      <c r="A3" s="9" t="s">
        <v>1376</v>
      </c>
      <c r="B3" t="s">
        <v>1421</v>
      </c>
      <c r="C3" t="s">
        <v>1435</v>
      </c>
      <c r="D3" s="16" t="s">
        <v>1436</v>
      </c>
      <c r="E3" s="19" t="s">
        <v>1437</v>
      </c>
    </row>
    <row r="4" spans="1:5" x14ac:dyDescent="0.3">
      <c r="A4" s="10" t="s">
        <v>45</v>
      </c>
      <c r="B4" s="12">
        <v>171</v>
      </c>
      <c r="C4" s="12">
        <v>21.688999999999997</v>
      </c>
    </row>
    <row r="5" spans="1:5" x14ac:dyDescent="0.3">
      <c r="A5" s="11" t="s">
        <v>68</v>
      </c>
      <c r="B5" s="12">
        <v>8</v>
      </c>
      <c r="C5" s="12">
        <v>1.5699999999999998</v>
      </c>
      <c r="D5">
        <f>IF(GETPIVOTDATA("Sum of DiscountPct",$A$3,"Region","Africa","Salesperson","A. Patel")&gt; 20%,1,0)</f>
        <v>1</v>
      </c>
      <c r="E5" s="18">
        <f>SUM(D5/GETPIVOTDATA("Count of OrderID",$A$3,"Region","Africa","Salesperson","A. Patel"))</f>
        <v>6.25E-2</v>
      </c>
    </row>
    <row r="6" spans="1:5" x14ac:dyDescent="0.3">
      <c r="A6" s="11" t="s">
        <v>1364</v>
      </c>
      <c r="B6" s="12">
        <v>2</v>
      </c>
      <c r="C6" s="12">
        <v>0.20700000000000002</v>
      </c>
      <c r="D6">
        <f>IF(GETPIVOTDATA("Sum of DiscountPct",$A$3,"Region","Africa","Salesperson","A. Patel")&gt; 20%,1,0)</f>
        <v>1</v>
      </c>
      <c r="E6" s="18">
        <f>SUM(D6/GETPIVOTDATA("Count of OrderID",$A$3,"Region","Africa","Salesperson","B. Chen"))</f>
        <v>0.125</v>
      </c>
    </row>
    <row r="7" spans="1:5" x14ac:dyDescent="0.3">
      <c r="A7" s="11" t="s">
        <v>126</v>
      </c>
      <c r="B7" s="12">
        <v>10</v>
      </c>
      <c r="C7" s="12">
        <v>1.129</v>
      </c>
      <c r="D7">
        <f t="shared" ref="D7:D55" si="0">IF(GETPIVOTDATA("Sum of DiscountPct",$A$3,"Region","Africa","Salesperson","A. Patel")&gt; 20%,1,0)</f>
        <v>1</v>
      </c>
      <c r="E7" s="18">
        <f>SUM(D7/GETPIVOTDATA("Count of OrderID",$A$3,"Region","Africa","Salesperson","C. Otieno"))</f>
        <v>0.125</v>
      </c>
    </row>
    <row r="8" spans="1:5" x14ac:dyDescent="0.3">
      <c r="A8" s="11" t="s">
        <v>110</v>
      </c>
      <c r="B8" s="12">
        <v>10</v>
      </c>
      <c r="C8" s="12">
        <v>1.0210000000000001</v>
      </c>
      <c r="D8">
        <f t="shared" si="0"/>
        <v>1</v>
      </c>
      <c r="E8" s="18">
        <f>SUM(D8/GETPIVOTDATA("Count of OrderID",$A$3,"Region","Africa","Salesperson","D. Smith"))</f>
        <v>0.1</v>
      </c>
    </row>
    <row r="9" spans="1:5" x14ac:dyDescent="0.3">
      <c r="A9" s="11" t="s">
        <v>49</v>
      </c>
      <c r="B9" s="12">
        <v>14</v>
      </c>
      <c r="C9" s="12">
        <v>1.7799999999999998</v>
      </c>
      <c r="D9">
        <f t="shared" si="0"/>
        <v>1</v>
      </c>
      <c r="E9" s="18">
        <f>SUM(D9/GETPIVOTDATA("Count of OrderID",$A$3,"Region","Africa","Salesperson","E. Garcia"))</f>
        <v>0.2</v>
      </c>
    </row>
    <row r="10" spans="1:5" x14ac:dyDescent="0.3">
      <c r="A10" s="11" t="s">
        <v>95</v>
      </c>
      <c r="B10" s="12">
        <v>7</v>
      </c>
      <c r="C10" s="12">
        <v>0.91999999999999993</v>
      </c>
      <c r="D10">
        <f t="shared" si="0"/>
        <v>1</v>
      </c>
      <c r="E10" s="18">
        <f>D10/GETPIVOTDATA("Count of OrderID",$A$3,"Region","Africa","Salesperson","F. Müller")</f>
        <v>7.6923076923076927E-2</v>
      </c>
    </row>
    <row r="11" spans="1:5" x14ac:dyDescent="0.3">
      <c r="A11" s="11" t="s">
        <v>29</v>
      </c>
      <c r="B11" s="12">
        <v>19</v>
      </c>
      <c r="C11" s="12">
        <v>2.1710000000000003</v>
      </c>
      <c r="D11">
        <f t="shared" si="0"/>
        <v>1</v>
      </c>
      <c r="E11" s="18">
        <f>SUM(D11/GETPIVOTDATA("Count of OrderID",$A$3,"Region","Africa","Salesperson","G. Dubois"))</f>
        <v>0.33333333333333331</v>
      </c>
    </row>
    <row r="12" spans="1:5" x14ac:dyDescent="0.3">
      <c r="A12" s="11" t="s">
        <v>34</v>
      </c>
      <c r="B12" s="12">
        <v>8</v>
      </c>
      <c r="C12" s="12">
        <v>0.87800000000000011</v>
      </c>
      <c r="D12">
        <f t="shared" si="0"/>
        <v>1</v>
      </c>
      <c r="E12" s="18">
        <f>SUM(D12/GETPIVOTDATA("Count of OrderID",$A$3,"Region","Africa","Salesperson","H. Kim"))</f>
        <v>0.14285714285714285</v>
      </c>
    </row>
    <row r="13" spans="1:5" x14ac:dyDescent="0.3">
      <c r="A13" s="11" t="s">
        <v>92</v>
      </c>
      <c r="B13" s="12">
        <v>16</v>
      </c>
      <c r="C13" s="12">
        <v>2.4420000000000002</v>
      </c>
      <c r="D13">
        <f t="shared" si="0"/>
        <v>1</v>
      </c>
      <c r="E13" s="18">
        <f>SUM(D13/GETPIVOTDATA("Count of OrderID",$A$3,"Region","Africa","Salesperson","I. Johnson"))</f>
        <v>0.125</v>
      </c>
    </row>
    <row r="14" spans="1:5" x14ac:dyDescent="0.3">
      <c r="A14" s="11" t="s">
        <v>41</v>
      </c>
      <c r="B14" s="12">
        <v>11</v>
      </c>
      <c r="C14" s="12">
        <v>1.2859999999999998</v>
      </c>
      <c r="D14">
        <f t="shared" si="0"/>
        <v>1</v>
      </c>
      <c r="E14" s="18">
        <f>SUM(D14/GETPIVOTDATA("Count of OrderID",$A$3,"Region","Africa","Salesperson","J. Njeri"))</f>
        <v>8.3333333333333329E-2</v>
      </c>
    </row>
    <row r="15" spans="1:5" x14ac:dyDescent="0.3">
      <c r="A15" s="11" t="s">
        <v>84</v>
      </c>
      <c r="B15" s="12">
        <v>12</v>
      </c>
      <c r="C15" s="12">
        <v>1.6029999999999998</v>
      </c>
      <c r="D15">
        <f t="shared" si="0"/>
        <v>1</v>
      </c>
      <c r="E15" s="18">
        <f>SUM(D15/GETPIVOTDATA("Count of OrderID",$A$3,"Region","Africa","Salesperson","K. Singh"))</f>
        <v>7.1428571428571425E-2</v>
      </c>
    </row>
    <row r="16" spans="1:5" x14ac:dyDescent="0.3">
      <c r="A16" s="11" t="s">
        <v>63</v>
      </c>
      <c r="B16" s="12">
        <v>8</v>
      </c>
      <c r="C16" s="12">
        <v>0.88600000000000012</v>
      </c>
      <c r="D16">
        <f t="shared" si="0"/>
        <v>1</v>
      </c>
      <c r="E16" s="18">
        <f>SUM(D16/GETPIVOTDATA("Count of OrderID",$A$3,"Region","Africa","Salesperson","L. Okafor"))</f>
        <v>0.1</v>
      </c>
    </row>
    <row r="17" spans="1:5" x14ac:dyDescent="0.3">
      <c r="A17" s="11" t="s">
        <v>145</v>
      </c>
      <c r="B17" s="12">
        <v>9</v>
      </c>
      <c r="C17" s="12">
        <v>1.036</v>
      </c>
      <c r="D17">
        <f t="shared" si="0"/>
        <v>1</v>
      </c>
      <c r="E17" s="18">
        <f>SUM(D17/GETPIVOTDATA("Count of OrderID",$A$3,"Region","Africa","Salesperson","M. Rossi"))</f>
        <v>6.25E-2</v>
      </c>
    </row>
    <row r="18" spans="1:5" x14ac:dyDescent="0.3">
      <c r="A18" s="11" t="s">
        <v>21</v>
      </c>
      <c r="B18" s="12">
        <v>10</v>
      </c>
      <c r="C18" s="12">
        <v>1.6680000000000001</v>
      </c>
      <c r="D18">
        <f t="shared" si="0"/>
        <v>1</v>
      </c>
      <c r="E18" s="18">
        <f>SUM(D18/GETPIVOTDATA("Count of OrderID",$A$3,"Region","Africa","Salesperson","N. Brown"))</f>
        <v>0.25</v>
      </c>
    </row>
    <row r="19" spans="1:5" x14ac:dyDescent="0.3">
      <c r="A19" s="11" t="s">
        <v>56</v>
      </c>
      <c r="B19" s="12">
        <v>17</v>
      </c>
      <c r="C19" s="12">
        <v>2.0590000000000002</v>
      </c>
      <c r="D19">
        <f t="shared" si="0"/>
        <v>1</v>
      </c>
      <c r="E19" s="18">
        <f>SUM(D19/GETPIVOTDATA("Count of OrderID",$A$3,"Region","Africa","Salesperson","Not Provided"))</f>
        <v>0.5</v>
      </c>
    </row>
    <row r="20" spans="1:5" x14ac:dyDescent="0.3">
      <c r="A20" s="11" t="s">
        <v>75</v>
      </c>
      <c r="B20" s="12">
        <v>10</v>
      </c>
      <c r="C20" s="12">
        <v>1.0329999999999999</v>
      </c>
      <c r="D20">
        <f t="shared" si="0"/>
        <v>1</v>
      </c>
      <c r="E20" s="18">
        <f>SUM(D20/GETPIVOTDATA("Count of OrderID",$A$3,"Region","Africa","Salesperson","O. Wang"))</f>
        <v>0.1111111111111111</v>
      </c>
    </row>
    <row r="21" spans="1:5" x14ac:dyDescent="0.3">
      <c r="A21" s="10" t="s">
        <v>52</v>
      </c>
      <c r="B21" s="12">
        <v>157</v>
      </c>
      <c r="C21" s="12">
        <v>19.413000000000004</v>
      </c>
    </row>
    <row r="22" spans="1:5" x14ac:dyDescent="0.3">
      <c r="A22" s="11" t="s">
        <v>68</v>
      </c>
      <c r="B22" s="12">
        <v>12</v>
      </c>
      <c r="C22" s="12">
        <v>1.264</v>
      </c>
      <c r="D22">
        <f t="shared" si="0"/>
        <v>1</v>
      </c>
      <c r="E22" s="18">
        <f>SUM(D22/GETPIVOTDATA("Count of OrderID",$A$3,"Region","Americas","Salesperson","A. Patel"))</f>
        <v>0.1</v>
      </c>
    </row>
    <row r="23" spans="1:5" x14ac:dyDescent="0.3">
      <c r="A23" s="11" t="s">
        <v>1364</v>
      </c>
      <c r="B23" s="12">
        <v>3</v>
      </c>
      <c r="C23" s="12">
        <v>0.49</v>
      </c>
      <c r="D23">
        <f t="shared" si="0"/>
        <v>1</v>
      </c>
      <c r="E23" s="18">
        <f>SUM(D23/GETPIVOTDATA("Count of OrderID",$A$3,"Region","Americas","Salesperson","B. Chen"))</f>
        <v>0.125</v>
      </c>
    </row>
    <row r="24" spans="1:5" x14ac:dyDescent="0.3">
      <c r="A24" s="11" t="s">
        <v>126</v>
      </c>
      <c r="B24" s="12">
        <v>7</v>
      </c>
      <c r="C24" s="12">
        <v>0.67599999999999993</v>
      </c>
      <c r="D24">
        <f t="shared" si="0"/>
        <v>1</v>
      </c>
      <c r="E24" s="18">
        <f>SUM(D24/GETPIVOTDATA("Count of OrderID",$A$3,"Region","Americas","Salesperson","C. Otieno"))</f>
        <v>7.1428571428571425E-2</v>
      </c>
    </row>
    <row r="25" spans="1:5" x14ac:dyDescent="0.3">
      <c r="A25" s="11" t="s">
        <v>110</v>
      </c>
      <c r="B25" s="12">
        <v>12</v>
      </c>
      <c r="C25" s="12">
        <v>1.798</v>
      </c>
      <c r="D25">
        <f t="shared" si="0"/>
        <v>1</v>
      </c>
      <c r="E25" s="18">
        <f>SUM(D25/GETPIVOTDATA("Count of OrderID",$A$3,"Region","Americas","Salesperson","D. Smith"))</f>
        <v>0.125</v>
      </c>
    </row>
    <row r="26" spans="1:5" x14ac:dyDescent="0.3">
      <c r="A26" s="11" t="s">
        <v>49</v>
      </c>
      <c r="B26" s="12">
        <v>12</v>
      </c>
      <c r="C26" s="12">
        <v>1.5189999999999997</v>
      </c>
      <c r="D26">
        <f t="shared" si="0"/>
        <v>1</v>
      </c>
      <c r="E26" s="18">
        <f>SUM(D26/GETPIVOTDATA("Count of OrderID",$A$3,"Region","Americas","Salesperson","E. Garcia"))</f>
        <v>0.2</v>
      </c>
    </row>
    <row r="27" spans="1:5" x14ac:dyDescent="0.3">
      <c r="A27" s="11" t="s">
        <v>95</v>
      </c>
      <c r="B27" s="12">
        <v>10</v>
      </c>
      <c r="C27" s="12">
        <v>1.139</v>
      </c>
      <c r="D27">
        <f t="shared" si="0"/>
        <v>1</v>
      </c>
      <c r="E27" s="18">
        <f>SUM(D27/GETPIVOTDATA("Count of OrderID",$A$3,"Region","Americas","Salesperson","F. Müller"))</f>
        <v>6.6666666666666666E-2</v>
      </c>
    </row>
    <row r="28" spans="1:5" x14ac:dyDescent="0.3">
      <c r="A28" s="11" t="s">
        <v>29</v>
      </c>
      <c r="B28" s="12">
        <v>10</v>
      </c>
      <c r="C28" s="12">
        <v>1.1620000000000001</v>
      </c>
      <c r="D28">
        <f t="shared" si="0"/>
        <v>1</v>
      </c>
      <c r="E28" s="18">
        <f>SUM(D28/GETPIVOTDATA("Count of OrderID",$A$3,"Region","Americas","Salesperson","G. Dubois"))</f>
        <v>0.125</v>
      </c>
    </row>
    <row r="29" spans="1:5" x14ac:dyDescent="0.3">
      <c r="A29" s="11" t="s">
        <v>34</v>
      </c>
      <c r="B29" s="12">
        <v>14</v>
      </c>
      <c r="C29" s="12">
        <v>1.9949999999999997</v>
      </c>
      <c r="D29">
        <f t="shared" si="0"/>
        <v>1</v>
      </c>
      <c r="E29" s="18">
        <f>SUM(D29/GETPIVOTDATA("Count of OrderID",$A$3,"Region","Americas","Salesperson","H. Kim"))</f>
        <v>0.1111111111111111</v>
      </c>
    </row>
    <row r="30" spans="1:5" x14ac:dyDescent="0.3">
      <c r="A30" s="11" t="s">
        <v>92</v>
      </c>
      <c r="B30" s="12">
        <v>9</v>
      </c>
      <c r="C30" s="12">
        <v>0.93799999999999983</v>
      </c>
      <c r="D30">
        <f t="shared" si="0"/>
        <v>1</v>
      </c>
      <c r="E30" s="18">
        <f>SUM(D30/GETPIVOTDATA("Count of OrderID",$A$3,"Region","Americas","Salesperson","I. Johnson"))</f>
        <v>7.1428571428571425E-2</v>
      </c>
    </row>
    <row r="31" spans="1:5" x14ac:dyDescent="0.3">
      <c r="A31" s="11" t="s">
        <v>41</v>
      </c>
      <c r="B31" s="12">
        <v>8</v>
      </c>
      <c r="C31" s="12">
        <v>0.99199999999999999</v>
      </c>
      <c r="D31">
        <f t="shared" si="0"/>
        <v>1</v>
      </c>
      <c r="E31" s="18">
        <f>SUM(D31/GETPIVOTDATA("Count of OrderID",$A$3,"Region","Americas","Salesperson","J. Njeri"))</f>
        <v>0.1</v>
      </c>
    </row>
    <row r="32" spans="1:5" x14ac:dyDescent="0.3">
      <c r="A32" s="11" t="s">
        <v>84</v>
      </c>
      <c r="B32" s="12">
        <v>15</v>
      </c>
      <c r="C32" s="12">
        <v>1.518</v>
      </c>
      <c r="D32">
        <f t="shared" si="0"/>
        <v>1</v>
      </c>
      <c r="E32" s="18">
        <f>SUM(D32/GETPIVOTDATA("Count of OrderID",$A$3,"Region","Americas","Salesperson","K. Singh"))</f>
        <v>0.1</v>
      </c>
    </row>
    <row r="33" spans="1:5" x14ac:dyDescent="0.3">
      <c r="A33" s="11" t="s">
        <v>63</v>
      </c>
      <c r="B33" s="12">
        <v>5</v>
      </c>
      <c r="C33" s="12">
        <v>0.41500000000000004</v>
      </c>
      <c r="D33">
        <f t="shared" si="0"/>
        <v>1</v>
      </c>
      <c r="E33" s="18">
        <f>SUM(D33/GETPIVOTDATA("Count of OrderID",$A$3,"Region","Americas","Salesperson","L. Okafor"))</f>
        <v>8.3333333333333329E-2</v>
      </c>
    </row>
    <row r="34" spans="1:5" x14ac:dyDescent="0.3">
      <c r="A34" s="11" t="s">
        <v>145</v>
      </c>
      <c r="B34" s="12">
        <v>8</v>
      </c>
      <c r="C34" s="12">
        <v>1.421</v>
      </c>
      <c r="D34">
        <f t="shared" si="0"/>
        <v>1</v>
      </c>
      <c r="E34" s="18">
        <f>SUM(D34/GETPIVOTDATA("Count of OrderID",$A$3,"Region","Americas","Salesperson","M. Rossi"))</f>
        <v>8.3333333333333329E-2</v>
      </c>
    </row>
    <row r="35" spans="1:5" x14ac:dyDescent="0.3">
      <c r="A35" s="11" t="s">
        <v>21</v>
      </c>
      <c r="B35" s="12">
        <v>14</v>
      </c>
      <c r="C35" s="12">
        <v>1.53</v>
      </c>
      <c r="D35">
        <f t="shared" si="0"/>
        <v>1</v>
      </c>
      <c r="E35" s="18">
        <f>SUM(D35/GETPIVOTDATA("Count of OrderID",$A$3,"Region","Americas","Salesperson","N. Brown"))</f>
        <v>0.14285714285714285</v>
      </c>
    </row>
    <row r="36" spans="1:5" x14ac:dyDescent="0.3">
      <c r="A36" s="11" t="s">
        <v>56</v>
      </c>
      <c r="B36" s="12">
        <v>8</v>
      </c>
      <c r="C36" s="12">
        <v>0.94100000000000006</v>
      </c>
      <c r="D36">
        <f t="shared" si="0"/>
        <v>1</v>
      </c>
      <c r="E36" s="18">
        <f>SUM(D36/GETPIVOTDATA("Count of OrderID",$A$3,"Region","Americas","Salesperson","Not Provided"))</f>
        <v>0.33333333333333331</v>
      </c>
    </row>
    <row r="37" spans="1:5" x14ac:dyDescent="0.3">
      <c r="A37" s="11" t="s">
        <v>75</v>
      </c>
      <c r="B37" s="12">
        <v>10</v>
      </c>
      <c r="C37" s="12">
        <v>1.615</v>
      </c>
      <c r="D37">
        <f t="shared" si="0"/>
        <v>1</v>
      </c>
      <c r="E37" s="18">
        <f>SUM(D37/GETPIVOTDATA("Count of OrderID",$A$3,"Region","Americas","Salesperson","O. Wang"))</f>
        <v>8.3333333333333329E-2</v>
      </c>
    </row>
    <row r="38" spans="1:5" x14ac:dyDescent="0.3">
      <c r="A38" s="10" t="s">
        <v>16</v>
      </c>
      <c r="B38" s="12">
        <v>145</v>
      </c>
      <c r="C38" s="12">
        <v>17.333999999999993</v>
      </c>
    </row>
    <row r="39" spans="1:5" x14ac:dyDescent="0.3">
      <c r="A39" s="11" t="s">
        <v>68</v>
      </c>
      <c r="B39" s="12">
        <v>9</v>
      </c>
      <c r="C39" s="12">
        <v>1.1579999999999999</v>
      </c>
      <c r="D39">
        <f t="shared" si="0"/>
        <v>1</v>
      </c>
      <c r="E39" s="18">
        <f>SUM(D39/GETPIVOTDATA("Count of OrderID",$A$3,"Region","Asia","Salesperson","A. Patel"))</f>
        <v>0.1</v>
      </c>
    </row>
    <row r="40" spans="1:5" x14ac:dyDescent="0.3">
      <c r="A40" s="11" t="s">
        <v>1364</v>
      </c>
      <c r="B40" s="12">
        <v>2</v>
      </c>
      <c r="C40" s="12">
        <v>0.45599999999999996</v>
      </c>
      <c r="D40">
        <f t="shared" si="0"/>
        <v>1</v>
      </c>
      <c r="E40" s="18">
        <f>SUM(D40/GETPIVOTDATA("Count of OrderID",$A$3,"Region","Asia","Salesperson","B. Chen"))</f>
        <v>5.8823529411764705E-2</v>
      </c>
    </row>
    <row r="41" spans="1:5" x14ac:dyDescent="0.3">
      <c r="A41" s="11" t="s">
        <v>126</v>
      </c>
      <c r="B41" s="12">
        <v>4</v>
      </c>
      <c r="C41" s="12">
        <v>0.24399999999999999</v>
      </c>
      <c r="D41">
        <f t="shared" si="0"/>
        <v>1</v>
      </c>
      <c r="E41" s="18">
        <f>SUM(D41/GETPIVOTDATA("Count of OrderID",$A$3,"Region","Asia","Salesperson","C. Otieno"))</f>
        <v>0.1</v>
      </c>
    </row>
    <row r="42" spans="1:5" x14ac:dyDescent="0.3">
      <c r="A42" s="11" t="s">
        <v>110</v>
      </c>
      <c r="B42" s="12">
        <v>16</v>
      </c>
      <c r="C42" s="12">
        <v>2.5680000000000001</v>
      </c>
      <c r="D42">
        <f t="shared" si="0"/>
        <v>1</v>
      </c>
      <c r="E42" s="18">
        <f>SUM(D42/GETPIVOTDATA("Count of OrderID",$A$3,"Region","Asia","Salesperson","D. Smith"))</f>
        <v>0.1111111111111111</v>
      </c>
    </row>
    <row r="43" spans="1:5" x14ac:dyDescent="0.3">
      <c r="A43" s="11" t="s">
        <v>49</v>
      </c>
      <c r="B43" s="12">
        <v>10</v>
      </c>
      <c r="C43" s="12">
        <v>1.3789999999999998</v>
      </c>
      <c r="D43">
        <f t="shared" si="0"/>
        <v>1</v>
      </c>
      <c r="E43" s="18">
        <f>SUM(D43/GETPIVOTDATA("Count of OrderID",$A$3,"Region","Asia","Salesperson","E. Garcia"))</f>
        <v>0.125</v>
      </c>
    </row>
    <row r="44" spans="1:5" x14ac:dyDescent="0.3">
      <c r="A44" s="11" t="s">
        <v>95</v>
      </c>
      <c r="B44" s="12">
        <v>14</v>
      </c>
      <c r="C44" s="12">
        <v>1.403</v>
      </c>
      <c r="D44">
        <f t="shared" si="0"/>
        <v>1</v>
      </c>
      <c r="E44" s="18">
        <f>SUM(D44/GETPIVOTDATA("Count of OrderID",$A$3,"Region","Asia","Salesperson","F. Müller"))</f>
        <v>8.3333333333333329E-2</v>
      </c>
    </row>
    <row r="45" spans="1:5" x14ac:dyDescent="0.3">
      <c r="A45" s="11" t="s">
        <v>29</v>
      </c>
      <c r="B45" s="12">
        <v>12</v>
      </c>
      <c r="C45" s="12">
        <v>1.5010000000000001</v>
      </c>
      <c r="D45">
        <f t="shared" si="0"/>
        <v>1</v>
      </c>
      <c r="E45" s="18">
        <f>SUM(D45/GETPIVOTDATA("Count of OrderID",$A$3,"Region","Asia","Salesperson","G. Dubois"))</f>
        <v>9.0909090909090912E-2</v>
      </c>
    </row>
    <row r="46" spans="1:5" x14ac:dyDescent="0.3">
      <c r="A46" s="11" t="s">
        <v>34</v>
      </c>
      <c r="B46" s="12">
        <v>8</v>
      </c>
      <c r="C46" s="12">
        <v>1.1680000000000001</v>
      </c>
      <c r="D46">
        <f t="shared" si="0"/>
        <v>1</v>
      </c>
      <c r="E46" s="18">
        <f>SUM(D46/GETPIVOTDATA("Count of OrderID",$A$3,"Region","Asia","Salesperson","H. Kim"))</f>
        <v>6.25E-2</v>
      </c>
    </row>
    <row r="47" spans="1:5" x14ac:dyDescent="0.3">
      <c r="A47" s="11" t="s">
        <v>92</v>
      </c>
      <c r="B47" s="12">
        <v>7</v>
      </c>
      <c r="C47" s="12">
        <v>0.96000000000000008</v>
      </c>
      <c r="D47">
        <f t="shared" si="0"/>
        <v>1</v>
      </c>
      <c r="E47" s="18">
        <f>SUM(D47/GETPIVOTDATA("Count of OrderID",$A$3,"Region","Asia","Salesperson","I. Johnson"))</f>
        <v>0.125</v>
      </c>
    </row>
    <row r="48" spans="1:5" x14ac:dyDescent="0.3">
      <c r="A48" s="11" t="s">
        <v>41</v>
      </c>
      <c r="B48" s="12">
        <v>3</v>
      </c>
      <c r="C48" s="12">
        <v>0.29599999999999999</v>
      </c>
      <c r="D48">
        <f t="shared" si="0"/>
        <v>1</v>
      </c>
      <c r="E48" s="18">
        <f>SUM(D48/GETPIVOTDATA("Count of OrderID",$A$3,"Region","Asia","Salesperson","J. Njeri"))</f>
        <v>5.2631578947368418E-2</v>
      </c>
    </row>
    <row r="49" spans="1:5" x14ac:dyDescent="0.3">
      <c r="A49" s="11" t="s">
        <v>84</v>
      </c>
      <c r="B49" s="12">
        <v>13</v>
      </c>
      <c r="C49" s="12">
        <v>0.87500000000000022</v>
      </c>
      <c r="D49">
        <f t="shared" si="0"/>
        <v>1</v>
      </c>
      <c r="E49" s="18">
        <f>SUM(D49/GETPIVOTDATA("Count of OrderID",$A$3,"Region","Asia","Salesperson","K. Singh"))</f>
        <v>0.14285714285714285</v>
      </c>
    </row>
    <row r="50" spans="1:5" x14ac:dyDescent="0.3">
      <c r="A50" s="11" t="s">
        <v>63</v>
      </c>
      <c r="B50" s="12">
        <v>5</v>
      </c>
      <c r="C50" s="12">
        <v>0.50900000000000001</v>
      </c>
      <c r="D50">
        <f t="shared" si="0"/>
        <v>1</v>
      </c>
      <c r="E50" s="18">
        <f>SUM(D50/GETPIVOTDATA("Count of OrderID",$A$3,"Region","Asia","Salesperson","L. Okafor"))</f>
        <v>7.1428571428571425E-2</v>
      </c>
    </row>
    <row r="51" spans="1:5" x14ac:dyDescent="0.3">
      <c r="A51" s="11" t="s">
        <v>145</v>
      </c>
      <c r="B51" s="12">
        <v>10</v>
      </c>
      <c r="C51" s="12">
        <v>1.0949999999999998</v>
      </c>
      <c r="D51">
        <f t="shared" si="0"/>
        <v>1</v>
      </c>
      <c r="E51" s="18">
        <f>SUM(D51/GETPIVOTDATA("Count of OrderID",$A$3,"Region","Asia","Salesperson","M. Rossi"))</f>
        <v>0.1</v>
      </c>
    </row>
    <row r="52" spans="1:5" x14ac:dyDescent="0.3">
      <c r="A52" s="11" t="s">
        <v>21</v>
      </c>
      <c r="B52" s="12">
        <v>8</v>
      </c>
      <c r="C52" s="12">
        <v>1.0150000000000001</v>
      </c>
      <c r="D52">
        <f t="shared" si="0"/>
        <v>1</v>
      </c>
      <c r="E52" s="18">
        <f>SUM(D52/GETPIVOTDATA("Count of OrderID",$A$3,"Region","Asia","Salesperson","N. Brown"))</f>
        <v>0.1</v>
      </c>
    </row>
    <row r="53" spans="1:5" x14ac:dyDescent="0.3">
      <c r="A53" s="11" t="s">
        <v>56</v>
      </c>
      <c r="B53" s="12">
        <v>8</v>
      </c>
      <c r="C53" s="12">
        <v>0.48199999999999998</v>
      </c>
      <c r="D53">
        <f t="shared" si="0"/>
        <v>1</v>
      </c>
      <c r="E53" s="18">
        <f>SUM(D53/GETPIVOTDATA("Count of OrderID",$A$3,"Region","Asia","Salesperson","Not Provided"))</f>
        <v>0.5</v>
      </c>
    </row>
    <row r="54" spans="1:5" x14ac:dyDescent="0.3">
      <c r="A54" s="11" t="s">
        <v>75</v>
      </c>
      <c r="B54" s="12">
        <v>16</v>
      </c>
      <c r="C54" s="12">
        <v>2.2249999999999996</v>
      </c>
      <c r="D54">
        <f t="shared" si="0"/>
        <v>1</v>
      </c>
      <c r="E54" s="18">
        <f>SUM(D54/GETPIVOTDATA("Count of OrderID",$A$3,"Region","Asia","Salesperson","O. Wang"))</f>
        <v>0.125</v>
      </c>
    </row>
    <row r="55" spans="1:5" x14ac:dyDescent="0.3">
      <c r="A55" s="10" t="s">
        <v>1377</v>
      </c>
      <c r="B55" s="12">
        <v>473</v>
      </c>
      <c r="C55" s="12">
        <v>58.436</v>
      </c>
      <c r="D55">
        <f t="shared" si="0"/>
        <v>1</v>
      </c>
    </row>
    <row r="58" spans="1:5" x14ac:dyDescent="0.3">
      <c r="B58" t="s">
        <v>1435</v>
      </c>
      <c r="C58" s="16" t="s">
        <v>1436</v>
      </c>
      <c r="D58" s="19" t="s">
        <v>1437</v>
      </c>
    </row>
    <row r="59" spans="1:5" x14ac:dyDescent="0.3">
      <c r="B59" s="12">
        <v>21.688999999999997</v>
      </c>
      <c r="D59" s="18"/>
    </row>
    <row r="60" spans="1:5" x14ac:dyDescent="0.3">
      <c r="B60" s="12">
        <v>1.5699999999999998</v>
      </c>
      <c r="C60">
        <f>IF(GETPIVOTDATA("Sum of DiscountPct",$A$3,"Region","Africa","Salesperson","A. Patel")&gt; 20%,1,0)</f>
        <v>1</v>
      </c>
      <c r="D60" s="18">
        <f>SUM(C60/GETPIVOTDATA("Count of OrderID",$A$3,"Region","Africa","Salesperson","A. Patel"))</f>
        <v>6.25E-2</v>
      </c>
    </row>
    <row r="61" spans="1:5" x14ac:dyDescent="0.3">
      <c r="B61" s="12">
        <v>0.20700000000000002</v>
      </c>
      <c r="C61">
        <f>IF(GETPIVOTDATA("Sum of DiscountPct",$A$3,"Region","Africa","Salesperson","A. Patel")&gt; 20%,1,0)</f>
        <v>1</v>
      </c>
      <c r="D61" s="18">
        <f>SUM(C61/GETPIVOTDATA("Count of OrderID",$A$3,"Region","Africa","Salesperson","B. Chen"))</f>
        <v>0.125</v>
      </c>
    </row>
    <row r="62" spans="1:5" x14ac:dyDescent="0.3">
      <c r="B62" s="12">
        <v>1.129</v>
      </c>
      <c r="C62">
        <f t="shared" ref="C62:C110" si="1">IF(GETPIVOTDATA("Sum of DiscountPct",$A$3,"Region","Africa","Salesperson","A. Patel")&gt; 20%,1,0)</f>
        <v>1</v>
      </c>
      <c r="D62" s="18">
        <f>SUM(C62/GETPIVOTDATA("Count of OrderID",$A$3,"Region","Africa","Salesperson","C. Otieno"))</f>
        <v>0.125</v>
      </c>
    </row>
    <row r="63" spans="1:5" x14ac:dyDescent="0.3">
      <c r="B63" s="12">
        <v>1.0210000000000001</v>
      </c>
      <c r="C63">
        <f t="shared" si="1"/>
        <v>1</v>
      </c>
      <c r="D63" s="18">
        <f>SUM(C63/GETPIVOTDATA("Count of OrderID",$A$3,"Region","Africa","Salesperson","D. Smith"))</f>
        <v>0.1</v>
      </c>
    </row>
    <row r="64" spans="1:5" x14ac:dyDescent="0.3">
      <c r="B64" s="12">
        <v>1.7799999999999998</v>
      </c>
      <c r="C64">
        <f t="shared" si="1"/>
        <v>1</v>
      </c>
      <c r="D64" s="18">
        <f>SUM(C64/GETPIVOTDATA("Count of OrderID",$A$3,"Region","Africa","Salesperson","E. Garcia"))</f>
        <v>0.2</v>
      </c>
    </row>
    <row r="65" spans="2:4" x14ac:dyDescent="0.3">
      <c r="B65" s="12">
        <v>0.91999999999999993</v>
      </c>
      <c r="C65">
        <f t="shared" si="1"/>
        <v>1</v>
      </c>
      <c r="D65" s="18">
        <f>C65/GETPIVOTDATA("Count of OrderID",$A$3,"Region","Africa","Salesperson","F. Müller")</f>
        <v>7.6923076923076927E-2</v>
      </c>
    </row>
    <row r="66" spans="2:4" x14ac:dyDescent="0.3">
      <c r="B66" s="12">
        <v>2.1710000000000003</v>
      </c>
      <c r="C66">
        <f t="shared" si="1"/>
        <v>1</v>
      </c>
      <c r="D66" s="18">
        <f>SUM(C66/GETPIVOTDATA("Count of OrderID",$A$3,"Region","Africa","Salesperson","G. Dubois"))</f>
        <v>0.33333333333333331</v>
      </c>
    </row>
    <row r="67" spans="2:4" x14ac:dyDescent="0.3">
      <c r="B67" s="12">
        <v>0.87800000000000011</v>
      </c>
      <c r="C67">
        <f t="shared" si="1"/>
        <v>1</v>
      </c>
      <c r="D67" s="18">
        <f>SUM(C67/GETPIVOTDATA("Count of OrderID",$A$3,"Region","Africa","Salesperson","H. Kim"))</f>
        <v>0.14285714285714285</v>
      </c>
    </row>
    <row r="68" spans="2:4" x14ac:dyDescent="0.3">
      <c r="B68" s="12">
        <v>2.4420000000000002</v>
      </c>
      <c r="C68">
        <f t="shared" si="1"/>
        <v>1</v>
      </c>
      <c r="D68" s="18">
        <f>SUM(C68/GETPIVOTDATA("Count of OrderID",$A$3,"Region","Africa","Salesperson","I. Johnson"))</f>
        <v>0.125</v>
      </c>
    </row>
    <row r="69" spans="2:4" x14ac:dyDescent="0.3">
      <c r="B69" s="12">
        <v>1.2859999999999998</v>
      </c>
      <c r="C69">
        <f t="shared" si="1"/>
        <v>1</v>
      </c>
      <c r="D69" s="18">
        <f>SUM(C69/GETPIVOTDATA("Count of OrderID",$A$3,"Region","Africa","Salesperson","J. Njeri"))</f>
        <v>8.3333333333333329E-2</v>
      </c>
    </row>
    <row r="70" spans="2:4" x14ac:dyDescent="0.3">
      <c r="B70" s="12">
        <v>1.6029999999999998</v>
      </c>
      <c r="C70">
        <f t="shared" si="1"/>
        <v>1</v>
      </c>
      <c r="D70" s="18">
        <f>SUM(C70/GETPIVOTDATA("Count of OrderID",$A$3,"Region","Africa","Salesperson","K. Singh"))</f>
        <v>7.1428571428571425E-2</v>
      </c>
    </row>
    <row r="71" spans="2:4" x14ac:dyDescent="0.3">
      <c r="B71" s="12">
        <v>0.88600000000000012</v>
      </c>
      <c r="C71">
        <f t="shared" si="1"/>
        <v>1</v>
      </c>
      <c r="D71" s="18">
        <f>SUM(C71/GETPIVOTDATA("Count of OrderID",$A$3,"Region","Africa","Salesperson","L. Okafor"))</f>
        <v>0.1</v>
      </c>
    </row>
    <row r="72" spans="2:4" x14ac:dyDescent="0.3">
      <c r="B72" s="12">
        <v>1.036</v>
      </c>
      <c r="C72">
        <f t="shared" si="1"/>
        <v>1</v>
      </c>
      <c r="D72" s="18">
        <f>SUM(C72/GETPIVOTDATA("Count of OrderID",$A$3,"Region","Africa","Salesperson","M. Rossi"))</f>
        <v>6.25E-2</v>
      </c>
    </row>
    <row r="73" spans="2:4" x14ac:dyDescent="0.3">
      <c r="B73" s="12">
        <v>1.6680000000000001</v>
      </c>
      <c r="C73">
        <f t="shared" si="1"/>
        <v>1</v>
      </c>
      <c r="D73" s="18">
        <f>SUM(C73/GETPIVOTDATA("Count of OrderID",$A$3,"Region","Africa","Salesperson","N. Brown"))</f>
        <v>0.25</v>
      </c>
    </row>
    <row r="74" spans="2:4" x14ac:dyDescent="0.3">
      <c r="B74" s="12">
        <v>2.0590000000000002</v>
      </c>
      <c r="C74">
        <f t="shared" si="1"/>
        <v>1</v>
      </c>
      <c r="D74" s="18">
        <f>SUM(C74/GETPIVOTDATA("Count of OrderID",$A$3,"Region","Africa","Salesperson","Not Provided"))</f>
        <v>0.5</v>
      </c>
    </row>
    <row r="75" spans="2:4" x14ac:dyDescent="0.3">
      <c r="B75" s="12">
        <v>1.0329999999999999</v>
      </c>
      <c r="C75">
        <f t="shared" si="1"/>
        <v>1</v>
      </c>
      <c r="D75" s="18">
        <f>SUM(C75/GETPIVOTDATA("Count of OrderID",$A$3,"Region","Africa","Salesperson","O. Wang"))</f>
        <v>0.1111111111111111</v>
      </c>
    </row>
    <row r="76" spans="2:4" x14ac:dyDescent="0.3">
      <c r="B76" s="12">
        <v>19.413000000000004</v>
      </c>
      <c r="D76" s="18"/>
    </row>
    <row r="77" spans="2:4" x14ac:dyDescent="0.3">
      <c r="B77" s="12">
        <v>1.264</v>
      </c>
      <c r="C77">
        <f t="shared" si="1"/>
        <v>1</v>
      </c>
      <c r="D77" s="18">
        <f>SUM(C77/GETPIVOTDATA("Count of OrderID",$A$3,"Region","Americas","Salesperson","A. Patel"))</f>
        <v>0.1</v>
      </c>
    </row>
    <row r="78" spans="2:4" x14ac:dyDescent="0.3">
      <c r="B78" s="12">
        <v>0.49</v>
      </c>
      <c r="C78">
        <f t="shared" si="1"/>
        <v>1</v>
      </c>
      <c r="D78" s="18">
        <f>SUM(C78/GETPIVOTDATA("Count of OrderID",$A$3,"Region","Americas","Salesperson","B. Chen"))</f>
        <v>0.125</v>
      </c>
    </row>
    <row r="79" spans="2:4" x14ac:dyDescent="0.3">
      <c r="B79" s="12">
        <v>0.67599999999999993</v>
      </c>
      <c r="C79">
        <f t="shared" si="1"/>
        <v>1</v>
      </c>
      <c r="D79" s="18">
        <f>SUM(C79/GETPIVOTDATA("Count of OrderID",$A$3,"Region","Americas","Salesperson","C. Otieno"))</f>
        <v>7.1428571428571425E-2</v>
      </c>
    </row>
    <row r="80" spans="2:4" x14ac:dyDescent="0.3">
      <c r="B80" s="12">
        <v>1.798</v>
      </c>
      <c r="C80">
        <f t="shared" si="1"/>
        <v>1</v>
      </c>
      <c r="D80" s="18">
        <f>SUM(C80/GETPIVOTDATA("Count of OrderID",$A$3,"Region","Americas","Salesperson","D. Smith"))</f>
        <v>0.125</v>
      </c>
    </row>
    <row r="81" spans="2:4" x14ac:dyDescent="0.3">
      <c r="B81" s="12">
        <v>1.5189999999999997</v>
      </c>
      <c r="C81">
        <f t="shared" si="1"/>
        <v>1</v>
      </c>
      <c r="D81" s="18">
        <f>SUM(C81/GETPIVOTDATA("Count of OrderID",$A$3,"Region","Americas","Salesperson","E. Garcia"))</f>
        <v>0.2</v>
      </c>
    </row>
    <row r="82" spans="2:4" x14ac:dyDescent="0.3">
      <c r="B82" s="12">
        <v>1.139</v>
      </c>
      <c r="C82">
        <f t="shared" si="1"/>
        <v>1</v>
      </c>
      <c r="D82" s="18">
        <f>SUM(C82/GETPIVOTDATA("Count of OrderID",$A$3,"Region","Americas","Salesperson","F. Müller"))</f>
        <v>6.6666666666666666E-2</v>
      </c>
    </row>
    <row r="83" spans="2:4" x14ac:dyDescent="0.3">
      <c r="B83" s="12">
        <v>1.1620000000000001</v>
      </c>
      <c r="C83">
        <f t="shared" si="1"/>
        <v>1</v>
      </c>
      <c r="D83" s="18">
        <f>SUM(C83/GETPIVOTDATA("Count of OrderID",$A$3,"Region","Americas","Salesperson","G. Dubois"))</f>
        <v>0.125</v>
      </c>
    </row>
    <row r="84" spans="2:4" x14ac:dyDescent="0.3">
      <c r="B84" s="12">
        <v>1.9949999999999997</v>
      </c>
      <c r="C84">
        <f t="shared" si="1"/>
        <v>1</v>
      </c>
      <c r="D84" s="18">
        <f>SUM(C84/GETPIVOTDATA("Count of OrderID",$A$3,"Region","Americas","Salesperson","H. Kim"))</f>
        <v>0.1111111111111111</v>
      </c>
    </row>
    <row r="85" spans="2:4" x14ac:dyDescent="0.3">
      <c r="B85" s="12">
        <v>0.93799999999999983</v>
      </c>
      <c r="C85">
        <f t="shared" si="1"/>
        <v>1</v>
      </c>
      <c r="D85" s="18">
        <f>SUM(C85/GETPIVOTDATA("Count of OrderID",$A$3,"Region","Americas","Salesperson","I. Johnson"))</f>
        <v>7.1428571428571425E-2</v>
      </c>
    </row>
    <row r="86" spans="2:4" x14ac:dyDescent="0.3">
      <c r="B86" s="12">
        <v>0.99199999999999999</v>
      </c>
      <c r="C86">
        <f t="shared" si="1"/>
        <v>1</v>
      </c>
      <c r="D86" s="18">
        <f>SUM(C86/GETPIVOTDATA("Count of OrderID",$A$3,"Region","Americas","Salesperson","J. Njeri"))</f>
        <v>0.1</v>
      </c>
    </row>
    <row r="87" spans="2:4" x14ac:dyDescent="0.3">
      <c r="B87" s="12">
        <v>1.518</v>
      </c>
      <c r="C87">
        <f t="shared" si="1"/>
        <v>1</v>
      </c>
      <c r="D87" s="18">
        <f>SUM(C87/GETPIVOTDATA("Count of OrderID",$A$3,"Region","Americas","Salesperson","K. Singh"))</f>
        <v>0.1</v>
      </c>
    </row>
    <row r="88" spans="2:4" x14ac:dyDescent="0.3">
      <c r="B88" s="12">
        <v>0.41500000000000004</v>
      </c>
      <c r="C88">
        <f t="shared" si="1"/>
        <v>1</v>
      </c>
      <c r="D88" s="18">
        <f>SUM(C88/GETPIVOTDATA("Count of OrderID",$A$3,"Region","Americas","Salesperson","L. Okafor"))</f>
        <v>8.3333333333333329E-2</v>
      </c>
    </row>
    <row r="89" spans="2:4" x14ac:dyDescent="0.3">
      <c r="B89" s="12">
        <v>1.421</v>
      </c>
      <c r="C89">
        <f t="shared" si="1"/>
        <v>1</v>
      </c>
      <c r="D89" s="18">
        <f>SUM(C89/GETPIVOTDATA("Count of OrderID",$A$3,"Region","Americas","Salesperson","M. Rossi"))</f>
        <v>8.3333333333333329E-2</v>
      </c>
    </row>
    <row r="90" spans="2:4" x14ac:dyDescent="0.3">
      <c r="B90" s="12">
        <v>1.53</v>
      </c>
      <c r="C90">
        <f t="shared" si="1"/>
        <v>1</v>
      </c>
      <c r="D90" s="18">
        <f>SUM(C90/GETPIVOTDATA("Count of OrderID",$A$3,"Region","Americas","Salesperson","N. Brown"))</f>
        <v>0.14285714285714285</v>
      </c>
    </row>
    <row r="91" spans="2:4" x14ac:dyDescent="0.3">
      <c r="B91" s="12">
        <v>0.94100000000000006</v>
      </c>
      <c r="C91">
        <f t="shared" si="1"/>
        <v>1</v>
      </c>
      <c r="D91" s="18">
        <f>SUM(C91/GETPIVOTDATA("Count of OrderID",$A$3,"Region","Americas","Salesperson","Not Provided"))</f>
        <v>0.33333333333333331</v>
      </c>
    </row>
    <row r="92" spans="2:4" x14ac:dyDescent="0.3">
      <c r="B92" s="12">
        <v>1.615</v>
      </c>
      <c r="C92">
        <f t="shared" si="1"/>
        <v>1</v>
      </c>
      <c r="D92" s="18">
        <f>SUM(C92/GETPIVOTDATA("Count of OrderID",$A$3,"Region","Americas","Salesperson","O. Wang"))</f>
        <v>8.3333333333333329E-2</v>
      </c>
    </row>
    <row r="93" spans="2:4" x14ac:dyDescent="0.3">
      <c r="B93" s="12">
        <v>17.333999999999993</v>
      </c>
      <c r="D93" s="18"/>
    </row>
    <row r="94" spans="2:4" x14ac:dyDescent="0.3">
      <c r="B94" s="12">
        <v>1.1579999999999999</v>
      </c>
      <c r="C94">
        <f t="shared" si="1"/>
        <v>1</v>
      </c>
      <c r="D94" s="18">
        <f>SUM(C94/GETPIVOTDATA("Count of OrderID",$A$3,"Region","Asia","Salesperson","A. Patel"))</f>
        <v>0.1</v>
      </c>
    </row>
    <row r="95" spans="2:4" x14ac:dyDescent="0.3">
      <c r="B95" s="12">
        <v>0.45599999999999996</v>
      </c>
      <c r="C95">
        <f t="shared" si="1"/>
        <v>1</v>
      </c>
      <c r="D95" s="18">
        <f>SUM(C95/GETPIVOTDATA("Count of OrderID",$A$3,"Region","Asia","Salesperson","B. Chen"))</f>
        <v>5.8823529411764705E-2</v>
      </c>
    </row>
    <row r="96" spans="2:4" x14ac:dyDescent="0.3">
      <c r="B96" s="12">
        <v>0.24399999999999999</v>
      </c>
      <c r="C96">
        <f t="shared" si="1"/>
        <v>1</v>
      </c>
      <c r="D96" s="18">
        <f>SUM(C96/GETPIVOTDATA("Count of OrderID",$A$3,"Region","Asia","Salesperson","C. Otieno"))</f>
        <v>0.1</v>
      </c>
    </row>
    <row r="97" spans="2:4" x14ac:dyDescent="0.3">
      <c r="B97" s="12">
        <v>2.5680000000000001</v>
      </c>
      <c r="C97">
        <f t="shared" si="1"/>
        <v>1</v>
      </c>
      <c r="D97" s="18">
        <f>SUM(C97/GETPIVOTDATA("Count of OrderID",$A$3,"Region","Asia","Salesperson","D. Smith"))</f>
        <v>0.1111111111111111</v>
      </c>
    </row>
    <row r="98" spans="2:4" x14ac:dyDescent="0.3">
      <c r="B98" s="12">
        <v>1.3789999999999998</v>
      </c>
      <c r="C98">
        <f t="shared" si="1"/>
        <v>1</v>
      </c>
      <c r="D98" s="18">
        <f>SUM(C98/GETPIVOTDATA("Count of OrderID",$A$3,"Region","Asia","Salesperson","E. Garcia"))</f>
        <v>0.125</v>
      </c>
    </row>
    <row r="99" spans="2:4" x14ac:dyDescent="0.3">
      <c r="B99" s="12">
        <v>1.403</v>
      </c>
      <c r="C99">
        <f t="shared" si="1"/>
        <v>1</v>
      </c>
      <c r="D99" s="18">
        <f>SUM(C99/GETPIVOTDATA("Count of OrderID",$A$3,"Region","Asia","Salesperson","F. Müller"))</f>
        <v>8.3333333333333329E-2</v>
      </c>
    </row>
    <row r="100" spans="2:4" x14ac:dyDescent="0.3">
      <c r="B100" s="12">
        <v>1.5010000000000001</v>
      </c>
      <c r="C100">
        <f t="shared" si="1"/>
        <v>1</v>
      </c>
      <c r="D100" s="18">
        <f>SUM(C100/GETPIVOTDATA("Count of OrderID",$A$3,"Region","Asia","Salesperson","G. Dubois"))</f>
        <v>9.0909090909090912E-2</v>
      </c>
    </row>
    <row r="101" spans="2:4" x14ac:dyDescent="0.3">
      <c r="B101" s="12">
        <v>1.1680000000000001</v>
      </c>
      <c r="C101">
        <f t="shared" si="1"/>
        <v>1</v>
      </c>
      <c r="D101" s="18">
        <f>SUM(C101/GETPIVOTDATA("Count of OrderID",$A$3,"Region","Asia","Salesperson","H. Kim"))</f>
        <v>6.25E-2</v>
      </c>
    </row>
    <row r="102" spans="2:4" x14ac:dyDescent="0.3">
      <c r="B102" s="12">
        <v>0.96000000000000008</v>
      </c>
      <c r="C102">
        <f t="shared" si="1"/>
        <v>1</v>
      </c>
      <c r="D102" s="18">
        <f>SUM(C102/GETPIVOTDATA("Count of OrderID",$A$3,"Region","Asia","Salesperson","I. Johnson"))</f>
        <v>0.125</v>
      </c>
    </row>
    <row r="103" spans="2:4" x14ac:dyDescent="0.3">
      <c r="B103" s="12">
        <v>0.29599999999999999</v>
      </c>
      <c r="C103">
        <f t="shared" si="1"/>
        <v>1</v>
      </c>
      <c r="D103" s="18">
        <f>SUM(C103/GETPIVOTDATA("Count of OrderID",$A$3,"Region","Asia","Salesperson","J. Njeri"))</f>
        <v>5.2631578947368418E-2</v>
      </c>
    </row>
    <row r="104" spans="2:4" x14ac:dyDescent="0.3">
      <c r="B104" s="12">
        <v>0.87500000000000022</v>
      </c>
      <c r="C104">
        <f t="shared" si="1"/>
        <v>1</v>
      </c>
      <c r="D104" s="18">
        <f>SUM(C104/GETPIVOTDATA("Count of OrderID",$A$3,"Region","Asia","Salesperson","K. Singh"))</f>
        <v>0.14285714285714285</v>
      </c>
    </row>
    <row r="105" spans="2:4" x14ac:dyDescent="0.3">
      <c r="B105" s="12">
        <v>0.50900000000000001</v>
      </c>
      <c r="C105">
        <f t="shared" si="1"/>
        <v>1</v>
      </c>
      <c r="D105" s="18">
        <f>SUM(C105/GETPIVOTDATA("Count of OrderID",$A$3,"Region","Asia","Salesperson","L. Okafor"))</f>
        <v>7.1428571428571425E-2</v>
      </c>
    </row>
    <row r="106" spans="2:4" x14ac:dyDescent="0.3">
      <c r="B106" s="12">
        <v>1.0949999999999998</v>
      </c>
      <c r="C106">
        <f t="shared" si="1"/>
        <v>1</v>
      </c>
      <c r="D106" s="18">
        <f>SUM(C106/GETPIVOTDATA("Count of OrderID",$A$3,"Region","Asia","Salesperson","M. Rossi"))</f>
        <v>0.1</v>
      </c>
    </row>
    <row r="107" spans="2:4" x14ac:dyDescent="0.3">
      <c r="B107" s="12">
        <v>1.0150000000000001</v>
      </c>
      <c r="C107">
        <f t="shared" si="1"/>
        <v>1</v>
      </c>
      <c r="D107" s="18">
        <f>SUM(C107/GETPIVOTDATA("Count of OrderID",$A$3,"Region","Asia","Salesperson","N. Brown"))</f>
        <v>0.1</v>
      </c>
    </row>
    <row r="108" spans="2:4" x14ac:dyDescent="0.3">
      <c r="B108" s="12">
        <v>0.48199999999999998</v>
      </c>
      <c r="C108">
        <f t="shared" si="1"/>
        <v>1</v>
      </c>
      <c r="D108" s="18">
        <f>SUM(C108/GETPIVOTDATA("Count of OrderID",$A$3,"Region","Asia","Salesperson","Not Provided"))</f>
        <v>0.5</v>
      </c>
    </row>
    <row r="109" spans="2:4" x14ac:dyDescent="0.3">
      <c r="B109" s="12">
        <v>2.2249999999999996</v>
      </c>
      <c r="C109">
        <f t="shared" si="1"/>
        <v>1</v>
      </c>
      <c r="D109" s="18">
        <f>SUM(C109/GETPIVOTDATA("Count of OrderID",$A$3,"Region","Asia","Salesperson","O. Wang"))</f>
        <v>0.125</v>
      </c>
    </row>
    <row r="110" spans="2:4" x14ac:dyDescent="0.3">
      <c r="B110" s="12">
        <v>58.436</v>
      </c>
      <c r="C110">
        <f t="shared" si="1"/>
        <v>1</v>
      </c>
      <c r="D110" s="18"/>
    </row>
  </sheetData>
  <conditionalFormatting sqref="D58:D110">
    <cfRule type="top10" dxfId="1" priority="2" percent="1" rank="10"/>
  </conditionalFormatting>
  <conditionalFormatting sqref="D60:D109">
    <cfRule type="top10" dxfId="0" priority="1" percent="1" rank="12"/>
  </conditionalFormatting>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361DA-C7BB-44D1-96AD-CED0C4EB4587}">
  <dimension ref="B3:P29"/>
  <sheetViews>
    <sheetView workbookViewId="0">
      <selection activeCell="O1" sqref="O1"/>
    </sheetView>
  </sheetViews>
  <sheetFormatPr defaultRowHeight="14.4" x14ac:dyDescent="0.3"/>
  <cols>
    <col min="2" max="2" width="19.77734375" customWidth="1"/>
    <col min="4" max="4" width="11.77734375" customWidth="1"/>
    <col min="5" max="5" width="10.5546875" customWidth="1"/>
    <col min="6" max="6" width="14.33203125" customWidth="1"/>
    <col min="7" max="7" width="12.33203125" customWidth="1"/>
    <col min="8" max="8" width="18.33203125" customWidth="1"/>
    <col min="11" max="11" width="11.77734375" customWidth="1"/>
    <col min="12" max="12" width="12.77734375" customWidth="1"/>
    <col min="13" max="13" width="13.77734375" customWidth="1"/>
    <col min="14" max="14" width="11" customWidth="1"/>
    <col min="15" max="15" width="12" customWidth="1"/>
    <col min="16" max="16" width="11.88671875" customWidth="1"/>
  </cols>
  <sheetData>
    <row r="3" spans="2:12" x14ac:dyDescent="0.3">
      <c r="C3" s="16" t="s">
        <v>1438</v>
      </c>
      <c r="D3" s="16"/>
    </row>
    <row r="4" spans="2:12" x14ac:dyDescent="0.3">
      <c r="B4" s="16" t="s">
        <v>1439</v>
      </c>
      <c r="C4" s="16" t="s">
        <v>1440</v>
      </c>
      <c r="D4" s="16" t="s">
        <v>1441</v>
      </c>
      <c r="E4" s="16" t="s">
        <v>1442</v>
      </c>
      <c r="F4" s="16" t="s">
        <v>1443</v>
      </c>
      <c r="G4">
        <v>0</v>
      </c>
      <c r="H4" s="16" t="s">
        <v>1439</v>
      </c>
      <c r="I4" s="16" t="s">
        <v>1440</v>
      </c>
      <c r="J4" s="16" t="s">
        <v>1441</v>
      </c>
      <c r="K4" s="16" t="s">
        <v>1442</v>
      </c>
      <c r="L4" s="16" t="s">
        <v>1443</v>
      </c>
    </row>
    <row r="5" spans="2:12" x14ac:dyDescent="0.3">
      <c r="B5" t="s">
        <v>1444</v>
      </c>
      <c r="C5" t="s">
        <v>1447</v>
      </c>
      <c r="D5" s="21">
        <v>0</v>
      </c>
      <c r="E5" s="21">
        <v>0.25</v>
      </c>
      <c r="F5" s="21">
        <v>0.1</v>
      </c>
      <c r="H5" t="str" cm="1">
        <f t="array" ref="H5:L7">INDEX(B5:F7,G4+_xlfn.SEQUENCE(3),_xlfn.SEQUENCE(1,5))</f>
        <v>Global Discount Cap</v>
      </c>
      <c r="I5" t="str">
        <v>C5</v>
      </c>
      <c r="J5" s="22">
        <v>0</v>
      </c>
      <c r="K5" s="22">
        <v>0.25</v>
      </c>
      <c r="L5" s="22">
        <v>0.1</v>
      </c>
    </row>
    <row r="6" spans="2:12" x14ac:dyDescent="0.3">
      <c r="B6" t="s">
        <v>1445</v>
      </c>
      <c r="C6" t="s">
        <v>1448</v>
      </c>
      <c r="D6" s="21">
        <v>0</v>
      </c>
      <c r="E6" s="21">
        <v>0.15</v>
      </c>
      <c r="F6" s="21">
        <v>0.05</v>
      </c>
      <c r="H6" t="str">
        <v>UnitCost Inflation</v>
      </c>
      <c r="I6" t="str">
        <v>C6</v>
      </c>
      <c r="J6" s="22">
        <v>0</v>
      </c>
      <c r="K6" s="22">
        <v>0.15</v>
      </c>
      <c r="L6" s="22">
        <v>0.05</v>
      </c>
    </row>
    <row r="7" spans="2:12" x14ac:dyDescent="0.3">
      <c r="B7" t="s">
        <v>1446</v>
      </c>
      <c r="C7" t="s">
        <v>1449</v>
      </c>
      <c r="D7" s="21">
        <v>0</v>
      </c>
      <c r="E7" s="21">
        <v>0.2</v>
      </c>
      <c r="F7" s="21">
        <v>0.08</v>
      </c>
      <c r="H7" t="str">
        <v>Quantity Uplift</v>
      </c>
      <c r="I7" t="str">
        <v>C7</v>
      </c>
      <c r="J7" s="22">
        <v>0</v>
      </c>
      <c r="K7" s="22">
        <v>0.2</v>
      </c>
      <c r="L7" s="22">
        <v>0.08</v>
      </c>
    </row>
    <row r="21" spans="2:16" x14ac:dyDescent="0.3">
      <c r="B21" s="16" t="s">
        <v>1450</v>
      </c>
      <c r="J21" s="16" t="s">
        <v>1451</v>
      </c>
    </row>
    <row r="22" spans="2:16" x14ac:dyDescent="0.3">
      <c r="B22" s="1" t="s">
        <v>10</v>
      </c>
      <c r="C22" s="3" t="s">
        <v>11</v>
      </c>
      <c r="D22" s="3" t="s">
        <v>13</v>
      </c>
      <c r="E22" s="3" t="s">
        <v>14</v>
      </c>
      <c r="F22" s="3" t="s">
        <v>1366</v>
      </c>
      <c r="G22" s="3" t="s">
        <v>1368</v>
      </c>
      <c r="H22" s="3" t="s">
        <v>1367</v>
      </c>
      <c r="I22" s="23"/>
      <c r="J22" s="1" t="s">
        <v>10</v>
      </c>
      <c r="K22" s="3" t="s">
        <v>11</v>
      </c>
      <c r="L22" s="3" t="s">
        <v>13</v>
      </c>
      <c r="M22" s="3" t="s">
        <v>14</v>
      </c>
      <c r="N22" s="3" t="s">
        <v>1366</v>
      </c>
      <c r="O22" s="3" t="s">
        <v>1368</v>
      </c>
      <c r="P22" s="3" t="s">
        <v>1367</v>
      </c>
    </row>
    <row r="23" spans="2:16" x14ac:dyDescent="0.3">
      <c r="B23" s="24" t="s">
        <v>23</v>
      </c>
      <c r="C23" s="25">
        <v>279.24</v>
      </c>
      <c r="D23" s="25">
        <v>0.112</v>
      </c>
      <c r="E23" s="25">
        <v>9</v>
      </c>
      <c r="F23" s="26">
        <f>608.9*E23*(1-D23)</f>
        <v>4866.3287999999993</v>
      </c>
      <c r="G23" s="26">
        <f>F23-H23</f>
        <v>2353.1687999999995</v>
      </c>
      <c r="H23" s="4">
        <f>(C23*E23)</f>
        <v>2513.16</v>
      </c>
      <c r="I23" s="4"/>
      <c r="J23" s="24" t="s">
        <v>23</v>
      </c>
      <c r="K23" s="4">
        <f>(C23*(1+F6))</f>
        <v>293.202</v>
      </c>
      <c r="L23" s="4">
        <f>(D23*(1+F5))</f>
        <v>0.12320000000000002</v>
      </c>
      <c r="M23" s="4">
        <f>(E23*(1+F7))</f>
        <v>9.7200000000000006</v>
      </c>
      <c r="N23" s="4">
        <f>639.35*M23*(1-L23)</f>
        <v>5448.857817600001</v>
      </c>
      <c r="O23" s="4">
        <f>N23-P23</f>
        <v>2598.934377600001</v>
      </c>
      <c r="P23" s="4">
        <f>K23*M23</f>
        <v>2849.92344</v>
      </c>
    </row>
    <row r="24" spans="2:16" x14ac:dyDescent="0.3">
      <c r="B24" s="24" t="s">
        <v>31</v>
      </c>
      <c r="C24" s="25">
        <v>1084.3900000000001</v>
      </c>
      <c r="D24" s="25">
        <v>0.23699999999999999</v>
      </c>
      <c r="E24" s="25">
        <v>31</v>
      </c>
      <c r="F24" s="26">
        <f>759.33*E24*(1-D24)</f>
        <v>17960.432489999999</v>
      </c>
      <c r="G24" s="26">
        <f>F24-H24</f>
        <v>-15655.657510000005</v>
      </c>
      <c r="H24" s="4">
        <f>(C24*E24)</f>
        <v>33616.090000000004</v>
      </c>
      <c r="I24" s="4"/>
      <c r="J24" s="24" t="s">
        <v>31</v>
      </c>
      <c r="K24" s="4">
        <f>(C24*(1+E6))</f>
        <v>1247.0485000000001</v>
      </c>
      <c r="L24" s="4">
        <f>(D24*(1+E5))</f>
        <v>0.29625000000000001</v>
      </c>
      <c r="M24" s="4">
        <f>(E24*(1+E7))</f>
        <v>37.199999999999996</v>
      </c>
      <c r="N24" s="4">
        <f>797.29*M24*(1-L24)</f>
        <v>20872.653554999997</v>
      </c>
      <c r="O24" s="4">
        <f>N24-P24</f>
        <v>-25517.550645000003</v>
      </c>
      <c r="P24" s="4">
        <f>K24*M24</f>
        <v>46390.2042</v>
      </c>
    </row>
    <row r="27" spans="2:16" x14ac:dyDescent="0.3">
      <c r="D27" s="27" t="s">
        <v>1452</v>
      </c>
      <c r="E27" s="27" t="s">
        <v>1368</v>
      </c>
    </row>
    <row r="28" spans="2:16" x14ac:dyDescent="0.3">
      <c r="C28" s="16" t="s">
        <v>1453</v>
      </c>
      <c r="D28" s="25">
        <v>4866.33</v>
      </c>
      <c r="E28" s="24">
        <v>2353.17</v>
      </c>
    </row>
    <row r="29" spans="2:16" x14ac:dyDescent="0.3">
      <c r="C29" s="16" t="s">
        <v>1454</v>
      </c>
      <c r="D29" s="24">
        <v>5448.86</v>
      </c>
      <c r="E29" s="24">
        <v>2598.9299999999998</v>
      </c>
    </row>
  </sheetData>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5126" r:id="rId4" name="Scroll Bar 6">
              <controlPr defaultSize="0" autoPict="0">
                <anchor moveWithCells="1">
                  <from>
                    <xdr:col>12</xdr:col>
                    <xdr:colOff>0</xdr:colOff>
                    <xdr:row>4</xdr:row>
                    <xdr:rowOff>129540</xdr:rowOff>
                  </from>
                  <to>
                    <xdr:col>12</xdr:col>
                    <xdr:colOff>914400</xdr:colOff>
                    <xdr:row>19</xdr:row>
                    <xdr:rowOff>129540</xdr:rowOff>
                  </to>
                </anchor>
              </controlPr>
            </control>
          </mc:Choice>
        </mc:AlternateContent>
      </controls>
    </mc:Choice>
  </mc:AlternateConten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288BD-C3D6-4674-9869-89351A85D0D6}">
  <dimension ref="B4:C10"/>
  <sheetViews>
    <sheetView workbookViewId="0">
      <selection activeCell="C10" sqref="C10"/>
    </sheetView>
  </sheetViews>
  <sheetFormatPr defaultRowHeight="14.4" x14ac:dyDescent="0.3"/>
  <sheetData>
    <row r="4" spans="2:3" x14ac:dyDescent="0.3">
      <c r="B4">
        <v>1</v>
      </c>
      <c r="C4" t="s">
        <v>1463</v>
      </c>
    </row>
    <row r="5" spans="2:3" x14ac:dyDescent="0.3">
      <c r="B5">
        <v>2</v>
      </c>
      <c r="C5" t="s">
        <v>1464</v>
      </c>
    </row>
    <row r="6" spans="2:3" x14ac:dyDescent="0.3">
      <c r="B6">
        <v>3</v>
      </c>
      <c r="C6" t="s">
        <v>1465</v>
      </c>
    </row>
    <row r="7" spans="2:3" x14ac:dyDescent="0.3">
      <c r="B7">
        <v>4</v>
      </c>
      <c r="C7" t="s">
        <v>1466</v>
      </c>
    </row>
    <row r="8" spans="2:3" x14ac:dyDescent="0.3">
      <c r="B8">
        <v>5</v>
      </c>
      <c r="C8" t="s">
        <v>1467</v>
      </c>
    </row>
    <row r="9" spans="2:3" x14ac:dyDescent="0.3">
      <c r="B9">
        <v>6</v>
      </c>
      <c r="C9" t="s">
        <v>1468</v>
      </c>
    </row>
    <row r="10" spans="2:3" x14ac:dyDescent="0.3">
      <c r="B10">
        <v>7</v>
      </c>
      <c r="C10" t="s">
        <v>1469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1A950-4EA1-4C48-9FA0-13DA820F5F9D}">
  <dimension ref="A1"/>
  <sheetViews>
    <sheetView workbookViewId="0">
      <selection activeCell="F33" sqref="F3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96C63-FC4F-4E3C-92FB-F30447B0A5F9}">
  <dimension ref="B1"/>
  <sheetViews>
    <sheetView tabSelected="1" topLeftCell="C1" workbookViewId="0">
      <selection activeCell="C8" sqref="C8"/>
    </sheetView>
  </sheetViews>
  <sheetFormatPr defaultRowHeight="14.4" x14ac:dyDescent="0.3"/>
  <cols>
    <col min="1" max="1" width="3.21875" customWidth="1"/>
    <col min="2" max="2" width="2.6640625" hidden="1" customWidth="1"/>
    <col min="3" max="3" width="168.332031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Data</vt:lpstr>
      <vt:lpstr>Part A</vt:lpstr>
      <vt:lpstr>Standardised Dimension Table</vt:lpstr>
      <vt:lpstr>Analysis</vt:lpstr>
      <vt:lpstr>Pivot Cohort Analysis</vt:lpstr>
      <vt:lpstr>ABC Data</vt:lpstr>
      <vt:lpstr>Pivot ABC Data</vt:lpstr>
      <vt:lpstr>Salesperson Productivity</vt:lpstr>
      <vt:lpstr>Sales person Pivot</vt:lpstr>
      <vt:lpstr>Channel Mix Data</vt:lpstr>
      <vt:lpstr>Channel Mix Pivot</vt:lpstr>
      <vt:lpstr>Cannibalization</vt:lpstr>
      <vt:lpstr>Service Level Data</vt:lpstr>
      <vt:lpstr>Service Level Pivot</vt:lpstr>
      <vt:lpstr>Price Compliance Data</vt:lpstr>
      <vt:lpstr>Price Compliance Pivot</vt:lpstr>
      <vt:lpstr>What IF</vt:lpstr>
      <vt:lpstr>Insights</vt:lpstr>
      <vt:lpstr>Slicers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Mark Ngichabe</cp:lastModifiedBy>
  <dcterms:created xsi:type="dcterms:W3CDTF">2026-06-13T03:40:36Z</dcterms:created>
  <dcterms:modified xsi:type="dcterms:W3CDTF">2026-06-22T09:45:57Z</dcterms:modified>
</cp:coreProperties>
</file>